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231"/>
  <workbookPr defaultThemeVersion="166925"/>
  <mc:AlternateContent xmlns:mc="http://schemas.openxmlformats.org/markup-compatibility/2006">
    <mc:Choice Requires="x15">
      <x15ac:absPath xmlns:x15ac="http://schemas.microsoft.com/office/spreadsheetml/2010/11/ac" url="https://mtgov-my.sharepoint.com/personal/cba553_mt_gov/Documents/Desktop/IMPLEMENTATION GRANT/Filed on Grants.gov/"/>
    </mc:Choice>
  </mc:AlternateContent>
  <xr:revisionPtr revIDLastSave="397" documentId="8_{35FA7ED1-77DC-4DF1-B0EA-E2FCA6FBB516}" xr6:coauthVersionLast="47" xr6:coauthVersionMax="47" xr10:uidLastSave="{C5AB3F68-780D-472F-9A04-DFF191815F8C}"/>
  <bookViews>
    <workbookView xWindow="5400" yWindow="210" windowWidth="25320" windowHeight="13770" tabRatio="916" xr2:uid="{F8A7A616-C916-4DCE-A772-C711EC76A4F2}"/>
  </bookViews>
  <sheets>
    <sheet name="Summary" sheetId="20" r:id="rId1"/>
    <sheet name="2 Sustainable Schools" sheetId="2" r:id="rId2"/>
    <sheet name="2. Schools CoPol" sheetId="17" r:id="rId3"/>
    <sheet name="3 Clean Transport" sheetId="3" r:id="rId4"/>
    <sheet name="5 Transmission" sheetId="19" r:id="rId5"/>
    <sheet name="Grid Projections" sheetId="14" r:id="rId6"/>
    <sheet name="AEO Data " sheetId="15" r:id="rId7"/>
  </sheets>
  <externalReferences>
    <externalReference r:id="rId8"/>
  </externalReferences>
  <definedNames>
    <definedName name="NOrg">[1]constants!$B$20</definedName>
    <definedName name="_xlnm.Print_Area" localSheetId="5">'Grid Projections'!$A$1:$Q$73</definedName>
    <definedName name="VolOrg">[1]constants!$B$21</definedName>
    <definedName name="VolSyn">[1]constants!$B$22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36" i="19" l="1"/>
  <c r="C48" i="2"/>
  <c r="C70" i="2" s="1"/>
  <c r="F54" i="17" l="1"/>
  <c r="C13" i="20" l="1"/>
  <c r="E49" i="14"/>
  <c r="B49" i="14"/>
  <c r="B50" i="14" s="1"/>
  <c r="B51" i="14" s="1"/>
  <c r="B52" i="14" s="1"/>
  <c r="B53" i="14" s="1"/>
  <c r="B54" i="14" s="1"/>
  <c r="B55" i="14" s="1"/>
  <c r="B56" i="14" s="1"/>
  <c r="B57" i="14" s="1"/>
  <c r="B58" i="14" s="1"/>
  <c r="B59" i="14" s="1"/>
  <c r="B60" i="14" s="1"/>
  <c r="B61" i="14" s="1"/>
  <c r="B62" i="14" s="1"/>
  <c r="B63" i="14" s="1"/>
  <c r="B64" i="14" s="1"/>
  <c r="B65" i="14" s="1"/>
  <c r="B66" i="14" s="1"/>
  <c r="B67" i="14" s="1"/>
  <c r="B68" i="14" s="1"/>
  <c r="B69" i="14" s="1"/>
  <c r="B70" i="14" s="1"/>
  <c r="B71" i="14" s="1"/>
  <c r="B72" i="14" s="1"/>
  <c r="B73" i="14" s="1"/>
  <c r="D14" i="14"/>
  <c r="E14" i="14" s="1"/>
  <c r="C47" i="3"/>
  <c r="B51" i="3"/>
  <c r="B52" i="3"/>
  <c r="B53" i="3"/>
  <c r="B54" i="3"/>
  <c r="B55" i="3"/>
  <c r="B56" i="3"/>
  <c r="B57" i="3"/>
  <c r="B46" i="3"/>
  <c r="C46" i="3" s="1"/>
  <c r="B44" i="3"/>
  <c r="C22" i="19" l="1"/>
  <c r="D24" i="20" s="1"/>
  <c r="D22" i="19"/>
  <c r="E24" i="20" s="1"/>
  <c r="E22" i="19"/>
  <c r="F24" i="20" s="1"/>
  <c r="G22" i="19"/>
  <c r="H24" i="20" s="1"/>
  <c r="B92" i="19"/>
  <c r="B22" i="19" s="1"/>
  <c r="C24" i="20" s="1"/>
  <c r="C85" i="19"/>
  <c r="E85" i="19" s="1"/>
  <c r="C84" i="19"/>
  <c r="D48" i="14" s="1"/>
  <c r="C86" i="19"/>
  <c r="B51" i="19"/>
  <c r="B53" i="19" s="1"/>
  <c r="B78" i="19" s="1"/>
  <c r="B70" i="19"/>
  <c r="B49" i="19"/>
  <c r="B50" i="19" s="1"/>
  <c r="D85" i="19" l="1"/>
  <c r="B72" i="19"/>
  <c r="B63" i="19"/>
  <c r="B79" i="19" s="1"/>
  <c r="B80" i="19" s="1"/>
  <c r="B81" i="19" s="1"/>
  <c r="B73" i="19" l="1"/>
  <c r="B74" i="19" s="1"/>
  <c r="B75" i="19" s="1"/>
  <c r="J51" i="3" l="1"/>
  <c r="H14" i="14"/>
  <c r="M143" i="2"/>
  <c r="M130" i="2"/>
  <c r="I14" i="14" l="1"/>
  <c r="D76" i="3" l="1"/>
  <c r="H76" i="3"/>
  <c r="F76" i="3"/>
  <c r="J54" i="3"/>
  <c r="J53" i="3"/>
  <c r="J52" i="3"/>
  <c r="C76" i="3" l="1"/>
  <c r="H75" i="3"/>
  <c r="G75" i="3"/>
  <c r="F75" i="3"/>
  <c r="E75" i="3"/>
  <c r="D75" i="3"/>
  <c r="C75" i="3"/>
  <c r="H73" i="3"/>
  <c r="G73" i="3"/>
  <c r="F73" i="3"/>
  <c r="E73" i="3"/>
  <c r="D73" i="3"/>
  <c r="C73" i="3"/>
  <c r="C94" i="3"/>
  <c r="C52" i="3" s="1"/>
  <c r="C89" i="3"/>
  <c r="F84" i="17"/>
  <c r="F83" i="17"/>
  <c r="F81" i="17"/>
  <c r="F80" i="17"/>
  <c r="F73" i="17"/>
  <c r="F72" i="17"/>
  <c r="F71" i="17"/>
  <c r="F69" i="17"/>
  <c r="H74" i="3"/>
  <c r="G74" i="3"/>
  <c r="F74" i="3"/>
  <c r="E74" i="3"/>
  <c r="D74" i="3"/>
  <c r="C74" i="3"/>
  <c r="H72" i="3"/>
  <c r="G72" i="3"/>
  <c r="F72" i="3"/>
  <c r="E72" i="3"/>
  <c r="G22" i="3" s="1"/>
  <c r="D72" i="3"/>
  <c r="F22" i="3" s="1"/>
  <c r="C72" i="3"/>
  <c r="E22" i="3" s="1"/>
  <c r="B76" i="3"/>
  <c r="B74" i="3"/>
  <c r="B75" i="3"/>
  <c r="B73" i="3"/>
  <c r="D38" i="3"/>
  <c r="G38" i="3" s="1"/>
  <c r="D39" i="3"/>
  <c r="D40" i="3"/>
  <c r="G40" i="3" s="1"/>
  <c r="D41" i="3"/>
  <c r="G41" i="3" s="1"/>
  <c r="D42" i="3"/>
  <c r="G42" i="3" s="1"/>
  <c r="F42" i="3" s="1"/>
  <c r="D43" i="3"/>
  <c r="G43" i="3" s="1"/>
  <c r="F43" i="3" s="1"/>
  <c r="D37" i="3"/>
  <c r="G37" i="3" s="1"/>
  <c r="C119" i="17"/>
  <c r="D119" i="17" s="1"/>
  <c r="C120" i="17"/>
  <c r="D120" i="17" s="1"/>
  <c r="C121" i="17"/>
  <c r="D121" i="17" s="1"/>
  <c r="C123" i="17"/>
  <c r="D123" i="17" s="1"/>
  <c r="B118" i="17"/>
  <c r="H84" i="17"/>
  <c r="H80" i="17"/>
  <c r="H83" i="17"/>
  <c r="H81" i="17"/>
  <c r="H73" i="17"/>
  <c r="H72" i="17"/>
  <c r="H71" i="17"/>
  <c r="H69" i="17"/>
  <c r="I56" i="17"/>
  <c r="F53" i="17"/>
  <c r="D53" i="17"/>
  <c r="B53" i="17"/>
  <c r="H57" i="17"/>
  <c r="H56" i="17" s="1"/>
  <c r="H53" i="17"/>
  <c r="F58" i="17"/>
  <c r="D54" i="17"/>
  <c r="C49" i="2"/>
  <c r="C50" i="2" s="1"/>
  <c r="C58" i="2" s="1"/>
  <c r="C55" i="2"/>
  <c r="C56" i="2" s="1"/>
  <c r="C59" i="2" s="1"/>
  <c r="D158" i="2"/>
  <c r="B158" i="2"/>
  <c r="C158" i="2" s="1"/>
  <c r="E79" i="2" l="1"/>
  <c r="B79" i="2"/>
  <c r="C67" i="2"/>
  <c r="C66" i="2"/>
  <c r="E66" i="2" s="1"/>
  <c r="C60" i="2"/>
  <c r="H22" i="3"/>
  <c r="F23" i="20" s="1"/>
  <c r="I22" i="3"/>
  <c r="G23" i="20" s="1"/>
  <c r="J22" i="3"/>
  <c r="H23" i="20" s="1"/>
  <c r="C23" i="20"/>
  <c r="D23" i="20"/>
  <c r="E23" i="20"/>
  <c r="B77" i="3"/>
  <c r="H56" i="3"/>
  <c r="B78" i="3"/>
  <c r="H57" i="3"/>
  <c r="C90" i="3"/>
  <c r="B72" i="3"/>
  <c r="E37" i="3"/>
  <c r="F37" i="3"/>
  <c r="E40" i="3"/>
  <c r="F41" i="3"/>
  <c r="F40" i="3"/>
  <c r="E41" i="3"/>
  <c r="F38" i="3"/>
  <c r="D44" i="3"/>
  <c r="E43" i="3"/>
  <c r="E42" i="3"/>
  <c r="G39" i="3"/>
  <c r="F39" i="3" s="1"/>
  <c r="E38" i="3"/>
  <c r="C118" i="17"/>
  <c r="D118" i="17" s="1"/>
  <c r="A25" i="17"/>
  <c r="A23" i="17"/>
  <c r="I69" i="17" s="1"/>
  <c r="A22" i="17"/>
  <c r="N130" i="2"/>
  <c r="A44" i="2"/>
  <c r="N153" i="2"/>
  <c r="H38" i="2"/>
  <c r="K152" i="2"/>
  <c r="K153" i="2" s="1"/>
  <c r="K131" i="2"/>
  <c r="K144" i="2"/>
  <c r="L144" i="2" s="1"/>
  <c r="E148" i="2"/>
  <c r="K148" i="2"/>
  <c r="I148" i="2" s="1"/>
  <c r="I140" i="2"/>
  <c r="H139" i="2"/>
  <c r="A24" i="17" s="1"/>
  <c r="G139" i="2"/>
  <c r="N141" i="2"/>
  <c r="H35" i="2"/>
  <c r="K130" i="2"/>
  <c r="K143" i="2"/>
  <c r="K132" i="2"/>
  <c r="H33" i="2"/>
  <c r="F66" i="2" l="1"/>
  <c r="E67" i="2"/>
  <c r="F67" i="2" s="1"/>
  <c r="A21" i="17"/>
  <c r="C52" i="17" s="1"/>
  <c r="C53" i="17" s="1"/>
  <c r="I56" i="3"/>
  <c r="I57" i="3"/>
  <c r="G105" i="17"/>
  <c r="G70" i="17"/>
  <c r="G104" i="17"/>
  <c r="G71" i="17"/>
  <c r="G102" i="17"/>
  <c r="G72" i="17"/>
  <c r="G101" i="17"/>
  <c r="G73" i="17"/>
  <c r="G98" i="17"/>
  <c r="G69" i="17"/>
  <c r="G97" i="17"/>
  <c r="G96" i="17"/>
  <c r="G95" i="17"/>
  <c r="G94" i="17"/>
  <c r="G93" i="17"/>
  <c r="G92" i="17"/>
  <c r="G83" i="17"/>
  <c r="G91" i="17"/>
  <c r="G86" i="17"/>
  <c r="G85" i="17"/>
  <c r="G82" i="17"/>
  <c r="G81" i="17"/>
  <c r="G80" i="17"/>
  <c r="G106" i="17"/>
  <c r="G76" i="17"/>
  <c r="G84" i="17"/>
  <c r="F44" i="3"/>
  <c r="G44" i="3"/>
  <c r="E39" i="3"/>
  <c r="E44" i="3" s="1"/>
  <c r="I76" i="17"/>
  <c r="I71" i="17"/>
  <c r="I97" i="17"/>
  <c r="I102" i="17"/>
  <c r="I105" i="17"/>
  <c r="I86" i="17"/>
  <c r="I80" i="17"/>
  <c r="I73" i="17"/>
  <c r="I81" i="17"/>
  <c r="I70" i="17"/>
  <c r="I72" i="17"/>
  <c r="I94" i="17"/>
  <c r="I104" i="17"/>
  <c r="I85" i="17"/>
  <c r="I95" i="17"/>
  <c r="I96" i="17"/>
  <c r="I98" i="17"/>
  <c r="I101" i="17"/>
  <c r="I84" i="17"/>
  <c r="I106" i="17"/>
  <c r="I82" i="17"/>
  <c r="I83" i="17"/>
  <c r="I92" i="17"/>
  <c r="I93" i="17"/>
  <c r="I91" i="17"/>
  <c r="J56" i="17"/>
  <c r="E69" i="17"/>
  <c r="J53" i="17"/>
  <c r="J52" i="17" s="1"/>
  <c r="J55" i="17"/>
  <c r="J54" i="17"/>
  <c r="J57" i="17"/>
  <c r="G52" i="17"/>
  <c r="G57" i="17"/>
  <c r="G54" i="17"/>
  <c r="G55" i="17"/>
  <c r="G56" i="17"/>
  <c r="G58" i="17"/>
  <c r="E54" i="17"/>
  <c r="E55" i="17"/>
  <c r="E56" i="17"/>
  <c r="E57" i="17"/>
  <c r="E52" i="17"/>
  <c r="E53" i="17" s="1"/>
  <c r="C57" i="17"/>
  <c r="E104" i="17"/>
  <c r="E75" i="17"/>
  <c r="E105" i="17"/>
  <c r="E76" i="17"/>
  <c r="E106" i="17"/>
  <c r="E79" i="17"/>
  <c r="E107" i="17"/>
  <c r="E80" i="17"/>
  <c r="E91" i="17"/>
  <c r="E81" i="17"/>
  <c r="E92" i="17"/>
  <c r="E82" i="17"/>
  <c r="E84" i="17"/>
  <c r="E85" i="17"/>
  <c r="E88" i="17"/>
  <c r="E90" i="17"/>
  <c r="E93" i="17"/>
  <c r="E83" i="17"/>
  <c r="E95" i="17"/>
  <c r="E96" i="17"/>
  <c r="E89" i="17"/>
  <c r="E98" i="17"/>
  <c r="E102" i="17"/>
  <c r="E70" i="17"/>
  <c r="E72" i="17"/>
  <c r="E94" i="17"/>
  <c r="E97" i="17"/>
  <c r="E103" i="17"/>
  <c r="E71" i="17"/>
  <c r="E73" i="17"/>
  <c r="E101" i="17"/>
  <c r="E74" i="17"/>
  <c r="C58" i="17"/>
  <c r="C56" i="17"/>
  <c r="C55" i="17"/>
  <c r="C54" i="17"/>
  <c r="K149" i="2"/>
  <c r="G37" i="2" s="1"/>
  <c r="L148" i="2"/>
  <c r="F68" i="2" l="1"/>
  <c r="C69" i="2" s="1"/>
  <c r="D71" i="2" s="1"/>
  <c r="B122" i="17"/>
  <c r="F92" i="19"/>
  <c r="F22" i="19" s="1"/>
  <c r="G24" i="20" s="1"/>
  <c r="C122" i="17"/>
  <c r="D122" i="17" s="1"/>
  <c r="J57" i="3"/>
  <c r="P14" i="14"/>
  <c r="J56" i="3"/>
  <c r="N14" i="14"/>
  <c r="G108" i="17"/>
  <c r="I108" i="17"/>
  <c r="K57" i="17"/>
  <c r="L57" i="17" s="1"/>
  <c r="M57" i="17" s="1"/>
  <c r="J17" i="17" s="1"/>
  <c r="H22" i="20" s="1"/>
  <c r="H25" i="20" s="1"/>
  <c r="K54" i="17"/>
  <c r="L54" i="17" s="1"/>
  <c r="M54" i="17" s="1"/>
  <c r="G17" i="17" s="1"/>
  <c r="E22" i="20" s="1"/>
  <c r="E25" i="20" s="1"/>
  <c r="K52" i="17"/>
  <c r="G53" i="17"/>
  <c r="K53" i="17" s="1"/>
  <c r="L53" i="17" s="1"/>
  <c r="M53" i="17" s="1"/>
  <c r="F17" i="17" s="1"/>
  <c r="D22" i="20" s="1"/>
  <c r="D25" i="20" s="1"/>
  <c r="K55" i="17"/>
  <c r="L55" i="17" s="1"/>
  <c r="M55" i="17" s="1"/>
  <c r="H17" i="17" s="1"/>
  <c r="F22" i="20" s="1"/>
  <c r="F25" i="20" s="1"/>
  <c r="K58" i="17"/>
  <c r="L58" i="17" s="1"/>
  <c r="M58" i="17" s="1"/>
  <c r="K17" i="17" s="1"/>
  <c r="I22" i="20" s="1"/>
  <c r="I25" i="20" s="1"/>
  <c r="K56" i="17"/>
  <c r="L56" i="17" s="1"/>
  <c r="M56" i="17" s="1"/>
  <c r="I17" i="17" s="1"/>
  <c r="G22" i="20" s="1"/>
  <c r="G25" i="20" s="1"/>
  <c r="L52" i="17"/>
  <c r="M52" i="17" s="1"/>
  <c r="E17" i="17" s="1"/>
  <c r="C22" i="20" s="1"/>
  <c r="C25" i="20" s="1"/>
  <c r="E108" i="17"/>
  <c r="B112" i="17" l="1"/>
  <c r="C112" i="17" s="1"/>
  <c r="L17" i="17" s="1"/>
  <c r="J22" i="20" s="1"/>
  <c r="J25" i="20" s="1"/>
  <c r="F49" i="14" l="1"/>
  <c r="A64" i="14"/>
  <c r="A65" i="14" s="1"/>
  <c r="A66" i="14" s="1"/>
  <c r="A67" i="14" s="1"/>
  <c r="A68" i="14" s="1"/>
  <c r="A69" i="14" s="1"/>
  <c r="A70" i="14" s="1"/>
  <c r="A71" i="14" s="1"/>
  <c r="A72" i="14" s="1"/>
  <c r="A54" i="14"/>
  <c r="A55" i="14" s="1"/>
  <c r="A56" i="14" s="1"/>
  <c r="A57" i="14" s="1"/>
  <c r="A58" i="14" s="1"/>
  <c r="A59" i="14" s="1"/>
  <c r="A60" i="14" s="1"/>
  <c r="A61" i="14" s="1"/>
  <c r="A62" i="14" s="1"/>
  <c r="O14" i="14"/>
  <c r="L14" i="14"/>
  <c r="J14" i="14"/>
  <c r="F14" i="14"/>
  <c r="D15" i="14"/>
  <c r="D16" i="14"/>
  <c r="D17" i="14"/>
  <c r="D18" i="14"/>
  <c r="D19" i="14"/>
  <c r="D20" i="14"/>
  <c r="D21" i="14"/>
  <c r="E21" i="14" s="1"/>
  <c r="D22" i="14"/>
  <c r="D23" i="14"/>
  <c r="D24" i="14"/>
  <c r="D25" i="14"/>
  <c r="D26" i="14"/>
  <c r="D27" i="14"/>
  <c r="D28" i="14"/>
  <c r="D29" i="14"/>
  <c r="D30" i="14"/>
  <c r="D31" i="14"/>
  <c r="D32" i="14"/>
  <c r="D33" i="14"/>
  <c r="D34" i="14"/>
  <c r="D35" i="14"/>
  <c r="D36" i="14"/>
  <c r="D37" i="14"/>
  <c r="D38" i="14"/>
  <c r="D39" i="14"/>
  <c r="R104" i="15"/>
  <c r="F89" i="15"/>
  <c r="G89" i="15"/>
  <c r="H89" i="15"/>
  <c r="I89" i="15"/>
  <c r="J89" i="15"/>
  <c r="K89" i="15"/>
  <c r="L89" i="15"/>
  <c r="M89" i="15"/>
  <c r="N89" i="15"/>
  <c r="O89" i="15"/>
  <c r="P89" i="15"/>
  <c r="Q89" i="15"/>
  <c r="R89" i="15"/>
  <c r="S89" i="15"/>
  <c r="T89" i="15"/>
  <c r="U89" i="15"/>
  <c r="V89" i="15"/>
  <c r="W89" i="15"/>
  <c r="X89" i="15"/>
  <c r="Y89" i="15"/>
  <c r="Z89" i="15"/>
  <c r="AA89" i="15"/>
  <c r="AB89" i="15"/>
  <c r="AC89" i="15"/>
  <c r="AD89" i="15"/>
  <c r="F90" i="15"/>
  <c r="G90" i="15"/>
  <c r="H90" i="15"/>
  <c r="I90" i="15"/>
  <c r="J90" i="15"/>
  <c r="K90" i="15"/>
  <c r="L90" i="15"/>
  <c r="M90" i="15"/>
  <c r="N90" i="15"/>
  <c r="O90" i="15"/>
  <c r="P90" i="15"/>
  <c r="Q90" i="15"/>
  <c r="R90" i="15"/>
  <c r="S90" i="15"/>
  <c r="T90" i="15"/>
  <c r="U90" i="15"/>
  <c r="V90" i="15"/>
  <c r="W90" i="15"/>
  <c r="X90" i="15"/>
  <c r="Y90" i="15"/>
  <c r="Z90" i="15"/>
  <c r="AA90" i="15"/>
  <c r="AB90" i="15"/>
  <c r="AC90" i="15"/>
  <c r="AD90" i="15"/>
  <c r="F91" i="15"/>
  <c r="G91" i="15"/>
  <c r="H91" i="15"/>
  <c r="I91" i="15"/>
  <c r="J91" i="15"/>
  <c r="K91" i="15"/>
  <c r="L91" i="15"/>
  <c r="M91" i="15"/>
  <c r="N91" i="15"/>
  <c r="O91" i="15"/>
  <c r="P91" i="15"/>
  <c r="Q91" i="15"/>
  <c r="R91" i="15"/>
  <c r="S91" i="15"/>
  <c r="T91" i="15"/>
  <c r="U91" i="15"/>
  <c r="V91" i="15"/>
  <c r="W91" i="15"/>
  <c r="X91" i="15"/>
  <c r="Y91" i="15"/>
  <c r="Z91" i="15"/>
  <c r="AA91" i="15"/>
  <c r="AB91" i="15"/>
  <c r="AC91" i="15"/>
  <c r="AD91" i="15"/>
  <c r="F92" i="15"/>
  <c r="G92" i="15"/>
  <c r="H92" i="15"/>
  <c r="I92" i="15"/>
  <c r="J92" i="15"/>
  <c r="K92" i="15"/>
  <c r="L92" i="15"/>
  <c r="M92" i="15"/>
  <c r="N92" i="15"/>
  <c r="O92" i="15"/>
  <c r="P92" i="15"/>
  <c r="Q92" i="15"/>
  <c r="R92" i="15"/>
  <c r="S92" i="15"/>
  <c r="T92" i="15"/>
  <c r="U92" i="15"/>
  <c r="V92" i="15"/>
  <c r="W92" i="15"/>
  <c r="X92" i="15"/>
  <c r="Y92" i="15"/>
  <c r="Z92" i="15"/>
  <c r="AA92" i="15"/>
  <c r="AB92" i="15"/>
  <c r="AC92" i="15"/>
  <c r="AD92" i="15"/>
  <c r="F95" i="15"/>
  <c r="F101" i="15" s="1"/>
  <c r="G95" i="15"/>
  <c r="H95" i="15"/>
  <c r="H101" i="15" s="1"/>
  <c r="I95" i="15"/>
  <c r="I101" i="15" s="1"/>
  <c r="J95" i="15"/>
  <c r="J101" i="15" s="1"/>
  <c r="K95" i="15"/>
  <c r="K101" i="15" s="1"/>
  <c r="L95" i="15"/>
  <c r="L101" i="15" s="1"/>
  <c r="M95" i="15"/>
  <c r="M101" i="15" s="1"/>
  <c r="N95" i="15"/>
  <c r="N101" i="15" s="1"/>
  <c r="O95" i="15"/>
  <c r="P95" i="15"/>
  <c r="P101" i="15" s="1"/>
  <c r="Q95" i="15"/>
  <c r="Q101" i="15" s="1"/>
  <c r="R95" i="15"/>
  <c r="R101" i="15" s="1"/>
  <c r="S95" i="15"/>
  <c r="T95" i="15"/>
  <c r="U95" i="15"/>
  <c r="V95" i="15"/>
  <c r="V101" i="15" s="1"/>
  <c r="W95" i="15"/>
  <c r="W101" i="15" s="1"/>
  <c r="X95" i="15"/>
  <c r="X101" i="15" s="1"/>
  <c r="Y95" i="15"/>
  <c r="Y101" i="15" s="1"/>
  <c r="Z95" i="15"/>
  <c r="Z101" i="15" s="1"/>
  <c r="AA95" i="15"/>
  <c r="AB95" i="15"/>
  <c r="AB101" i="15" s="1"/>
  <c r="AC95" i="15"/>
  <c r="AC101" i="15" s="1"/>
  <c r="AD95" i="15"/>
  <c r="AD101" i="15" s="1"/>
  <c r="F96" i="15"/>
  <c r="F102" i="15" s="1"/>
  <c r="G96" i="15"/>
  <c r="G102" i="15" s="1"/>
  <c r="H96" i="15"/>
  <c r="H102" i="15" s="1"/>
  <c r="I96" i="15"/>
  <c r="I102" i="15" s="1"/>
  <c r="J96" i="15"/>
  <c r="J102" i="15" s="1"/>
  <c r="K96" i="15"/>
  <c r="K102" i="15" s="1"/>
  <c r="L96" i="15"/>
  <c r="M96" i="15"/>
  <c r="N96" i="15"/>
  <c r="O96" i="15"/>
  <c r="P96" i="15"/>
  <c r="P102" i="15" s="1"/>
  <c r="Q96" i="15"/>
  <c r="R96" i="15"/>
  <c r="R102" i="15" s="1"/>
  <c r="S96" i="15"/>
  <c r="S102" i="15" s="1"/>
  <c r="T96" i="15"/>
  <c r="T102" i="15" s="1"/>
  <c r="U96" i="15"/>
  <c r="U102" i="15" s="1"/>
  <c r="V96" i="15"/>
  <c r="W96" i="15"/>
  <c r="W102" i="15" s="1"/>
  <c r="X96" i="15"/>
  <c r="X102" i="15" s="1"/>
  <c r="Y96" i="15"/>
  <c r="Y102" i="15" s="1"/>
  <c r="Z96" i="15"/>
  <c r="Z102" i="15" s="1"/>
  <c r="AA96" i="15"/>
  <c r="AA102" i="15" s="1"/>
  <c r="AB96" i="15"/>
  <c r="AB102" i="15" s="1"/>
  <c r="AC96" i="15"/>
  <c r="AC102" i="15" s="1"/>
  <c r="AD96" i="15"/>
  <c r="AD102" i="15" s="1"/>
  <c r="F97" i="15"/>
  <c r="G97" i="15"/>
  <c r="G103" i="15" s="1"/>
  <c r="H97" i="15"/>
  <c r="H103" i="15" s="1"/>
  <c r="I97" i="15"/>
  <c r="I103" i="15" s="1"/>
  <c r="J97" i="15"/>
  <c r="J103" i="15" s="1"/>
  <c r="K97" i="15"/>
  <c r="L97" i="15"/>
  <c r="L103" i="15" s="1"/>
  <c r="M97" i="15"/>
  <c r="M103" i="15" s="1"/>
  <c r="N97" i="15"/>
  <c r="N103" i="15" s="1"/>
  <c r="O97" i="15"/>
  <c r="O103" i="15" s="1"/>
  <c r="P97" i="15"/>
  <c r="P103" i="15" s="1"/>
  <c r="Q97" i="15"/>
  <c r="R97" i="15"/>
  <c r="R103" i="15" s="1"/>
  <c r="S97" i="15"/>
  <c r="S103" i="15" s="1"/>
  <c r="T97" i="15"/>
  <c r="T103" i="15" s="1"/>
  <c r="U97" i="15"/>
  <c r="U103" i="15" s="1"/>
  <c r="V97" i="15"/>
  <c r="W97" i="15"/>
  <c r="W103" i="15" s="1"/>
  <c r="X97" i="15"/>
  <c r="X103" i="15" s="1"/>
  <c r="Y97" i="15"/>
  <c r="Y103" i="15" s="1"/>
  <c r="Z97" i="15"/>
  <c r="Z103" i="15" s="1"/>
  <c r="AA97" i="15"/>
  <c r="AB97" i="15"/>
  <c r="AB103" i="15" s="1"/>
  <c r="AC97" i="15"/>
  <c r="AC103" i="15" s="1"/>
  <c r="AD97" i="15"/>
  <c r="AD103" i="15" s="1"/>
  <c r="F98" i="15"/>
  <c r="F104" i="15" s="1"/>
  <c r="G98" i="15"/>
  <c r="G104" i="15" s="1"/>
  <c r="H98" i="15"/>
  <c r="H104" i="15" s="1"/>
  <c r="I98" i="15"/>
  <c r="I104" i="15" s="1"/>
  <c r="J98" i="15"/>
  <c r="J104" i="15" s="1"/>
  <c r="K98" i="15"/>
  <c r="K104" i="15" s="1"/>
  <c r="L98" i="15"/>
  <c r="L104" i="15" s="1"/>
  <c r="M98" i="15"/>
  <c r="M104" i="15" s="1"/>
  <c r="N98" i="15"/>
  <c r="N104" i="15" s="1"/>
  <c r="O98" i="15"/>
  <c r="O104" i="15" s="1"/>
  <c r="P98" i="15"/>
  <c r="P104" i="15" s="1"/>
  <c r="Q98" i="15"/>
  <c r="R98" i="15"/>
  <c r="S98" i="15"/>
  <c r="S104" i="15" s="1"/>
  <c r="T98" i="15"/>
  <c r="T104" i="15" s="1"/>
  <c r="U98" i="15"/>
  <c r="U104" i="15" s="1"/>
  <c r="V98" i="15"/>
  <c r="V104" i="15" s="1"/>
  <c r="W98" i="15"/>
  <c r="W104" i="15" s="1"/>
  <c r="X98" i="15"/>
  <c r="X104" i="15" s="1"/>
  <c r="Y98" i="15"/>
  <c r="Y104" i="15" s="1"/>
  <c r="Z98" i="15"/>
  <c r="AA98" i="15"/>
  <c r="AA104" i="15" s="1"/>
  <c r="AB98" i="15"/>
  <c r="AB104" i="15" s="1"/>
  <c r="AC98" i="15"/>
  <c r="AC104" i="15" s="1"/>
  <c r="AD98" i="15"/>
  <c r="AD104" i="15" s="1"/>
  <c r="E90" i="15"/>
  <c r="E91" i="15"/>
  <c r="E92" i="15"/>
  <c r="E95" i="15"/>
  <c r="E96" i="15"/>
  <c r="E97" i="15"/>
  <c r="E98" i="15"/>
  <c r="E89" i="15"/>
  <c r="E76" i="15"/>
  <c r="AD79" i="15"/>
  <c r="AC79" i="15"/>
  <c r="AB79" i="15"/>
  <c r="AA79" i="15"/>
  <c r="Z79" i="15"/>
  <c r="Y79" i="15"/>
  <c r="X79" i="15"/>
  <c r="W79" i="15"/>
  <c r="V79" i="15"/>
  <c r="U79" i="15"/>
  <c r="T79" i="15"/>
  <c r="S79" i="15"/>
  <c r="R79" i="15"/>
  <c r="Q79" i="15"/>
  <c r="P79" i="15"/>
  <c r="O79" i="15"/>
  <c r="N79" i="15"/>
  <c r="M79" i="15"/>
  <c r="L79" i="15"/>
  <c r="K79" i="15"/>
  <c r="J79" i="15"/>
  <c r="I79" i="15"/>
  <c r="H79" i="15"/>
  <c r="G79" i="15"/>
  <c r="F79" i="15"/>
  <c r="E79" i="15"/>
  <c r="E85" i="15" s="1"/>
  <c r="AD78" i="15"/>
  <c r="AC78" i="15"/>
  <c r="AB78" i="15"/>
  <c r="AA78" i="15"/>
  <c r="Z78" i="15"/>
  <c r="Y78" i="15"/>
  <c r="X78" i="15"/>
  <c r="W78" i="15"/>
  <c r="V78" i="15"/>
  <c r="U78" i="15"/>
  <c r="T78" i="15"/>
  <c r="S78" i="15"/>
  <c r="R78" i="15"/>
  <c r="Q78" i="15"/>
  <c r="P78" i="15"/>
  <c r="O78" i="15"/>
  <c r="N78" i="15"/>
  <c r="M78" i="15"/>
  <c r="L78" i="15"/>
  <c r="K78" i="15"/>
  <c r="J78" i="15"/>
  <c r="I78" i="15"/>
  <c r="H78" i="15"/>
  <c r="G78" i="15"/>
  <c r="F78" i="15"/>
  <c r="E78" i="15"/>
  <c r="E84" i="15" s="1"/>
  <c r="AD77" i="15"/>
  <c r="AC77" i="15"/>
  <c r="AB77" i="15"/>
  <c r="AA77" i="15"/>
  <c r="Z77" i="15"/>
  <c r="Y77" i="15"/>
  <c r="X77" i="15"/>
  <c r="W77" i="15"/>
  <c r="V77" i="15"/>
  <c r="U77" i="15"/>
  <c r="T77" i="15"/>
  <c r="S77" i="15"/>
  <c r="R77" i="15"/>
  <c r="Q77" i="15"/>
  <c r="P77" i="15"/>
  <c r="O77" i="15"/>
  <c r="N77" i="15"/>
  <c r="M77" i="15"/>
  <c r="L77" i="15"/>
  <c r="K77" i="15"/>
  <c r="J77" i="15"/>
  <c r="I77" i="15"/>
  <c r="H77" i="15"/>
  <c r="G77" i="15"/>
  <c r="F77" i="15"/>
  <c r="E77" i="15"/>
  <c r="E83" i="15" s="1"/>
  <c r="AD76" i="15"/>
  <c r="AC76" i="15"/>
  <c r="AC82" i="15" s="1"/>
  <c r="AB76" i="15"/>
  <c r="AA76" i="15"/>
  <c r="AA82" i="15" s="1"/>
  <c r="Z76" i="15"/>
  <c r="Z82" i="15" s="1"/>
  <c r="Y76" i="15"/>
  <c r="Y82" i="15" s="1"/>
  <c r="X76" i="15"/>
  <c r="X82" i="15" s="1"/>
  <c r="W76" i="15"/>
  <c r="V76" i="15"/>
  <c r="U76" i="15"/>
  <c r="T76" i="15"/>
  <c r="S76" i="15"/>
  <c r="R76" i="15"/>
  <c r="Q76" i="15"/>
  <c r="P76" i="15"/>
  <c r="O76" i="15"/>
  <c r="N76" i="15"/>
  <c r="M76" i="15"/>
  <c r="L76" i="15"/>
  <c r="K76" i="15"/>
  <c r="J76" i="15"/>
  <c r="I76" i="15"/>
  <c r="I82" i="15" s="1"/>
  <c r="H76" i="15"/>
  <c r="G76" i="15"/>
  <c r="G82" i="15" s="1"/>
  <c r="F76" i="15"/>
  <c r="F82" i="15" s="1"/>
  <c r="E82" i="15"/>
  <c r="F51" i="15"/>
  <c r="G51" i="15"/>
  <c r="H51" i="15"/>
  <c r="I51" i="15"/>
  <c r="J51" i="15"/>
  <c r="K51" i="15"/>
  <c r="L51" i="15"/>
  <c r="M51" i="15"/>
  <c r="N51" i="15"/>
  <c r="O51" i="15"/>
  <c r="P51" i="15"/>
  <c r="Q51" i="15"/>
  <c r="R51" i="15"/>
  <c r="S51" i="15"/>
  <c r="T51" i="15"/>
  <c r="U51" i="15"/>
  <c r="V51" i="15"/>
  <c r="W51" i="15"/>
  <c r="X51" i="15"/>
  <c r="Y51" i="15"/>
  <c r="Z51" i="15"/>
  <c r="AA51" i="15"/>
  <c r="AB51" i="15"/>
  <c r="AC51" i="15"/>
  <c r="AD51" i="15"/>
  <c r="F52" i="15"/>
  <c r="G52" i="15"/>
  <c r="H52" i="15"/>
  <c r="I52" i="15"/>
  <c r="J52" i="15"/>
  <c r="K52" i="15"/>
  <c r="L52" i="15"/>
  <c r="M52" i="15"/>
  <c r="N52" i="15"/>
  <c r="O52" i="15"/>
  <c r="P52" i="15"/>
  <c r="Q52" i="15"/>
  <c r="R52" i="15"/>
  <c r="S52" i="15"/>
  <c r="T52" i="15"/>
  <c r="U52" i="15"/>
  <c r="V52" i="15"/>
  <c r="W52" i="15"/>
  <c r="X52" i="15"/>
  <c r="Y52" i="15"/>
  <c r="Z52" i="15"/>
  <c r="AA52" i="15"/>
  <c r="AB52" i="15"/>
  <c r="AC52" i="15"/>
  <c r="AD52" i="15"/>
  <c r="F53" i="15"/>
  <c r="G53" i="15"/>
  <c r="H53" i="15"/>
  <c r="I53" i="15"/>
  <c r="J53" i="15"/>
  <c r="K53" i="15"/>
  <c r="L53" i="15"/>
  <c r="M53" i="15"/>
  <c r="N53" i="15"/>
  <c r="O53" i="15"/>
  <c r="P53" i="15"/>
  <c r="Q53" i="15"/>
  <c r="R53" i="15"/>
  <c r="S53" i="15"/>
  <c r="T53" i="15"/>
  <c r="U53" i="15"/>
  <c r="V53" i="15"/>
  <c r="W53" i="15"/>
  <c r="X53" i="15"/>
  <c r="Y53" i="15"/>
  <c r="Z53" i="15"/>
  <c r="AA53" i="15"/>
  <c r="AB53" i="15"/>
  <c r="AC53" i="15"/>
  <c r="AD53" i="15"/>
  <c r="F54" i="15"/>
  <c r="G54" i="15"/>
  <c r="H54" i="15"/>
  <c r="I54" i="15"/>
  <c r="J54" i="15"/>
  <c r="K54" i="15"/>
  <c r="L54" i="15"/>
  <c r="M54" i="15"/>
  <c r="N54" i="15"/>
  <c r="O54" i="15"/>
  <c r="P54" i="15"/>
  <c r="Q54" i="15"/>
  <c r="R54" i="15"/>
  <c r="S54" i="15"/>
  <c r="T54" i="15"/>
  <c r="U54" i="15"/>
  <c r="V54" i="15"/>
  <c r="W54" i="15"/>
  <c r="X54" i="15"/>
  <c r="Y54" i="15"/>
  <c r="Z54" i="15"/>
  <c r="AA54" i="15"/>
  <c r="AB54" i="15"/>
  <c r="AC54" i="15"/>
  <c r="AD54" i="15"/>
  <c r="E51" i="15"/>
  <c r="E54" i="15"/>
  <c r="E53" i="15"/>
  <c r="Q59" i="15" s="1"/>
  <c r="E52" i="15"/>
  <c r="AD29" i="15"/>
  <c r="AC29" i="15"/>
  <c r="AB29" i="15"/>
  <c r="AA29" i="15"/>
  <c r="Z29" i="15"/>
  <c r="Y29" i="15"/>
  <c r="X29" i="15"/>
  <c r="W29" i="15"/>
  <c r="V29" i="15"/>
  <c r="U29" i="15"/>
  <c r="T29" i="15"/>
  <c r="S29" i="15"/>
  <c r="R29" i="15"/>
  <c r="Q29" i="15"/>
  <c r="P29" i="15"/>
  <c r="O29" i="15"/>
  <c r="N29" i="15"/>
  <c r="M29" i="15"/>
  <c r="L29" i="15"/>
  <c r="K29" i="15"/>
  <c r="J29" i="15"/>
  <c r="I29" i="15"/>
  <c r="H29" i="15"/>
  <c r="G29" i="15"/>
  <c r="F29" i="15"/>
  <c r="AD28" i="15"/>
  <c r="AC28" i="15"/>
  <c r="AB28" i="15"/>
  <c r="AA28" i="15"/>
  <c r="Z28" i="15"/>
  <c r="Y28" i="15"/>
  <c r="X28" i="15"/>
  <c r="W28" i="15"/>
  <c r="V28" i="15"/>
  <c r="U28" i="15"/>
  <c r="T28" i="15"/>
  <c r="S28" i="15"/>
  <c r="R28" i="15"/>
  <c r="Q28" i="15"/>
  <c r="P28" i="15"/>
  <c r="O28" i="15"/>
  <c r="N28" i="15"/>
  <c r="M28" i="15"/>
  <c r="L28" i="15"/>
  <c r="K28" i="15"/>
  <c r="J28" i="15"/>
  <c r="I28" i="15"/>
  <c r="H28" i="15"/>
  <c r="G28" i="15"/>
  <c r="F28" i="15"/>
  <c r="AD27" i="15"/>
  <c r="AC27" i="15"/>
  <c r="AB27" i="15"/>
  <c r="AA27" i="15"/>
  <c r="Z27" i="15"/>
  <c r="Y27" i="15"/>
  <c r="X27" i="15"/>
  <c r="W27" i="15"/>
  <c r="V27" i="15"/>
  <c r="U27" i="15"/>
  <c r="T27" i="15"/>
  <c r="S27" i="15"/>
  <c r="R27" i="15"/>
  <c r="Q27" i="15"/>
  <c r="P27" i="15"/>
  <c r="O27" i="15"/>
  <c r="N27" i="15"/>
  <c r="M27" i="15"/>
  <c r="L27" i="15"/>
  <c r="K27" i="15"/>
  <c r="J27" i="15"/>
  <c r="I27" i="15"/>
  <c r="H27" i="15"/>
  <c r="G27" i="15"/>
  <c r="F27" i="15"/>
  <c r="AD26" i="15"/>
  <c r="AC26" i="15"/>
  <c r="AB26" i="15"/>
  <c r="AA26" i="15"/>
  <c r="Z26" i="15"/>
  <c r="Y26" i="15"/>
  <c r="X26" i="15"/>
  <c r="W26" i="15"/>
  <c r="V26" i="15"/>
  <c r="U26" i="15"/>
  <c r="T26" i="15"/>
  <c r="S26" i="15"/>
  <c r="R26" i="15"/>
  <c r="Q26" i="15"/>
  <c r="P26" i="15"/>
  <c r="O26" i="15"/>
  <c r="N26" i="15"/>
  <c r="M26" i="15"/>
  <c r="L26" i="15"/>
  <c r="K26" i="15"/>
  <c r="J26" i="15"/>
  <c r="I26" i="15"/>
  <c r="H26" i="15"/>
  <c r="G26" i="15"/>
  <c r="F26" i="15"/>
  <c r="E27" i="15"/>
  <c r="E28" i="15"/>
  <c r="E29" i="15"/>
  <c r="E26" i="15"/>
  <c r="E32" i="15" s="1"/>
  <c r="G101" i="15" l="1"/>
  <c r="AA101" i="15"/>
  <c r="Q103" i="15"/>
  <c r="V102" i="15"/>
  <c r="T101" i="15"/>
  <c r="O102" i="15"/>
  <c r="Q102" i="15"/>
  <c r="N32" i="15"/>
  <c r="E104" i="15"/>
  <c r="E110" i="15" s="1"/>
  <c r="N102" i="15"/>
  <c r="N108" i="15" s="1"/>
  <c r="E103" i="15"/>
  <c r="E109" i="15" s="1"/>
  <c r="E102" i="15"/>
  <c r="E108" i="15" s="1"/>
  <c r="S35" i="15"/>
  <c r="O101" i="15"/>
  <c r="O107" i="15" s="1"/>
  <c r="X34" i="15"/>
  <c r="L58" i="15"/>
  <c r="AB34" i="15"/>
  <c r="H34" i="15"/>
  <c r="AC33" i="15"/>
  <c r="F85" i="15"/>
  <c r="H82" i="15"/>
  <c r="AB82" i="15"/>
  <c r="O32" i="15"/>
  <c r="AD82" i="15"/>
  <c r="Z104" i="15"/>
  <c r="V103" i="15"/>
  <c r="V109" i="15" s="1"/>
  <c r="Q32" i="15"/>
  <c r="V60" i="15"/>
  <c r="Q57" i="15"/>
  <c r="U84" i="15"/>
  <c r="O85" i="15"/>
  <c r="E101" i="15"/>
  <c r="E107" i="15" s="1"/>
  <c r="Q104" i="15"/>
  <c r="Q110" i="15" s="1"/>
  <c r="U32" i="15"/>
  <c r="U101" i="15"/>
  <c r="U107" i="15" s="1"/>
  <c r="M102" i="15"/>
  <c r="K103" i="15"/>
  <c r="K109" i="15" s="1"/>
  <c r="W58" i="15"/>
  <c r="Z108" i="15"/>
  <c r="F103" i="15"/>
  <c r="Y34" i="15"/>
  <c r="T35" i="15"/>
  <c r="L102" i="15"/>
  <c r="Z34" i="15"/>
  <c r="S110" i="15"/>
  <c r="X109" i="15"/>
  <c r="I108" i="15"/>
  <c r="U110" i="15"/>
  <c r="AA34" i="15"/>
  <c r="V35" i="15"/>
  <c r="N58" i="15"/>
  <c r="M85" i="15"/>
  <c r="U60" i="15"/>
  <c r="P57" i="15"/>
  <c r="P85" i="15"/>
  <c r="Z35" i="15"/>
  <c r="W84" i="15"/>
  <c r="Q85" i="15"/>
  <c r="AC58" i="15"/>
  <c r="R85" i="15"/>
  <c r="S85" i="15"/>
  <c r="I35" i="15"/>
  <c r="T85" i="15"/>
  <c r="S101" i="15"/>
  <c r="U85" i="15"/>
  <c r="T108" i="15"/>
  <c r="V85" i="15"/>
  <c r="X85" i="15"/>
  <c r="AA103" i="15"/>
  <c r="AA109" i="15" s="1"/>
  <c r="V58" i="15"/>
  <c r="Z85" i="15"/>
  <c r="O108" i="15"/>
  <c r="D57" i="14"/>
  <c r="E50" i="14"/>
  <c r="E16" i="14"/>
  <c r="F16" i="14" s="1"/>
  <c r="E15" i="14"/>
  <c r="L15" i="14" s="1"/>
  <c r="M15" i="14" s="1"/>
  <c r="P16" i="14"/>
  <c r="Q16" i="14" s="1"/>
  <c r="D56" i="14"/>
  <c r="D55" i="14"/>
  <c r="D54" i="14"/>
  <c r="D73" i="14"/>
  <c r="D53" i="14"/>
  <c r="D49" i="14"/>
  <c r="D51" i="14"/>
  <c r="D70" i="14"/>
  <c r="D61" i="14"/>
  <c r="D66" i="14"/>
  <c r="D65" i="14"/>
  <c r="D67" i="14"/>
  <c r="D60" i="14"/>
  <c r="D59" i="14"/>
  <c r="D72" i="14"/>
  <c r="D71" i="14"/>
  <c r="D69" i="14"/>
  <c r="D68" i="14"/>
  <c r="D58" i="14"/>
  <c r="D52" i="14"/>
  <c r="D50" i="14"/>
  <c r="D64" i="14"/>
  <c r="D63" i="14"/>
  <c r="D62" i="14"/>
  <c r="Q14" i="14"/>
  <c r="E39" i="14"/>
  <c r="E35" i="14"/>
  <c r="E37" i="14"/>
  <c r="E38" i="14"/>
  <c r="E19" i="14"/>
  <c r="E17" i="14"/>
  <c r="E18" i="14"/>
  <c r="E34" i="14"/>
  <c r="N34" i="14" s="1"/>
  <c r="O34" i="14" s="1"/>
  <c r="E23" i="14"/>
  <c r="N23" i="14" s="1"/>
  <c r="O23" i="14" s="1"/>
  <c r="E22" i="14"/>
  <c r="P22" i="14" s="1"/>
  <c r="Q22" i="14" s="1"/>
  <c r="E20" i="14"/>
  <c r="J20" i="14" s="1"/>
  <c r="K20" i="14" s="1"/>
  <c r="F23" i="14"/>
  <c r="G14" i="14"/>
  <c r="J23" i="14"/>
  <c r="K23" i="14" s="1"/>
  <c r="L16" i="14"/>
  <c r="M16" i="14" s="1"/>
  <c r="N16" i="14"/>
  <c r="O16" i="14" s="1"/>
  <c r="E33" i="14"/>
  <c r="K14" i="14"/>
  <c r="E32" i="14"/>
  <c r="E36" i="14"/>
  <c r="E30" i="14"/>
  <c r="E31" i="14"/>
  <c r="E29" i="14"/>
  <c r="E27" i="14"/>
  <c r="M14" i="14"/>
  <c r="E24" i="14"/>
  <c r="E26" i="14"/>
  <c r="E25" i="14"/>
  <c r="E28" i="14"/>
  <c r="L23" i="14"/>
  <c r="M23" i="14" s="1"/>
  <c r="P21" i="14"/>
  <c r="Q21" i="14" s="1"/>
  <c r="L25" i="14"/>
  <c r="M25" i="14" s="1"/>
  <c r="F22" i="14"/>
  <c r="N21" i="14"/>
  <c r="O21" i="14" s="1"/>
  <c r="L21" i="14"/>
  <c r="M21" i="14" s="1"/>
  <c r="J21" i="14"/>
  <c r="K21" i="14" s="1"/>
  <c r="F21" i="14"/>
  <c r="S109" i="15"/>
  <c r="T109" i="15"/>
  <c r="Q109" i="15"/>
  <c r="K110" i="15"/>
  <c r="P109" i="15"/>
  <c r="M110" i="15"/>
  <c r="AB110" i="15"/>
  <c r="H110" i="15"/>
  <c r="N110" i="15"/>
  <c r="AA110" i="15"/>
  <c r="G110" i="15"/>
  <c r="F110" i="15"/>
  <c r="J109" i="15"/>
  <c r="Y110" i="15"/>
  <c r="AD109" i="15"/>
  <c r="X110" i="15"/>
  <c r="AC109" i="15"/>
  <c r="R110" i="15"/>
  <c r="F35" i="15"/>
  <c r="K82" i="15"/>
  <c r="J82" i="15"/>
  <c r="AA35" i="15"/>
  <c r="L82" i="15"/>
  <c r="H35" i="15"/>
  <c r="M82" i="15"/>
  <c r="N82" i="15"/>
  <c r="AD58" i="15"/>
  <c r="J58" i="15"/>
  <c r="O82" i="15"/>
  <c r="G108" i="15"/>
  <c r="I58" i="15"/>
  <c r="P82" i="15"/>
  <c r="X84" i="15"/>
  <c r="AB58" i="15"/>
  <c r="Q82" i="15"/>
  <c r="AA58" i="15"/>
  <c r="R82" i="15"/>
  <c r="O110" i="15"/>
  <c r="Z58" i="15"/>
  <c r="S82" i="15"/>
  <c r="K60" i="15"/>
  <c r="Y58" i="15"/>
  <c r="T82" i="15"/>
  <c r="K32" i="15"/>
  <c r="U34" i="15"/>
  <c r="P35" i="15"/>
  <c r="F57" i="15"/>
  <c r="U82" i="15"/>
  <c r="X58" i="15"/>
  <c r="V82" i="15"/>
  <c r="M32" i="15"/>
  <c r="W34" i="15"/>
  <c r="R35" i="15"/>
  <c r="W82" i="15"/>
  <c r="G59" i="15"/>
  <c r="Q60" i="15"/>
  <c r="V59" i="15"/>
  <c r="F84" i="15"/>
  <c r="Z84" i="15"/>
  <c r="N57" i="15"/>
  <c r="P60" i="15"/>
  <c r="G84" i="15"/>
  <c r="O60" i="15"/>
  <c r="AC57" i="15"/>
  <c r="X59" i="15"/>
  <c r="W59" i="15"/>
  <c r="AB57" i="15"/>
  <c r="R59" i="15"/>
  <c r="AA57" i="15"/>
  <c r="R60" i="15"/>
  <c r="T59" i="15"/>
  <c r="Z57" i="15"/>
  <c r="P59" i="15"/>
  <c r="S60" i="15"/>
  <c r="M57" i="15"/>
  <c r="Y59" i="15"/>
  <c r="G32" i="15"/>
  <c r="AA32" i="15"/>
  <c r="V33" i="15"/>
  <c r="T60" i="15"/>
  <c r="H32" i="15"/>
  <c r="AB32" i="15"/>
  <c r="Z59" i="15"/>
  <c r="I32" i="15"/>
  <c r="AC32" i="15"/>
  <c r="S34" i="15"/>
  <c r="N35" i="15"/>
  <c r="AA59" i="15"/>
  <c r="O57" i="15"/>
  <c r="G60" i="15"/>
  <c r="J32" i="15"/>
  <c r="AD32" i="15"/>
  <c r="T34" i="15"/>
  <c r="O35" i="15"/>
  <c r="X60" i="15"/>
  <c r="AC59" i="15"/>
  <c r="I59" i="15"/>
  <c r="S57" i="15"/>
  <c r="Y83" i="15"/>
  <c r="S84" i="15"/>
  <c r="L32" i="15"/>
  <c r="V34" i="15"/>
  <c r="Q35" i="15"/>
  <c r="F58" i="15"/>
  <c r="W60" i="15"/>
  <c r="AB59" i="15"/>
  <c r="H59" i="15"/>
  <c r="M58" i="15"/>
  <c r="R57" i="15"/>
  <c r="F83" i="15"/>
  <c r="Z83" i="15"/>
  <c r="T84" i="15"/>
  <c r="N85" i="15"/>
  <c r="U58" i="15"/>
  <c r="F59" i="15"/>
  <c r="K58" i="15"/>
  <c r="H83" i="15"/>
  <c r="AB83" i="15"/>
  <c r="V84" i="15"/>
  <c r="AC83" i="15"/>
  <c r="K83" i="15"/>
  <c r="Y84" i="15"/>
  <c r="W83" i="15"/>
  <c r="M83" i="15"/>
  <c r="AA84" i="15"/>
  <c r="L83" i="15"/>
  <c r="N83" i="15"/>
  <c r="H84" i="15"/>
  <c r="AB84" i="15"/>
  <c r="I83" i="15"/>
  <c r="U59" i="15"/>
  <c r="E57" i="15"/>
  <c r="O83" i="15"/>
  <c r="I84" i="15"/>
  <c r="AC84" i="15"/>
  <c r="W85" i="15"/>
  <c r="Q84" i="15"/>
  <c r="S59" i="15"/>
  <c r="P83" i="15"/>
  <c r="J84" i="15"/>
  <c r="AD84" i="15"/>
  <c r="R84" i="15"/>
  <c r="AA83" i="15"/>
  <c r="AD83" i="15"/>
  <c r="E58" i="15"/>
  <c r="E59" i="15"/>
  <c r="Q83" i="15"/>
  <c r="K84" i="15"/>
  <c r="Y85" i="15"/>
  <c r="X83" i="15"/>
  <c r="E60" i="15"/>
  <c r="AD60" i="15"/>
  <c r="J60" i="15"/>
  <c r="O59" i="15"/>
  <c r="T58" i="15"/>
  <c r="Y57" i="15"/>
  <c r="S83" i="15"/>
  <c r="M84" i="15"/>
  <c r="G85" i="15"/>
  <c r="AA85" i="15"/>
  <c r="K85" i="15"/>
  <c r="J83" i="15"/>
  <c r="H58" i="15"/>
  <c r="L84" i="15"/>
  <c r="AC60" i="15"/>
  <c r="I60" i="15"/>
  <c r="N59" i="15"/>
  <c r="S58" i="15"/>
  <c r="X57" i="15"/>
  <c r="T83" i="15"/>
  <c r="N84" i="15"/>
  <c r="H85" i="15"/>
  <c r="AB85" i="15"/>
  <c r="L85" i="15"/>
  <c r="R83" i="15"/>
  <c r="X35" i="15"/>
  <c r="AB60" i="15"/>
  <c r="H60" i="15"/>
  <c r="M59" i="15"/>
  <c r="R58" i="15"/>
  <c r="W57" i="15"/>
  <c r="U83" i="15"/>
  <c r="O84" i="15"/>
  <c r="I85" i="15"/>
  <c r="AC85" i="15"/>
  <c r="G83" i="15"/>
  <c r="V32" i="15"/>
  <c r="L34" i="15"/>
  <c r="X32" i="15"/>
  <c r="N34" i="15"/>
  <c r="AA60" i="15"/>
  <c r="L59" i="15"/>
  <c r="Q58" i="15"/>
  <c r="V57" i="15"/>
  <c r="V83" i="15"/>
  <c r="P84" i="15"/>
  <c r="J85" i="15"/>
  <c r="AD85" i="15"/>
  <c r="Q33" i="15"/>
  <c r="Y32" i="15"/>
  <c r="O34" i="15"/>
  <c r="J35" i="15"/>
  <c r="AD35" i="15"/>
  <c r="Z60" i="15"/>
  <c r="F60" i="15"/>
  <c r="K59" i="15"/>
  <c r="P58" i="15"/>
  <c r="U57" i="15"/>
  <c r="F32" i="15"/>
  <c r="Z32" i="15"/>
  <c r="U33" i="15"/>
  <c r="Y60" i="15"/>
  <c r="AD59" i="15"/>
  <c r="J59" i="15"/>
  <c r="O58" i="15"/>
  <c r="T57" i="15"/>
  <c r="AB33" i="15"/>
  <c r="E33" i="15"/>
  <c r="O33" i="15"/>
  <c r="Y33" i="15"/>
  <c r="H33" i="15"/>
  <c r="I33" i="15"/>
  <c r="F33" i="15"/>
  <c r="J33" i="15"/>
  <c r="Y35" i="15"/>
  <c r="P32" i="15"/>
  <c r="K33" i="15"/>
  <c r="F34" i="15"/>
  <c r="T33" i="15"/>
  <c r="L33" i="15"/>
  <c r="G34" i="15"/>
  <c r="R32" i="15"/>
  <c r="M33" i="15"/>
  <c r="L57" i="15"/>
  <c r="Z33" i="15"/>
  <c r="AD33" i="15"/>
  <c r="S32" i="15"/>
  <c r="AC34" i="15"/>
  <c r="N60" i="15"/>
  <c r="K57" i="15"/>
  <c r="X33" i="15"/>
  <c r="N33" i="15"/>
  <c r="T32" i="15"/>
  <c r="J34" i="15"/>
  <c r="AD34" i="15"/>
  <c r="M60" i="15"/>
  <c r="J57" i="15"/>
  <c r="AA33" i="15"/>
  <c r="P33" i="15"/>
  <c r="K34" i="15"/>
  <c r="L60" i="15"/>
  <c r="I57" i="15"/>
  <c r="G58" i="15"/>
  <c r="H57" i="15"/>
  <c r="G33" i="15"/>
  <c r="M35" i="15"/>
  <c r="W32" i="15"/>
  <c r="R33" i="15"/>
  <c r="M34" i="15"/>
  <c r="AB35" i="15"/>
  <c r="G57" i="15"/>
  <c r="W33" i="15"/>
  <c r="S33" i="15"/>
  <c r="AC35" i="15"/>
  <c r="AD57" i="15"/>
  <c r="G35" i="15"/>
  <c r="W35" i="15"/>
  <c r="U35" i="15"/>
  <c r="E35" i="15"/>
  <c r="E34" i="15"/>
  <c r="R34" i="15"/>
  <c r="Q34" i="15"/>
  <c r="P34" i="15"/>
  <c r="L35" i="15"/>
  <c r="I34" i="15"/>
  <c r="K35" i="15"/>
  <c r="L22" i="14" l="1"/>
  <c r="M22" i="14" s="1"/>
  <c r="P23" i="14"/>
  <c r="Q23" i="14" s="1"/>
  <c r="N15" i="14"/>
  <c r="O15" i="14" s="1"/>
  <c r="P15" i="14"/>
  <c r="Q15" i="14" s="1"/>
  <c r="R109" i="15"/>
  <c r="L109" i="15"/>
  <c r="S108" i="15"/>
  <c r="U108" i="15"/>
  <c r="U109" i="15"/>
  <c r="N109" i="15"/>
  <c r="T110" i="15"/>
  <c r="I110" i="15"/>
  <c r="AC110" i="15"/>
  <c r="W109" i="15"/>
  <c r="L110" i="15"/>
  <c r="P110" i="15"/>
  <c r="Y107" i="15"/>
  <c r="Z109" i="15"/>
  <c r="J110" i="15"/>
  <c r="X108" i="15"/>
  <c r="AB108" i="15"/>
  <c r="AD110" i="15"/>
  <c r="Y108" i="15"/>
  <c r="V110" i="15"/>
  <c r="V108" i="15"/>
  <c r="K108" i="15"/>
  <c r="L108" i="15"/>
  <c r="W108" i="15"/>
  <c r="H108" i="15"/>
  <c r="O109" i="15"/>
  <c r="I109" i="15"/>
  <c r="AC108" i="15"/>
  <c r="M108" i="15"/>
  <c r="AD107" i="15"/>
  <c r="J108" i="15"/>
  <c r="V107" i="15"/>
  <c r="P108" i="15"/>
  <c r="AD108" i="15"/>
  <c r="Y109" i="15"/>
  <c r="Q108" i="15"/>
  <c r="G109" i="15"/>
  <c r="Z110" i="15"/>
  <c r="H109" i="15"/>
  <c r="F108" i="15"/>
  <c r="AB109" i="15"/>
  <c r="AA108" i="15"/>
  <c r="M109" i="15"/>
  <c r="R108" i="15"/>
  <c r="F109" i="15"/>
  <c r="W110" i="15"/>
  <c r="F34" i="14"/>
  <c r="G34" i="14" s="1"/>
  <c r="J34" i="14"/>
  <c r="K34" i="14" s="1"/>
  <c r="L34" i="14"/>
  <c r="M34" i="14" s="1"/>
  <c r="F107" i="15"/>
  <c r="Z107" i="15"/>
  <c r="L107" i="15"/>
  <c r="G107" i="15"/>
  <c r="W107" i="15"/>
  <c r="AA107" i="15"/>
  <c r="S107" i="15"/>
  <c r="H107" i="15"/>
  <c r="AB107" i="15"/>
  <c r="M107" i="15"/>
  <c r="K107" i="15"/>
  <c r="I107" i="15"/>
  <c r="P107" i="15"/>
  <c r="X107" i="15"/>
  <c r="AC107" i="15"/>
  <c r="N107" i="15"/>
  <c r="Q107" i="15"/>
  <c r="J107" i="15"/>
  <c r="R107" i="15"/>
  <c r="T107" i="15"/>
  <c r="E84" i="19"/>
  <c r="E86" i="19" s="1"/>
  <c r="F17" i="19" s="1"/>
  <c r="E12" i="20" s="1"/>
  <c r="D84" i="19"/>
  <c r="D86" i="19" s="1"/>
  <c r="E17" i="19" s="1"/>
  <c r="G17" i="19" s="1"/>
  <c r="H37" i="14"/>
  <c r="I37" i="14" s="1"/>
  <c r="H15" i="14"/>
  <c r="I15" i="14" s="1"/>
  <c r="H28" i="14"/>
  <c r="I28" i="14" s="1"/>
  <c r="F15" i="14"/>
  <c r="G15" i="14" s="1"/>
  <c r="H23" i="14"/>
  <c r="I23" i="14" s="1"/>
  <c r="J15" i="14"/>
  <c r="K15" i="14" s="1"/>
  <c r="H21" i="14"/>
  <c r="I21" i="14" s="1"/>
  <c r="J17" i="14"/>
  <c r="K17" i="14" s="1"/>
  <c r="H17" i="14"/>
  <c r="I17" i="14" s="1"/>
  <c r="N18" i="14"/>
  <c r="O18" i="14" s="1"/>
  <c r="H18" i="14"/>
  <c r="I18" i="14" s="1"/>
  <c r="N38" i="14"/>
  <c r="O38" i="14" s="1"/>
  <c r="H38" i="14"/>
  <c r="I38" i="14" s="1"/>
  <c r="F29" i="14"/>
  <c r="G29" i="14" s="1"/>
  <c r="H29" i="14"/>
  <c r="I29" i="14" s="1"/>
  <c r="P24" i="14"/>
  <c r="Q24" i="14" s="1"/>
  <c r="H24" i="14"/>
  <c r="I24" i="14" s="1"/>
  <c r="F31" i="14"/>
  <c r="G31" i="14" s="1"/>
  <c r="H31" i="14"/>
  <c r="I31" i="14" s="1"/>
  <c r="N35" i="14"/>
  <c r="O35" i="14" s="1"/>
  <c r="H35" i="14"/>
  <c r="I35" i="14" s="1"/>
  <c r="L30" i="14"/>
  <c r="M30" i="14" s="1"/>
  <c r="H30" i="14"/>
  <c r="I30" i="14" s="1"/>
  <c r="L39" i="14"/>
  <c r="M39" i="14" s="1"/>
  <c r="H39" i="14"/>
  <c r="I39" i="14" s="1"/>
  <c r="J27" i="14"/>
  <c r="K27" i="14" s="1"/>
  <c r="H27" i="14"/>
  <c r="I27" i="14" s="1"/>
  <c r="F33" i="14"/>
  <c r="G33" i="14" s="1"/>
  <c r="H33" i="14"/>
  <c r="I33" i="14" s="1"/>
  <c r="P36" i="14"/>
  <c r="Q36" i="14" s="1"/>
  <c r="H36" i="14"/>
  <c r="I36" i="14" s="1"/>
  <c r="N19" i="14"/>
  <c r="O19" i="14" s="1"/>
  <c r="H19" i="14"/>
  <c r="I19" i="14" s="1"/>
  <c r="L20" i="14"/>
  <c r="M20" i="14" s="1"/>
  <c r="H20" i="14"/>
  <c r="I20" i="14" s="1"/>
  <c r="J16" i="14"/>
  <c r="K16" i="14" s="1"/>
  <c r="H16" i="14"/>
  <c r="I16" i="14" s="1"/>
  <c r="N32" i="14"/>
  <c r="O32" i="14" s="1"/>
  <c r="H32" i="14"/>
  <c r="I32" i="14" s="1"/>
  <c r="J25" i="14"/>
  <c r="K25" i="14" s="1"/>
  <c r="H25" i="14"/>
  <c r="I25" i="14" s="1"/>
  <c r="J22" i="14"/>
  <c r="K22" i="14" s="1"/>
  <c r="H22" i="14"/>
  <c r="I22" i="14" s="1"/>
  <c r="F24" i="14"/>
  <c r="G24" i="14" s="1"/>
  <c r="J26" i="14"/>
  <c r="K26" i="14" s="1"/>
  <c r="H26" i="14"/>
  <c r="I26" i="14" s="1"/>
  <c r="P34" i="14"/>
  <c r="Q34" i="14" s="1"/>
  <c r="H34" i="14"/>
  <c r="I34" i="14" s="1"/>
  <c r="L27" i="14"/>
  <c r="M27" i="14" s="1"/>
  <c r="P33" i="14"/>
  <c r="Q33" i="14" s="1"/>
  <c r="N24" i="14"/>
  <c r="O24" i="14" s="1"/>
  <c r="N29" i="14"/>
  <c r="O29" i="14" s="1"/>
  <c r="P32" i="14"/>
  <c r="Q32" i="14" s="1"/>
  <c r="J31" i="14"/>
  <c r="K31" i="14" s="1"/>
  <c r="N22" i="14"/>
  <c r="O22" i="14" s="1"/>
  <c r="L33" i="14"/>
  <c r="M33" i="14" s="1"/>
  <c r="N20" i="14"/>
  <c r="O20" i="14" s="1"/>
  <c r="L31" i="14"/>
  <c r="M31" i="14" s="1"/>
  <c r="J35" i="14"/>
  <c r="K35" i="14" s="1"/>
  <c r="J37" i="14"/>
  <c r="K37" i="14" s="1"/>
  <c r="P19" i="14"/>
  <c r="Q19" i="14" s="1"/>
  <c r="L19" i="14"/>
  <c r="M19" i="14" s="1"/>
  <c r="F18" i="14"/>
  <c r="G18" i="14" s="1"/>
  <c r="L35" i="14"/>
  <c r="M35" i="14" s="1"/>
  <c r="F32" i="14"/>
  <c r="G32" i="14" s="1"/>
  <c r="J39" i="14"/>
  <c r="K39" i="14" s="1"/>
  <c r="P18" i="14"/>
  <c r="Q18" i="14" s="1"/>
  <c r="P39" i="14"/>
  <c r="Q39" i="14" s="1"/>
  <c r="N39" i="14"/>
  <c r="O39" i="14" s="1"/>
  <c r="J33" i="14"/>
  <c r="K33" i="14" s="1"/>
  <c r="F19" i="14"/>
  <c r="G19" i="14" s="1"/>
  <c r="P37" i="14"/>
  <c r="Q37" i="14" s="1"/>
  <c r="P38" i="14"/>
  <c r="Q38" i="14" s="1"/>
  <c r="L17" i="14"/>
  <c r="M17" i="14" s="1"/>
  <c r="F28" i="14"/>
  <c r="G28" i="14" s="1"/>
  <c r="P35" i="14"/>
  <c r="Q35" i="14" s="1"/>
  <c r="J19" i="14"/>
  <c r="K19" i="14" s="1"/>
  <c r="F39" i="14"/>
  <c r="G39" i="14" s="1"/>
  <c r="N33" i="14"/>
  <c r="O33" i="14" s="1"/>
  <c r="N17" i="14"/>
  <c r="O17" i="14" s="1"/>
  <c r="F38" i="14"/>
  <c r="G38" i="14" s="1"/>
  <c r="L37" i="14"/>
  <c r="M37" i="14" s="1"/>
  <c r="F17" i="14"/>
  <c r="G17" i="14" s="1"/>
  <c r="N37" i="14"/>
  <c r="O37" i="14" s="1"/>
  <c r="J38" i="14"/>
  <c r="K38" i="14" s="1"/>
  <c r="F37" i="14"/>
  <c r="G37" i="14" s="1"/>
  <c r="F25" i="14"/>
  <c r="G25" i="14" s="1"/>
  <c r="P25" i="14"/>
  <c r="Q25" i="14" s="1"/>
  <c r="E51" i="14"/>
  <c r="F50" i="14"/>
  <c r="F35" i="14"/>
  <c r="G35" i="14" s="1"/>
  <c r="N25" i="14"/>
  <c r="O25" i="14" s="1"/>
  <c r="P17" i="14"/>
  <c r="Q17" i="14" s="1"/>
  <c r="L38" i="14"/>
  <c r="M38" i="14" s="1"/>
  <c r="P26" i="14"/>
  <c r="Q26" i="14" s="1"/>
  <c r="F27" i="14"/>
  <c r="L26" i="14"/>
  <c r="M26" i="14" s="1"/>
  <c r="N27" i="14"/>
  <c r="O27" i="14" s="1"/>
  <c r="J29" i="14"/>
  <c r="K29" i="14" s="1"/>
  <c r="P29" i="14"/>
  <c r="Q29" i="14" s="1"/>
  <c r="L29" i="14"/>
  <c r="M29" i="14" s="1"/>
  <c r="J24" i="14"/>
  <c r="K24" i="14" s="1"/>
  <c r="L36" i="14"/>
  <c r="M36" i="14" s="1"/>
  <c r="P31" i="14"/>
  <c r="Q31" i="14" s="1"/>
  <c r="J18" i="14"/>
  <c r="K18" i="14" s="1"/>
  <c r="N26" i="14"/>
  <c r="O26" i="14" s="1"/>
  <c r="L24" i="14"/>
  <c r="M24" i="14" s="1"/>
  <c r="N31" i="14"/>
  <c r="O31" i="14" s="1"/>
  <c r="N36" i="14"/>
  <c r="O36" i="14" s="1"/>
  <c r="P27" i="14"/>
  <c r="Q27" i="14" s="1"/>
  <c r="F36" i="14"/>
  <c r="F26" i="14"/>
  <c r="G26" i="14" s="1"/>
  <c r="F20" i="14"/>
  <c r="P20" i="14"/>
  <c r="Q20" i="14" s="1"/>
  <c r="L18" i="14"/>
  <c r="M18" i="14" s="1"/>
  <c r="F30" i="14"/>
  <c r="P28" i="14"/>
  <c r="Q28" i="14" s="1"/>
  <c r="N30" i="14"/>
  <c r="O30" i="14" s="1"/>
  <c r="G21" i="14"/>
  <c r="L28" i="14"/>
  <c r="M28" i="14" s="1"/>
  <c r="J36" i="14"/>
  <c r="K36" i="14" s="1"/>
  <c r="J28" i="14"/>
  <c r="K28" i="14" s="1"/>
  <c r="N28" i="14"/>
  <c r="O28" i="14" s="1"/>
  <c r="G16" i="14"/>
  <c r="J30" i="14"/>
  <c r="K30" i="14" s="1"/>
  <c r="P30" i="14"/>
  <c r="Q30" i="14" s="1"/>
  <c r="G23" i="14"/>
  <c r="L32" i="14"/>
  <c r="M32" i="14" s="1"/>
  <c r="J32" i="14"/>
  <c r="K32" i="14" s="1"/>
  <c r="G22" i="14"/>
  <c r="H55" i="3"/>
  <c r="J55" i="3" s="1"/>
  <c r="K57" i="3" l="1"/>
  <c r="K54" i="3"/>
  <c r="D12" i="20"/>
  <c r="F12" i="20" s="1"/>
  <c r="L57" i="3"/>
  <c r="K51" i="3"/>
  <c r="K53" i="3"/>
  <c r="L53" i="3"/>
  <c r="K52" i="3"/>
  <c r="L52" i="3"/>
  <c r="K56" i="3"/>
  <c r="L55" i="3"/>
  <c r="K55" i="3"/>
  <c r="L56" i="3"/>
  <c r="L54" i="3"/>
  <c r="E52" i="14"/>
  <c r="F51" i="14"/>
  <c r="G27" i="14"/>
  <c r="G20" i="14"/>
  <c r="G36" i="14"/>
  <c r="G30" i="14"/>
  <c r="E17" i="3" l="1"/>
  <c r="G17" i="3" s="1"/>
  <c r="L51" i="3"/>
  <c r="F17" i="3" s="1"/>
  <c r="E11" i="20" s="1"/>
  <c r="E53" i="14"/>
  <c r="F52" i="14"/>
  <c r="C48" i="14"/>
  <c r="D11" i="20" l="1"/>
  <c r="F11" i="20" s="1"/>
  <c r="E54" i="14"/>
  <c r="F53" i="14"/>
  <c r="C65" i="14"/>
  <c r="C52" i="14"/>
  <c r="C72" i="14"/>
  <c r="C59" i="14"/>
  <c r="C58" i="14"/>
  <c r="C66" i="14"/>
  <c r="C54" i="14"/>
  <c r="C53" i="14"/>
  <c r="C73" i="14"/>
  <c r="C60" i="14"/>
  <c r="C49" i="14"/>
  <c r="E158" i="2" s="1"/>
  <c r="C79" i="2" s="1"/>
  <c r="C67" i="14"/>
  <c r="C64" i="14"/>
  <c r="C71" i="14"/>
  <c r="C61" i="14"/>
  <c r="C63" i="14"/>
  <c r="C68" i="14"/>
  <c r="C55" i="14"/>
  <c r="C70" i="14"/>
  <c r="C62" i="14"/>
  <c r="C69" i="14"/>
  <c r="C50" i="14"/>
  <c r="C56" i="14"/>
  <c r="C57" i="14"/>
  <c r="C51" i="14"/>
  <c r="F158" i="2" l="1"/>
  <c r="D79" i="2" s="1"/>
  <c r="G79" i="2" s="1"/>
  <c r="E55" i="14"/>
  <c r="F54" i="14"/>
  <c r="E56" i="14" l="1"/>
  <c r="F55" i="14"/>
  <c r="F79" i="2"/>
  <c r="E57" i="14" l="1"/>
  <c r="F56" i="14"/>
  <c r="E58" i="14" l="1"/>
  <c r="F57" i="14"/>
  <c r="E59" i="14" l="1"/>
  <c r="F58" i="14"/>
  <c r="L132" i="2"/>
  <c r="N132" i="2" s="1"/>
  <c r="N148" i="2"/>
  <c r="N149" i="2" s="1"/>
  <c r="N143" i="2"/>
  <c r="E60" i="14" l="1"/>
  <c r="F59" i="14"/>
  <c r="L131" i="2"/>
  <c r="N131" i="2" s="1"/>
  <c r="N133" i="2" s="1"/>
  <c r="H37" i="2"/>
  <c r="K145" i="2"/>
  <c r="G36" i="2" s="1"/>
  <c r="N144" i="2"/>
  <c r="N145" i="2" s="1"/>
  <c r="K133" i="2"/>
  <c r="G34" i="2" s="1"/>
  <c r="E61" i="14" l="1"/>
  <c r="F60" i="14"/>
  <c r="H36" i="2"/>
  <c r="H34" i="2"/>
  <c r="B44" i="2" s="1"/>
  <c r="B80" i="2" s="1"/>
  <c r="E80" i="2" l="1"/>
  <c r="E62" i="14"/>
  <c r="F61" i="14"/>
  <c r="B81" i="2"/>
  <c r="E81" i="2" l="1"/>
  <c r="F80" i="2"/>
  <c r="F81" i="2" s="1"/>
  <c r="G80" i="2"/>
  <c r="G81" i="2" s="1"/>
  <c r="C80" i="2"/>
  <c r="C81" i="2" s="1"/>
  <c r="D80" i="2"/>
  <c r="D81" i="2" s="1"/>
  <c r="E63" i="14"/>
  <c r="F62" i="14"/>
  <c r="F17" i="2" l="1"/>
  <c r="E10" i="20" s="1"/>
  <c r="E13" i="20" s="1"/>
  <c r="E17" i="2"/>
  <c r="G17" i="2"/>
  <c r="D10" i="20"/>
  <c r="E64" i="14"/>
  <c r="F63" i="14"/>
  <c r="F10" i="20" l="1"/>
  <c r="D13" i="20"/>
  <c r="E65" i="14"/>
  <c r="F64" i="14"/>
  <c r="E66" i="14" l="1"/>
  <c r="F65" i="14"/>
  <c r="E67" i="14" l="1"/>
  <c r="F66" i="14"/>
  <c r="E68" i="14" l="1"/>
  <c r="F67" i="14"/>
  <c r="E69" i="14" l="1"/>
  <c r="F68" i="14"/>
  <c r="E70" i="14" l="1"/>
  <c r="F69" i="14"/>
  <c r="E71" i="14" l="1"/>
  <c r="F70" i="14"/>
  <c r="E72" i="14" l="1"/>
  <c r="F71" i="14"/>
  <c r="E73" i="14" l="1"/>
  <c r="F73" i="14" s="1"/>
  <c r="F72" i="14"/>
  <c r="F13" i="20" l="1"/>
</calcChain>
</file>

<file path=xl/sharedStrings.xml><?xml version="1.0" encoding="utf-8"?>
<sst xmlns="http://schemas.openxmlformats.org/spreadsheetml/2006/main" count="1182" uniqueCount="514">
  <si>
    <t>Quantity</t>
  </si>
  <si>
    <t>Measure:</t>
  </si>
  <si>
    <t>Methodology</t>
  </si>
  <si>
    <t>Total</t>
  </si>
  <si>
    <t>MT</t>
  </si>
  <si>
    <t>TOTAL</t>
  </si>
  <si>
    <t>Charlo</t>
  </si>
  <si>
    <t>Natural Gas</t>
  </si>
  <si>
    <t>Fuel Oil</t>
  </si>
  <si>
    <t>Havre</t>
  </si>
  <si>
    <t>Hinsdale</t>
  </si>
  <si>
    <t>Livingston</t>
  </si>
  <si>
    <t>St. Regis</t>
  </si>
  <si>
    <t>Anaconda</t>
  </si>
  <si>
    <t>Montana</t>
  </si>
  <si>
    <t>SO2</t>
  </si>
  <si>
    <t>NOx</t>
  </si>
  <si>
    <t>NWPP</t>
  </si>
  <si>
    <t>Wind</t>
  </si>
  <si>
    <t>Solar</t>
  </si>
  <si>
    <t>Geography</t>
  </si>
  <si>
    <t>MW</t>
  </si>
  <si>
    <t>PM2.5</t>
  </si>
  <si>
    <t>VOCs</t>
  </si>
  <si>
    <t>ton/MWh</t>
  </si>
  <si>
    <t>References</t>
  </si>
  <si>
    <t>Energy Efficiency and Retrofit Projects: Existing Investment Grade Audits - Montana School Districts</t>
  </si>
  <si>
    <t>Solar PV Projects: AVERT Tool</t>
  </si>
  <si>
    <t>School District</t>
  </si>
  <si>
    <t>Climate</t>
  </si>
  <si>
    <r>
      <t>Total Building Area (ft</t>
    </r>
    <r>
      <rPr>
        <vertAlign val="superscript"/>
        <sz val="11"/>
        <color theme="1"/>
        <rFont val="Calibri"/>
        <family val="2"/>
        <scheme val="minor"/>
      </rPr>
      <t>2</t>
    </r>
    <r>
      <rPr>
        <sz val="11"/>
        <color theme="1"/>
        <rFont val="Calibri"/>
        <family val="2"/>
        <scheme val="minor"/>
      </rPr>
      <t>)</t>
    </r>
  </si>
  <si>
    <t>Fuel Type</t>
  </si>
  <si>
    <t>Lighting Upgrades</t>
  </si>
  <si>
    <t>HVAC Upgrades</t>
  </si>
  <si>
    <t>Weatherization Upgrades</t>
  </si>
  <si>
    <t>X</t>
  </si>
  <si>
    <t>Annual Energy Conserved (MMBtu)</t>
  </si>
  <si>
    <r>
      <t>Annual Emissions Reduction (MT CO</t>
    </r>
    <r>
      <rPr>
        <vertAlign val="subscript"/>
        <sz val="11"/>
        <color theme="1"/>
        <rFont val="Calibri"/>
        <family val="2"/>
        <scheme val="minor"/>
      </rPr>
      <t>2</t>
    </r>
    <r>
      <rPr>
        <sz val="11"/>
        <color theme="1"/>
        <rFont val="Calibri"/>
        <family val="2"/>
        <scheme val="minor"/>
      </rPr>
      <t>e)</t>
    </r>
  </si>
  <si>
    <t>Humid Continental Mild Summer, Wet All Year</t>
  </si>
  <si>
    <t>Cold Semi-Arid Climate</t>
  </si>
  <si>
    <t>Humid Continental Climate - Dry Cool Summer</t>
  </si>
  <si>
    <t>Northwest</t>
  </si>
  <si>
    <t>West</t>
  </si>
  <si>
    <t>Central</t>
  </si>
  <si>
    <t>North Central</t>
  </si>
  <si>
    <t>Northeast</t>
  </si>
  <si>
    <t>Steam boilers will be replaced with new condensing heating hot water (HHW) boilers. Retrofit or replace heating piping and terminal devices for use with HHW. Install a new energy management control system (EMCS) to provide automated direct digital control of the new HVAC systems.</t>
  </si>
  <si>
    <t>Install occupancy based vending machine controls.</t>
  </si>
  <si>
    <t>Install foam, sealants, and appropriate weather stripping materials to building envelopes.</t>
  </si>
  <si>
    <t>Total Project Cost</t>
  </si>
  <si>
    <t>Projected Annual Savings</t>
  </si>
  <si>
    <t>Electricty</t>
  </si>
  <si>
    <t>gal</t>
  </si>
  <si>
    <t>MMBtu</t>
  </si>
  <si>
    <t>https://www.eia.gov/environment/emissions/co2_vol_mass.php</t>
  </si>
  <si>
    <t>kg CO2 per MMBtu</t>
  </si>
  <si>
    <t>Lighting Upgrades:</t>
  </si>
  <si>
    <t>Interior and exterior lighting upgrades to LED technology. Either replaced or retrofitted.</t>
  </si>
  <si>
    <t>Weatherization:</t>
  </si>
  <si>
    <t>Vendingmisers:</t>
  </si>
  <si>
    <t>All projects generally utilize similar technology for the following ECMs</t>
  </si>
  <si>
    <t>Anaconda:</t>
  </si>
  <si>
    <t>Charlo:</t>
  </si>
  <si>
    <t>Install new Air Source Heat Pump with Electric Resistance heating in rooms.</t>
  </si>
  <si>
    <t>Energy Conservation and GHG Calculations</t>
  </si>
  <si>
    <t>Conversions/Factors</t>
  </si>
  <si>
    <t>btu/gal</t>
  </si>
  <si>
    <t>Fuel oil</t>
  </si>
  <si>
    <t>Propane</t>
  </si>
  <si>
    <t>Electricity</t>
  </si>
  <si>
    <t xml:space="preserve">lb CO2/MWh </t>
  </si>
  <si>
    <t>kWh</t>
  </si>
  <si>
    <t>btu per kWh</t>
  </si>
  <si>
    <t>Annual Energy Savings</t>
  </si>
  <si>
    <t>Annual GHG Savings</t>
  </si>
  <si>
    <t>therms</t>
  </si>
  <si>
    <t>MMBtu per therm</t>
  </si>
  <si>
    <t>Natural gas</t>
  </si>
  <si>
    <t>Solar PV</t>
  </si>
  <si>
    <t>Fuel Oil &amp; Propane</t>
  </si>
  <si>
    <t>Retro-commissioning:</t>
  </si>
  <si>
    <t>Modify scheduling, setpoints, and operation of HVAC equipment to efficiently provide heating and ventilation to all spaces, while avoiding wasteful energy expenditures.</t>
  </si>
  <si>
    <t>HVAC upgrade projects differ greatly depending on fuel type and local electricy costs.</t>
  </si>
  <si>
    <t>EV Charging</t>
  </si>
  <si>
    <t>Notes:</t>
  </si>
  <si>
    <t>reference: eGrid</t>
  </si>
  <si>
    <t>reference: AVERT</t>
  </si>
  <si>
    <t>Hinsdale:</t>
  </si>
  <si>
    <t>Approx. Student Population</t>
  </si>
  <si>
    <r>
      <t>X</t>
    </r>
    <r>
      <rPr>
        <vertAlign val="superscript"/>
        <sz val="11"/>
        <color theme="1"/>
        <rFont val="Calibri"/>
        <family val="2"/>
        <scheme val="minor"/>
      </rPr>
      <t>a</t>
    </r>
  </si>
  <si>
    <t>(a) Havre energy conserved (mmbtu) and emissions reductions do not include utilization of EV charger.</t>
  </si>
  <si>
    <t>IGA Results Summary</t>
  </si>
  <si>
    <r>
      <t>Emissions Reduction 2025 - 2030</t>
    </r>
    <r>
      <rPr>
        <vertAlign val="superscript"/>
        <sz val="11"/>
        <color theme="1"/>
        <rFont val="Calibri"/>
        <family val="2"/>
        <scheme val="minor"/>
      </rPr>
      <t>a</t>
    </r>
    <r>
      <rPr>
        <sz val="11"/>
        <color theme="1"/>
        <rFont val="Calibri"/>
        <family val="2"/>
        <scheme val="minor"/>
      </rPr>
      <t xml:space="preserve"> (MT CO</t>
    </r>
    <r>
      <rPr>
        <vertAlign val="subscript"/>
        <sz val="11"/>
        <color theme="1"/>
        <rFont val="Calibri"/>
        <family val="2"/>
        <scheme val="minor"/>
      </rPr>
      <t>2</t>
    </r>
    <r>
      <rPr>
        <sz val="11"/>
        <color theme="1"/>
        <rFont val="Calibri"/>
        <family val="2"/>
        <scheme val="minor"/>
      </rPr>
      <t>e)</t>
    </r>
  </si>
  <si>
    <t>Solar PV Systems</t>
  </si>
  <si>
    <t>50-kW System Count</t>
  </si>
  <si>
    <t>Total kW</t>
  </si>
  <si>
    <t>Total MW</t>
  </si>
  <si>
    <t>Quantified using EPA AVERT Tool</t>
  </si>
  <si>
    <t>Region: Montana; Distributed (rooftop) solar PV; Power Sector Only</t>
  </si>
  <si>
    <r>
      <t>Emissions Reduction 2025 - 2030</t>
    </r>
    <r>
      <rPr>
        <vertAlign val="superscript"/>
        <sz val="11"/>
        <color theme="1"/>
        <rFont val="Calibri"/>
        <family val="2"/>
        <scheme val="minor"/>
      </rPr>
      <t>a</t>
    </r>
    <r>
      <rPr>
        <sz val="11"/>
        <color theme="1"/>
        <rFont val="Calibri"/>
        <family val="2"/>
        <scheme val="minor"/>
      </rPr>
      <t xml:space="preserve"> 
(MT CO</t>
    </r>
    <r>
      <rPr>
        <vertAlign val="subscript"/>
        <sz val="11"/>
        <color theme="1"/>
        <rFont val="Calibri"/>
        <family val="2"/>
        <scheme val="minor"/>
      </rPr>
      <t>2</t>
    </r>
    <r>
      <rPr>
        <sz val="11"/>
        <color theme="1"/>
        <rFont val="Calibri"/>
        <family val="2"/>
        <scheme val="minor"/>
      </rPr>
      <t>e)</t>
    </r>
  </si>
  <si>
    <t>School Buses</t>
  </si>
  <si>
    <t>Transit Buses</t>
  </si>
  <si>
    <t>Vehicle Type</t>
  </si>
  <si>
    <t>Argonne National Lab - Alternative fuel Life-Cycle Environmental and Economic Transportation (AFLEET) Tool</t>
  </si>
  <si>
    <t>https://afleet.es.anl.gov/home/</t>
  </si>
  <si>
    <t>Vehicle Mileage (mi/year)</t>
  </si>
  <si>
    <t>Replacement Type</t>
  </si>
  <si>
    <t>EV</t>
  </si>
  <si>
    <t>Defaults selected for vehicle mileage and fuel economy.</t>
  </si>
  <si>
    <t>Existing Fuel Type</t>
  </si>
  <si>
    <t>Diesel</t>
  </si>
  <si>
    <t>Refuse Truck</t>
  </si>
  <si>
    <t>GHG Reduction by Vehicle Type</t>
  </si>
  <si>
    <t>--</t>
  </si>
  <si>
    <t>Annual CO2 Reduction
(MT/year)</t>
  </si>
  <si>
    <t>Priority Measure</t>
  </si>
  <si>
    <t>Cumulative GHG Emission Reductions</t>
  </si>
  <si>
    <t>By 2030</t>
  </si>
  <si>
    <t>By 2050</t>
  </si>
  <si>
    <r>
      <t>Emissions Reduction 2025 - 2050</t>
    </r>
    <r>
      <rPr>
        <vertAlign val="superscript"/>
        <sz val="11"/>
        <color theme="1"/>
        <rFont val="Calibri"/>
        <family val="2"/>
        <scheme val="minor"/>
      </rPr>
      <t>a</t>
    </r>
    <r>
      <rPr>
        <sz val="11"/>
        <color theme="1"/>
        <rFont val="Calibri"/>
        <family val="2"/>
        <scheme val="minor"/>
      </rPr>
      <t xml:space="preserve"> (MT CO</t>
    </r>
    <r>
      <rPr>
        <vertAlign val="subscript"/>
        <sz val="11"/>
        <color theme="1"/>
        <rFont val="Calibri"/>
        <family val="2"/>
        <scheme val="minor"/>
      </rPr>
      <t>2</t>
    </r>
    <r>
      <rPr>
        <sz val="11"/>
        <color theme="1"/>
        <rFont val="Calibri"/>
        <family val="2"/>
        <scheme val="minor"/>
      </rPr>
      <t>e)</t>
    </r>
  </si>
  <si>
    <t>Tools: Investment Grade Audits for MT Schools; EPA AVERT Tool</t>
  </si>
  <si>
    <r>
      <t>Annual GHG Reduction per Quantity
(MT CO</t>
    </r>
    <r>
      <rPr>
        <vertAlign val="subscript"/>
        <sz val="11"/>
        <color theme="1"/>
        <rFont val="Calibri"/>
        <family val="2"/>
        <scheme val="minor"/>
      </rPr>
      <t>2</t>
    </r>
    <r>
      <rPr>
        <sz val="11"/>
        <color theme="1"/>
        <rFont val="Calibri"/>
        <family val="2"/>
        <scheme val="minor"/>
      </rPr>
      <t>e)</t>
    </r>
  </si>
  <si>
    <t>Year</t>
  </si>
  <si>
    <t>Investment and Improvement in Electric Grid Technology</t>
  </si>
  <si>
    <t>Solar PV Degradation</t>
  </si>
  <si>
    <t>avg per year</t>
  </si>
  <si>
    <t>https://www.nrel.gov/docs/fy12osti/51664.pdf</t>
  </si>
  <si>
    <t>Baseline</t>
  </si>
  <si>
    <t>Switcher Locomotive Engine</t>
  </si>
  <si>
    <t>full name</t>
  </si>
  <si>
    <t>api key</t>
  </si>
  <si>
    <t>units</t>
  </si>
  <si>
    <t>MISW</t>
  </si>
  <si>
    <t>Total Electricity Generation</t>
  </si>
  <si>
    <t>Electricity: Total Electricity Generation</t>
  </si>
  <si>
    <t>BkWh</t>
  </si>
  <si>
    <t>Reference case</t>
  </si>
  <si>
    <t>Electricity: Total Electricity Generation: Reference case</t>
  </si>
  <si>
    <t>AEO.2023.REF2023.GEN_NA_NA_NA_NA_NA_MCW_BLNKWH.A</t>
  </si>
  <si>
    <t>No Inflation Reduction Act</t>
  </si>
  <si>
    <t>Electricity: Total Electricity Generation: No Inflation Reduction Act</t>
  </si>
  <si>
    <t>AEO.2023.NOIRA.GEN_NA_NA_NA_NA_NA_MCW_BLNKWH.A</t>
  </si>
  <si>
    <t>High Uptake of Inflation Reduction Act</t>
  </si>
  <si>
    <t>Electricity: Total Electricity Generation: High Uptake of Inflation Reduction Act</t>
  </si>
  <si>
    <t>AEO.2023.HIGHUPIRA.GEN_NA_NA_NA_NA_NA_MCW_BLNKWH.A</t>
  </si>
  <si>
    <t>Low Uptake of Inflation Reduction Act</t>
  </si>
  <si>
    <t>Electricity: Total Electricity Generation: Low Uptake of Inflation Reduction Act</t>
  </si>
  <si>
    <t>AEO.2023.LOWUPIRA.GEN_NA_NA_NA_NA_NA_MCW_BLNKWH.A</t>
  </si>
  <si>
    <t>Carbon Dioxide (million short tons)</t>
  </si>
  <si>
    <t>Electricity: Emissions: Carbon Dioxide</t>
  </si>
  <si>
    <t>MMst</t>
  </si>
  <si>
    <t>Electricity: Emissions: Carbon Dioxide: Reference case</t>
  </si>
  <si>
    <t>AEO.2023.REF2023.EMI_CO2_ELEP_NA_NA_NA_MCW_MILLTON.A</t>
  </si>
  <si>
    <t>Electricity: Emissions: Carbon Dioxide: No Inflation Reduction Act</t>
  </si>
  <si>
    <t>AEO.2023.NOIRA.EMI_CO2_ELEP_NA_NA_NA_MCW_MILLTON.A</t>
  </si>
  <si>
    <t>Electricity: Emissions: Carbon Dioxide: High Uptake of Inflation Reduction Act</t>
  </si>
  <si>
    <t>AEO.2023.HIGHUPIRA.EMI_CO2_ELEP_NA_NA_NA_MCW_MILLTON.A</t>
  </si>
  <si>
    <t>Electricity: Emissions: Carbon Dioxide: Low Uptake of Inflation Reduction Act</t>
  </si>
  <si>
    <t>AEO.2023.LOWUPIRA.EMI_CO2_ELEP_NA_NA_NA_MCW_MILLTON.A</t>
  </si>
  <si>
    <t>CI (MMst/BkWh)</t>
  </si>
  <si>
    <t>CI (% of 2025)</t>
  </si>
  <si>
    <t>AEO.2023.REF2023.GEN_NA_NA_NA_NA_NA_WENWPP_BLNKWH.A</t>
  </si>
  <si>
    <t>AEO.2023.NOIRA.GEN_NA_NA_NA_NA_NA_WENWPP_BLNKWH.A</t>
  </si>
  <si>
    <t>AEO.2023.HIGHUPIRA.GEN_NA_NA_NA_NA_NA_WENWPP_BLNKWH.A</t>
  </si>
  <si>
    <t>AEO.2023.LOWUPIRA.GEN_NA_NA_NA_NA_NA_WENWPP_BLNKWH.A</t>
  </si>
  <si>
    <t>AEO.2023.REF2023.EMI_CO2_ELEP_NA_NA_NA_WENWPP_MILLTON.A</t>
  </si>
  <si>
    <t>AEO.2023.NOIRA.EMI_CO2_ELEP_NA_NA_NA_WENWPP_MILLTON.A</t>
  </si>
  <si>
    <t>AEO.2023.HIGHUPIRA.EMI_CO2_ELEP_NA_NA_NA_WENWPP_MILLTON.A</t>
  </si>
  <si>
    <t>AEO.2023.LOWUPIRA.EMI_CO2_ELEP_NA_NA_NA_WENWPP_MILLTON.A</t>
  </si>
  <si>
    <t>SPPN</t>
  </si>
  <si>
    <t>AEO.2023.REF2023.GEN_NA_NA_NA_NA_NA_SWPPNO_BLNKWH.A</t>
  </si>
  <si>
    <t>AEO.2023.NOIRA.GEN_NA_NA_NA_NA_NA_SWPPNO_BLNKWH.A</t>
  </si>
  <si>
    <t>AEO.2023.HIGHUPIRA.GEN_NA_NA_NA_NA_NA_SWPPNO_BLNKWH.A</t>
  </si>
  <si>
    <t>AEO.2023.LOWUPIRA.GEN_NA_NA_NA_NA_NA_SWPPNO_BLNKWH.A</t>
  </si>
  <si>
    <t>AEO.2023.REF2023.EMI_CO2_ELEP_NA_NA_NA_SWPPNO_MILLTON.A</t>
  </si>
  <si>
    <t>AEO.2023.NOIRA.EMI_CO2_ELEP_NA_NA_NA_SWPPNO_MILLTON.A</t>
  </si>
  <si>
    <t>AEO.2023.HIGHUPIRA.EMI_CO2_ELEP_NA_NA_NA_SWPPNO_MILLTON.A</t>
  </si>
  <si>
    <t>AEO.2023.LOWUPIRA.EMI_CO2_ELEP_NA_NA_NA_SWPPNO_MILLTON.A</t>
  </si>
  <si>
    <t>COMBINED</t>
  </si>
  <si>
    <t>IRA Reference Case</t>
  </si>
  <si>
    <t>Total Electricity Generation (BkWh)</t>
  </si>
  <si>
    <r>
      <t>CO</t>
    </r>
    <r>
      <rPr>
        <vertAlign val="subscript"/>
        <sz val="11"/>
        <color theme="1"/>
        <rFont val="Calibri"/>
        <family val="2"/>
        <scheme val="minor"/>
      </rPr>
      <t>2</t>
    </r>
    <r>
      <rPr>
        <sz val="11"/>
        <color theme="1"/>
        <rFont val="Calibri"/>
        <family val="2"/>
        <scheme val="minor"/>
      </rPr>
      <t xml:space="preserve">
(MMst)</t>
    </r>
  </si>
  <si>
    <r>
      <t>CI
(MMst CO</t>
    </r>
    <r>
      <rPr>
        <vertAlign val="subscript"/>
        <sz val="11"/>
        <color theme="1"/>
        <rFont val="Calibri"/>
        <family val="2"/>
        <scheme val="minor"/>
      </rPr>
      <t>2</t>
    </r>
    <r>
      <rPr>
        <sz val="11"/>
        <color theme="1"/>
        <rFont val="Calibri"/>
        <family val="2"/>
        <scheme val="minor"/>
      </rPr>
      <t xml:space="preserve"> per BkWH)</t>
    </r>
  </si>
  <si>
    <t>CI
% of 2025</t>
  </si>
  <si>
    <t>short tons</t>
  </si>
  <si>
    <t>Clean Transport - Annual GHG per EV (CO2e/yr)</t>
  </si>
  <si>
    <t>100 MW</t>
  </si>
  <si>
    <t>Utility-Scale</t>
  </si>
  <si>
    <t>Wind Degradation</t>
  </si>
  <si>
    <t>Montana Climate Pollution Reduction Grant</t>
  </si>
  <si>
    <t>Implementation Grant Application</t>
  </si>
  <si>
    <t>Measure</t>
  </si>
  <si>
    <t>Peak Annual Demand</t>
  </si>
  <si>
    <t>Total Annual Demand</t>
  </si>
  <si>
    <t>kW total</t>
  </si>
  <si>
    <t>kW max</t>
  </si>
  <si>
    <t>Annual Consumption</t>
  </si>
  <si>
    <t>kW</t>
  </si>
  <si>
    <t>Subtotal</t>
  </si>
  <si>
    <t>Fuel Type In Addition to Electricity</t>
  </si>
  <si>
    <t>Calculated in IGA</t>
  </si>
  <si>
    <r>
      <t>kg CO</t>
    </r>
    <r>
      <rPr>
        <b/>
        <vertAlign val="subscript"/>
        <sz val="11"/>
        <color theme="1"/>
        <rFont val="Calibri"/>
        <family val="2"/>
        <scheme val="minor"/>
      </rPr>
      <t>2</t>
    </r>
  </si>
  <si>
    <r>
      <t>lb CO</t>
    </r>
    <r>
      <rPr>
        <b/>
        <vertAlign val="subscript"/>
        <sz val="11"/>
        <color theme="1"/>
        <rFont val="Calibri"/>
        <family val="2"/>
        <scheme val="minor"/>
      </rPr>
      <t>2</t>
    </r>
  </si>
  <si>
    <r>
      <t>MT CO</t>
    </r>
    <r>
      <rPr>
        <b/>
        <vertAlign val="subscript"/>
        <sz val="11"/>
        <color theme="1"/>
        <rFont val="Calibri"/>
        <family val="2"/>
        <scheme val="minor"/>
      </rPr>
      <t>2</t>
    </r>
  </si>
  <si>
    <r>
      <t>Annual Emissions Reduction
(MT CO</t>
    </r>
    <r>
      <rPr>
        <vertAlign val="subscript"/>
        <sz val="11"/>
        <color theme="1"/>
        <rFont val="Calibri"/>
        <family val="2"/>
        <scheme val="minor"/>
      </rPr>
      <t>2</t>
    </r>
    <r>
      <rPr>
        <sz val="11"/>
        <color theme="1"/>
        <rFont val="Calibri"/>
        <family val="2"/>
        <scheme val="minor"/>
      </rPr>
      <t>e)</t>
    </r>
  </si>
  <si>
    <t>CPRG Measure Allocation of Funds</t>
  </si>
  <si>
    <t>Match Requirement for Schools</t>
  </si>
  <si>
    <t>LIDAC</t>
  </si>
  <si>
    <t>Recipient</t>
  </si>
  <si>
    <t>Any</t>
  </si>
  <si>
    <t>A match will be required for the recipient. 40% of the funding will be allocated to schools in LIDAC communities or that serve LIDAC student populations. These recipients will be required a 5% match for funding. The remaining 60% of funds will be available for any recipient and will require a match up to 25%.</t>
  </si>
  <si>
    <t>IGA Energy Conservation Measure List and Estimated Reduction</t>
  </si>
  <si>
    <t>Total Capital Cost and Emissions Reduction for IGA Project Aggregation</t>
  </si>
  <si>
    <t>Funds Granted to Schools</t>
  </si>
  <si>
    <t>Required Match</t>
  </si>
  <si>
    <t>Energy Conservation Measures Evaluated from IGAs</t>
  </si>
  <si>
    <t>IGA Baseline and Estimated Savings Summary by Fuel Type</t>
  </si>
  <si>
    <t>Used to represent non-BPA service regions of Montana</t>
  </si>
  <si>
    <t>Used to represent BPA service region</t>
  </si>
  <si>
    <t>Requested Funds</t>
  </si>
  <si>
    <r>
      <t>Annual
(MT CO</t>
    </r>
    <r>
      <rPr>
        <b/>
        <vertAlign val="subscript"/>
        <sz val="11"/>
        <color theme="1"/>
        <rFont val="Calibri"/>
        <family val="2"/>
        <scheme val="minor"/>
      </rPr>
      <t>2</t>
    </r>
    <r>
      <rPr>
        <b/>
        <sz val="11"/>
        <color theme="1"/>
        <rFont val="Calibri"/>
        <family val="2"/>
        <scheme val="minor"/>
      </rPr>
      <t>e)</t>
    </r>
  </si>
  <si>
    <t>(a) Emissions reduction for 2025 - 2030 and 2025 - 2050 accounts the first year of construction and commissioning. Therefore, 4 years of emissions reduction through 2030 and 20-years of reduction through 2050. An average service life of 20-years is applied to the ECMs. Boilers generally have a service life of 15-years but often operate for years afterwards. LED lighting can operate for 20-30 years based on the distribution of total runtime.</t>
  </si>
  <si>
    <r>
      <t>By 2030
(MT CO</t>
    </r>
    <r>
      <rPr>
        <b/>
        <vertAlign val="subscript"/>
        <sz val="11"/>
        <color theme="1"/>
        <rFont val="Calibri"/>
        <family val="2"/>
        <scheme val="minor"/>
      </rPr>
      <t>2</t>
    </r>
    <r>
      <rPr>
        <b/>
        <sz val="11"/>
        <color theme="1"/>
        <rFont val="Calibri"/>
        <family val="2"/>
        <scheme val="minor"/>
      </rPr>
      <t>e)</t>
    </r>
  </si>
  <si>
    <r>
      <t>By 2050
(MT CO</t>
    </r>
    <r>
      <rPr>
        <b/>
        <vertAlign val="subscript"/>
        <sz val="11"/>
        <color theme="1"/>
        <rFont val="Calibri"/>
        <family val="2"/>
        <scheme val="minor"/>
      </rPr>
      <t>2</t>
    </r>
    <r>
      <rPr>
        <b/>
        <sz val="11"/>
        <color theme="1"/>
        <rFont val="Calibri"/>
        <family val="2"/>
        <scheme val="minor"/>
      </rPr>
      <t>e)</t>
    </r>
  </si>
  <si>
    <t>Emissions Reduction - Total Funds</t>
  </si>
  <si>
    <t xml:space="preserve">CPRG Funding </t>
  </si>
  <si>
    <t>Greenhouse Gas Emissions Calculations</t>
  </si>
  <si>
    <t>Pollutant</t>
  </si>
  <si>
    <t>PM10</t>
  </si>
  <si>
    <t>CO</t>
  </si>
  <si>
    <t>VOC</t>
  </si>
  <si>
    <t>Pb</t>
  </si>
  <si>
    <r>
      <t>Emission Factor
(lb/10</t>
    </r>
    <r>
      <rPr>
        <vertAlign val="superscript"/>
        <sz val="11"/>
        <color theme="1"/>
        <rFont val="Calibri"/>
        <family val="2"/>
        <scheme val="minor"/>
      </rPr>
      <t>6</t>
    </r>
    <r>
      <rPr>
        <sz val="11"/>
        <color theme="1"/>
        <rFont val="Calibri"/>
        <family val="2"/>
        <scheme val="minor"/>
      </rPr>
      <t xml:space="preserve"> scf)</t>
    </r>
  </si>
  <si>
    <t>Inputs</t>
  </si>
  <si>
    <t>Total Natural Gas Conserved</t>
  </si>
  <si>
    <t>Total Propane Conserved</t>
  </si>
  <si>
    <t>Total Fuel Oil Conserved</t>
  </si>
  <si>
    <t>Total Electricity Conserved, Non-BPA Region</t>
  </si>
  <si>
    <t>Total Electricity Conserved, BPA Region</t>
  </si>
  <si>
    <r>
      <t>MMBtu per 10</t>
    </r>
    <r>
      <rPr>
        <vertAlign val="superscript"/>
        <sz val="11"/>
        <color theme="1"/>
        <rFont val="Calibri"/>
        <family val="2"/>
        <scheme val="minor"/>
      </rPr>
      <t>6</t>
    </r>
    <r>
      <rPr>
        <sz val="11"/>
        <color theme="1"/>
        <rFont val="Calibri"/>
        <family val="2"/>
        <scheme val="minor"/>
      </rPr>
      <t xml:space="preserve"> scf</t>
    </r>
  </si>
  <si>
    <t>Emissions Reduced
(lb/yr)</t>
  </si>
  <si>
    <t>Hazardous Air Pollutants</t>
  </si>
  <si>
    <t>2-Methylnaphthalene</t>
  </si>
  <si>
    <t>3-Methylcholanthrene</t>
  </si>
  <si>
    <t>Acenaphthene</t>
  </si>
  <si>
    <t>CAS Nbr.</t>
  </si>
  <si>
    <t>Emission Factor (lb/mmscf)</t>
  </si>
  <si>
    <t>Arsenic</t>
  </si>
  <si>
    <t>Benzene</t>
  </si>
  <si>
    <t>Beryllium</t>
  </si>
  <si>
    <t>Cadmium</t>
  </si>
  <si>
    <t>Chromium</t>
  </si>
  <si>
    <t>Cobalt</t>
  </si>
  <si>
    <t>Formaldehyde</t>
  </si>
  <si>
    <t>Hexane</t>
  </si>
  <si>
    <t>Manganese</t>
  </si>
  <si>
    <t>Mercury</t>
  </si>
  <si>
    <t>Naphthalene</t>
  </si>
  <si>
    <t>Nickel</t>
  </si>
  <si>
    <t>Selenium</t>
  </si>
  <si>
    <t>Toluene</t>
  </si>
  <si>
    <t>Polyaromatic Hydrocarbons (except 7-PAH group)</t>
  </si>
  <si>
    <t>7,12-Dimethylbenz(a)anthracene</t>
  </si>
  <si>
    <t>Acenaphthylene</t>
  </si>
  <si>
    <t>Anthracene</t>
  </si>
  <si>
    <t>Benzo(g,h,i)perylene</t>
  </si>
  <si>
    <t>Fluoranthene</t>
  </si>
  <si>
    <t>Fluorene</t>
  </si>
  <si>
    <t>Phenanathrene</t>
  </si>
  <si>
    <t>Pyrene</t>
  </si>
  <si>
    <t>Polycyclic Organic Matter or 7-PAH group</t>
  </si>
  <si>
    <t>Sum of the following:</t>
  </si>
  <si>
    <t>Benzo(a)anthracene</t>
  </si>
  <si>
    <t>Benzo(b)fluoranthene</t>
  </si>
  <si>
    <t>Benzo(k)fluoranthene</t>
  </si>
  <si>
    <t>Dibenzo(a,h)anthracene</t>
  </si>
  <si>
    <t>Chrysene</t>
  </si>
  <si>
    <t>Indenol(1,2,3-cd)pyrene</t>
  </si>
  <si>
    <t>Benzo(a)pyrene</t>
  </si>
  <si>
    <t>Dichlorobenzene</t>
  </si>
  <si>
    <t>Total HAPS</t>
  </si>
  <si>
    <t>(12) 50 kW Systems</t>
  </si>
  <si>
    <t>The majority utility in Montana provides a net metering opportunity for solar PV systems that are 50-kW or less. Therefore, this analysis considers the measure providing an opportunity to install (12) 50-kW solar PV systems at various Montana school districts.</t>
  </si>
  <si>
    <t>Cost for Solar PV</t>
  </si>
  <si>
    <t>System Size</t>
  </si>
  <si>
    <t>Total System Size</t>
  </si>
  <si>
    <t>count</t>
  </si>
  <si>
    <t>Cost for all Systems</t>
  </si>
  <si>
    <t>Third Party Implementation</t>
  </si>
  <si>
    <t>ECMs</t>
  </si>
  <si>
    <t>Annual Emissions Reduced
(lb/yr)</t>
  </si>
  <si>
    <t>Emissions Reduced 2025 - 2030
(lbs)</t>
  </si>
  <si>
    <r>
      <t>Emission Factor
(lb/10</t>
    </r>
    <r>
      <rPr>
        <vertAlign val="superscript"/>
        <sz val="11"/>
        <color theme="1"/>
        <rFont val="Calibri"/>
        <family val="2"/>
        <scheme val="minor"/>
      </rPr>
      <t>3</t>
    </r>
    <r>
      <rPr>
        <sz val="11"/>
        <color theme="1"/>
        <rFont val="Calibri"/>
        <family val="2"/>
        <scheme val="minor"/>
      </rPr>
      <t xml:space="preserve"> gal)</t>
    </r>
  </si>
  <si>
    <t>NOx and CO emission factors for small boilers (&lt;100 MMBtu/hr)</t>
  </si>
  <si>
    <t>per watt (based on recent solar projects funded through Montana Energy Bureau at MDEQ)</t>
  </si>
  <si>
    <t>Number of System Installs</t>
  </si>
  <si>
    <t>Funds for Solar</t>
  </si>
  <si>
    <t>Funds for Energy Efficiency</t>
  </si>
  <si>
    <t>Emissions Reduction - CPRG Funds Only</t>
  </si>
  <si>
    <t>(a) Emissions reductions for 2025 - 2030 and 2025 - 2050 account for 0.5% Solar PV degredation per year.</t>
  </si>
  <si>
    <r>
      <rPr>
        <u/>
        <sz val="11"/>
        <color theme="1"/>
        <rFont val="Calibri"/>
        <family val="2"/>
      </rPr>
      <t>School Energy Performance Incentives</t>
    </r>
    <r>
      <rPr>
        <sz val="11"/>
        <color theme="1"/>
        <rFont val="Calibri"/>
        <family val="2"/>
      </rPr>
      <t xml:space="preserve">
(12) Schools at $25M invested with (1) 50-kW Solar PV install per school</t>
    </r>
  </si>
  <si>
    <r>
      <t>(MMT CO</t>
    </r>
    <r>
      <rPr>
        <b/>
        <vertAlign val="subscript"/>
        <sz val="11"/>
        <rFont val="Calibri"/>
        <family val="2"/>
      </rPr>
      <t>2</t>
    </r>
    <r>
      <rPr>
        <b/>
        <sz val="11"/>
        <rFont val="Calibri"/>
        <family val="2"/>
      </rPr>
      <t>e)</t>
    </r>
  </si>
  <si>
    <t>Summary of GHG Emissions Reductions</t>
  </si>
  <si>
    <r>
      <t>Natural Gas</t>
    </r>
    <r>
      <rPr>
        <vertAlign val="superscript"/>
        <sz val="11"/>
        <color theme="1"/>
        <rFont val="Calibri"/>
        <family val="2"/>
        <scheme val="minor"/>
      </rPr>
      <t>a</t>
    </r>
  </si>
  <si>
    <t>a) Emission factors from AP-42 Ch. 1.4 Natural Gas Combustion</t>
  </si>
  <si>
    <r>
      <t>Propane (LPG)</t>
    </r>
    <r>
      <rPr>
        <vertAlign val="superscript"/>
        <sz val="11"/>
        <color theme="1"/>
        <rFont val="Calibri"/>
        <family val="2"/>
        <scheme val="minor"/>
      </rPr>
      <t>b</t>
    </r>
  </si>
  <si>
    <r>
      <t>Fuel Oil No.2</t>
    </r>
    <r>
      <rPr>
        <vertAlign val="superscript"/>
        <sz val="11"/>
        <color theme="1"/>
        <rFont val="Calibri"/>
        <family val="2"/>
        <scheme val="minor"/>
      </rPr>
      <t>c</t>
    </r>
  </si>
  <si>
    <t>Criteria Pollutant Reductions</t>
  </si>
  <si>
    <t>c) Emission factors from AP-42 Ch. 1.3 Fuel Oil Combustion</t>
  </si>
  <si>
    <t>b) Emission factors from AP-42 Ch. 1.5 Liquefied Petroleum Gas Combustion in Commercial Boilers</t>
  </si>
  <si>
    <t>Emissions Reduced
(ton/yr)</t>
  </si>
  <si>
    <t>GHG Emissions Reduction</t>
  </si>
  <si>
    <t>CPRG Funds % of Total</t>
  </si>
  <si>
    <r>
      <t>Emissions Reduction 2025 - 2050</t>
    </r>
    <r>
      <rPr>
        <vertAlign val="superscript"/>
        <sz val="11"/>
        <color theme="1"/>
        <rFont val="Calibri"/>
        <family val="2"/>
        <scheme val="minor"/>
      </rPr>
      <t>a</t>
    </r>
    <r>
      <rPr>
        <sz val="11"/>
        <color theme="1"/>
        <rFont val="Calibri"/>
        <family val="2"/>
        <scheme val="minor"/>
      </rPr>
      <t xml:space="preserve"> 
(MT CO</t>
    </r>
    <r>
      <rPr>
        <vertAlign val="subscript"/>
        <sz val="11"/>
        <color theme="1"/>
        <rFont val="Calibri"/>
        <family val="2"/>
        <scheme val="minor"/>
      </rPr>
      <t>2</t>
    </r>
    <r>
      <rPr>
        <sz val="11"/>
        <color theme="1"/>
        <rFont val="Calibri"/>
        <family val="2"/>
        <scheme val="minor"/>
      </rPr>
      <t>e)</t>
    </r>
  </si>
  <si>
    <t>(b) Implementation schedule considers design and construction in 2025, 50% operation by 2026, and additional 50% operation by 2027</t>
  </si>
  <si>
    <t>(12) Projects total at ~$2 Million each including 50 kW Solar PV Array. Calculations assume the following implementation schedule:
Year 1: Program Solicitation, Audits, Design
Year 2: (6) Projects completed
Year 3: (6) Projects completed</t>
  </si>
  <si>
    <t>CPRG Allocated Funds</t>
  </si>
  <si>
    <t>Total Funds for Retrofits</t>
  </si>
  <si>
    <t>Retrofits (CPRG + Match)</t>
  </si>
  <si>
    <t>Reference: eGrid</t>
  </si>
  <si>
    <t>Reference: AVERT</t>
  </si>
  <si>
    <t>Condensing boiler with a dedicated outdoor air system (DOAS) along with a complete replacement of the existing mechanical system since it is currently inefficient and not delivering adequate ventilation to each space.</t>
  </si>
  <si>
    <r>
      <t>PM</t>
    </r>
    <r>
      <rPr>
        <vertAlign val="subscript"/>
        <sz val="11"/>
        <color theme="1"/>
        <rFont val="Calibri"/>
        <family val="2"/>
        <scheme val="minor"/>
      </rPr>
      <t>2.5</t>
    </r>
  </si>
  <si>
    <t>WECC
(lb/MWh)</t>
  </si>
  <si>
    <t>Montana
(lb/MWh)</t>
  </si>
  <si>
    <r>
      <t>Grid Electricity</t>
    </r>
    <r>
      <rPr>
        <vertAlign val="superscript"/>
        <sz val="11"/>
        <color theme="1"/>
        <rFont val="Calibri"/>
        <family val="2"/>
        <scheme val="minor"/>
      </rPr>
      <t>d</t>
    </r>
  </si>
  <si>
    <t>kWh to MWh</t>
  </si>
  <si>
    <r>
      <t>PM</t>
    </r>
    <r>
      <rPr>
        <vertAlign val="subscript"/>
        <sz val="11"/>
        <color theme="1"/>
        <rFont val="Calibri"/>
        <family val="2"/>
        <scheme val="minor"/>
      </rPr>
      <t>10</t>
    </r>
  </si>
  <si>
    <t>d) Emission factors from eGrid and AVERT. eGrid factors for the WECC Northwest Region only available for PM2.5, NOx, and SO2. WECC NW Region is used to represent electricity generation emissions for BPA-region consumers.</t>
  </si>
  <si>
    <t>AVERT emission rates represent Central, Northwest, and Rocky Mountain Regions dues to changes in Montana so they are more representative of emissions from power generation servicing the entire state. They are used for non-BPA region consumers and to supplement the WECC column where pollutants were not provided from eGrid.</t>
  </si>
  <si>
    <t>By 2030
(tons)</t>
  </si>
  <si>
    <t>Neither AVERT or eGrid provides an emission factor for CO, so emissions were factored from VOC emission rates.</t>
  </si>
  <si>
    <r>
      <t>Emission Factor
(lb/10</t>
    </r>
    <r>
      <rPr>
        <vertAlign val="superscript"/>
        <sz val="11"/>
        <color theme="1"/>
        <rFont val="Calibri"/>
        <family val="2"/>
        <scheme val="minor"/>
      </rPr>
      <t>3</t>
    </r>
    <r>
      <rPr>
        <sz val="11"/>
        <color theme="1"/>
        <rFont val="Calibri"/>
        <family val="2"/>
        <scheme val="minor"/>
      </rPr>
      <t xml:space="preserve"> Gal)</t>
    </r>
  </si>
  <si>
    <t>o-Xylene</t>
  </si>
  <si>
    <t>Energy Efficiency and Retrofit Projects: U.S. EPA AP-42 Compilation of Air Emissions Factors from Stationary Sources</t>
  </si>
  <si>
    <t>HAPs</t>
  </si>
  <si>
    <r>
      <t>PM</t>
    </r>
    <r>
      <rPr>
        <b/>
        <vertAlign val="subscript"/>
        <sz val="11"/>
        <rFont val="Calibri"/>
        <family val="2"/>
      </rPr>
      <t>10</t>
    </r>
  </si>
  <si>
    <r>
      <t>PM</t>
    </r>
    <r>
      <rPr>
        <b/>
        <vertAlign val="subscript"/>
        <sz val="11"/>
        <rFont val="Calibri"/>
        <family val="2"/>
      </rPr>
      <t>2.5</t>
    </r>
  </si>
  <si>
    <r>
      <t>SO</t>
    </r>
    <r>
      <rPr>
        <b/>
        <vertAlign val="subscript"/>
        <sz val="11"/>
        <color theme="1"/>
        <rFont val="Calibri"/>
        <family val="2"/>
        <scheme val="minor"/>
      </rPr>
      <t>2</t>
    </r>
  </si>
  <si>
    <t>Emissions Reduction by 2030</t>
  </si>
  <si>
    <t>tons</t>
  </si>
  <si>
    <t>lbs</t>
  </si>
  <si>
    <t>Emissions Reduced 2025 - 2030
(tons)</t>
  </si>
  <si>
    <t>Total Project Costs</t>
  </si>
  <si>
    <t>Offset grid emissions</t>
  </si>
  <si>
    <t>Annual Reduction
(lb/yr)</t>
  </si>
  <si>
    <t>Pol</t>
  </si>
  <si>
    <t>Number</t>
  </si>
  <si>
    <t>Switcher</t>
  </si>
  <si>
    <t>Cost/Vehicle</t>
  </si>
  <si>
    <t>CPRG Implementation Grant funds will be supplemented with Volkswagen Diesel Settlement funds and match requirements for recipients.</t>
  </si>
  <si>
    <t>The anticipated total number of vehicles by "vehicle type" to be funded through this measure are determined by vehicle cost, public interest, and available funding.</t>
  </si>
  <si>
    <t>Local Share</t>
  </si>
  <si>
    <t>match</t>
  </si>
  <si>
    <t>VW Share</t>
  </si>
  <si>
    <t>CPRG Share</t>
  </si>
  <si>
    <t>Total Cost</t>
  </si>
  <si>
    <t>match (AGSE)</t>
  </si>
  <si>
    <t>School Bus</t>
  </si>
  <si>
    <t>Street Sweeper</t>
  </si>
  <si>
    <t>Transit Bus</t>
  </si>
  <si>
    <t>Garbage Truck</t>
  </si>
  <si>
    <t>AGSE - Push Back</t>
  </si>
  <si>
    <t>AGSE - Belt Loader</t>
  </si>
  <si>
    <t>Budget Breakdown and Vehicle Counts</t>
  </si>
  <si>
    <t>New Fuel Economy (MPDGE)</t>
  </si>
  <si>
    <t>Criteria Pollutant Reduction by Vehicle Type</t>
  </si>
  <si>
    <r>
      <t>PM</t>
    </r>
    <r>
      <rPr>
        <vertAlign val="subscript"/>
        <sz val="11"/>
        <color theme="1"/>
        <rFont val="Calibri"/>
        <family val="2"/>
        <scheme val="minor"/>
      </rPr>
      <t>10</t>
    </r>
    <r>
      <rPr>
        <sz val="11"/>
        <color theme="1"/>
        <rFont val="Calibri"/>
        <family val="2"/>
        <scheme val="minor"/>
      </rPr>
      <t xml:space="preserve">
(lb/yr)</t>
    </r>
  </si>
  <si>
    <r>
      <t>PM</t>
    </r>
    <r>
      <rPr>
        <vertAlign val="subscript"/>
        <sz val="11"/>
        <color theme="1"/>
        <rFont val="Calibri"/>
        <family val="2"/>
        <scheme val="minor"/>
      </rPr>
      <t>2.5</t>
    </r>
    <r>
      <rPr>
        <sz val="11"/>
        <color theme="1"/>
        <rFont val="Calibri"/>
        <family val="2"/>
        <scheme val="minor"/>
      </rPr>
      <t xml:space="preserve">
(lb/yr)</t>
    </r>
  </si>
  <si>
    <r>
      <t>SO</t>
    </r>
    <r>
      <rPr>
        <vertAlign val="subscript"/>
        <sz val="11"/>
        <color theme="1"/>
        <rFont val="Calibri"/>
        <family val="2"/>
        <scheme val="minor"/>
      </rPr>
      <t>2</t>
    </r>
    <r>
      <rPr>
        <sz val="11"/>
        <color theme="1"/>
        <rFont val="Calibri"/>
        <family val="2"/>
        <scheme val="minor"/>
      </rPr>
      <t xml:space="preserve">
(lb/yr)</t>
    </r>
  </si>
  <si>
    <t>NOx
(lb/yr)</t>
  </si>
  <si>
    <t>CO
(lb/yr)</t>
  </si>
  <si>
    <t>VOCs
(lb/yr)</t>
  </si>
  <si>
    <t>Emissions Reduction per Quantity</t>
  </si>
  <si>
    <t>a) HAPs emissions factors reference the same AP-42 citations as Criteria Pollutants. HAPs emission factors are not published in AP-42 for Propane, so the Fuel Oil factors were used as a surrogate. These likely overestimate HAPs emissions from Propane use.</t>
  </si>
  <si>
    <t>a) HAPs emissions are only for on-site fuel use. HAPs emissions were not quantified for electrical power generation</t>
  </si>
  <si>
    <t>(a) Assumes purchase and vehicle delivery occur in Year 1; Full vehicle use occurs over 4 years for 2025 - 2030 period or the lifetime of vehicle for 2025-2050 period</t>
  </si>
  <si>
    <t>(b) Street sweeper emissions based on refuse truck emissions rates within AFLEET. Vehicle mileage scaled down to account for operational limits compared to refuse trucks (see below)</t>
  </si>
  <si>
    <t>Street Sweeper Vehicle Mileage</t>
  </si>
  <si>
    <t>Refuse truck (AFLEET default)</t>
  </si>
  <si>
    <t>mi/yr</t>
  </si>
  <si>
    <t>Assumed operation, refuse truck</t>
  </si>
  <si>
    <t>days/week</t>
  </si>
  <si>
    <t>weeks/year</t>
  </si>
  <si>
    <t>days/year</t>
  </si>
  <si>
    <t>miles per day</t>
  </si>
  <si>
    <t>Street Sweeper Operation</t>
  </si>
  <si>
    <t>weeks/year (excludes winter months)</t>
  </si>
  <si>
    <t>miles per day based on TYMCO Sweepers</t>
  </si>
  <si>
    <r>
      <t>a) Diesel emissions for Switcher Locomotive assume PM</t>
    </r>
    <r>
      <rPr>
        <vertAlign val="subscript"/>
        <sz val="11"/>
        <color theme="1"/>
        <rFont val="Calibri"/>
        <family val="2"/>
        <scheme val="minor"/>
      </rPr>
      <t>2.5</t>
    </r>
    <r>
      <rPr>
        <sz val="11"/>
        <color theme="1"/>
        <rFont val="Calibri"/>
        <family val="2"/>
        <scheme val="minor"/>
      </rPr>
      <t>/PM</t>
    </r>
    <r>
      <rPr>
        <vertAlign val="subscript"/>
        <sz val="11"/>
        <color theme="1"/>
        <rFont val="Calibri"/>
        <family val="2"/>
        <scheme val="minor"/>
      </rPr>
      <t>10</t>
    </r>
    <r>
      <rPr>
        <sz val="11"/>
        <color theme="1"/>
        <rFont val="Calibri"/>
        <family val="2"/>
        <scheme val="minor"/>
      </rPr>
      <t xml:space="preserve"> = 74%</t>
    </r>
  </si>
  <si>
    <t>b) Criteria pollutant emissions calculations utilize same emissions factor reference as GHG calculations</t>
  </si>
  <si>
    <t>Supporting Calculations</t>
  </si>
  <si>
    <t>Street sweeper range</t>
  </si>
  <si>
    <t>ton CO2/MWh</t>
  </si>
  <si>
    <t>Assume 50% emission reduction for electric airline vehicles</t>
  </si>
  <si>
    <r>
      <t>Annual GHG per ICE vehicle
(short tons CO</t>
    </r>
    <r>
      <rPr>
        <vertAlign val="subscript"/>
        <sz val="11"/>
        <color theme="1"/>
        <rFont val="Calibri"/>
        <family val="2"/>
        <scheme val="minor"/>
      </rPr>
      <t>2</t>
    </r>
    <r>
      <rPr>
        <sz val="11"/>
        <color theme="1"/>
        <rFont val="Calibri"/>
        <family val="2"/>
        <scheme val="minor"/>
      </rPr>
      <t>e/quantity)</t>
    </r>
  </si>
  <si>
    <r>
      <t>Annual GHG per replacement
(short tons CO</t>
    </r>
    <r>
      <rPr>
        <vertAlign val="subscript"/>
        <sz val="11"/>
        <color theme="1"/>
        <rFont val="Calibri"/>
        <family val="2"/>
        <scheme val="minor"/>
      </rPr>
      <t>2</t>
    </r>
    <r>
      <rPr>
        <sz val="11"/>
        <color theme="1"/>
        <rFont val="Calibri"/>
        <family val="2"/>
        <scheme val="minor"/>
      </rPr>
      <t>e/quantity)</t>
    </r>
  </si>
  <si>
    <t>Diesel
(Tier 4)</t>
  </si>
  <si>
    <t>c) Data unavailable for push back and belt loader</t>
  </si>
  <si>
    <t>Tools: Argonne National Lab AFLEET Tool; EPA Diesel Emissions Quantifier; EPA AQMD LAX Inventory</t>
  </si>
  <si>
    <t>Strategic Conversion of Fleet Vehicles to Cleaner Alternatives</t>
  </si>
  <si>
    <t>Summary of Emissions Reductions</t>
  </si>
  <si>
    <t>Estimated Service Life
(years)</t>
  </si>
  <si>
    <t>Distribution</t>
  </si>
  <si>
    <t>Feeder lines</t>
  </si>
  <si>
    <t>Transmission Upgrades</t>
  </si>
  <si>
    <t>Represents many upgrade opportunites including advanced inverter functionality, reduce set points, and reconductoring.</t>
  </si>
  <si>
    <t>Reconductoring is the representative case because it is the generally the most expensive option.</t>
  </si>
  <si>
    <t>NREL 2018: https://www.nrel.gov/docs/fy18osti/70710.pdf</t>
  </si>
  <si>
    <t>per foot</t>
  </si>
  <si>
    <t>(avg, NREL 2018)</t>
  </si>
  <si>
    <t>ft</t>
  </si>
  <si>
    <t>Cost Estimates - Reconductoring</t>
  </si>
  <si>
    <t>Microgrids</t>
  </si>
  <si>
    <t>Cost Estimates - Microgrids</t>
  </si>
  <si>
    <t>Utility Option</t>
  </si>
  <si>
    <t>BESS</t>
  </si>
  <si>
    <t>Cost</t>
  </si>
  <si>
    <t>Utility Solar PV</t>
  </si>
  <si>
    <t>per W</t>
  </si>
  <si>
    <t>(Berkley Lab Markets &amp; Policy, 2022)</t>
  </si>
  <si>
    <t>Critical Facility</t>
  </si>
  <si>
    <t>Critical Facility Option</t>
  </si>
  <si>
    <t>(Ravalli Electric Coop Project)</t>
  </si>
  <si>
    <t>Funding</t>
  </si>
  <si>
    <t>General</t>
  </si>
  <si>
    <t>per kWh for BESS</t>
  </si>
  <si>
    <t>Emissions Estimates</t>
  </si>
  <si>
    <t>Battery Type</t>
  </si>
  <si>
    <t>Lithium</t>
  </si>
  <si>
    <t>Cycle Life</t>
  </si>
  <si>
    <t>DOD, max</t>
  </si>
  <si>
    <t>Depth of discharge</t>
  </si>
  <si>
    <t>cycles</t>
  </si>
  <si>
    <t>Lifespan</t>
  </si>
  <si>
    <t>years</t>
  </si>
  <si>
    <t>cycles/year</t>
  </si>
  <si>
    <t>MWh</t>
  </si>
  <si>
    <t>Utility</t>
  </si>
  <si>
    <t>(SLO Emergency Center)</t>
  </si>
  <si>
    <t>MWh (annual)</t>
  </si>
  <si>
    <t>Solar PV, total systems</t>
  </si>
  <si>
    <t>kW, Roof mount</t>
  </si>
  <si>
    <t>per W (medium rooftop systems)</t>
  </si>
  <si>
    <t>Microgrid</t>
  </si>
  <si>
    <r>
      <t>Annual GHG Reduction
(MT CO</t>
    </r>
    <r>
      <rPr>
        <vertAlign val="subscript"/>
        <sz val="11"/>
        <color theme="1"/>
        <rFont val="Calibri"/>
        <family val="2"/>
        <scheme val="minor"/>
      </rPr>
      <t>2</t>
    </r>
    <r>
      <rPr>
        <sz val="11"/>
        <color theme="1"/>
        <rFont val="Calibri"/>
        <family val="2"/>
        <scheme val="minor"/>
      </rPr>
      <t>e/yr)</t>
    </r>
  </si>
  <si>
    <t>25+</t>
  </si>
  <si>
    <t>Emissions Reduction per Year</t>
  </si>
  <si>
    <t>Land Use</t>
  </si>
  <si>
    <t>MW/acre</t>
  </si>
  <si>
    <t>(Dillon, MT Solar Project)</t>
  </si>
  <si>
    <t>acres</t>
  </si>
  <si>
    <t>School Energy Performance Initiatives</t>
  </si>
  <si>
    <t>Criteria Pollutant and Hazardous Air Pollutant Emissions Calculations</t>
  </si>
  <si>
    <t>Cost Effectiveness</t>
  </si>
  <si>
    <t>2025 - 2030</t>
  </si>
  <si>
    <r>
      <t>$/MT CO</t>
    </r>
    <r>
      <rPr>
        <b/>
        <vertAlign val="subscript"/>
        <sz val="11"/>
        <color theme="1"/>
        <rFont val="Calibri"/>
        <family val="2"/>
        <scheme val="minor"/>
      </rPr>
      <t>2</t>
    </r>
    <r>
      <rPr>
        <b/>
        <sz val="11"/>
        <color theme="1"/>
        <rFont val="Calibri"/>
        <family val="2"/>
        <scheme val="minor"/>
      </rPr>
      <t>e</t>
    </r>
  </si>
  <si>
    <t>Distance Upgraded</t>
  </si>
  <si>
    <t>No. of Systems</t>
  </si>
  <si>
    <t>Assumes maximum use of battery</t>
  </si>
  <si>
    <t>Annual MWh Reduction</t>
  </si>
  <si>
    <t>Solar (only)</t>
  </si>
  <si>
    <r>
      <t>Emissions Reduction 
2025 - 2030</t>
    </r>
    <r>
      <rPr>
        <vertAlign val="superscript"/>
        <sz val="11"/>
        <color theme="1"/>
        <rFont val="Calibri"/>
        <family val="2"/>
        <scheme val="minor"/>
      </rPr>
      <t>a</t>
    </r>
    <r>
      <rPr>
        <sz val="11"/>
        <color theme="1"/>
        <rFont val="Calibri"/>
        <family val="2"/>
        <scheme val="minor"/>
      </rPr>
      <t xml:space="preserve"> 
(MT CO</t>
    </r>
    <r>
      <rPr>
        <vertAlign val="subscript"/>
        <sz val="11"/>
        <color theme="1"/>
        <rFont val="Calibri"/>
        <family val="2"/>
        <scheme val="minor"/>
      </rPr>
      <t>2</t>
    </r>
    <r>
      <rPr>
        <sz val="11"/>
        <color theme="1"/>
        <rFont val="Calibri"/>
        <family val="2"/>
        <scheme val="minor"/>
      </rPr>
      <t>e)</t>
    </r>
  </si>
  <si>
    <r>
      <t>Emissions Reduction 
2025 - 2050</t>
    </r>
    <r>
      <rPr>
        <vertAlign val="superscript"/>
        <sz val="11"/>
        <color theme="1"/>
        <rFont val="Calibri"/>
        <family val="2"/>
        <scheme val="minor"/>
      </rPr>
      <t>a</t>
    </r>
    <r>
      <rPr>
        <sz val="11"/>
        <color theme="1"/>
        <rFont val="Calibri"/>
        <family val="2"/>
        <scheme val="minor"/>
      </rPr>
      <t xml:space="preserve"> 
(MT CO</t>
    </r>
    <r>
      <rPr>
        <vertAlign val="subscript"/>
        <sz val="11"/>
        <color theme="1"/>
        <rFont val="Calibri"/>
        <family val="2"/>
        <scheme val="minor"/>
      </rPr>
      <t>2</t>
    </r>
    <r>
      <rPr>
        <sz val="11"/>
        <color theme="1"/>
        <rFont val="Calibri"/>
        <family val="2"/>
        <scheme val="minor"/>
      </rPr>
      <t>e)</t>
    </r>
  </si>
  <si>
    <t>Battery (only)</t>
  </si>
  <si>
    <t>4.79 MW</t>
  </si>
  <si>
    <t>b) Solar PV degredation factor applied over 25-year service life at 0.5% per year.</t>
  </si>
  <si>
    <r>
      <rPr>
        <u/>
        <sz val="11"/>
        <color theme="1"/>
        <rFont val="Calibri"/>
        <family val="2"/>
      </rPr>
      <t>Investment and Improvement in Electric Grid Technology</t>
    </r>
    <r>
      <rPr>
        <sz val="11"/>
        <color theme="1"/>
        <rFont val="Calibri"/>
        <family val="2"/>
      </rPr>
      <t xml:space="preserve">
(2) Utility-microgrid projects and (6) critical care facility microgrid projects along with ~2700 ft of distribution line upgrades</t>
    </r>
  </si>
  <si>
    <t>a) Assumes construction and operation of all facilities is completed within first 2-years of funding period resulting in 3-years of total operation during the 2025-2030 period.</t>
  </si>
  <si>
    <t>Emissions: AVERT Tool. PM10 emissions are scaled so that PM2.5 represents 85% speciation. CO emissions are scaled from VOC emissions</t>
  </si>
  <si>
    <r>
      <t>SO</t>
    </r>
    <r>
      <rPr>
        <vertAlign val="subscript"/>
        <sz val="11"/>
        <color theme="1"/>
        <rFont val="Calibri"/>
        <family val="2"/>
        <scheme val="minor"/>
      </rPr>
      <t>2</t>
    </r>
  </si>
  <si>
    <t>Grid Upgrades</t>
  </si>
  <si>
    <t>AVERT Tool. PM10 emissions are scaled so that PM2.5 represents 85% speciation. CO emissions are scaled from VOC emissions</t>
  </si>
  <si>
    <t>c) PM10 emissions are scaled so that PM2.5 represents 85% speciation. CO emissions are scaled from VOC emissions</t>
  </si>
  <si>
    <t>EPA AVERT Tool</t>
  </si>
  <si>
    <t>Measure No.</t>
  </si>
  <si>
    <t>Requested CPRG Funding</t>
  </si>
  <si>
    <r>
      <t>(MMT CO</t>
    </r>
    <r>
      <rPr>
        <vertAlign val="subscript"/>
        <sz val="11"/>
        <rFont val="Calibri"/>
        <family val="2"/>
      </rPr>
      <t>2</t>
    </r>
    <r>
      <rPr>
        <sz val="11"/>
        <rFont val="Calibri"/>
        <family val="2"/>
      </rPr>
      <t>e)</t>
    </r>
  </si>
  <si>
    <r>
      <t>$/MT CO</t>
    </r>
    <r>
      <rPr>
        <vertAlign val="subscript"/>
        <sz val="11"/>
        <color theme="1"/>
        <rFont val="Calibri"/>
        <family val="2"/>
        <scheme val="minor"/>
      </rPr>
      <t>2</t>
    </r>
    <r>
      <rPr>
        <sz val="11"/>
        <color theme="1"/>
        <rFont val="Calibri"/>
        <family val="2"/>
        <scheme val="minor"/>
      </rPr>
      <t>e</t>
    </r>
  </si>
  <si>
    <t>Investments in Electric Grid Technology</t>
  </si>
  <si>
    <t>Conversion of Fleet Vehicles to Cleaner Fuels</t>
  </si>
  <si>
    <t>Commercial Energy Efficiency Measures (C-PACE Audits)</t>
  </si>
  <si>
    <r>
      <t>PM</t>
    </r>
    <r>
      <rPr>
        <vertAlign val="subscript"/>
        <sz val="11"/>
        <rFont val="Calibri"/>
        <family val="2"/>
      </rPr>
      <t>10</t>
    </r>
  </si>
  <si>
    <r>
      <t>PM</t>
    </r>
    <r>
      <rPr>
        <vertAlign val="subscript"/>
        <sz val="11"/>
        <rFont val="Calibri"/>
        <family val="2"/>
      </rPr>
      <t>2.5</t>
    </r>
  </si>
  <si>
    <t>Enabling Measure</t>
  </si>
  <si>
    <t>Total CPRG Funding</t>
  </si>
  <si>
    <t>Reference:</t>
  </si>
  <si>
    <t>Projecting Grid Decarbonization 2025 - 2050 and Solar Degradation</t>
  </si>
  <si>
    <t>US Energy Information Administration: Annual Energy Outlook 2023 Data. IRA Impact on Renewable Energy Development</t>
  </si>
  <si>
    <t>U.S. EIA Annual Energy Outlook 2023</t>
  </si>
  <si>
    <r>
      <t>Energy Use Intensity (EUI) (kBtu/ft</t>
    </r>
    <r>
      <rPr>
        <vertAlign val="superscript"/>
        <sz val="11"/>
        <color theme="1"/>
        <rFont val="Calibri"/>
        <family val="2"/>
        <scheme val="minor"/>
      </rPr>
      <t>2</t>
    </r>
    <r>
      <rPr>
        <sz val="11"/>
        <color theme="1"/>
        <rFont val="Calibri"/>
        <family val="2"/>
        <scheme val="minor"/>
      </rPr>
      <t>)</t>
    </r>
  </si>
  <si>
    <r>
      <t>Street Sweeper</t>
    </r>
    <r>
      <rPr>
        <vertAlign val="superscript"/>
        <sz val="11"/>
        <color rgb="FF000000"/>
        <rFont val="Calibri"/>
        <family val="2"/>
        <scheme val="minor"/>
      </rPr>
      <t>b</t>
    </r>
  </si>
  <si>
    <t>(c) Switcher locomotive engine emissions based on EPA Diesel Emissions Quantifier (DEQ)</t>
  </si>
  <si>
    <r>
      <t>Switcher Locomotive Engine</t>
    </r>
    <r>
      <rPr>
        <vertAlign val="superscript"/>
        <sz val="11"/>
        <color theme="1"/>
        <rFont val="Calibri"/>
        <family val="2"/>
        <scheme val="minor"/>
      </rPr>
      <t>c</t>
    </r>
  </si>
  <si>
    <r>
      <t>AGSE - Push Back</t>
    </r>
    <r>
      <rPr>
        <vertAlign val="superscript"/>
        <sz val="11"/>
        <color rgb="FF000000"/>
        <rFont val="Calibri"/>
        <family val="2"/>
        <scheme val="minor"/>
      </rPr>
      <t>d</t>
    </r>
  </si>
  <si>
    <r>
      <t>AGSE - Belt Loader</t>
    </r>
    <r>
      <rPr>
        <vertAlign val="superscript"/>
        <sz val="11"/>
        <color rgb="FF000000"/>
        <rFont val="Calibri"/>
        <family val="2"/>
        <scheme val="minor"/>
      </rPr>
      <t>d</t>
    </r>
  </si>
  <si>
    <t>(d) Push back and belt loader emissions are based on equivalent values from the 2020 GSE Emissions Inventory for LAX, EPA AQMD Document</t>
  </si>
  <si>
    <t>Note e</t>
  </si>
  <si>
    <t>Note f</t>
  </si>
  <si>
    <t>(e) Based on annual fuel consumption per vehicle: 1,054 gal/year (Tier 3 Diesel)</t>
  </si>
  <si>
    <t>(e) Based on annual fuel consumption per vehicle: 882 gal/year (Tier 2 Diesel)</t>
  </si>
  <si>
    <t>General Notes</t>
  </si>
  <si>
    <t>- Electricity carbon intensity based on WECC</t>
  </si>
  <si>
    <t>- Assesses well-to-wheels petroleum use and GHG emissions along with vehicle operation air pollutants</t>
  </si>
  <si>
    <t>Existing Fuel Economy
(Miles per diesel gallon equivalent, MPDGE)</t>
  </si>
  <si>
    <t>Attachment 1: Emissions Reduction Calculations Spreadsheet</t>
  </si>
  <si>
    <t>GHG Emission Reduction</t>
  </si>
  <si>
    <t>Criteria Pollutants and HAPs Reduction</t>
  </si>
  <si>
    <t>IGA Baseline and Estimated Savings Summary by Fuel Type - Cont.</t>
  </si>
  <si>
    <t>Hazardous Air Pollutants - Cont.</t>
  </si>
  <si>
    <t>Projecting Solar Degradation</t>
  </si>
  <si>
    <r>
      <rPr>
        <u/>
        <sz val="11"/>
        <color theme="1"/>
        <rFont val="Calibri"/>
        <family val="2"/>
      </rPr>
      <t>School Energy Performance Incentives</t>
    </r>
    <r>
      <rPr>
        <sz val="11"/>
        <color theme="1"/>
        <rFont val="Calibri"/>
        <family val="2"/>
      </rPr>
      <t xml:space="preserve">
(12) Schools at $24.6M invested with (1) 50-kW Solar PV install per school</t>
    </r>
  </si>
  <si>
    <t>Montana DEQ Climate Pollution Reduction Grant</t>
  </si>
  <si>
    <t>Emissions Reduction Calculations Spreadsheet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</si>
</sst>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6">
    <numFmt numFmtId="6" formatCode="&quot;$&quot;#,##0_);[Red]\(&quot;$&quot;#,##0\)"/>
    <numFmt numFmtId="8" formatCode="&quot;$&quot;#,##0.00_);[Red]\(&quot;$&quot;#,##0.00\)"/>
    <numFmt numFmtId="44" formatCode="_(&quot;$&quot;* #,##0.00_);_(&quot;$&quot;* \(#,##0.00\);_(&quot;$&quot;* &quot;-&quot;??_);_(@_)"/>
    <numFmt numFmtId="43" formatCode="_(* #,##0.00_);_(* \(#,##0.00\);_(* &quot;-&quot;??_);_(@_)"/>
    <numFmt numFmtId="164" formatCode="0.00000"/>
    <numFmt numFmtId="165" formatCode="0.0000"/>
    <numFmt numFmtId="166" formatCode="0.0"/>
    <numFmt numFmtId="167" formatCode="_(* #,##0_);_(* \(#,##0\);_(* &quot;-&quot;??_);_(@_)"/>
    <numFmt numFmtId="168" formatCode="_(&quot;$&quot;* #,##0_);_(&quot;$&quot;* \(#,##0\);_(&quot;$&quot;* &quot;-&quot;??_);_(@_)"/>
    <numFmt numFmtId="169" formatCode="0.000"/>
    <numFmt numFmtId="170" formatCode="_(* #,##0.0_);_(* \(#,##0.0\);_(* &quot;-&quot;??_);_(@_)"/>
    <numFmt numFmtId="171" formatCode="0.0%"/>
    <numFmt numFmtId="172" formatCode="&quot;$&quot;#,##0"/>
    <numFmt numFmtId="173" formatCode="0.00E+00;;&quot;---&quot;"/>
    <numFmt numFmtId="174" formatCode="#,##0.000"/>
    <numFmt numFmtId="175" formatCode="_(&quot;$&quot;* #,##0_);_(&quot;$&quot;* \(#,##0\);_(&quot;$&quot;* &quot;-&quot;???_);_(@_)"/>
  </numFmts>
  <fonts count="37" x14ac:knownFonts="1">
    <font>
      <sz val="11"/>
      <color theme="1"/>
      <name val="Calibri"/>
      <family val="2"/>
      <scheme val="minor"/>
    </font>
    <font>
      <sz val="11"/>
      <color theme="1"/>
      <name val="Calibri"/>
      <family val="2"/>
      <scheme val="minor"/>
    </font>
    <font>
      <b/>
      <sz val="11"/>
      <color theme="1"/>
      <name val="Calibri"/>
      <family val="2"/>
      <scheme val="minor"/>
    </font>
    <font>
      <sz val="11"/>
      <color theme="1"/>
      <name val="Calibri"/>
      <family val="2"/>
    </font>
    <font>
      <u/>
      <sz val="11"/>
      <color theme="10"/>
      <name val="Calibri"/>
      <family val="2"/>
      <scheme val="minor"/>
    </font>
    <font>
      <i/>
      <sz val="11"/>
      <color theme="1"/>
      <name val="Calibri"/>
      <family val="2"/>
      <scheme val="minor"/>
    </font>
    <font>
      <b/>
      <i/>
      <sz val="11"/>
      <color theme="1"/>
      <name val="Calibri"/>
      <family val="2"/>
      <scheme val="minor"/>
    </font>
    <font>
      <u/>
      <sz val="11"/>
      <color theme="1"/>
      <name val="Calibri"/>
      <family val="2"/>
      <scheme val="minor"/>
    </font>
    <font>
      <vertAlign val="subscript"/>
      <sz val="11"/>
      <color theme="1"/>
      <name val="Calibri"/>
      <family val="2"/>
      <scheme val="minor"/>
    </font>
    <font>
      <vertAlign val="superscript"/>
      <sz val="11"/>
      <color theme="1"/>
      <name val="Calibri"/>
      <family val="2"/>
      <scheme val="minor"/>
    </font>
    <font>
      <sz val="10"/>
      <color theme="1"/>
      <name val="Calibri"/>
      <family val="2"/>
      <scheme val="minor"/>
    </font>
    <font>
      <sz val="8"/>
      <name val="Calibri"/>
      <family val="2"/>
      <scheme val="minor"/>
    </font>
    <font>
      <b/>
      <sz val="12"/>
      <color theme="1"/>
      <name val="Calibri"/>
      <family val="2"/>
      <scheme val="minor"/>
    </font>
    <font>
      <b/>
      <sz val="16"/>
      <color theme="1"/>
      <name val="Calibri"/>
      <family val="2"/>
      <scheme val="minor"/>
    </font>
    <font>
      <u/>
      <sz val="11"/>
      <color theme="1"/>
      <name val="Calibri"/>
      <family val="2"/>
    </font>
    <font>
      <b/>
      <sz val="10.5"/>
      <color theme="1"/>
      <name val="Calibri"/>
      <family val="2"/>
      <scheme val="minor"/>
    </font>
    <font>
      <sz val="10"/>
      <color rgb="FF000000"/>
      <name val="Calibri"/>
      <family val="2"/>
      <scheme val="minor"/>
    </font>
    <font>
      <sz val="9"/>
      <color theme="1"/>
      <name val="Calibri"/>
      <family val="2"/>
      <scheme val="minor"/>
    </font>
    <font>
      <sz val="12"/>
      <color theme="1"/>
      <name val="Calibri"/>
      <family val="2"/>
      <scheme val="minor"/>
    </font>
    <font>
      <sz val="8"/>
      <color theme="1"/>
      <name val="Calibri"/>
      <family val="2"/>
      <scheme val="minor"/>
    </font>
    <font>
      <sz val="11"/>
      <color rgb="FFFF0000"/>
      <name val="Calibri"/>
      <family val="2"/>
      <scheme val="minor"/>
    </font>
    <font>
      <b/>
      <u/>
      <sz val="11"/>
      <color theme="1"/>
      <name val="Calibri"/>
      <family val="2"/>
      <scheme val="minor"/>
    </font>
    <font>
      <b/>
      <u/>
      <sz val="12"/>
      <color theme="1"/>
      <name val="Calibri"/>
      <family val="2"/>
      <scheme val="minor"/>
    </font>
    <font>
      <b/>
      <vertAlign val="subscript"/>
      <sz val="11"/>
      <color theme="1"/>
      <name val="Calibri"/>
      <family val="2"/>
      <scheme val="minor"/>
    </font>
    <font>
      <sz val="10"/>
      <name val="Arial"/>
      <family val="2"/>
    </font>
    <font>
      <b/>
      <sz val="11"/>
      <name val="Calibri"/>
      <family val="2"/>
      <scheme val="minor"/>
    </font>
    <font>
      <sz val="11"/>
      <name val="Calibri"/>
      <family val="2"/>
      <scheme val="minor"/>
    </font>
    <font>
      <sz val="11"/>
      <name val="Calibri"/>
      <family val="2"/>
    </font>
    <font>
      <b/>
      <sz val="11"/>
      <name val="Calibri"/>
      <family val="2"/>
    </font>
    <font>
      <b/>
      <vertAlign val="subscript"/>
      <sz val="11"/>
      <name val="Calibri"/>
      <family val="2"/>
    </font>
    <font>
      <i/>
      <u/>
      <sz val="11"/>
      <color theme="1"/>
      <name val="Calibri"/>
      <family val="2"/>
      <scheme val="minor"/>
    </font>
    <font>
      <b/>
      <sz val="11"/>
      <color rgb="FF000000"/>
      <name val="Calibri"/>
      <family val="2"/>
      <scheme val="minor"/>
    </font>
    <font>
      <sz val="11"/>
      <color rgb="FF000000"/>
      <name val="Calibri"/>
      <family val="2"/>
      <scheme val="minor"/>
    </font>
    <font>
      <b/>
      <u/>
      <sz val="11"/>
      <name val="Calibri"/>
      <family val="2"/>
      <scheme val="minor"/>
    </font>
    <font>
      <vertAlign val="subscript"/>
      <sz val="11"/>
      <name val="Calibri"/>
      <family val="2"/>
    </font>
    <font>
      <sz val="10"/>
      <color theme="1"/>
      <name val="Calibri"/>
      <family val="2"/>
    </font>
    <font>
      <vertAlign val="superscript"/>
      <sz val="11"/>
      <color rgb="FF000000"/>
      <name val="Calibri"/>
      <family val="2"/>
      <scheme val="minor"/>
    </font>
  </fonts>
  <fills count="6">
    <fill>
      <patternFill patternType="none"/>
    </fill>
    <fill>
      <patternFill patternType="gray125"/>
    </fill>
    <fill>
      <patternFill patternType="solid">
        <fgColor theme="7" tint="0.79998168889431442"/>
        <bgColor indexed="64"/>
      </patternFill>
    </fill>
    <fill>
      <patternFill patternType="solid">
        <fgColor theme="9" tint="0.59999389629810485"/>
        <bgColor indexed="64"/>
      </patternFill>
    </fill>
    <fill>
      <patternFill patternType="solid">
        <fgColor theme="0" tint="-0.14999847407452621"/>
        <bgColor indexed="64"/>
      </patternFill>
    </fill>
    <fill>
      <patternFill patternType="solid">
        <fgColor theme="4" tint="0.79998168889431442"/>
        <bgColor indexed="64"/>
      </patternFill>
    </fill>
  </fills>
  <borders count="5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double">
        <color indexed="64"/>
      </left>
      <right style="thin">
        <color indexed="64"/>
      </right>
      <top style="double">
        <color indexed="64"/>
      </top>
      <bottom style="double">
        <color indexed="64"/>
      </bottom>
      <diagonal/>
    </border>
    <border>
      <left style="thin">
        <color indexed="64"/>
      </left>
      <right style="thin">
        <color indexed="64"/>
      </right>
      <top style="double">
        <color indexed="64"/>
      </top>
      <bottom style="double">
        <color indexed="64"/>
      </bottom>
      <diagonal/>
    </border>
    <border>
      <left style="thin">
        <color indexed="64"/>
      </left>
      <right style="double">
        <color indexed="64"/>
      </right>
      <top style="double">
        <color indexed="64"/>
      </top>
      <bottom style="double">
        <color indexed="64"/>
      </bottom>
      <diagonal/>
    </border>
    <border>
      <left style="double">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double">
        <color indexed="64"/>
      </right>
      <top style="double">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style="double">
        <color indexed="64"/>
      </right>
      <top style="thin">
        <color indexed="64"/>
      </top>
      <bottom style="double">
        <color indexed="64"/>
      </bottom>
      <diagonal/>
    </border>
    <border>
      <left style="double">
        <color indexed="64"/>
      </left>
      <right style="thin">
        <color indexed="64"/>
      </right>
      <top style="thin">
        <color indexed="64"/>
      </top>
      <bottom style="double">
        <color indexed="64"/>
      </bottom>
      <diagonal/>
    </border>
    <border>
      <left style="double">
        <color indexed="64"/>
      </left>
      <right style="thin">
        <color indexed="64"/>
      </right>
      <top style="thin">
        <color indexed="64"/>
      </top>
      <bottom style="thin">
        <color indexed="64"/>
      </bottom>
      <diagonal/>
    </border>
    <border>
      <left style="thin">
        <color indexed="64"/>
      </left>
      <right/>
      <top/>
      <bottom/>
      <diagonal/>
    </border>
    <border>
      <left style="thin">
        <color indexed="64"/>
      </left>
      <right/>
      <top style="double">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double">
        <color indexed="64"/>
      </top>
      <bottom/>
      <diagonal/>
    </border>
    <border>
      <left style="thin">
        <color indexed="64"/>
      </left>
      <right/>
      <top/>
      <bottom style="thin">
        <color indexed="64"/>
      </bottom>
      <diagonal/>
    </border>
    <border>
      <left/>
      <right/>
      <top/>
      <bottom style="thin">
        <color indexed="64"/>
      </bottom>
      <diagonal/>
    </border>
    <border>
      <left style="thin">
        <color indexed="64"/>
      </left>
      <right/>
      <top style="double">
        <color indexed="64"/>
      </top>
      <bottom style="double">
        <color indexed="64"/>
      </bottom>
      <diagonal/>
    </border>
    <border>
      <left style="thin">
        <color indexed="64"/>
      </left>
      <right/>
      <top style="thin">
        <color indexed="64"/>
      </top>
      <bottom style="double">
        <color indexed="64"/>
      </bottom>
      <diagonal/>
    </border>
    <border>
      <left style="thin">
        <color indexed="64"/>
      </left>
      <right style="double">
        <color indexed="64"/>
      </right>
      <top/>
      <bottom style="thin">
        <color indexed="64"/>
      </bottom>
      <diagonal/>
    </border>
    <border>
      <left style="double">
        <color indexed="64"/>
      </left>
      <right style="thin">
        <color indexed="64"/>
      </right>
      <top style="double">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double">
        <color indexed="64"/>
      </left>
      <right/>
      <top style="double">
        <color indexed="64"/>
      </top>
      <bottom style="thin">
        <color indexed="64"/>
      </bottom>
      <diagonal/>
    </border>
    <border>
      <left/>
      <right/>
      <top style="double">
        <color indexed="64"/>
      </top>
      <bottom style="thin">
        <color indexed="64"/>
      </bottom>
      <diagonal/>
    </border>
    <border>
      <left/>
      <right style="double">
        <color indexed="64"/>
      </right>
      <top style="double">
        <color indexed="64"/>
      </top>
      <bottom style="thin">
        <color indexed="64"/>
      </bottom>
      <diagonal/>
    </border>
    <border>
      <left style="double">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style="double">
        <color indexed="64"/>
      </right>
      <top style="thin">
        <color indexed="64"/>
      </top>
      <bottom style="double">
        <color indexed="64"/>
      </bottom>
      <diagonal/>
    </border>
    <border>
      <left style="double">
        <color indexed="64"/>
      </left>
      <right/>
      <top style="thin">
        <color indexed="64"/>
      </top>
      <bottom/>
      <diagonal/>
    </border>
    <border>
      <left/>
      <right style="double">
        <color indexed="64"/>
      </right>
      <top style="thin">
        <color indexed="64"/>
      </top>
      <bottom/>
      <diagonal/>
    </border>
    <border>
      <left style="double">
        <color indexed="64"/>
      </left>
      <right/>
      <top/>
      <bottom style="thin">
        <color indexed="64"/>
      </bottom>
      <diagonal/>
    </border>
    <border>
      <left/>
      <right style="double">
        <color indexed="64"/>
      </right>
      <top/>
      <bottom style="thin">
        <color indexed="64"/>
      </bottom>
      <diagonal/>
    </border>
    <border>
      <left/>
      <right style="double">
        <color indexed="64"/>
      </right>
      <top style="thin">
        <color indexed="64"/>
      </top>
      <bottom style="thin">
        <color indexed="64"/>
      </bottom>
      <diagonal/>
    </border>
    <border>
      <left/>
      <right style="thin">
        <color indexed="64"/>
      </right>
      <top style="double">
        <color indexed="64"/>
      </top>
      <bottom style="double">
        <color indexed="64"/>
      </bottom>
      <diagonal/>
    </border>
    <border>
      <left style="double">
        <color indexed="64"/>
      </left>
      <right/>
      <top style="thin">
        <color indexed="64"/>
      </top>
      <bottom style="thin">
        <color indexed="64"/>
      </bottom>
      <diagonal/>
    </border>
    <border>
      <left style="double">
        <color indexed="64"/>
      </left>
      <right style="thin">
        <color indexed="64"/>
      </right>
      <top/>
      <bottom style="thin">
        <color indexed="64"/>
      </bottom>
      <diagonal/>
    </border>
    <border>
      <left style="double">
        <color indexed="64"/>
      </left>
      <right style="thin">
        <color indexed="64"/>
      </right>
      <top style="thin">
        <color indexed="64"/>
      </top>
      <bottom/>
      <diagonal/>
    </border>
    <border>
      <left style="thin">
        <color indexed="64"/>
      </left>
      <right style="double">
        <color indexed="64"/>
      </right>
      <top style="thin">
        <color indexed="64"/>
      </top>
      <bottom/>
      <diagonal/>
    </border>
    <border>
      <left style="double">
        <color indexed="64"/>
      </left>
      <right style="thin">
        <color indexed="64"/>
      </right>
      <top/>
      <bottom/>
      <diagonal/>
    </border>
    <border>
      <left/>
      <right/>
      <top style="double">
        <color indexed="64"/>
      </top>
      <bottom style="double">
        <color indexed="64"/>
      </bottom>
      <diagonal/>
    </border>
    <border>
      <left style="thin">
        <color indexed="64"/>
      </left>
      <right style="thin">
        <color indexed="64"/>
      </right>
      <top/>
      <bottom style="double">
        <color indexed="64"/>
      </bottom>
      <diagonal/>
    </border>
    <border>
      <left style="thin">
        <color indexed="64"/>
      </left>
      <right style="double">
        <color indexed="64"/>
      </right>
      <top/>
      <bottom style="double">
        <color indexed="64"/>
      </bottom>
      <diagonal/>
    </border>
    <border>
      <left/>
      <right style="thin">
        <color indexed="64"/>
      </right>
      <top style="double">
        <color indexed="64"/>
      </top>
      <bottom style="thin">
        <color indexed="64"/>
      </bottom>
      <diagonal/>
    </border>
    <border>
      <left style="double">
        <color indexed="64"/>
      </left>
      <right style="thin">
        <color indexed="64"/>
      </right>
      <top/>
      <bottom style="double">
        <color indexed="64"/>
      </bottom>
      <diagonal/>
    </border>
  </borders>
  <cellStyleXfs count="9">
    <xf numFmtId="0" fontId="0" fillId="0" borderId="0"/>
    <xf numFmtId="43" fontId="1" fillId="0" borderId="0" applyFont="0" applyFill="0" applyBorder="0" applyAlignment="0" applyProtection="0"/>
    <xf numFmtId="44" fontId="1" fillId="0" borderId="0" applyFont="0" applyFill="0" applyBorder="0" applyAlignment="0" applyProtection="0"/>
    <xf numFmtId="9" fontId="1" fillId="0" borderId="0" applyFont="0" applyFill="0" applyBorder="0" applyAlignment="0" applyProtection="0"/>
    <xf numFmtId="0" fontId="4" fillId="0" borderId="0" applyNumberFormat="0" applyFill="0" applyBorder="0" applyAlignment="0" applyProtection="0"/>
    <xf numFmtId="0" fontId="1" fillId="0" borderId="0"/>
    <xf numFmtId="0" fontId="24" fillId="0" borderId="0"/>
    <xf numFmtId="0" fontId="24" fillId="0" borderId="0"/>
    <xf numFmtId="0" fontId="1" fillId="0" borderId="0"/>
  </cellStyleXfs>
  <cellXfs count="519">
    <xf numFmtId="0" fontId="0" fillId="0" borderId="0" xfId="0"/>
    <xf numFmtId="0" fontId="2" fillId="0" borderId="0" xfId="0" applyFont="1"/>
    <xf numFmtId="0" fontId="0" fillId="0" borderId="0" xfId="0" applyAlignment="1">
      <alignment wrapText="1"/>
    </xf>
    <xf numFmtId="0" fontId="5" fillId="0" borderId="0" xfId="0" applyFont="1"/>
    <xf numFmtId="0" fontId="0" fillId="0" borderId="0" xfId="0" applyAlignment="1">
      <alignment vertical="top" wrapText="1"/>
    </xf>
    <xf numFmtId="0" fontId="6" fillId="0" borderId="0" xfId="0" applyFont="1"/>
    <xf numFmtId="0" fontId="7" fillId="0" borderId="0" xfId="0" applyFont="1"/>
    <xf numFmtId="0" fontId="0" fillId="0" borderId="1" xfId="0" applyBorder="1"/>
    <xf numFmtId="2" fontId="0" fillId="0" borderId="1" xfId="0" applyNumberFormat="1" applyBorder="1"/>
    <xf numFmtId="0" fontId="0" fillId="0" borderId="6" xfId="0" applyBorder="1" applyAlignment="1">
      <alignment horizontal="center" vertical="center" wrapText="1"/>
    </xf>
    <xf numFmtId="0" fontId="0" fillId="0" borderId="0" xfId="0" applyAlignment="1">
      <alignment horizontal="center" vertical="center"/>
    </xf>
    <xf numFmtId="0" fontId="0" fillId="0" borderId="1" xfId="0" applyBorder="1" applyAlignment="1">
      <alignment horizontal="center" vertical="center"/>
    </xf>
    <xf numFmtId="166" fontId="0" fillId="0" borderId="1" xfId="0" applyNumberFormat="1" applyBorder="1"/>
    <xf numFmtId="0" fontId="0" fillId="0" borderId="12" xfId="0" applyBorder="1" applyAlignment="1">
      <alignment horizontal="center" vertical="center"/>
    </xf>
    <xf numFmtId="167" fontId="0" fillId="0" borderId="13" xfId="1" applyNumberFormat="1" applyFont="1" applyBorder="1"/>
    <xf numFmtId="9" fontId="0" fillId="0" borderId="0" xfId="3" applyFont="1"/>
    <xf numFmtId="0" fontId="4" fillId="0" borderId="0" xfId="4"/>
    <xf numFmtId="1" fontId="0" fillId="0" borderId="0" xfId="0" applyNumberFormat="1"/>
    <xf numFmtId="1" fontId="0" fillId="0" borderId="1" xfId="0" applyNumberFormat="1" applyBorder="1" applyAlignment="1">
      <alignment horizontal="center" vertical="center"/>
    </xf>
    <xf numFmtId="0" fontId="0" fillId="0" borderId="5" xfId="0" applyBorder="1" applyAlignment="1">
      <alignment horizontal="center" vertical="center"/>
    </xf>
    <xf numFmtId="0" fontId="0" fillId="0" borderId="6" xfId="0" applyBorder="1" applyAlignment="1">
      <alignment horizontal="center" vertical="center"/>
    </xf>
    <xf numFmtId="0" fontId="0" fillId="0" borderId="8" xfId="0" applyBorder="1" applyAlignment="1">
      <alignment horizontal="center" vertical="center"/>
    </xf>
    <xf numFmtId="0" fontId="0" fillId="0" borderId="9" xfId="0" applyBorder="1" applyAlignment="1">
      <alignment horizontal="center" vertical="center"/>
    </xf>
    <xf numFmtId="0" fontId="0" fillId="0" borderId="15" xfId="0" applyBorder="1" applyAlignment="1">
      <alignment horizontal="center" vertical="center"/>
    </xf>
    <xf numFmtId="0" fontId="0" fillId="0" borderId="14" xfId="0" applyBorder="1" applyAlignment="1">
      <alignment horizontal="center" vertical="center"/>
    </xf>
    <xf numFmtId="167" fontId="0" fillId="0" borderId="9" xfId="1" applyNumberFormat="1" applyFont="1" applyBorder="1" applyAlignment="1">
      <alignment horizontal="center" vertical="center"/>
    </xf>
    <xf numFmtId="0" fontId="0" fillId="0" borderId="12" xfId="0" applyBorder="1" applyAlignment="1">
      <alignment horizontal="center" vertical="center" wrapText="1"/>
    </xf>
    <xf numFmtId="166" fontId="0" fillId="0" borderId="1" xfId="0" applyNumberFormat="1" applyBorder="1" applyAlignment="1">
      <alignment horizontal="center" vertical="center"/>
    </xf>
    <xf numFmtId="167" fontId="0" fillId="0" borderId="1" xfId="1" applyNumberFormat="1" applyFont="1" applyBorder="1" applyAlignment="1">
      <alignment horizontal="center" vertical="center"/>
    </xf>
    <xf numFmtId="0" fontId="0" fillId="0" borderId="0" xfId="0" applyAlignment="1">
      <alignment horizontal="left" vertical="center"/>
    </xf>
    <xf numFmtId="0" fontId="5" fillId="0" borderId="0" xfId="0" applyFont="1" applyAlignment="1">
      <alignment horizontal="left" vertical="center"/>
    </xf>
    <xf numFmtId="0" fontId="0" fillId="0" borderId="7" xfId="0" applyBorder="1" applyAlignment="1">
      <alignment horizontal="center" vertical="center" wrapText="1"/>
    </xf>
    <xf numFmtId="0" fontId="0" fillId="0" borderId="0" xfId="0" applyAlignment="1">
      <alignment horizontal="left" vertical="center" indent="2"/>
    </xf>
    <xf numFmtId="167" fontId="0" fillId="0" borderId="12" xfId="1" applyNumberFormat="1" applyFont="1" applyBorder="1" applyAlignment="1">
      <alignment horizontal="center" vertical="center"/>
    </xf>
    <xf numFmtId="166" fontId="0" fillId="0" borderId="12" xfId="0" applyNumberFormat="1" applyBorder="1" applyAlignment="1">
      <alignment horizontal="center" vertical="center"/>
    </xf>
    <xf numFmtId="0" fontId="0" fillId="0" borderId="17" xfId="0" applyBorder="1" applyAlignment="1">
      <alignment horizontal="center" vertical="center"/>
    </xf>
    <xf numFmtId="0" fontId="0" fillId="0" borderId="18" xfId="0" applyBorder="1" applyAlignment="1">
      <alignment horizontal="center" vertical="center"/>
    </xf>
    <xf numFmtId="0" fontId="0" fillId="0" borderId="25" xfId="0" applyBorder="1" applyAlignment="1">
      <alignment horizontal="center" vertical="center"/>
    </xf>
    <xf numFmtId="6" fontId="0" fillId="0" borderId="9" xfId="0" applyNumberFormat="1" applyBorder="1" applyAlignment="1">
      <alignment vertical="center"/>
    </xf>
    <xf numFmtId="6" fontId="0" fillId="0" borderId="10" xfId="0" applyNumberFormat="1" applyBorder="1" applyAlignment="1">
      <alignment vertical="center"/>
    </xf>
    <xf numFmtId="6" fontId="0" fillId="0" borderId="1" xfId="0" applyNumberFormat="1" applyBorder="1" applyAlignment="1">
      <alignment vertical="center"/>
    </xf>
    <xf numFmtId="6" fontId="0" fillId="0" borderId="11" xfId="0" applyNumberFormat="1" applyBorder="1" applyAlignment="1">
      <alignment vertical="center"/>
    </xf>
    <xf numFmtId="6" fontId="0" fillId="0" borderId="13" xfId="0" applyNumberFormat="1" applyBorder="1" applyAlignment="1">
      <alignment vertical="center"/>
    </xf>
    <xf numFmtId="0" fontId="0" fillId="0" borderId="0" xfId="0" applyAlignment="1">
      <alignment horizontal="left" vertical="top" indent="2"/>
    </xf>
    <xf numFmtId="0" fontId="0" fillId="0" borderId="5" xfId="0" applyBorder="1" applyAlignment="1">
      <alignment horizontal="center" vertical="center" wrapText="1"/>
    </xf>
    <xf numFmtId="1" fontId="0" fillId="0" borderId="12" xfId="0" applyNumberFormat="1" applyBorder="1" applyAlignment="1">
      <alignment horizontal="center" vertical="center"/>
    </xf>
    <xf numFmtId="166" fontId="0" fillId="0" borderId="0" xfId="0" applyNumberFormat="1"/>
    <xf numFmtId="0" fontId="0" fillId="0" borderId="24" xfId="0" applyBorder="1" applyAlignment="1">
      <alignment horizontal="center" vertical="center" wrapText="1"/>
    </xf>
    <xf numFmtId="3" fontId="0" fillId="0" borderId="0" xfId="0" applyNumberFormat="1" applyAlignment="1">
      <alignment horizontal="center" vertical="center"/>
    </xf>
    <xf numFmtId="1" fontId="0" fillId="0" borderId="0" xfId="0" applyNumberFormat="1" applyAlignment="1">
      <alignment horizontal="center" vertical="center"/>
    </xf>
    <xf numFmtId="0" fontId="2" fillId="0" borderId="1" xfId="0" applyFont="1" applyBorder="1" applyAlignment="1">
      <alignment horizontal="center" vertical="center"/>
    </xf>
    <xf numFmtId="0" fontId="0" fillId="0" borderId="14" xfId="0" applyBorder="1" applyAlignment="1">
      <alignment horizontal="center" vertical="center" wrapText="1"/>
    </xf>
    <xf numFmtId="0" fontId="0" fillId="0" borderId="15" xfId="0" applyBorder="1" applyAlignment="1">
      <alignment horizontal="left" vertical="center" wrapText="1"/>
    </xf>
    <xf numFmtId="3" fontId="0" fillId="0" borderId="1" xfId="0" applyNumberFormat="1" applyBorder="1" applyAlignment="1">
      <alignment horizontal="center" vertical="center"/>
    </xf>
    <xf numFmtId="0" fontId="0" fillId="0" borderId="1" xfId="0" applyBorder="1" applyAlignment="1">
      <alignment horizontal="left" vertical="center" wrapText="1"/>
    </xf>
    <xf numFmtId="9" fontId="0" fillId="0" borderId="0" xfId="0" applyNumberFormat="1"/>
    <xf numFmtId="169" fontId="0" fillId="0" borderId="1" xfId="0" applyNumberFormat="1" applyBorder="1" applyAlignment="1">
      <alignment horizontal="center" vertical="center"/>
    </xf>
    <xf numFmtId="1" fontId="0" fillId="0" borderId="25" xfId="0" applyNumberFormat="1" applyBorder="1" applyAlignment="1">
      <alignment horizontal="center" vertical="center"/>
    </xf>
    <xf numFmtId="6" fontId="0" fillId="0" borderId="0" xfId="0" applyNumberFormat="1"/>
    <xf numFmtId="8" fontId="0" fillId="0" borderId="0" xfId="0" applyNumberFormat="1"/>
    <xf numFmtId="9" fontId="7" fillId="0" borderId="0" xfId="0" applyNumberFormat="1" applyFont="1"/>
    <xf numFmtId="2" fontId="3" fillId="0" borderId="1" xfId="0" applyNumberFormat="1" applyFont="1" applyBorder="1" applyAlignment="1">
      <alignment horizontal="center" vertical="center" wrapText="1"/>
    </xf>
    <xf numFmtId="165" fontId="3" fillId="0" borderId="1" xfId="0" applyNumberFormat="1" applyFont="1" applyBorder="1" applyAlignment="1">
      <alignment horizontal="center" vertical="center" wrapText="1"/>
    </xf>
    <xf numFmtId="43" fontId="0" fillId="0" borderId="0" xfId="0" applyNumberFormat="1"/>
    <xf numFmtId="0" fontId="0" fillId="0" borderId="31" xfId="0" applyBorder="1"/>
    <xf numFmtId="0" fontId="16" fillId="0" borderId="1" xfId="0" applyFont="1" applyBorder="1" applyAlignment="1">
      <alignment horizontal="center" vertical="center"/>
    </xf>
    <xf numFmtId="9" fontId="0" fillId="0" borderId="1" xfId="3" applyFont="1" applyBorder="1"/>
    <xf numFmtId="3" fontId="0" fillId="0" borderId="1" xfId="0" quotePrefix="1" applyNumberFormat="1" applyBorder="1" applyAlignment="1">
      <alignment horizontal="center" vertical="center"/>
    </xf>
    <xf numFmtId="0" fontId="0" fillId="0" borderId="1" xfId="0" quotePrefix="1" applyBorder="1" applyAlignment="1">
      <alignment horizontal="center" vertical="center"/>
    </xf>
    <xf numFmtId="170" fontId="0" fillId="0" borderId="1" xfId="1" applyNumberFormat="1" applyFont="1" applyBorder="1" applyAlignment="1">
      <alignment horizontal="center" vertical="center"/>
    </xf>
    <xf numFmtId="0" fontId="0" fillId="0" borderId="8" xfId="0" applyBorder="1" applyAlignment="1">
      <alignment horizontal="left" vertical="center"/>
    </xf>
    <xf numFmtId="3" fontId="0" fillId="0" borderId="9" xfId="0" applyNumberFormat="1" applyBorder="1" applyAlignment="1">
      <alignment horizontal="center" vertical="center"/>
    </xf>
    <xf numFmtId="167" fontId="0" fillId="0" borderId="9" xfId="1" applyNumberFormat="1" applyFont="1" applyFill="1" applyBorder="1" applyAlignment="1">
      <alignment horizontal="center" vertical="center"/>
    </xf>
    <xf numFmtId="0" fontId="0" fillId="0" borderId="15" xfId="0" applyBorder="1" applyAlignment="1">
      <alignment horizontal="left" vertical="center"/>
    </xf>
    <xf numFmtId="167" fontId="0" fillId="0" borderId="1" xfId="1" applyNumberFormat="1" applyFont="1" applyFill="1" applyBorder="1" applyAlignment="1">
      <alignment horizontal="center" vertical="center"/>
    </xf>
    <xf numFmtId="169" fontId="0" fillId="0" borderId="0" xfId="0" applyNumberFormat="1"/>
    <xf numFmtId="169" fontId="0" fillId="0" borderId="1" xfId="0" applyNumberFormat="1" applyBorder="1" applyAlignment="1">
      <alignment horizontal="center"/>
    </xf>
    <xf numFmtId="0" fontId="0" fillId="0" borderId="0" xfId="0" applyAlignment="1">
      <alignment horizontal="center" vertical="center" wrapText="1"/>
    </xf>
    <xf numFmtId="166" fontId="0" fillId="0" borderId="0" xfId="0" applyNumberFormat="1" applyAlignment="1">
      <alignment horizontal="center" vertical="center"/>
    </xf>
    <xf numFmtId="0" fontId="19" fillId="0" borderId="0" xfId="0" applyFont="1" applyAlignment="1">
      <alignment horizontal="center" vertical="center"/>
    </xf>
    <xf numFmtId="0" fontId="19" fillId="0" borderId="1" xfId="0" applyFont="1" applyBorder="1" applyAlignment="1">
      <alignment horizontal="center" vertical="center"/>
    </xf>
    <xf numFmtId="9" fontId="0" fillId="0" borderId="1" xfId="3" applyFont="1" applyBorder="1" applyAlignment="1">
      <alignment horizontal="center" vertical="center"/>
    </xf>
    <xf numFmtId="1" fontId="0" fillId="0" borderId="1" xfId="0" applyNumberFormat="1" applyBorder="1"/>
    <xf numFmtId="0" fontId="18" fillId="0" borderId="1" xfId="0" applyFont="1" applyBorder="1" applyAlignment="1">
      <alignment horizontal="center" vertical="center"/>
    </xf>
    <xf numFmtId="171" fontId="0" fillId="0" borderId="1" xfId="0" applyNumberFormat="1" applyBorder="1" applyAlignment="1">
      <alignment horizontal="center" vertical="center"/>
    </xf>
    <xf numFmtId="10" fontId="0" fillId="0" borderId="1" xfId="0" applyNumberFormat="1" applyBorder="1" applyAlignment="1">
      <alignment horizontal="center" vertical="center"/>
    </xf>
    <xf numFmtId="0" fontId="2" fillId="0" borderId="1" xfId="0" applyFont="1" applyBorder="1" applyAlignment="1">
      <alignment horizontal="center" vertical="center" wrapText="1"/>
    </xf>
    <xf numFmtId="1" fontId="0" fillId="0" borderId="31" xfId="0" applyNumberFormat="1" applyBorder="1"/>
    <xf numFmtId="0" fontId="19" fillId="0" borderId="31" xfId="0" applyFont="1" applyBorder="1" applyAlignment="1">
      <alignment horizontal="center" vertical="center"/>
    </xf>
    <xf numFmtId="0" fontId="0" fillId="0" borderId="0" xfId="0" applyAlignment="1">
      <alignment vertical="top"/>
    </xf>
    <xf numFmtId="0" fontId="0" fillId="0" borderId="1" xfId="0" applyBorder="1" applyAlignment="1">
      <alignment horizontal="center" vertical="center" wrapText="1"/>
    </xf>
    <xf numFmtId="0" fontId="0" fillId="0" borderId="1" xfId="0" applyBorder="1" applyAlignment="1">
      <alignment horizontal="center"/>
    </xf>
    <xf numFmtId="0" fontId="0" fillId="0" borderId="0" xfId="0" applyAlignment="1">
      <alignment horizontal="left" vertical="top" wrapText="1"/>
    </xf>
    <xf numFmtId="0" fontId="0" fillId="0" borderId="4" xfId="0" applyBorder="1" applyAlignment="1">
      <alignment horizontal="center" vertical="center" wrapText="1"/>
    </xf>
    <xf numFmtId="166" fontId="0" fillId="0" borderId="0" xfId="3" applyNumberFormat="1" applyFont="1"/>
    <xf numFmtId="43" fontId="0" fillId="0" borderId="0" xfId="1" applyFont="1"/>
    <xf numFmtId="1" fontId="20" fillId="0" borderId="0" xfId="0" applyNumberFormat="1" applyFont="1"/>
    <xf numFmtId="3" fontId="0" fillId="0" borderId="0" xfId="0" applyNumberFormat="1"/>
    <xf numFmtId="3" fontId="0" fillId="0" borderId="1" xfId="0" applyNumberFormat="1" applyBorder="1" applyAlignment="1">
      <alignment horizontal="center"/>
    </xf>
    <xf numFmtId="3" fontId="0" fillId="0" borderId="18" xfId="0" applyNumberFormat="1" applyBorder="1" applyAlignment="1">
      <alignment horizontal="center"/>
    </xf>
    <xf numFmtId="2" fontId="0" fillId="0" borderId="0" xfId="0" applyNumberFormat="1"/>
    <xf numFmtId="0" fontId="0" fillId="0" borderId="0" xfId="0" applyAlignment="1">
      <alignment horizontal="center"/>
    </xf>
    <xf numFmtId="0" fontId="20" fillId="0" borderId="0" xfId="0" applyFont="1" applyAlignment="1">
      <alignment horizontal="center" vertical="center" wrapText="1"/>
    </xf>
    <xf numFmtId="3" fontId="0" fillId="0" borderId="19" xfId="0" applyNumberFormat="1" applyBorder="1" applyAlignment="1">
      <alignment horizontal="center"/>
    </xf>
    <xf numFmtId="0" fontId="0" fillId="0" borderId="28" xfId="0" applyBorder="1" applyAlignment="1">
      <alignment horizontal="center" vertical="center"/>
    </xf>
    <xf numFmtId="0" fontId="0" fillId="0" borderId="22" xfId="0" applyBorder="1" applyAlignment="1">
      <alignment horizontal="center" vertical="center"/>
    </xf>
    <xf numFmtId="0" fontId="0" fillId="0" borderId="13" xfId="0" applyBorder="1" applyAlignment="1">
      <alignment horizontal="center" vertical="center" wrapText="1"/>
    </xf>
    <xf numFmtId="0" fontId="0" fillId="0" borderId="20" xfId="0" applyBorder="1" applyAlignment="1">
      <alignment horizontal="center" vertical="center"/>
    </xf>
    <xf numFmtId="0" fontId="0" fillId="0" borderId="13" xfId="0" applyBorder="1" applyAlignment="1">
      <alignment horizontal="center" vertical="center"/>
    </xf>
    <xf numFmtId="3" fontId="0" fillId="0" borderId="15" xfId="0" applyNumberFormat="1" applyBorder="1" applyAlignment="1">
      <alignment horizontal="left"/>
    </xf>
    <xf numFmtId="3" fontId="0" fillId="0" borderId="11" xfId="0" applyNumberFormat="1" applyBorder="1" applyAlignment="1">
      <alignment horizontal="center"/>
    </xf>
    <xf numFmtId="3" fontId="0" fillId="0" borderId="12" xfId="0" applyNumberFormat="1" applyBorder="1" applyAlignment="1">
      <alignment horizontal="center"/>
    </xf>
    <xf numFmtId="3" fontId="0" fillId="0" borderId="39" xfId="0" applyNumberFormat="1" applyBorder="1" applyAlignment="1">
      <alignment horizontal="center"/>
    </xf>
    <xf numFmtId="3" fontId="0" fillId="0" borderId="13" xfId="0" applyNumberFormat="1" applyBorder="1" applyAlignment="1">
      <alignment horizontal="center"/>
    </xf>
    <xf numFmtId="3" fontId="0" fillId="0" borderId="15" xfId="0" applyNumberFormat="1" applyBorder="1" applyAlignment="1">
      <alignment horizontal="center"/>
    </xf>
    <xf numFmtId="3" fontId="0" fillId="0" borderId="38" xfId="0" applyNumberFormat="1" applyBorder="1" applyAlignment="1">
      <alignment horizontal="center"/>
    </xf>
    <xf numFmtId="3" fontId="0" fillId="0" borderId="14" xfId="0" applyNumberFormat="1" applyBorder="1" applyAlignment="1">
      <alignment horizontal="center"/>
    </xf>
    <xf numFmtId="3" fontId="0" fillId="0" borderId="25" xfId="0" applyNumberFormat="1" applyBorder="1" applyAlignment="1">
      <alignment horizontal="center"/>
    </xf>
    <xf numFmtId="0" fontId="2" fillId="0" borderId="15" xfId="0" applyFont="1" applyBorder="1" applyAlignment="1">
      <alignment horizontal="center" vertical="center" wrapText="1"/>
    </xf>
    <xf numFmtId="0" fontId="2" fillId="0" borderId="12" xfId="0" applyFont="1" applyBorder="1" applyAlignment="1">
      <alignment horizontal="center" vertical="center" wrapText="1"/>
    </xf>
    <xf numFmtId="0" fontId="2" fillId="0" borderId="13" xfId="0" applyFont="1" applyBorder="1" applyAlignment="1">
      <alignment horizontal="center" vertical="center" wrapText="1"/>
    </xf>
    <xf numFmtId="0" fontId="2" fillId="0" borderId="14" xfId="0" applyFont="1" applyBorder="1" applyAlignment="1">
      <alignment horizontal="center" vertical="center" wrapText="1"/>
    </xf>
    <xf numFmtId="0" fontId="2" fillId="0" borderId="14" xfId="0" applyFont="1" applyBorder="1" applyAlignment="1">
      <alignment horizontal="center" vertical="center"/>
    </xf>
    <xf numFmtId="0" fontId="2" fillId="0" borderId="12" xfId="0" applyFont="1" applyBorder="1" applyAlignment="1">
      <alignment horizontal="center" vertical="center"/>
    </xf>
    <xf numFmtId="0" fontId="2" fillId="0" borderId="13" xfId="0" applyFont="1" applyBorder="1" applyAlignment="1">
      <alignment horizontal="center" vertical="center"/>
    </xf>
    <xf numFmtId="0" fontId="2" fillId="0" borderId="25" xfId="0" applyFont="1" applyBorder="1" applyAlignment="1">
      <alignment horizontal="center" vertical="center" wrapText="1"/>
    </xf>
    <xf numFmtId="3" fontId="0" fillId="0" borderId="15" xfId="0" quotePrefix="1" applyNumberFormat="1" applyBorder="1" applyAlignment="1">
      <alignment horizontal="center"/>
    </xf>
    <xf numFmtId="3" fontId="0" fillId="0" borderId="1" xfId="0" quotePrefix="1" applyNumberFormat="1" applyBorder="1" applyAlignment="1">
      <alignment horizontal="center"/>
    </xf>
    <xf numFmtId="3" fontId="0" fillId="0" borderId="19" xfId="0" quotePrefix="1" applyNumberFormat="1" applyBorder="1" applyAlignment="1">
      <alignment horizontal="center"/>
    </xf>
    <xf numFmtId="3" fontId="0" fillId="0" borderId="11" xfId="0" quotePrefix="1" applyNumberFormat="1" applyBorder="1" applyAlignment="1">
      <alignment horizontal="center"/>
    </xf>
    <xf numFmtId="1" fontId="0" fillId="0" borderId="10" xfId="0" applyNumberFormat="1" applyBorder="1" applyAlignment="1">
      <alignment horizontal="center" vertical="center"/>
    </xf>
    <xf numFmtId="1" fontId="0" fillId="0" borderId="11" xfId="0" applyNumberFormat="1" applyBorder="1" applyAlignment="1">
      <alignment horizontal="center" vertical="center"/>
    </xf>
    <xf numFmtId="1" fontId="0" fillId="0" borderId="13" xfId="0" applyNumberFormat="1" applyBorder="1" applyAlignment="1">
      <alignment horizontal="center" vertical="center"/>
    </xf>
    <xf numFmtId="0" fontId="20" fillId="0" borderId="0" xfId="0" applyFont="1" applyAlignment="1">
      <alignment vertical="top" wrapText="1"/>
    </xf>
    <xf numFmtId="0" fontId="7" fillId="0" borderId="0" xfId="0" applyFont="1" applyAlignment="1">
      <alignment vertical="top"/>
    </xf>
    <xf numFmtId="6" fontId="0" fillId="0" borderId="0" xfId="0" applyNumberFormat="1" applyAlignment="1">
      <alignment vertical="top" wrapText="1"/>
    </xf>
    <xf numFmtId="6" fontId="0" fillId="0" borderId="0" xfId="0" applyNumberFormat="1" applyAlignment="1">
      <alignment vertical="top"/>
    </xf>
    <xf numFmtId="9" fontId="0" fillId="0" borderId="0" xfId="0" applyNumberFormat="1" applyAlignment="1">
      <alignment vertical="top" wrapText="1"/>
    </xf>
    <xf numFmtId="6" fontId="0" fillId="0" borderId="0" xfId="0" applyNumberFormat="1" applyAlignment="1">
      <alignment horizontal="center" vertical="top" wrapText="1"/>
    </xf>
    <xf numFmtId="9" fontId="0" fillId="0" borderId="0" xfId="0" applyNumberFormat="1" applyAlignment="1">
      <alignment horizontal="center" vertical="top" wrapText="1"/>
    </xf>
    <xf numFmtId="0" fontId="21" fillId="0" borderId="0" xfId="0" applyFont="1" applyAlignment="1">
      <alignment vertical="top"/>
    </xf>
    <xf numFmtId="0" fontId="21" fillId="0" borderId="0" xfId="0" applyFont="1" applyAlignment="1">
      <alignment horizontal="left" vertical="center"/>
    </xf>
    <xf numFmtId="0" fontId="21" fillId="0" borderId="0" xfId="0" applyFont="1"/>
    <xf numFmtId="0" fontId="0" fillId="0" borderId="1" xfId="0" applyBorder="1" applyAlignment="1">
      <alignment vertical="top"/>
    </xf>
    <xf numFmtId="9" fontId="0" fillId="0" borderId="1" xfId="0" applyNumberFormat="1" applyBorder="1" applyAlignment="1">
      <alignment horizontal="center" vertical="top" wrapText="1"/>
    </xf>
    <xf numFmtId="6" fontId="0" fillId="0" borderId="1" xfId="0" applyNumberFormat="1" applyBorder="1" applyAlignment="1">
      <alignment horizontal="center" vertical="top" wrapText="1"/>
    </xf>
    <xf numFmtId="6" fontId="0" fillId="0" borderId="1" xfId="0" applyNumberFormat="1" applyBorder="1" applyAlignment="1">
      <alignment horizontal="center"/>
    </xf>
    <xf numFmtId="6" fontId="0" fillId="0" borderId="1" xfId="0" applyNumberFormat="1" applyBorder="1"/>
    <xf numFmtId="6" fontId="0" fillId="0" borderId="5" xfId="0" applyNumberFormat="1" applyBorder="1"/>
    <xf numFmtId="1" fontId="0" fillId="0" borderId="7" xfId="0" applyNumberFormat="1" applyBorder="1" applyAlignment="1">
      <alignment horizontal="center" vertical="center"/>
    </xf>
    <xf numFmtId="6" fontId="0" fillId="0" borderId="0" xfId="3" applyNumberFormat="1" applyFont="1" applyBorder="1" applyAlignment="1">
      <alignment vertical="top" wrapText="1"/>
    </xf>
    <xf numFmtId="11" fontId="0" fillId="0" borderId="0" xfId="0" applyNumberFormat="1"/>
    <xf numFmtId="8" fontId="0" fillId="0" borderId="0" xfId="0" applyNumberFormat="1" applyAlignment="1">
      <alignment vertical="top" wrapText="1"/>
    </xf>
    <xf numFmtId="0" fontId="2" fillId="0" borderId="1" xfId="0" applyFont="1" applyBorder="1" applyAlignment="1">
      <alignment horizontal="center"/>
    </xf>
    <xf numFmtId="169" fontId="0" fillId="0" borderId="0" xfId="0" applyNumberFormat="1" applyAlignment="1">
      <alignment vertical="top" wrapText="1"/>
    </xf>
    <xf numFmtId="1" fontId="0" fillId="0" borderId="0" xfId="0" applyNumberFormat="1" applyAlignment="1">
      <alignment vertical="top" wrapText="1"/>
    </xf>
    <xf numFmtId="3" fontId="0" fillId="0" borderId="12" xfId="0" applyNumberFormat="1" applyBorder="1" applyAlignment="1">
      <alignment horizontal="center" vertical="center"/>
    </xf>
    <xf numFmtId="3" fontId="2" fillId="0" borderId="12" xfId="0" applyNumberFormat="1" applyFont="1" applyBorder="1" applyAlignment="1">
      <alignment horizontal="center" vertical="center"/>
    </xf>
    <xf numFmtId="172" fontId="0" fillId="0" borderId="12" xfId="2" applyNumberFormat="1" applyFont="1" applyBorder="1" applyAlignment="1">
      <alignment vertical="center"/>
    </xf>
    <xf numFmtId="2" fontId="0" fillId="0" borderId="0" xfId="0" applyNumberFormat="1" applyAlignment="1">
      <alignment horizontal="center" vertical="center"/>
    </xf>
    <xf numFmtId="169" fontId="0" fillId="0" borderId="0" xfId="0" applyNumberFormat="1" applyAlignment="1">
      <alignment horizontal="center" vertical="center"/>
    </xf>
    <xf numFmtId="0" fontId="26" fillId="0" borderId="15" xfId="5" applyFont="1" applyBorder="1" applyAlignment="1">
      <alignment horizontal="center"/>
    </xf>
    <xf numFmtId="173" fontId="26" fillId="0" borderId="1" xfId="7" applyNumberFormat="1" applyFont="1" applyBorder="1" applyAlignment="1">
      <alignment horizontal="center"/>
    </xf>
    <xf numFmtId="11" fontId="26" fillId="0" borderId="46" xfId="8" applyNumberFormat="1" applyFont="1" applyBorder="1" applyAlignment="1">
      <alignment vertical="center"/>
    </xf>
    <xf numFmtId="11" fontId="26" fillId="0" borderId="19" xfId="8" applyNumberFormat="1" applyFont="1" applyBorder="1" applyAlignment="1">
      <alignment vertical="center"/>
    </xf>
    <xf numFmtId="0" fontId="26" fillId="0" borderId="47" xfId="5" applyFont="1" applyBorder="1" applyAlignment="1">
      <alignment horizontal="center"/>
    </xf>
    <xf numFmtId="173" fontId="26" fillId="0" borderId="4" xfId="7" applyNumberFormat="1" applyFont="1" applyBorder="1" applyAlignment="1">
      <alignment horizontal="center"/>
    </xf>
    <xf numFmtId="11" fontId="26" fillId="0" borderId="20" xfId="6" applyNumberFormat="1" applyFont="1" applyBorder="1" applyAlignment="1">
      <alignment vertical="top" wrapText="1"/>
    </xf>
    <xf numFmtId="11" fontId="26" fillId="0" borderId="40" xfId="8" applyNumberFormat="1" applyFont="1" applyBorder="1"/>
    <xf numFmtId="11" fontId="26" fillId="0" borderId="29" xfId="8" applyNumberFormat="1" applyFont="1" applyBorder="1"/>
    <xf numFmtId="0" fontId="26" fillId="0" borderId="42" xfId="8" applyFont="1" applyBorder="1"/>
    <xf numFmtId="0" fontId="26" fillId="0" borderId="23" xfId="8" applyFont="1" applyBorder="1"/>
    <xf numFmtId="173" fontId="26" fillId="0" borderId="23" xfId="7" applyNumberFormat="1" applyFont="1" applyBorder="1" applyAlignment="1">
      <alignment horizontal="center"/>
    </xf>
    <xf numFmtId="0" fontId="26" fillId="0" borderId="14" xfId="5" applyFont="1" applyBorder="1" applyAlignment="1">
      <alignment horizontal="center"/>
    </xf>
    <xf numFmtId="173" fontId="26" fillId="0" borderId="12" xfId="7" applyNumberFormat="1" applyFont="1" applyBorder="1" applyAlignment="1">
      <alignment horizontal="center"/>
    </xf>
    <xf numFmtId="165" fontId="0" fillId="0" borderId="1" xfId="0" applyNumberFormat="1" applyBorder="1" applyAlignment="1">
      <alignment horizontal="center" vertical="center"/>
    </xf>
    <xf numFmtId="0" fontId="26" fillId="0" borderId="5" xfId="5" applyFont="1" applyBorder="1" applyAlignment="1">
      <alignment horizontal="center" vertical="center" wrapText="1"/>
    </xf>
    <xf numFmtId="11" fontId="0" fillId="0" borderId="1" xfId="0" applyNumberFormat="1" applyBorder="1" applyAlignment="1">
      <alignment horizontal="center" vertical="center"/>
    </xf>
    <xf numFmtId="0" fontId="26" fillId="0" borderId="48" xfId="5" applyFont="1" applyBorder="1" applyAlignment="1">
      <alignment horizontal="center"/>
    </xf>
    <xf numFmtId="173" fontId="26" fillId="0" borderId="2" xfId="7" applyNumberFormat="1" applyFont="1" applyBorder="1" applyAlignment="1">
      <alignment horizontal="center"/>
    </xf>
    <xf numFmtId="6" fontId="0" fillId="0" borderId="0" xfId="3" applyNumberFormat="1" applyFont="1" applyBorder="1" applyAlignment="1">
      <alignment vertical="top"/>
    </xf>
    <xf numFmtId="0" fontId="0" fillId="0" borderId="18" xfId="0" applyBorder="1" applyAlignment="1">
      <alignment vertical="top" wrapText="1"/>
    </xf>
    <xf numFmtId="6" fontId="0" fillId="0" borderId="20" xfId="0" applyNumberFormat="1" applyBorder="1" applyAlignment="1">
      <alignment vertical="top" wrapText="1"/>
    </xf>
    <xf numFmtId="11" fontId="0" fillId="0" borderId="26" xfId="0" applyNumberFormat="1" applyBorder="1" applyAlignment="1">
      <alignment horizontal="center" vertical="center"/>
    </xf>
    <xf numFmtId="165" fontId="0" fillId="0" borderId="11" xfId="0" applyNumberFormat="1" applyBorder="1" applyAlignment="1">
      <alignment horizontal="center" vertical="center"/>
    </xf>
    <xf numFmtId="11" fontId="0" fillId="0" borderId="11" xfId="0" applyNumberFormat="1" applyBorder="1" applyAlignment="1">
      <alignment horizontal="center" vertical="center"/>
    </xf>
    <xf numFmtId="11" fontId="0" fillId="0" borderId="49" xfId="0" applyNumberFormat="1" applyBorder="1" applyAlignment="1">
      <alignment horizontal="center" vertical="center"/>
    </xf>
    <xf numFmtId="11" fontId="0" fillId="0" borderId="44" xfId="0" applyNumberFormat="1" applyBorder="1" applyAlignment="1">
      <alignment horizontal="center" vertical="center"/>
    </xf>
    <xf numFmtId="0" fontId="26" fillId="0" borderId="0" xfId="0" applyFont="1"/>
    <xf numFmtId="11" fontId="26" fillId="0" borderId="0" xfId="0" applyNumberFormat="1" applyFont="1" applyAlignment="1">
      <alignment horizontal="center" vertical="center"/>
    </xf>
    <xf numFmtId="165" fontId="0" fillId="0" borderId="41" xfId="0" applyNumberFormat="1" applyBorder="1" applyAlignment="1">
      <alignment horizontal="center" vertical="center"/>
    </xf>
    <xf numFmtId="165" fontId="0" fillId="0" borderId="43" xfId="0" applyNumberFormat="1" applyBorder="1" applyAlignment="1">
      <alignment horizontal="center" vertical="center"/>
    </xf>
    <xf numFmtId="11" fontId="0" fillId="0" borderId="13" xfId="0" applyNumberFormat="1" applyBorder="1" applyAlignment="1">
      <alignment horizontal="center" vertical="center"/>
    </xf>
    <xf numFmtId="1" fontId="0" fillId="0" borderId="18" xfId="0" applyNumberFormat="1" applyBorder="1" applyAlignment="1">
      <alignment horizontal="center" vertical="center"/>
    </xf>
    <xf numFmtId="0" fontId="0" fillId="0" borderId="9" xfId="0" applyBorder="1" applyAlignment="1">
      <alignment horizontal="center"/>
    </xf>
    <xf numFmtId="0" fontId="0" fillId="0" borderId="12" xfId="0" applyBorder="1" applyAlignment="1">
      <alignment horizontal="center"/>
    </xf>
    <xf numFmtId="0" fontId="10" fillId="0" borderId="50" xfId="0" applyFont="1" applyBorder="1"/>
    <xf numFmtId="0" fontId="10" fillId="0" borderId="0" xfId="0" applyFont="1"/>
    <xf numFmtId="0" fontId="27" fillId="0" borderId="1" xfId="0" applyFont="1" applyBorder="1" applyAlignment="1">
      <alignment horizontal="center" vertical="center" wrapText="1"/>
    </xf>
    <xf numFmtId="0" fontId="22" fillId="0" borderId="0" xfId="0" applyFont="1" applyAlignment="1">
      <alignment vertical="top"/>
    </xf>
    <xf numFmtId="0" fontId="0" fillId="0" borderId="51" xfId="0" applyBorder="1"/>
    <xf numFmtId="1" fontId="0" fillId="0" borderId="51" xfId="0" applyNumberFormat="1" applyBorder="1" applyAlignment="1">
      <alignment horizontal="center" vertical="center"/>
    </xf>
    <xf numFmtId="0" fontId="0" fillId="0" borderId="53" xfId="0" applyBorder="1" applyAlignment="1">
      <alignment horizontal="center" vertical="center" wrapText="1"/>
    </xf>
    <xf numFmtId="0" fontId="0" fillId="0" borderId="19" xfId="0" applyBorder="1" applyAlignment="1">
      <alignment vertical="top"/>
    </xf>
    <xf numFmtId="0" fontId="0" fillId="0" borderId="19" xfId="0" applyBorder="1"/>
    <xf numFmtId="0" fontId="30" fillId="0" borderId="0" xfId="0" applyFont="1"/>
    <xf numFmtId="0" fontId="0" fillId="0" borderId="4" xfId="0" quotePrefix="1" applyBorder="1" applyAlignment="1">
      <alignment horizontal="center"/>
    </xf>
    <xf numFmtId="1" fontId="0" fillId="0" borderId="26" xfId="0" quotePrefix="1" applyNumberFormat="1" applyBorder="1" applyAlignment="1">
      <alignment horizontal="center" vertical="center"/>
    </xf>
    <xf numFmtId="166" fontId="0" fillId="0" borderId="22" xfId="0" quotePrefix="1" applyNumberFormat="1" applyBorder="1" applyAlignment="1">
      <alignment horizontal="center" vertical="center"/>
    </xf>
    <xf numFmtId="1" fontId="0" fillId="0" borderId="1" xfId="0" quotePrefix="1" applyNumberFormat="1" applyBorder="1" applyAlignment="1">
      <alignment horizontal="center" vertical="center"/>
    </xf>
    <xf numFmtId="166" fontId="0" fillId="0" borderId="1" xfId="0" quotePrefix="1" applyNumberFormat="1" applyBorder="1" applyAlignment="1">
      <alignment horizontal="center" vertical="center"/>
    </xf>
    <xf numFmtId="11" fontId="0" fillId="0" borderId="1" xfId="0" applyNumberFormat="1" applyBorder="1"/>
    <xf numFmtId="0" fontId="0" fillId="0" borderId="25" xfId="0" applyBorder="1" applyAlignment="1">
      <alignment horizontal="center" vertical="center" wrapText="1"/>
    </xf>
    <xf numFmtId="166" fontId="0" fillId="0" borderId="17" xfId="0" applyNumberFormat="1" applyBorder="1" applyAlignment="1">
      <alignment horizontal="center" vertical="center"/>
    </xf>
    <xf numFmtId="0" fontId="0" fillId="0" borderId="9" xfId="0" quotePrefix="1" applyBorder="1" applyAlignment="1">
      <alignment horizontal="center" vertical="center"/>
    </xf>
    <xf numFmtId="1" fontId="0" fillId="0" borderId="17" xfId="0" quotePrefix="1" applyNumberFormat="1" applyBorder="1" applyAlignment="1">
      <alignment horizontal="center" vertical="center"/>
    </xf>
    <xf numFmtId="169" fontId="0" fillId="0" borderId="9" xfId="0" applyNumberFormat="1" applyBorder="1" applyAlignment="1">
      <alignment horizontal="center" vertical="center"/>
    </xf>
    <xf numFmtId="2" fontId="0" fillId="0" borderId="10" xfId="0" applyNumberFormat="1" applyBorder="1" applyAlignment="1">
      <alignment horizontal="center" vertical="center"/>
    </xf>
    <xf numFmtId="2" fontId="0" fillId="0" borderId="11" xfId="0" applyNumberFormat="1" applyBorder="1" applyAlignment="1">
      <alignment horizontal="center" vertical="center"/>
    </xf>
    <xf numFmtId="11" fontId="0" fillId="0" borderId="12" xfId="0" applyNumberFormat="1" applyBorder="1" applyAlignment="1">
      <alignment horizontal="center" vertical="center"/>
    </xf>
    <xf numFmtId="0" fontId="0" fillId="0" borderId="12" xfId="0" quotePrefix="1" applyBorder="1" applyAlignment="1">
      <alignment horizontal="center" vertical="center"/>
    </xf>
    <xf numFmtId="0" fontId="0" fillId="0" borderId="25" xfId="0" quotePrefix="1" applyBorder="1" applyAlignment="1">
      <alignment horizontal="center" vertical="center"/>
    </xf>
    <xf numFmtId="0" fontId="0" fillId="0" borderId="33" xfId="0" applyBorder="1"/>
    <xf numFmtId="0" fontId="0" fillId="0" borderId="42" xfId="0" applyBorder="1"/>
    <xf numFmtId="0" fontId="0" fillId="0" borderId="46" xfId="0" applyBorder="1"/>
    <xf numFmtId="0" fontId="0" fillId="0" borderId="36" xfId="0" applyBorder="1"/>
    <xf numFmtId="0" fontId="0" fillId="0" borderId="8" xfId="0" applyBorder="1" applyAlignment="1">
      <alignment horizontal="center"/>
    </xf>
    <xf numFmtId="0" fontId="0" fillId="0" borderId="47" xfId="0" quotePrefix="1" applyBorder="1" applyAlignment="1">
      <alignment horizontal="center"/>
    </xf>
    <xf numFmtId="0" fontId="0" fillId="0" borderId="15" xfId="0" applyBorder="1" applyAlignment="1">
      <alignment horizontal="center"/>
    </xf>
    <xf numFmtId="0" fontId="0" fillId="0" borderId="14" xfId="0" applyBorder="1" applyAlignment="1">
      <alignment horizontal="center"/>
    </xf>
    <xf numFmtId="0" fontId="0" fillId="0" borderId="38" xfId="0" applyBorder="1" applyAlignment="1">
      <alignment horizontal="center" vertical="center" wrapText="1"/>
    </xf>
    <xf numFmtId="0" fontId="0" fillId="0" borderId="54" xfId="0" quotePrefix="1" applyBorder="1" applyAlignment="1">
      <alignment horizontal="center" vertical="center"/>
    </xf>
    <xf numFmtId="0" fontId="0" fillId="0" borderId="38" xfId="0" quotePrefix="1" applyBorder="1" applyAlignment="1">
      <alignment horizontal="center" vertical="center"/>
    </xf>
    <xf numFmtId="0" fontId="0" fillId="0" borderId="15" xfId="0" quotePrefix="1" applyBorder="1" applyAlignment="1">
      <alignment horizontal="center" vertical="center"/>
    </xf>
    <xf numFmtId="1" fontId="0" fillId="0" borderId="11" xfId="0" quotePrefix="1" applyNumberFormat="1" applyBorder="1" applyAlignment="1">
      <alignment horizontal="center" vertical="center"/>
    </xf>
    <xf numFmtId="11" fontId="0" fillId="0" borderId="14" xfId="0" applyNumberFormat="1" applyBorder="1" applyAlignment="1">
      <alignment horizontal="center" vertical="center"/>
    </xf>
    <xf numFmtId="1" fontId="0" fillId="0" borderId="8" xfId="0" applyNumberFormat="1" applyBorder="1" applyAlignment="1">
      <alignment horizontal="center" vertical="center"/>
    </xf>
    <xf numFmtId="1" fontId="0" fillId="0" borderId="15" xfId="0" applyNumberFormat="1" applyBorder="1" applyAlignment="1">
      <alignment horizontal="center" vertical="center"/>
    </xf>
    <xf numFmtId="169" fontId="26" fillId="0" borderId="20" xfId="0" applyNumberFormat="1" applyFont="1" applyBorder="1" applyAlignment="1">
      <alignment horizontal="center" vertical="center"/>
    </xf>
    <xf numFmtId="169" fontId="26" fillId="0" borderId="1" xfId="0" quotePrefix="1" applyNumberFormat="1" applyFont="1" applyBorder="1" applyAlignment="1">
      <alignment horizontal="center" vertical="center"/>
    </xf>
    <xf numFmtId="1" fontId="26" fillId="0" borderId="18" xfId="0" applyNumberFormat="1" applyFont="1" applyBorder="1" applyAlignment="1">
      <alignment horizontal="center" vertical="center"/>
    </xf>
    <xf numFmtId="169" fontId="26" fillId="0" borderId="52" xfId="5" applyNumberFormat="1" applyFont="1" applyBorder="1" applyAlignment="1">
      <alignment horizontal="center" vertical="center" wrapText="1"/>
    </xf>
    <xf numFmtId="0" fontId="26" fillId="0" borderId="40" xfId="5" applyFont="1" applyBorder="1" applyAlignment="1">
      <alignment horizontal="center"/>
    </xf>
    <xf numFmtId="0" fontId="0" fillId="0" borderId="1" xfId="0" applyBorder="1" applyAlignment="1">
      <alignment horizontal="center" wrapText="1"/>
    </xf>
    <xf numFmtId="165" fontId="0" fillId="0" borderId="1" xfId="0" applyNumberFormat="1" applyBorder="1"/>
    <xf numFmtId="169" fontId="0" fillId="0" borderId="1" xfId="0" applyNumberFormat="1" applyBorder="1"/>
    <xf numFmtId="173" fontId="26" fillId="0" borderId="1" xfId="7" applyNumberFormat="1" applyFont="1" applyBorder="1" applyAlignment="1">
      <alignment horizontal="center" vertical="center"/>
    </xf>
    <xf numFmtId="164" fontId="0" fillId="0" borderId="1" xfId="0" applyNumberFormat="1" applyBorder="1"/>
    <xf numFmtId="0" fontId="0" fillId="0" borderId="30" xfId="0" applyBorder="1"/>
    <xf numFmtId="0" fontId="0" fillId="0" borderId="32" xfId="0" applyBorder="1"/>
    <xf numFmtId="0" fontId="0" fillId="0" borderId="20" xfId="0" applyBorder="1"/>
    <xf numFmtId="0" fontId="28" fillId="0" borderId="1" xfId="0" applyFont="1" applyBorder="1" applyAlignment="1">
      <alignment horizontal="center" vertical="center" wrapText="1"/>
    </xf>
    <xf numFmtId="0" fontId="27" fillId="0" borderId="1" xfId="0" applyFont="1" applyBorder="1" applyAlignment="1">
      <alignment horizontal="center" wrapText="1"/>
    </xf>
    <xf numFmtId="1" fontId="0" fillId="0" borderId="1" xfId="0" applyNumberFormat="1" applyBorder="1" applyAlignment="1">
      <alignment horizontal="center" vertical="center" wrapText="1"/>
    </xf>
    <xf numFmtId="1" fontId="0" fillId="0" borderId="9" xfId="0" applyNumberFormat="1" applyBorder="1" applyAlignment="1">
      <alignment horizontal="center" vertical="center" wrapText="1"/>
    </xf>
    <xf numFmtId="2" fontId="0" fillId="0" borderId="10" xfId="0" applyNumberFormat="1" applyBorder="1" applyAlignment="1">
      <alignment horizontal="center" vertical="center" wrapText="1"/>
    </xf>
    <xf numFmtId="2" fontId="0" fillId="0" borderId="11" xfId="0" applyNumberFormat="1" applyBorder="1" applyAlignment="1">
      <alignment horizontal="center" vertical="center" wrapText="1"/>
    </xf>
    <xf numFmtId="1" fontId="0" fillId="0" borderId="12" xfId="0" applyNumberFormat="1" applyBorder="1" applyAlignment="1">
      <alignment horizontal="center" vertical="center" wrapText="1"/>
    </xf>
    <xf numFmtId="2" fontId="0" fillId="0" borderId="13" xfId="0" applyNumberFormat="1" applyBorder="1" applyAlignment="1">
      <alignment horizontal="center" vertical="center" wrapText="1"/>
    </xf>
    <xf numFmtId="11" fontId="3" fillId="0" borderId="1" xfId="0" applyNumberFormat="1" applyFont="1" applyBorder="1" applyAlignment="1">
      <alignment horizontal="center" vertical="center" wrapText="1"/>
    </xf>
    <xf numFmtId="0" fontId="0" fillId="0" borderId="5" xfId="0" applyBorder="1"/>
    <xf numFmtId="166" fontId="0" fillId="0" borderId="6" xfId="0" applyNumberFormat="1" applyBorder="1" applyAlignment="1">
      <alignment horizontal="center"/>
    </xf>
    <xf numFmtId="166" fontId="0" fillId="0" borderId="7" xfId="0" applyNumberFormat="1" applyBorder="1" applyAlignment="1">
      <alignment horizontal="center"/>
    </xf>
    <xf numFmtId="0" fontId="26" fillId="0" borderId="0" xfId="4" applyFont="1"/>
    <xf numFmtId="0" fontId="32" fillId="0" borderId="0" xfId="0" applyFont="1"/>
    <xf numFmtId="6" fontId="32" fillId="0" borderId="0" xfId="0" applyNumberFormat="1" applyFont="1"/>
    <xf numFmtId="0" fontId="31" fillId="0" borderId="0" xfId="0" applyFont="1" applyAlignment="1">
      <alignment horizontal="center" vertical="center"/>
    </xf>
    <xf numFmtId="6" fontId="32" fillId="0" borderId="0" xfId="0" applyNumberFormat="1" applyFont="1" applyAlignment="1">
      <alignment horizontal="center" vertical="center"/>
    </xf>
    <xf numFmtId="0" fontId="32" fillId="0" borderId="1" xfId="0" applyFont="1" applyBorder="1" applyAlignment="1">
      <alignment horizontal="center" vertical="center"/>
    </xf>
    <xf numFmtId="6" fontId="32" fillId="0" borderId="1" xfId="0" applyNumberFormat="1" applyFont="1" applyBorder="1" applyAlignment="1">
      <alignment horizontal="center" vertical="center"/>
    </xf>
    <xf numFmtId="0" fontId="31" fillId="0" borderId="5" xfId="0" applyFont="1" applyBorder="1" applyAlignment="1">
      <alignment horizontal="center" vertical="center"/>
    </xf>
    <xf numFmtId="0" fontId="31" fillId="0" borderId="6" xfId="0" applyFont="1" applyBorder="1" applyAlignment="1">
      <alignment horizontal="center" vertical="center"/>
    </xf>
    <xf numFmtId="0" fontId="31" fillId="0" borderId="7" xfId="0" applyFont="1" applyBorder="1" applyAlignment="1">
      <alignment horizontal="center" vertical="center"/>
    </xf>
    <xf numFmtId="0" fontId="32" fillId="0" borderId="8" xfId="0" applyFont="1" applyBorder="1"/>
    <xf numFmtId="0" fontId="32" fillId="0" borderId="9" xfId="0" applyFont="1" applyBorder="1" applyAlignment="1">
      <alignment horizontal="center" vertical="center"/>
    </xf>
    <xf numFmtId="6" fontId="32" fillId="0" borderId="9" xfId="0" applyNumberFormat="1" applyFont="1" applyBorder="1" applyAlignment="1">
      <alignment horizontal="center" vertical="center"/>
    </xf>
    <xf numFmtId="6" fontId="32" fillId="0" borderId="10" xfId="0" applyNumberFormat="1" applyFont="1" applyBorder="1" applyAlignment="1">
      <alignment horizontal="center" vertical="center"/>
    </xf>
    <xf numFmtId="0" fontId="32" fillId="0" borderId="15" xfId="0" applyFont="1" applyBorder="1"/>
    <xf numFmtId="6" fontId="32" fillId="0" borderId="11" xfId="0" applyNumberFormat="1" applyFont="1" applyBorder="1" applyAlignment="1">
      <alignment horizontal="center" vertical="center"/>
    </xf>
    <xf numFmtId="0" fontId="31" fillId="0" borderId="14" xfId="0" applyFont="1" applyBorder="1"/>
    <xf numFmtId="0" fontId="32" fillId="0" borderId="12" xfId="0" applyFont="1" applyBorder="1" applyAlignment="1">
      <alignment horizontal="center" vertical="center"/>
    </xf>
    <xf numFmtId="6" fontId="31" fillId="0" borderId="12" xfId="0" applyNumberFormat="1" applyFont="1" applyBorder="1" applyAlignment="1">
      <alignment horizontal="center" vertical="center"/>
    </xf>
    <xf numFmtId="6" fontId="32" fillId="0" borderId="12" xfId="0" applyNumberFormat="1" applyFont="1" applyBorder="1" applyAlignment="1">
      <alignment horizontal="center" vertical="center"/>
    </xf>
    <xf numFmtId="6" fontId="32" fillId="0" borderId="13" xfId="0" applyNumberFormat="1" applyFont="1" applyBorder="1" applyAlignment="1">
      <alignment horizontal="center" vertical="center"/>
    </xf>
    <xf numFmtId="0" fontId="33" fillId="0" borderId="0" xfId="4" applyFont="1"/>
    <xf numFmtId="0" fontId="0" fillId="0" borderId="47" xfId="0" applyBorder="1" applyAlignment="1">
      <alignment horizontal="left" vertical="center"/>
    </xf>
    <xf numFmtId="0" fontId="0" fillId="0" borderId="4" xfId="0" applyBorder="1" applyAlignment="1">
      <alignment horizontal="center" vertical="center"/>
    </xf>
    <xf numFmtId="3" fontId="0" fillId="0" borderId="4" xfId="0" applyNumberFormat="1" applyBorder="1" applyAlignment="1">
      <alignment horizontal="center" vertical="center"/>
    </xf>
    <xf numFmtId="167" fontId="0" fillId="0" borderId="4" xfId="1" applyNumberFormat="1" applyFont="1" applyFill="1" applyBorder="1" applyAlignment="1">
      <alignment horizontal="center" vertical="center"/>
    </xf>
    <xf numFmtId="170" fontId="0" fillId="0" borderId="0" xfId="1" applyNumberFormat="1" applyFont="1" applyBorder="1" applyAlignment="1">
      <alignment horizontal="center" vertical="center"/>
    </xf>
    <xf numFmtId="167" fontId="0" fillId="0" borderId="0" xfId="1" applyNumberFormat="1" applyFont="1" applyBorder="1" applyAlignment="1">
      <alignment horizontal="center" vertical="center"/>
    </xf>
    <xf numFmtId="0" fontId="26" fillId="0" borderId="1" xfId="0" applyFont="1" applyBorder="1" applyAlignment="1">
      <alignment horizontal="center" vertical="center" wrapText="1"/>
    </xf>
    <xf numFmtId="0" fontId="0" fillId="0" borderId="37" xfId="0" applyBorder="1"/>
    <xf numFmtId="166" fontId="0" fillId="0" borderId="37" xfId="0" applyNumberFormat="1" applyBorder="1" applyAlignment="1">
      <alignment horizontal="center" vertical="center"/>
    </xf>
    <xf numFmtId="11" fontId="3" fillId="0" borderId="0" xfId="0" applyNumberFormat="1" applyFont="1" applyAlignment="1">
      <alignment horizontal="center" vertical="center" wrapText="1"/>
    </xf>
    <xf numFmtId="0" fontId="3" fillId="0" borderId="0" xfId="0" applyFont="1" applyAlignment="1">
      <alignment horizontal="left" vertical="center"/>
    </xf>
    <xf numFmtId="2" fontId="3" fillId="0" borderId="0" xfId="0" applyNumberFormat="1" applyFont="1" applyAlignment="1">
      <alignment horizontal="center" vertical="center"/>
    </xf>
    <xf numFmtId="11" fontId="3" fillId="0" borderId="0" xfId="0" applyNumberFormat="1" applyFont="1" applyAlignment="1">
      <alignment horizontal="center" vertical="center"/>
    </xf>
    <xf numFmtId="0" fontId="0" fillId="0" borderId="0" xfId="0" applyAlignment="1">
      <alignment vertical="center"/>
    </xf>
    <xf numFmtId="3" fontId="10" fillId="0" borderId="1" xfId="0" quotePrefix="1" applyNumberFormat="1" applyFont="1" applyBorder="1" applyAlignment="1">
      <alignment horizontal="center" vertical="center"/>
    </xf>
    <xf numFmtId="1" fontId="0" fillId="5" borderId="1" xfId="0" applyNumberFormat="1" applyFill="1" applyBorder="1"/>
    <xf numFmtId="166" fontId="0" fillId="5" borderId="1" xfId="0" applyNumberFormat="1" applyFill="1" applyBorder="1"/>
    <xf numFmtId="9" fontId="0" fillId="0" borderId="1" xfId="3" applyFont="1" applyFill="1" applyBorder="1" applyAlignment="1">
      <alignment horizontal="center" vertical="center"/>
    </xf>
    <xf numFmtId="0" fontId="0" fillId="0" borderId="10" xfId="0" applyBorder="1" applyAlignment="1">
      <alignment horizontal="center" vertical="center"/>
    </xf>
    <xf numFmtId="0" fontId="0" fillId="0" borderId="11" xfId="0" applyBorder="1" applyAlignment="1">
      <alignment horizontal="center" vertical="center"/>
    </xf>
    <xf numFmtId="0" fontId="32" fillId="0" borderId="14" xfId="0" applyFont="1" applyBorder="1"/>
    <xf numFmtId="0" fontId="0" fillId="0" borderId="52" xfId="0" applyBorder="1" applyAlignment="1">
      <alignment horizontal="center" vertical="center"/>
    </xf>
    <xf numFmtId="3" fontId="10" fillId="0" borderId="12" xfId="0" quotePrefix="1" applyNumberFormat="1" applyFont="1" applyBorder="1" applyAlignment="1">
      <alignment horizontal="center" vertical="center"/>
    </xf>
    <xf numFmtId="170" fontId="0" fillId="0" borderId="12" xfId="1" applyNumberFormat="1" applyFont="1" applyBorder="1" applyAlignment="1">
      <alignment horizontal="center" vertical="center"/>
    </xf>
    <xf numFmtId="167" fontId="26" fillId="0" borderId="9" xfId="1" applyNumberFormat="1" applyFont="1" applyFill="1" applyBorder="1" applyAlignment="1">
      <alignment horizontal="center" vertical="center"/>
    </xf>
    <xf numFmtId="167" fontId="26" fillId="0" borderId="3" xfId="1" applyNumberFormat="1" applyFont="1" applyFill="1" applyBorder="1" applyAlignment="1">
      <alignment horizontal="center" vertical="center"/>
    </xf>
    <xf numFmtId="167" fontId="26" fillId="0" borderId="16" xfId="1" applyNumberFormat="1" applyFont="1" applyFill="1" applyBorder="1" applyAlignment="1">
      <alignment horizontal="center" vertical="center"/>
    </xf>
    <xf numFmtId="167" fontId="26" fillId="0" borderId="1" xfId="1" applyNumberFormat="1" applyFont="1" applyFill="1" applyBorder="1" applyAlignment="1">
      <alignment horizontal="center" vertical="center"/>
    </xf>
    <xf numFmtId="167" fontId="26" fillId="0" borderId="18" xfId="1" applyNumberFormat="1" applyFont="1" applyFill="1" applyBorder="1" applyAlignment="1">
      <alignment horizontal="center" vertical="center"/>
    </xf>
    <xf numFmtId="170" fontId="26" fillId="0" borderId="1" xfId="1" applyNumberFormat="1" applyFont="1" applyBorder="1" applyAlignment="1">
      <alignment horizontal="center" vertical="center"/>
    </xf>
    <xf numFmtId="167" fontId="26" fillId="0" borderId="18" xfId="1" applyNumberFormat="1" applyFont="1" applyBorder="1" applyAlignment="1">
      <alignment horizontal="center" vertical="center"/>
    </xf>
    <xf numFmtId="170" fontId="26" fillId="0" borderId="12" xfId="1" applyNumberFormat="1" applyFont="1" applyBorder="1" applyAlignment="1">
      <alignment horizontal="center" vertical="center"/>
    </xf>
    <xf numFmtId="167" fontId="26" fillId="0" borderId="25" xfId="1" applyNumberFormat="1" applyFont="1" applyBorder="1" applyAlignment="1">
      <alignment horizontal="center" vertical="center"/>
    </xf>
    <xf numFmtId="0" fontId="0" fillId="0" borderId="8" xfId="0" applyBorder="1" applyAlignment="1">
      <alignment vertical="top"/>
    </xf>
    <xf numFmtId="3" fontId="0" fillId="0" borderId="10" xfId="0" applyNumberFormat="1" applyBorder="1" applyAlignment="1">
      <alignment horizontal="center" vertical="center"/>
    </xf>
    <xf numFmtId="0" fontId="0" fillId="0" borderId="15" xfId="0" applyBorder="1" applyAlignment="1">
      <alignment vertical="top"/>
    </xf>
    <xf numFmtId="3" fontId="0" fillId="0" borderId="11" xfId="0" applyNumberFormat="1" applyBorder="1" applyAlignment="1">
      <alignment horizontal="center" vertical="center"/>
    </xf>
    <xf numFmtId="0" fontId="2" fillId="0" borderId="14" xfId="0" applyFont="1" applyBorder="1" applyAlignment="1">
      <alignment vertical="top" wrapText="1"/>
    </xf>
    <xf numFmtId="3" fontId="2" fillId="0" borderId="13" xfId="0" applyNumberFormat="1" applyFont="1" applyBorder="1" applyAlignment="1">
      <alignment horizontal="center" vertical="center"/>
    </xf>
    <xf numFmtId="0" fontId="28" fillId="0" borderId="0" xfId="0" applyFont="1" applyAlignment="1">
      <alignment vertical="center" wrapText="1"/>
    </xf>
    <xf numFmtId="0" fontId="2" fillId="0" borderId="0" xfId="0" applyFont="1" applyAlignment="1">
      <alignment horizontal="center"/>
    </xf>
    <xf numFmtId="0" fontId="13" fillId="0" borderId="0" xfId="0" applyFont="1" applyAlignment="1">
      <alignment vertical="top" wrapText="1"/>
    </xf>
    <xf numFmtId="0" fontId="0" fillId="0" borderId="0" xfId="0" applyAlignment="1">
      <alignment horizontal="left" vertical="top"/>
    </xf>
    <xf numFmtId="0" fontId="7" fillId="0" borderId="0" xfId="0" applyFont="1" applyAlignment="1">
      <alignment horizontal="left" vertical="top"/>
    </xf>
    <xf numFmtId="0" fontId="21" fillId="0" borderId="0" xfId="0" applyFont="1" applyAlignment="1">
      <alignment horizontal="left" vertical="top"/>
    </xf>
    <xf numFmtId="9" fontId="0" fillId="0" borderId="0" xfId="0" applyNumberFormat="1" applyAlignment="1">
      <alignment horizontal="right" vertical="top" wrapText="1"/>
    </xf>
    <xf numFmtId="0" fontId="0" fillId="0" borderId="0" xfId="0" applyAlignment="1">
      <alignment horizontal="right" vertical="top" wrapText="1"/>
    </xf>
    <xf numFmtId="8" fontId="0" fillId="0" borderId="0" xfId="0" applyNumberFormat="1" applyAlignment="1">
      <alignment horizontal="right" vertical="top" wrapText="1"/>
    </xf>
    <xf numFmtId="6" fontId="0" fillId="0" borderId="0" xfId="0" applyNumberFormat="1" applyAlignment="1">
      <alignment horizontal="right" vertical="top" wrapText="1"/>
    </xf>
    <xf numFmtId="0" fontId="6" fillId="0" borderId="0" xfId="0" applyFont="1" applyAlignment="1">
      <alignment horizontal="left" vertical="top" wrapText="1"/>
    </xf>
    <xf numFmtId="0" fontId="0" fillId="0" borderId="0" xfId="0" applyAlignment="1">
      <alignment horizontal="right" vertical="top"/>
    </xf>
    <xf numFmtId="2" fontId="0" fillId="0" borderId="0" xfId="0" applyNumberFormat="1" applyAlignment="1">
      <alignment horizontal="right" vertical="top" wrapText="1"/>
    </xf>
    <xf numFmtId="9" fontId="0" fillId="0" borderId="0" xfId="0" applyNumberFormat="1" applyAlignment="1">
      <alignment horizontal="right" vertical="center" wrapText="1"/>
    </xf>
    <xf numFmtId="9" fontId="0" fillId="0" borderId="0" xfId="0" applyNumberFormat="1" applyAlignment="1">
      <alignment horizontal="right" vertical="top"/>
    </xf>
    <xf numFmtId="2" fontId="0" fillId="0" borderId="0" xfId="0" applyNumberFormat="1" applyAlignment="1">
      <alignment horizontal="right" vertical="top"/>
    </xf>
    <xf numFmtId="166" fontId="0" fillId="0" borderId="0" xfId="0" applyNumberFormat="1" applyAlignment="1">
      <alignment horizontal="right" vertical="top"/>
    </xf>
    <xf numFmtId="1" fontId="0" fillId="0" borderId="0" xfId="0" applyNumberFormat="1" applyAlignment="1">
      <alignment horizontal="right" vertical="top"/>
    </xf>
    <xf numFmtId="6" fontId="0" fillId="0" borderId="0" xfId="0" applyNumberFormat="1" applyAlignment="1">
      <alignment horizontal="right"/>
    </xf>
    <xf numFmtId="6" fontId="0" fillId="0" borderId="0" xfId="2" applyNumberFormat="1" applyFont="1" applyAlignment="1">
      <alignment horizontal="right" vertical="top" wrapText="1"/>
    </xf>
    <xf numFmtId="1" fontId="0" fillId="0" borderId="0" xfId="0" applyNumberFormat="1" applyAlignment="1">
      <alignment horizontal="right" vertical="top" wrapText="1"/>
    </xf>
    <xf numFmtId="0" fontId="0" fillId="0" borderId="5" xfId="0" applyBorder="1" applyAlignment="1">
      <alignment horizontal="left" vertical="center"/>
    </xf>
    <xf numFmtId="0" fontId="0" fillId="0" borderId="8" xfId="0" applyBorder="1" applyAlignment="1">
      <alignment horizontal="left" vertical="top"/>
    </xf>
    <xf numFmtId="0" fontId="0" fillId="0" borderId="10" xfId="0" applyBorder="1" applyAlignment="1">
      <alignment horizontal="center"/>
    </xf>
    <xf numFmtId="0" fontId="0" fillId="0" borderId="15" xfId="0" applyBorder="1" applyAlignment="1">
      <alignment horizontal="left" vertical="top"/>
    </xf>
    <xf numFmtId="0" fontId="0" fillId="0" borderId="11" xfId="0" applyBorder="1" applyAlignment="1">
      <alignment horizontal="center"/>
    </xf>
    <xf numFmtId="0" fontId="0" fillId="0" borderId="14" xfId="0" applyBorder="1" applyAlignment="1">
      <alignment horizontal="left" vertical="top"/>
    </xf>
    <xf numFmtId="0" fontId="26" fillId="0" borderId="12" xfId="0" applyFont="1" applyBorder="1" applyAlignment="1">
      <alignment horizontal="center" vertical="center" wrapText="1"/>
    </xf>
    <xf numFmtId="0" fontId="26" fillId="0" borderId="13" xfId="0" applyFont="1" applyBorder="1" applyAlignment="1">
      <alignment horizontal="center" vertical="center" wrapText="1"/>
    </xf>
    <xf numFmtId="6" fontId="0" fillId="0" borderId="1" xfId="0" applyNumberFormat="1" applyBorder="1" applyAlignment="1">
      <alignment horizontal="center" vertical="center"/>
    </xf>
    <xf numFmtId="0" fontId="17" fillId="0" borderId="12" xfId="0" applyFont="1" applyBorder="1" applyAlignment="1">
      <alignment horizontal="center" vertical="center" wrapText="1"/>
    </xf>
    <xf numFmtId="168" fontId="0" fillId="0" borderId="0" xfId="2" applyNumberFormat="1" applyFont="1" applyBorder="1" applyAlignment="1">
      <alignment horizontal="left" vertical="top" wrapText="1"/>
    </xf>
    <xf numFmtId="0" fontId="0" fillId="0" borderId="0" xfId="0" quotePrefix="1"/>
    <xf numFmtId="43" fontId="0" fillId="0" borderId="0" xfId="1" applyFont="1" applyBorder="1" applyAlignment="1">
      <alignment horizontal="center" vertical="center"/>
    </xf>
    <xf numFmtId="167" fontId="0" fillId="0" borderId="0" xfId="1" applyNumberFormat="1" applyFont="1" applyBorder="1" applyAlignment="1">
      <alignment vertical="center"/>
    </xf>
    <xf numFmtId="165" fontId="0" fillId="0" borderId="9" xfId="0" applyNumberFormat="1" applyBorder="1" applyAlignment="1">
      <alignment horizontal="center" vertical="center"/>
    </xf>
    <xf numFmtId="2" fontId="0" fillId="0" borderId="9" xfId="0" applyNumberFormat="1" applyBorder="1" applyAlignment="1">
      <alignment horizontal="center" vertical="center"/>
    </xf>
    <xf numFmtId="174" fontId="0" fillId="0" borderId="12" xfId="0" applyNumberFormat="1" applyBorder="1" applyAlignment="1">
      <alignment horizontal="center" vertical="center"/>
    </xf>
    <xf numFmtId="164" fontId="0" fillId="0" borderId="1" xfId="0" applyNumberFormat="1" applyBorder="1" applyAlignment="1">
      <alignment horizontal="center" vertical="center"/>
    </xf>
    <xf numFmtId="0" fontId="0" fillId="0" borderId="13" xfId="0" quotePrefix="1" applyBorder="1" applyAlignment="1">
      <alignment horizontal="center"/>
    </xf>
    <xf numFmtId="3" fontId="0" fillId="0" borderId="13" xfId="0" applyNumberFormat="1" applyBorder="1" applyAlignment="1">
      <alignment horizontal="center" vertical="center"/>
    </xf>
    <xf numFmtId="166" fontId="0" fillId="0" borderId="1" xfId="0" applyNumberFormat="1" applyBorder="1" applyAlignment="1">
      <alignment horizontal="center"/>
    </xf>
    <xf numFmtId="0" fontId="27" fillId="0" borderId="12" xfId="0" applyFont="1" applyBorder="1" applyAlignment="1">
      <alignment horizontal="center" vertical="center" wrapText="1"/>
    </xf>
    <xf numFmtId="0" fontId="12" fillId="4" borderId="1" xfId="0" applyFont="1" applyFill="1" applyBorder="1"/>
    <xf numFmtId="0" fontId="2" fillId="3" borderId="1" xfId="0" applyFont="1" applyFill="1" applyBorder="1"/>
    <xf numFmtId="0" fontId="2" fillId="0" borderId="1" xfId="0" applyFont="1" applyBorder="1"/>
    <xf numFmtId="0" fontId="2" fillId="2" borderId="1" xfId="0" applyFont="1" applyFill="1" applyBorder="1"/>
    <xf numFmtId="9" fontId="2" fillId="2" borderId="1" xfId="3" applyFont="1" applyFill="1" applyBorder="1"/>
    <xf numFmtId="10" fontId="0" fillId="0" borderId="0" xfId="0" applyNumberFormat="1" applyAlignment="1">
      <alignment horizontal="center" vertical="center"/>
    </xf>
    <xf numFmtId="166" fontId="0" fillId="0" borderId="15" xfId="0" applyNumberFormat="1" applyBorder="1" applyAlignment="1">
      <alignment horizontal="center" vertical="center"/>
    </xf>
    <xf numFmtId="0" fontId="25" fillId="0" borderId="0" xfId="0" applyFont="1"/>
    <xf numFmtId="0" fontId="0" fillId="0" borderId="8" xfId="0" applyBorder="1" applyAlignment="1">
      <alignment horizontal="center" vertical="top"/>
    </xf>
    <xf numFmtId="0" fontId="0" fillId="0" borderId="9" xfId="0" applyBorder="1" applyAlignment="1">
      <alignment horizontal="left" vertical="top" wrapText="1"/>
    </xf>
    <xf numFmtId="168" fontId="0" fillId="0" borderId="9" xfId="2" applyNumberFormat="1" applyFont="1" applyFill="1" applyBorder="1" applyAlignment="1">
      <alignment horizontal="left" vertical="top" wrapText="1"/>
    </xf>
    <xf numFmtId="169" fontId="0" fillId="0" borderId="9" xfId="0" applyNumberFormat="1" applyBorder="1"/>
    <xf numFmtId="175" fontId="0" fillId="0" borderId="10" xfId="0" applyNumberFormat="1" applyBorder="1"/>
    <xf numFmtId="0" fontId="0" fillId="0" borderId="1" xfId="0" applyBorder="1" applyAlignment="1">
      <alignment horizontal="left" vertical="top" wrapText="1"/>
    </xf>
    <xf numFmtId="168" fontId="0" fillId="0" borderId="1" xfId="2" applyNumberFormat="1" applyFont="1" applyFill="1" applyBorder="1" applyAlignment="1">
      <alignment horizontal="left" vertical="top" wrapText="1"/>
    </xf>
    <xf numFmtId="175" fontId="0" fillId="0" borderId="11" xfId="0" applyNumberFormat="1" applyBorder="1"/>
    <xf numFmtId="168" fontId="0" fillId="0" borderId="1" xfId="0" applyNumberFormat="1" applyBorder="1"/>
    <xf numFmtId="0" fontId="0" fillId="0" borderId="55" xfId="0" applyBorder="1" applyAlignment="1">
      <alignment horizontal="center" vertical="center"/>
    </xf>
    <xf numFmtId="0" fontId="0" fillId="0" borderId="52" xfId="0" applyBorder="1" applyAlignment="1">
      <alignment horizontal="left" vertical="center"/>
    </xf>
    <xf numFmtId="168" fontId="0" fillId="0" borderId="52" xfId="2" applyNumberFormat="1" applyFont="1" applyFill="1" applyBorder="1" applyAlignment="1">
      <alignment horizontal="left" vertical="top" wrapText="1"/>
    </xf>
    <xf numFmtId="2" fontId="3" fillId="0" borderId="9" xfId="0" applyNumberFormat="1" applyFont="1" applyBorder="1" applyAlignment="1">
      <alignment horizontal="center" vertical="center" wrapText="1"/>
    </xf>
    <xf numFmtId="11" fontId="3" fillId="0" borderId="9" xfId="0" applyNumberFormat="1" applyFont="1" applyBorder="1" applyAlignment="1">
      <alignment horizontal="center" vertical="center" wrapText="1"/>
    </xf>
    <xf numFmtId="2" fontId="3" fillId="0" borderId="10" xfId="0" applyNumberFormat="1" applyFont="1" applyBorder="1" applyAlignment="1">
      <alignment horizontal="center" vertical="center" wrapText="1"/>
    </xf>
    <xf numFmtId="2" fontId="3" fillId="0" borderId="1" xfId="0" quotePrefix="1" applyNumberFormat="1" applyFont="1" applyBorder="1" applyAlignment="1">
      <alignment horizontal="center" vertical="center" wrapText="1"/>
    </xf>
    <xf numFmtId="2" fontId="3" fillId="0" borderId="11" xfId="0" quotePrefix="1" applyNumberFormat="1" applyFont="1" applyBorder="1" applyAlignment="1">
      <alignment horizontal="center" vertical="center" wrapText="1"/>
    </xf>
    <xf numFmtId="2" fontId="3" fillId="0" borderId="11" xfId="0" applyNumberFormat="1" applyFont="1" applyBorder="1" applyAlignment="1">
      <alignment horizontal="center" vertical="center" wrapText="1"/>
    </xf>
    <xf numFmtId="0" fontId="0" fillId="0" borderId="10" xfId="0" applyBorder="1" applyAlignment="1">
      <alignment horizontal="center" vertical="center" wrapText="1"/>
    </xf>
    <xf numFmtId="174" fontId="0" fillId="0" borderId="1" xfId="0" applyNumberFormat="1" applyBorder="1"/>
    <xf numFmtId="0" fontId="0" fillId="0" borderId="46" xfId="0" applyBorder="1" applyAlignment="1">
      <alignment horizontal="left" indent="1"/>
    </xf>
    <xf numFmtId="0" fontId="0" fillId="0" borderId="20" xfId="0" applyBorder="1" applyAlignment="1">
      <alignment horizontal="left" indent="1"/>
    </xf>
    <xf numFmtId="0" fontId="0" fillId="0" borderId="27" xfId="0" applyBorder="1" applyAlignment="1">
      <alignment horizontal="center" vertical="center" wrapText="1"/>
    </xf>
    <xf numFmtId="0" fontId="0" fillId="0" borderId="50" xfId="0" applyBorder="1" applyAlignment="1">
      <alignment horizontal="center" vertical="center" wrapText="1"/>
    </xf>
    <xf numFmtId="0" fontId="0" fillId="0" borderId="55" xfId="0" applyBorder="1" applyAlignment="1">
      <alignment horizontal="center" vertical="center" wrapText="1"/>
    </xf>
    <xf numFmtId="0" fontId="0" fillId="0" borderId="21" xfId="0" applyBorder="1" applyAlignment="1">
      <alignment horizontal="center" vertical="center"/>
    </xf>
    <xf numFmtId="0" fontId="0" fillId="0" borderId="3" xfId="0" applyBorder="1" applyAlignment="1">
      <alignment horizontal="center" vertical="center"/>
    </xf>
    <xf numFmtId="0" fontId="0" fillId="0" borderId="52" xfId="0" applyBorder="1" applyAlignment="1">
      <alignment horizontal="center" vertical="center"/>
    </xf>
    <xf numFmtId="0" fontId="0" fillId="0" borderId="21" xfId="0" applyBorder="1" applyAlignment="1">
      <alignment horizontal="center" vertical="center" wrapText="1"/>
    </xf>
    <xf numFmtId="0" fontId="0" fillId="0" borderId="3" xfId="0" applyBorder="1" applyAlignment="1">
      <alignment horizontal="center" vertical="center" wrapText="1"/>
    </xf>
    <xf numFmtId="0" fontId="0" fillId="0" borderId="52" xfId="0" applyBorder="1" applyAlignment="1">
      <alignment horizontal="center" vertical="center" wrapText="1"/>
    </xf>
    <xf numFmtId="0" fontId="27" fillId="0" borderId="9" xfId="0" applyFont="1" applyBorder="1" applyAlignment="1">
      <alignment horizontal="center" vertical="center" wrapText="1"/>
    </xf>
    <xf numFmtId="0" fontId="27" fillId="0" borderId="1" xfId="0" applyFont="1" applyBorder="1" applyAlignment="1">
      <alignment horizontal="center" vertical="center" wrapText="1"/>
    </xf>
    <xf numFmtId="11" fontId="10" fillId="0" borderId="25" xfId="0" quotePrefix="1" applyNumberFormat="1" applyFont="1" applyBorder="1" applyAlignment="1">
      <alignment horizontal="center"/>
    </xf>
    <xf numFmtId="11" fontId="10" fillId="0" borderId="37" xfId="0" quotePrefix="1" applyNumberFormat="1" applyFont="1" applyBorder="1" applyAlignment="1">
      <alignment horizontal="center"/>
    </xf>
    <xf numFmtId="11" fontId="10" fillId="0" borderId="39" xfId="0" quotePrefix="1" applyNumberFormat="1" applyFont="1" applyBorder="1" applyAlignment="1">
      <alignment horizontal="center"/>
    </xf>
    <xf numFmtId="2" fontId="35" fillId="0" borderId="25" xfId="0" quotePrefix="1" applyNumberFormat="1" applyFont="1" applyBorder="1" applyAlignment="1">
      <alignment horizontal="center" vertical="center"/>
    </xf>
    <xf numFmtId="2" fontId="35" fillId="0" borderId="37" xfId="0" quotePrefix="1" applyNumberFormat="1" applyFont="1" applyBorder="1" applyAlignment="1">
      <alignment horizontal="center" vertical="center"/>
    </xf>
    <xf numFmtId="2" fontId="35" fillId="0" borderId="39" xfId="0" quotePrefix="1" applyNumberFormat="1" applyFont="1" applyBorder="1" applyAlignment="1">
      <alignment horizontal="center" vertical="center"/>
    </xf>
    <xf numFmtId="0" fontId="27" fillId="0" borderId="10" xfId="0" applyFont="1" applyBorder="1" applyAlignment="1">
      <alignment horizontal="center" vertical="center" wrapText="1"/>
    </xf>
    <xf numFmtId="0" fontId="0" fillId="0" borderId="8" xfId="0" applyBorder="1" applyAlignment="1">
      <alignment horizontal="center" vertical="center" wrapText="1"/>
    </xf>
    <xf numFmtId="0" fontId="0" fillId="0" borderId="15" xfId="0" applyBorder="1" applyAlignment="1">
      <alignment horizontal="center" vertical="center" wrapText="1"/>
    </xf>
    <xf numFmtId="0" fontId="0" fillId="0" borderId="14" xfId="0" applyBorder="1" applyAlignment="1">
      <alignment horizontal="center" vertical="center" wrapText="1"/>
    </xf>
    <xf numFmtId="0" fontId="0" fillId="0" borderId="9" xfId="0" applyBorder="1" applyAlignment="1">
      <alignment horizontal="center" vertical="center"/>
    </xf>
    <xf numFmtId="0" fontId="0" fillId="0" borderId="1" xfId="0" applyBorder="1" applyAlignment="1">
      <alignment horizontal="center" vertical="center"/>
    </xf>
    <xf numFmtId="0" fontId="0" fillId="0" borderId="12" xfId="0" applyBorder="1" applyAlignment="1">
      <alignment horizontal="center" vertical="center"/>
    </xf>
    <xf numFmtId="0" fontId="28" fillId="0" borderId="1" xfId="0" applyFont="1" applyBorder="1" applyAlignment="1">
      <alignment horizontal="center" vertical="center" wrapText="1"/>
    </xf>
    <xf numFmtId="0" fontId="3" fillId="0" borderId="18" xfId="0" applyFont="1" applyBorder="1" applyAlignment="1">
      <alignment horizontal="left" vertical="center" wrapText="1"/>
    </xf>
    <xf numFmtId="0" fontId="3" fillId="0" borderId="19" xfId="0" applyFont="1" applyBorder="1" applyAlignment="1">
      <alignment horizontal="left" vertical="center" wrapText="1"/>
    </xf>
    <xf numFmtId="0" fontId="3" fillId="0" borderId="20" xfId="0" applyFont="1" applyBorder="1" applyAlignment="1">
      <alignment horizontal="left" vertical="center" wrapText="1"/>
    </xf>
    <xf numFmtId="0" fontId="0" fillId="0" borderId="29" xfId="0" applyBorder="1" applyAlignment="1">
      <alignment horizontal="left" vertical="center"/>
    </xf>
    <xf numFmtId="0" fontId="17" fillId="0" borderId="21" xfId="0" applyFont="1" applyBorder="1" applyAlignment="1">
      <alignment horizontal="center" vertical="center" wrapText="1"/>
    </xf>
    <xf numFmtId="0" fontId="17" fillId="0" borderId="3" xfId="0" applyFont="1" applyBorder="1" applyAlignment="1">
      <alignment horizontal="center" vertical="center" wrapText="1"/>
    </xf>
    <xf numFmtId="0" fontId="17" fillId="0" borderId="4" xfId="0" applyFont="1" applyBorder="1" applyAlignment="1">
      <alignment horizontal="center" vertical="center" wrapText="1"/>
    </xf>
    <xf numFmtId="0" fontId="17" fillId="0" borderId="2" xfId="0" applyFont="1" applyBorder="1" applyAlignment="1">
      <alignment horizontal="center" vertical="center" wrapText="1"/>
    </xf>
    <xf numFmtId="0" fontId="0" fillId="0" borderId="0" xfId="0" applyAlignment="1">
      <alignment horizontal="left" vertical="top" wrapText="1"/>
    </xf>
    <xf numFmtId="0" fontId="2" fillId="0" borderId="8" xfId="0" applyFont="1" applyBorder="1" applyAlignment="1">
      <alignment horizontal="center" vertical="center"/>
    </xf>
    <xf numFmtId="0" fontId="2" fillId="0" borderId="15" xfId="0" applyFont="1" applyBorder="1" applyAlignment="1">
      <alignment horizontal="center" vertical="center"/>
    </xf>
    <xf numFmtId="0" fontId="2" fillId="0" borderId="14" xfId="0" applyFont="1" applyBorder="1" applyAlignment="1">
      <alignment horizontal="center" vertical="center"/>
    </xf>
    <xf numFmtId="6" fontId="2" fillId="0" borderId="18" xfId="0" applyNumberFormat="1" applyFont="1" applyBorder="1" applyAlignment="1">
      <alignment horizontal="center" vertical="center"/>
    </xf>
    <xf numFmtId="6" fontId="2" fillId="0" borderId="20" xfId="0" applyNumberFormat="1" applyFont="1" applyBorder="1" applyAlignment="1">
      <alignment horizontal="center" vertical="center"/>
    </xf>
    <xf numFmtId="0" fontId="2" fillId="0" borderId="18" xfId="0" applyFont="1" applyBorder="1" applyAlignment="1">
      <alignment horizontal="center" vertical="center" wrapText="1"/>
    </xf>
    <xf numFmtId="0" fontId="2" fillId="0" borderId="20" xfId="0" applyFont="1" applyBorder="1" applyAlignment="1">
      <alignment horizontal="center" vertical="center" wrapText="1"/>
    </xf>
    <xf numFmtId="3" fontId="5" fillId="0" borderId="36" xfId="0" applyNumberFormat="1" applyFont="1" applyBorder="1" applyAlignment="1">
      <alignment horizontal="left" indent="1"/>
    </xf>
    <xf numFmtId="3" fontId="5" fillId="0" borderId="37" xfId="0" applyNumberFormat="1" applyFont="1" applyBorder="1" applyAlignment="1">
      <alignment horizontal="left" indent="1"/>
    </xf>
    <xf numFmtId="3" fontId="5" fillId="0" borderId="38" xfId="0" applyNumberFormat="1" applyFont="1" applyBorder="1" applyAlignment="1">
      <alignment horizontal="left" indent="1"/>
    </xf>
    <xf numFmtId="0" fontId="6" fillId="4" borderId="33" xfId="0" applyFont="1" applyFill="1" applyBorder="1" applyAlignment="1">
      <alignment horizontal="left" indent="1"/>
    </xf>
    <xf numFmtId="0" fontId="6" fillId="4" borderId="34" xfId="0" applyFont="1" applyFill="1" applyBorder="1" applyAlignment="1">
      <alignment horizontal="left" indent="1"/>
    </xf>
    <xf numFmtId="0" fontId="6" fillId="4" borderId="35" xfId="0" applyFont="1" applyFill="1" applyBorder="1" applyAlignment="1">
      <alignment horizontal="left" indent="1"/>
    </xf>
    <xf numFmtId="3" fontId="5" fillId="0" borderId="40" xfId="0" applyNumberFormat="1" applyFont="1" applyBorder="1" applyAlignment="1">
      <alignment horizontal="center" vertical="center"/>
    </xf>
    <xf numFmtId="3" fontId="5" fillId="0" borderId="29" xfId="0" applyNumberFormat="1" applyFont="1" applyBorder="1" applyAlignment="1">
      <alignment horizontal="center" vertical="center"/>
    </xf>
    <xf numFmtId="3" fontId="5" fillId="0" borderId="41" xfId="0" applyNumberFormat="1" applyFont="1" applyBorder="1" applyAlignment="1">
      <alignment horizontal="center" vertical="center"/>
    </xf>
    <xf numFmtId="3" fontId="5" fillId="0" borderId="42" xfId="0" applyNumberFormat="1" applyFont="1" applyBorder="1" applyAlignment="1">
      <alignment horizontal="center" vertical="center"/>
    </xf>
    <xf numFmtId="3" fontId="5" fillId="0" borderId="23" xfId="0" applyNumberFormat="1" applyFont="1" applyBorder="1" applyAlignment="1">
      <alignment horizontal="center" vertical="center"/>
    </xf>
    <xf numFmtId="3" fontId="5" fillId="0" borderId="43" xfId="0" applyNumberFormat="1" applyFont="1" applyBorder="1" applyAlignment="1">
      <alignment horizontal="center" vertical="center"/>
    </xf>
    <xf numFmtId="0" fontId="2" fillId="0" borderId="17" xfId="0" applyFont="1" applyBorder="1" applyAlignment="1">
      <alignment horizontal="center" vertical="center"/>
    </xf>
    <xf numFmtId="0" fontId="2" fillId="0" borderId="34" xfId="0" applyFont="1" applyBorder="1" applyAlignment="1">
      <alignment horizontal="center" vertical="center"/>
    </xf>
    <xf numFmtId="0" fontId="2" fillId="0" borderId="35" xfId="0" applyFont="1" applyBorder="1" applyAlignment="1">
      <alignment horizontal="center" vertical="center"/>
    </xf>
    <xf numFmtId="0" fontId="2" fillId="0" borderId="19" xfId="0" applyFont="1" applyBorder="1" applyAlignment="1">
      <alignment horizontal="center" vertical="center" wrapText="1"/>
    </xf>
    <xf numFmtId="0" fontId="2" fillId="0" borderId="44" xfId="0" applyFont="1" applyBorder="1" applyAlignment="1">
      <alignment horizontal="center" vertical="center" wrapText="1"/>
    </xf>
    <xf numFmtId="0" fontId="2" fillId="0" borderId="9" xfId="0" applyFont="1" applyBorder="1" applyAlignment="1">
      <alignment horizontal="center" vertical="center"/>
    </xf>
    <xf numFmtId="0" fontId="2" fillId="0" borderId="10" xfId="0" applyFont="1" applyBorder="1" applyAlignment="1">
      <alignment horizontal="center" vertical="center"/>
    </xf>
    <xf numFmtId="0" fontId="2" fillId="0" borderId="1" xfId="0" applyFont="1" applyBorder="1" applyAlignment="1">
      <alignment horizontal="center" vertical="center"/>
    </xf>
    <xf numFmtId="0" fontId="2" fillId="0" borderId="11" xfId="0" applyFont="1" applyBorder="1" applyAlignment="1">
      <alignment horizontal="center" vertical="center"/>
    </xf>
    <xf numFmtId="0" fontId="2" fillId="0" borderId="8" xfId="0" applyFont="1" applyBorder="1" applyAlignment="1">
      <alignment horizontal="center"/>
    </xf>
    <xf numFmtId="0" fontId="2" fillId="0" borderId="9" xfId="0" applyFont="1" applyBorder="1" applyAlignment="1">
      <alignment horizontal="center"/>
    </xf>
    <xf numFmtId="0" fontId="2" fillId="0" borderId="10" xfId="0" applyFont="1" applyBorder="1" applyAlignment="1">
      <alignment horizontal="center"/>
    </xf>
    <xf numFmtId="0" fontId="2" fillId="0" borderId="1" xfId="0" applyFont="1" applyBorder="1" applyAlignment="1">
      <alignment horizontal="center" vertical="center" wrapText="1"/>
    </xf>
    <xf numFmtId="0" fontId="2" fillId="0" borderId="11" xfId="0" applyFont="1" applyBorder="1" applyAlignment="1">
      <alignment horizontal="center" vertical="center" wrapText="1"/>
    </xf>
    <xf numFmtId="0" fontId="0" fillId="0" borderId="0" xfId="0" applyAlignment="1">
      <alignment horizontal="left" vertical="top" wrapText="1" indent="2"/>
    </xf>
    <xf numFmtId="6" fontId="0" fillId="0" borderId="0" xfId="0" applyNumberFormat="1" applyAlignment="1">
      <alignment horizontal="center" vertical="top" wrapText="1"/>
    </xf>
    <xf numFmtId="6" fontId="0" fillId="0" borderId="19" xfId="0" applyNumberFormat="1" applyBorder="1" applyAlignment="1">
      <alignment horizontal="center" vertical="top" wrapText="1"/>
    </xf>
    <xf numFmtId="9" fontId="0" fillId="0" borderId="19" xfId="0" applyNumberFormat="1" applyBorder="1" applyAlignment="1">
      <alignment horizontal="center" vertical="top" wrapText="1"/>
    </xf>
    <xf numFmtId="0" fontId="2" fillId="0" borderId="9" xfId="0" applyFont="1" applyBorder="1" applyAlignment="1">
      <alignment horizontal="center" vertical="top" wrapText="1"/>
    </xf>
    <xf numFmtId="0" fontId="2" fillId="0" borderId="10" xfId="0" applyFont="1" applyBorder="1" applyAlignment="1">
      <alignment horizontal="center" vertical="top" wrapText="1"/>
    </xf>
    <xf numFmtId="11" fontId="26" fillId="0" borderId="18" xfId="6" applyNumberFormat="1" applyFont="1" applyBorder="1" applyAlignment="1">
      <alignment vertical="top" wrapText="1"/>
    </xf>
    <xf numFmtId="11" fontId="26" fillId="0" borderId="20" xfId="6" applyNumberFormat="1" applyFont="1" applyBorder="1" applyAlignment="1">
      <alignment vertical="top" wrapText="1"/>
    </xf>
    <xf numFmtId="0" fontId="26" fillId="0" borderId="24" xfId="5" applyFont="1" applyBorder="1" applyAlignment="1">
      <alignment horizontal="center" vertical="center" wrapText="1"/>
    </xf>
    <xf numFmtId="0" fontId="26" fillId="0" borderId="45" xfId="5" applyFont="1" applyBorder="1" applyAlignment="1">
      <alignment horizontal="center" vertical="center" wrapText="1"/>
    </xf>
    <xf numFmtId="11" fontId="26" fillId="0" borderId="22" xfId="6" applyNumberFormat="1" applyFont="1" applyBorder="1" applyAlignment="1">
      <alignment vertical="top" wrapText="1"/>
    </xf>
    <xf numFmtId="11" fontId="26" fillId="0" borderId="32" xfId="6" applyNumberFormat="1" applyFont="1" applyBorder="1" applyAlignment="1">
      <alignment vertical="top" wrapText="1"/>
    </xf>
    <xf numFmtId="11" fontId="26" fillId="0" borderId="18" xfId="6" applyNumberFormat="1" applyFont="1" applyBorder="1" applyAlignment="1">
      <alignment horizontal="left" vertical="top"/>
    </xf>
    <xf numFmtId="11" fontId="26" fillId="0" borderId="20" xfId="6" applyNumberFormat="1" applyFont="1" applyBorder="1" applyAlignment="1">
      <alignment horizontal="left" vertical="top"/>
    </xf>
    <xf numFmtId="0" fontId="0" fillId="0" borderId="17" xfId="0" applyBorder="1" applyAlignment="1">
      <alignment horizontal="center" vertical="center"/>
    </xf>
    <xf numFmtId="0" fontId="0" fillId="0" borderId="8" xfId="0" applyBorder="1" applyAlignment="1">
      <alignment horizontal="center" vertical="center"/>
    </xf>
    <xf numFmtId="0" fontId="0" fillId="0" borderId="10" xfId="0" applyBorder="1" applyAlignment="1">
      <alignment horizontal="center" vertical="center"/>
    </xf>
    <xf numFmtId="11" fontId="26" fillId="0" borderId="18" xfId="6" applyNumberFormat="1" applyFont="1" applyBorder="1" applyAlignment="1">
      <alignment vertical="top"/>
    </xf>
    <xf numFmtId="11" fontId="26" fillId="0" borderId="20" xfId="6" applyNumberFormat="1" applyFont="1" applyBorder="1" applyAlignment="1">
      <alignment vertical="top"/>
    </xf>
    <xf numFmtId="11" fontId="26" fillId="0" borderId="28" xfId="6" applyNumberFormat="1" applyFont="1" applyBorder="1" applyAlignment="1">
      <alignment vertical="top" wrapText="1"/>
    </xf>
    <xf numFmtId="11" fontId="26" fillId="0" borderId="30" xfId="6" applyNumberFormat="1" applyFont="1" applyBorder="1" applyAlignment="1">
      <alignment vertical="top" wrapText="1"/>
    </xf>
    <xf numFmtId="0" fontId="28" fillId="0" borderId="18" xfId="0" applyFont="1" applyBorder="1" applyAlignment="1">
      <alignment horizontal="center" vertical="center" wrapText="1"/>
    </xf>
    <xf numFmtId="0" fontId="28" fillId="0" borderId="19" xfId="0" applyFont="1" applyBorder="1" applyAlignment="1">
      <alignment horizontal="center" vertical="center" wrapText="1"/>
    </xf>
    <xf numFmtId="0" fontId="28" fillId="0" borderId="20" xfId="0" applyFont="1" applyBorder="1" applyAlignment="1">
      <alignment horizontal="center" vertical="center" wrapText="1"/>
    </xf>
    <xf numFmtId="0" fontId="0" fillId="0" borderId="1" xfId="0" applyBorder="1" applyAlignment="1">
      <alignment horizontal="center"/>
    </xf>
    <xf numFmtId="0" fontId="0" fillId="0" borderId="54" xfId="0" applyBorder="1" applyAlignment="1">
      <alignment horizontal="center" vertical="center"/>
    </xf>
    <xf numFmtId="0" fontId="10" fillId="0" borderId="0" xfId="0" applyFont="1" applyAlignment="1">
      <alignment horizontal="left" vertical="top" wrapText="1"/>
    </xf>
    <xf numFmtId="0" fontId="0" fillId="0" borderId="18" xfId="0" applyBorder="1" applyAlignment="1">
      <alignment horizontal="center"/>
    </xf>
    <xf numFmtId="0" fontId="0" fillId="0" borderId="20" xfId="0" applyBorder="1" applyAlignment="1">
      <alignment horizontal="center"/>
    </xf>
    <xf numFmtId="11" fontId="26" fillId="0" borderId="25" xfId="6" applyNumberFormat="1" applyFont="1" applyBorder="1" applyAlignment="1">
      <alignment vertical="top" wrapText="1"/>
    </xf>
    <xf numFmtId="11" fontId="26" fillId="0" borderId="38" xfId="6" applyNumberFormat="1" applyFont="1" applyBorder="1" applyAlignment="1">
      <alignment vertical="top" wrapText="1"/>
    </xf>
    <xf numFmtId="0" fontId="0" fillId="0" borderId="8" xfId="0" applyBorder="1" applyAlignment="1">
      <alignment horizontal="center"/>
    </xf>
    <xf numFmtId="0" fontId="0" fillId="0" borderId="9" xfId="0" applyBorder="1" applyAlignment="1">
      <alignment horizontal="center"/>
    </xf>
    <xf numFmtId="0" fontId="0" fillId="0" borderId="33" xfId="0" applyBorder="1" applyAlignment="1">
      <alignment horizontal="center" vertical="center"/>
    </xf>
    <xf numFmtId="0" fontId="0" fillId="0" borderId="36" xfId="0" applyBorder="1" applyAlignment="1">
      <alignment horizontal="center" vertical="center"/>
    </xf>
    <xf numFmtId="0" fontId="0" fillId="0" borderId="0" xfId="0" applyAlignment="1">
      <alignment horizontal="left" vertical="top"/>
    </xf>
    <xf numFmtId="0" fontId="28" fillId="0" borderId="28" xfId="0" applyFont="1" applyBorder="1" applyAlignment="1">
      <alignment horizontal="center" vertical="center" wrapText="1"/>
    </xf>
    <xf numFmtId="0" fontId="28" fillId="0" borderId="29" xfId="0" applyFont="1" applyBorder="1" applyAlignment="1">
      <alignment horizontal="center" vertical="center" wrapText="1"/>
    </xf>
    <xf numFmtId="0" fontId="28" fillId="0" borderId="30" xfId="0" applyFont="1" applyBorder="1" applyAlignment="1">
      <alignment horizontal="center" vertical="center" wrapText="1"/>
    </xf>
    <xf numFmtId="0" fontId="28" fillId="0" borderId="16" xfId="0" applyFont="1" applyBorder="1" applyAlignment="1">
      <alignment horizontal="center" vertical="center" wrapText="1"/>
    </xf>
    <xf numFmtId="0" fontId="28" fillId="0" borderId="0" xfId="0" applyFont="1" applyAlignment="1">
      <alignment horizontal="center" vertical="center" wrapText="1"/>
    </xf>
    <xf numFmtId="0" fontId="28" fillId="0" borderId="31" xfId="0" applyFont="1" applyBorder="1" applyAlignment="1">
      <alignment horizontal="center" vertical="center" wrapText="1"/>
    </xf>
    <xf numFmtId="0" fontId="28" fillId="0" borderId="22" xfId="0" applyFont="1" applyBorder="1" applyAlignment="1">
      <alignment horizontal="center" vertical="center" wrapText="1"/>
    </xf>
    <xf numFmtId="0" fontId="28" fillId="0" borderId="23" xfId="0" applyFont="1" applyBorder="1" applyAlignment="1">
      <alignment horizontal="center" vertical="center" wrapText="1"/>
    </xf>
    <xf numFmtId="0" fontId="28" fillId="0" borderId="32" xfId="0" applyFont="1" applyBorder="1" applyAlignment="1">
      <alignment horizontal="center" vertical="center" wrapText="1"/>
    </xf>
    <xf numFmtId="0" fontId="0" fillId="0" borderId="27" xfId="0" applyBorder="1" applyAlignment="1">
      <alignment horizontal="center" vertical="center"/>
    </xf>
    <xf numFmtId="0" fontId="0" fillId="0" borderId="55" xfId="0" applyBorder="1" applyAlignment="1">
      <alignment horizontal="center" vertical="center"/>
    </xf>
    <xf numFmtId="0" fontId="0" fillId="0" borderId="18" xfId="0" applyBorder="1" applyAlignment="1">
      <alignment horizontal="center" vertical="center"/>
    </xf>
    <xf numFmtId="0" fontId="0" fillId="0" borderId="19" xfId="0" applyBorder="1" applyAlignment="1">
      <alignment horizontal="center" vertical="center"/>
    </xf>
    <xf numFmtId="0" fontId="0" fillId="0" borderId="20" xfId="0" applyBorder="1" applyAlignment="1">
      <alignment horizontal="center" vertical="center"/>
    </xf>
    <xf numFmtId="0" fontId="0" fillId="0" borderId="1" xfId="0" applyBorder="1" applyAlignment="1">
      <alignment horizontal="center" vertical="center" wrapText="1"/>
    </xf>
    <xf numFmtId="0" fontId="19" fillId="0" borderId="1" xfId="0" applyFont="1" applyBorder="1" applyAlignment="1">
      <alignment horizontal="center" vertical="center" wrapText="1"/>
    </xf>
    <xf numFmtId="0" fontId="15" fillId="0" borderId="2" xfId="0" applyFont="1" applyBorder="1" applyAlignment="1">
      <alignment horizontal="center" vertical="center" wrapText="1"/>
    </xf>
    <xf numFmtId="0" fontId="15" fillId="0" borderId="3" xfId="0" applyFont="1" applyBorder="1" applyAlignment="1">
      <alignment horizontal="center" vertical="center" wrapText="1"/>
    </xf>
    <xf numFmtId="0" fontId="15" fillId="0" borderId="4" xfId="0" applyFont="1" applyBorder="1" applyAlignment="1">
      <alignment horizontal="center" vertical="center" wrapText="1"/>
    </xf>
  </cellXfs>
  <cellStyles count="9">
    <cellStyle name="Comma" xfId="1" builtinId="3"/>
    <cellStyle name="Currency" xfId="2" builtinId="4"/>
    <cellStyle name="Hyperlink" xfId="4" builtinId="8"/>
    <cellStyle name="Normal" xfId="0" builtinId="0"/>
    <cellStyle name="Normal 2 2 2 2" xfId="5" xr:uid="{7902D315-1135-4621-92DF-E751937CB0EC}"/>
    <cellStyle name="Normal 2 3 2" xfId="6" xr:uid="{70F9F32F-E91A-4BD4-B534-E8FCCA054D2D}"/>
    <cellStyle name="Normal 3" xfId="7" xr:uid="{CE25C142-951E-470F-90FE-36B54D7C7130}"/>
    <cellStyle name="Normal 7" xfId="8" xr:uid="{26F75F10-E5F8-4A16-85BD-FDE0CC1F0988}"/>
    <cellStyle name="Percent" xfId="3"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scatterChart>
        <c:scatterStyle val="smoothMarker"/>
        <c:varyColors val="0"/>
        <c:ser>
          <c:idx val="0"/>
          <c:order val="0"/>
          <c:tx>
            <c:strRef>
              <c:f>'AEO Data '!$D$107</c:f>
              <c:strCache>
                <c:ptCount val="1"/>
                <c:pt idx="0">
                  <c:v>Reference case</c:v>
                </c:pt>
              </c:strCache>
            </c:strRef>
          </c:tx>
          <c:spPr>
            <a:ln w="19050" cap="rnd">
              <a:solidFill>
                <a:schemeClr val="accent1"/>
              </a:solidFill>
              <a:round/>
            </a:ln>
            <a:effectLst/>
          </c:spPr>
          <c:marker>
            <c:symbol val="none"/>
          </c:marker>
          <c:xVal>
            <c:numRef>
              <c:f>'AEO Data '!$E$111:$AD$111</c:f>
              <c:numCache>
                <c:formatCode>General</c:formatCode>
                <c:ptCount val="26"/>
                <c:pt idx="0">
                  <c:v>2025</c:v>
                </c:pt>
                <c:pt idx="1">
                  <c:v>2026</c:v>
                </c:pt>
                <c:pt idx="2">
                  <c:v>2027</c:v>
                </c:pt>
                <c:pt idx="3">
                  <c:v>2028</c:v>
                </c:pt>
                <c:pt idx="4">
                  <c:v>2029</c:v>
                </c:pt>
                <c:pt idx="5">
                  <c:v>2030</c:v>
                </c:pt>
                <c:pt idx="6">
                  <c:v>2031</c:v>
                </c:pt>
                <c:pt idx="7">
                  <c:v>2032</c:v>
                </c:pt>
                <c:pt idx="8">
                  <c:v>2033</c:v>
                </c:pt>
                <c:pt idx="9">
                  <c:v>2034</c:v>
                </c:pt>
                <c:pt idx="10">
                  <c:v>2035</c:v>
                </c:pt>
                <c:pt idx="11">
                  <c:v>2036</c:v>
                </c:pt>
                <c:pt idx="12">
                  <c:v>2037</c:v>
                </c:pt>
                <c:pt idx="13">
                  <c:v>2038</c:v>
                </c:pt>
                <c:pt idx="14">
                  <c:v>2039</c:v>
                </c:pt>
                <c:pt idx="15">
                  <c:v>2040</c:v>
                </c:pt>
                <c:pt idx="16">
                  <c:v>2041</c:v>
                </c:pt>
                <c:pt idx="17">
                  <c:v>2042</c:v>
                </c:pt>
                <c:pt idx="18">
                  <c:v>2043</c:v>
                </c:pt>
                <c:pt idx="19">
                  <c:v>2044</c:v>
                </c:pt>
                <c:pt idx="20">
                  <c:v>2045</c:v>
                </c:pt>
                <c:pt idx="21">
                  <c:v>2046</c:v>
                </c:pt>
                <c:pt idx="22">
                  <c:v>2047</c:v>
                </c:pt>
                <c:pt idx="23">
                  <c:v>2048</c:v>
                </c:pt>
                <c:pt idx="24">
                  <c:v>2049</c:v>
                </c:pt>
                <c:pt idx="25">
                  <c:v>2050</c:v>
                </c:pt>
              </c:numCache>
            </c:numRef>
          </c:xVal>
          <c:yVal>
            <c:numRef>
              <c:f>'AEO Data '!$E$107:$AD$107</c:f>
              <c:numCache>
                <c:formatCode>0%</c:formatCode>
                <c:ptCount val="26"/>
                <c:pt idx="0">
                  <c:v>1</c:v>
                </c:pt>
                <c:pt idx="1">
                  <c:v>0.8811679747433554</c:v>
                </c:pt>
                <c:pt idx="2">
                  <c:v>0.78350088750385483</c:v>
                </c:pt>
                <c:pt idx="3">
                  <c:v>0.57815789937124396</c:v>
                </c:pt>
                <c:pt idx="4">
                  <c:v>0.4574768124248923</c:v>
                </c:pt>
                <c:pt idx="5">
                  <c:v>0.44026388298760166</c:v>
                </c:pt>
                <c:pt idx="6">
                  <c:v>0.44675299965351745</c:v>
                </c:pt>
                <c:pt idx="7">
                  <c:v>0.45235691562915292</c:v>
                </c:pt>
                <c:pt idx="8">
                  <c:v>0.4768122097591484</c:v>
                </c:pt>
                <c:pt idx="9">
                  <c:v>0.48086688105913511</c:v>
                </c:pt>
                <c:pt idx="10">
                  <c:v>0.48371655442909267</c:v>
                </c:pt>
                <c:pt idx="11">
                  <c:v>0.48298492683086508</c:v>
                </c:pt>
                <c:pt idx="12">
                  <c:v>0.4891148294232131</c:v>
                </c:pt>
                <c:pt idx="13">
                  <c:v>0.4097730419667423</c:v>
                </c:pt>
                <c:pt idx="14">
                  <c:v>0.4076502152148142</c:v>
                </c:pt>
                <c:pt idx="15">
                  <c:v>0.40167779827928624</c:v>
                </c:pt>
                <c:pt idx="16">
                  <c:v>0.40268974561129073</c:v>
                </c:pt>
                <c:pt idx="17">
                  <c:v>0.4072985487539128</c:v>
                </c:pt>
                <c:pt idx="18">
                  <c:v>0.40418326716283476</c:v>
                </c:pt>
                <c:pt idx="19">
                  <c:v>0.4063491119678988</c:v>
                </c:pt>
                <c:pt idx="20">
                  <c:v>0.41108329982146796</c:v>
                </c:pt>
                <c:pt idx="21">
                  <c:v>0.40512038036221043</c:v>
                </c:pt>
                <c:pt idx="22">
                  <c:v>0.40194015011551015</c:v>
                </c:pt>
                <c:pt idx="23">
                  <c:v>0.4056193678746669</c:v>
                </c:pt>
                <c:pt idx="24">
                  <c:v>0.40626836021130297</c:v>
                </c:pt>
                <c:pt idx="25">
                  <c:v>0.39845805653399247</c:v>
                </c:pt>
              </c:numCache>
            </c:numRef>
          </c:yVal>
          <c:smooth val="1"/>
          <c:extLst>
            <c:ext xmlns:c16="http://schemas.microsoft.com/office/drawing/2014/chart" uri="{C3380CC4-5D6E-409C-BE32-E72D297353CC}">
              <c16:uniqueId val="{00000004-3F40-42B4-A944-FC0F76AA8002}"/>
            </c:ext>
          </c:extLst>
        </c:ser>
        <c:ser>
          <c:idx val="1"/>
          <c:order val="1"/>
          <c:tx>
            <c:strRef>
              <c:f>'AEO Data '!$D$108</c:f>
              <c:strCache>
                <c:ptCount val="1"/>
                <c:pt idx="0">
                  <c:v>No Inflation Reduction Act</c:v>
                </c:pt>
              </c:strCache>
            </c:strRef>
          </c:tx>
          <c:spPr>
            <a:ln w="19050" cap="rnd">
              <a:solidFill>
                <a:schemeClr val="accent2"/>
              </a:solidFill>
              <a:round/>
            </a:ln>
            <a:effectLst/>
          </c:spPr>
          <c:marker>
            <c:symbol val="none"/>
          </c:marker>
          <c:xVal>
            <c:numRef>
              <c:f>'AEO Data '!$E$111:$AD$111</c:f>
              <c:numCache>
                <c:formatCode>General</c:formatCode>
                <c:ptCount val="26"/>
                <c:pt idx="0">
                  <c:v>2025</c:v>
                </c:pt>
                <c:pt idx="1">
                  <c:v>2026</c:v>
                </c:pt>
                <c:pt idx="2">
                  <c:v>2027</c:v>
                </c:pt>
                <c:pt idx="3">
                  <c:v>2028</c:v>
                </c:pt>
                <c:pt idx="4">
                  <c:v>2029</c:v>
                </c:pt>
                <c:pt idx="5">
                  <c:v>2030</c:v>
                </c:pt>
                <c:pt idx="6">
                  <c:v>2031</c:v>
                </c:pt>
                <c:pt idx="7">
                  <c:v>2032</c:v>
                </c:pt>
                <c:pt idx="8">
                  <c:v>2033</c:v>
                </c:pt>
                <c:pt idx="9">
                  <c:v>2034</c:v>
                </c:pt>
                <c:pt idx="10">
                  <c:v>2035</c:v>
                </c:pt>
                <c:pt idx="11">
                  <c:v>2036</c:v>
                </c:pt>
                <c:pt idx="12">
                  <c:v>2037</c:v>
                </c:pt>
                <c:pt idx="13">
                  <c:v>2038</c:v>
                </c:pt>
                <c:pt idx="14">
                  <c:v>2039</c:v>
                </c:pt>
                <c:pt idx="15">
                  <c:v>2040</c:v>
                </c:pt>
                <c:pt idx="16">
                  <c:v>2041</c:v>
                </c:pt>
                <c:pt idx="17">
                  <c:v>2042</c:v>
                </c:pt>
                <c:pt idx="18">
                  <c:v>2043</c:v>
                </c:pt>
                <c:pt idx="19">
                  <c:v>2044</c:v>
                </c:pt>
                <c:pt idx="20">
                  <c:v>2045</c:v>
                </c:pt>
                <c:pt idx="21">
                  <c:v>2046</c:v>
                </c:pt>
                <c:pt idx="22">
                  <c:v>2047</c:v>
                </c:pt>
                <c:pt idx="23">
                  <c:v>2048</c:v>
                </c:pt>
                <c:pt idx="24">
                  <c:v>2049</c:v>
                </c:pt>
                <c:pt idx="25">
                  <c:v>2050</c:v>
                </c:pt>
              </c:numCache>
            </c:numRef>
          </c:xVal>
          <c:yVal>
            <c:numRef>
              <c:f>'AEO Data '!$E$108:$AD$108</c:f>
              <c:numCache>
                <c:formatCode>0%</c:formatCode>
                <c:ptCount val="26"/>
                <c:pt idx="0">
                  <c:v>1</c:v>
                </c:pt>
                <c:pt idx="1">
                  <c:v>0.92092036072873462</c:v>
                </c:pt>
                <c:pt idx="2">
                  <c:v>0.89373494807930809</c:v>
                </c:pt>
                <c:pt idx="3">
                  <c:v>0.90126643015552454</c:v>
                </c:pt>
                <c:pt idx="4">
                  <c:v>0.90248158207313922</c:v>
                </c:pt>
                <c:pt idx="5">
                  <c:v>0.90565228843639711</c:v>
                </c:pt>
                <c:pt idx="6">
                  <c:v>0.90849258012245004</c:v>
                </c:pt>
                <c:pt idx="7">
                  <c:v>0.9181421300888124</c:v>
                </c:pt>
                <c:pt idx="8">
                  <c:v>0.93215408728030669</c:v>
                </c:pt>
                <c:pt idx="9">
                  <c:v>0.93020239252144565</c:v>
                </c:pt>
                <c:pt idx="10">
                  <c:v>0.91112230092012192</c:v>
                </c:pt>
                <c:pt idx="11">
                  <c:v>0.90599942272566603</c:v>
                </c:pt>
                <c:pt idx="12">
                  <c:v>0.90263567829103453</c:v>
                </c:pt>
                <c:pt idx="13">
                  <c:v>0.86254995501828569</c:v>
                </c:pt>
                <c:pt idx="14">
                  <c:v>0.86962199629201764</c:v>
                </c:pt>
                <c:pt idx="15">
                  <c:v>0.85383834398120706</c:v>
                </c:pt>
                <c:pt idx="16">
                  <c:v>0.84725000017329433</c:v>
                </c:pt>
                <c:pt idx="17">
                  <c:v>0.84241452832401187</c:v>
                </c:pt>
                <c:pt idx="18">
                  <c:v>0.83582937019664361</c:v>
                </c:pt>
                <c:pt idx="19">
                  <c:v>0.83429119792878315</c:v>
                </c:pt>
                <c:pt idx="20">
                  <c:v>0.82635466380532951</c:v>
                </c:pt>
                <c:pt idx="21">
                  <c:v>0.81883221698787612</c:v>
                </c:pt>
                <c:pt idx="22">
                  <c:v>0.81195276939385841</c:v>
                </c:pt>
                <c:pt idx="23">
                  <c:v>0.76840776686098644</c:v>
                </c:pt>
                <c:pt idx="24">
                  <c:v>0.74941015226280983</c:v>
                </c:pt>
                <c:pt idx="25">
                  <c:v>0.74667974249600599</c:v>
                </c:pt>
              </c:numCache>
            </c:numRef>
          </c:yVal>
          <c:smooth val="1"/>
          <c:extLst>
            <c:ext xmlns:c16="http://schemas.microsoft.com/office/drawing/2014/chart" uri="{C3380CC4-5D6E-409C-BE32-E72D297353CC}">
              <c16:uniqueId val="{00000005-3F40-42B4-A944-FC0F76AA8002}"/>
            </c:ext>
          </c:extLst>
        </c:ser>
        <c:ser>
          <c:idx val="2"/>
          <c:order val="2"/>
          <c:tx>
            <c:strRef>
              <c:f>'AEO Data '!$D$109</c:f>
              <c:strCache>
                <c:ptCount val="1"/>
                <c:pt idx="0">
                  <c:v>High Uptake of Inflation Reduction Act</c:v>
                </c:pt>
              </c:strCache>
            </c:strRef>
          </c:tx>
          <c:spPr>
            <a:ln w="19050" cap="rnd">
              <a:solidFill>
                <a:schemeClr val="accent3"/>
              </a:solidFill>
              <a:round/>
            </a:ln>
            <a:effectLst/>
          </c:spPr>
          <c:marker>
            <c:symbol val="none"/>
          </c:marker>
          <c:xVal>
            <c:numRef>
              <c:f>'AEO Data '!$E$111:$AD$111</c:f>
              <c:numCache>
                <c:formatCode>General</c:formatCode>
                <c:ptCount val="26"/>
                <c:pt idx="0">
                  <c:v>2025</c:v>
                </c:pt>
                <c:pt idx="1">
                  <c:v>2026</c:v>
                </c:pt>
                <c:pt idx="2">
                  <c:v>2027</c:v>
                </c:pt>
                <c:pt idx="3">
                  <c:v>2028</c:v>
                </c:pt>
                <c:pt idx="4">
                  <c:v>2029</c:v>
                </c:pt>
                <c:pt idx="5">
                  <c:v>2030</c:v>
                </c:pt>
                <c:pt idx="6">
                  <c:v>2031</c:v>
                </c:pt>
                <c:pt idx="7">
                  <c:v>2032</c:v>
                </c:pt>
                <c:pt idx="8">
                  <c:v>2033</c:v>
                </c:pt>
                <c:pt idx="9">
                  <c:v>2034</c:v>
                </c:pt>
                <c:pt idx="10">
                  <c:v>2035</c:v>
                </c:pt>
                <c:pt idx="11">
                  <c:v>2036</c:v>
                </c:pt>
                <c:pt idx="12">
                  <c:v>2037</c:v>
                </c:pt>
                <c:pt idx="13">
                  <c:v>2038</c:v>
                </c:pt>
                <c:pt idx="14">
                  <c:v>2039</c:v>
                </c:pt>
                <c:pt idx="15">
                  <c:v>2040</c:v>
                </c:pt>
                <c:pt idx="16">
                  <c:v>2041</c:v>
                </c:pt>
                <c:pt idx="17">
                  <c:v>2042</c:v>
                </c:pt>
                <c:pt idx="18">
                  <c:v>2043</c:v>
                </c:pt>
                <c:pt idx="19">
                  <c:v>2044</c:v>
                </c:pt>
                <c:pt idx="20">
                  <c:v>2045</c:v>
                </c:pt>
                <c:pt idx="21">
                  <c:v>2046</c:v>
                </c:pt>
                <c:pt idx="22">
                  <c:v>2047</c:v>
                </c:pt>
                <c:pt idx="23">
                  <c:v>2048</c:v>
                </c:pt>
                <c:pt idx="24">
                  <c:v>2049</c:v>
                </c:pt>
                <c:pt idx="25">
                  <c:v>2050</c:v>
                </c:pt>
              </c:numCache>
            </c:numRef>
          </c:xVal>
          <c:yVal>
            <c:numRef>
              <c:f>'AEO Data '!$E$109:$AD$109</c:f>
              <c:numCache>
                <c:formatCode>0%</c:formatCode>
                <c:ptCount val="26"/>
                <c:pt idx="0">
                  <c:v>1</c:v>
                </c:pt>
                <c:pt idx="1">
                  <c:v>0.89980038739722334</c:v>
                </c:pt>
                <c:pt idx="2">
                  <c:v>0.8072452962232598</c:v>
                </c:pt>
                <c:pt idx="3">
                  <c:v>0.56613914176125402</c:v>
                </c:pt>
                <c:pt idx="4">
                  <c:v>0.42915368695396688</c:v>
                </c:pt>
                <c:pt idx="5">
                  <c:v>0.40061624142940994</c:v>
                </c:pt>
                <c:pt idx="6">
                  <c:v>0.40174868336868574</c:v>
                </c:pt>
                <c:pt idx="7">
                  <c:v>0.39538733040361757</c:v>
                </c:pt>
                <c:pt idx="8">
                  <c:v>0.41399859588364535</c:v>
                </c:pt>
                <c:pt idx="9">
                  <c:v>0.41443919710267413</c:v>
                </c:pt>
                <c:pt idx="10">
                  <c:v>0.41709732646446385</c:v>
                </c:pt>
                <c:pt idx="11">
                  <c:v>0.41043014933381133</c:v>
                </c:pt>
                <c:pt idx="12">
                  <c:v>0.40905404362000608</c:v>
                </c:pt>
                <c:pt idx="13">
                  <c:v>0.33217248099715396</c:v>
                </c:pt>
                <c:pt idx="14">
                  <c:v>0.34164679388153724</c:v>
                </c:pt>
                <c:pt idx="15">
                  <c:v>0.34743507841768262</c:v>
                </c:pt>
                <c:pt idx="16">
                  <c:v>0.35070835658425698</c:v>
                </c:pt>
                <c:pt idx="17">
                  <c:v>0.35913037165549722</c:v>
                </c:pt>
                <c:pt idx="18">
                  <c:v>0.36212466633489343</c:v>
                </c:pt>
                <c:pt idx="19">
                  <c:v>0.37199505994591009</c:v>
                </c:pt>
                <c:pt idx="20">
                  <c:v>0.37595013759049284</c:v>
                </c:pt>
                <c:pt idx="21">
                  <c:v>0.37724175801888438</c:v>
                </c:pt>
                <c:pt idx="22">
                  <c:v>0.37422833792296317</c:v>
                </c:pt>
                <c:pt idx="23">
                  <c:v>0.37578549788908955</c:v>
                </c:pt>
                <c:pt idx="24">
                  <c:v>0.3805574168507696</c:v>
                </c:pt>
                <c:pt idx="25">
                  <c:v>0.38183661305840944</c:v>
                </c:pt>
              </c:numCache>
            </c:numRef>
          </c:yVal>
          <c:smooth val="1"/>
          <c:extLst>
            <c:ext xmlns:c16="http://schemas.microsoft.com/office/drawing/2014/chart" uri="{C3380CC4-5D6E-409C-BE32-E72D297353CC}">
              <c16:uniqueId val="{00000006-3F40-42B4-A944-FC0F76AA8002}"/>
            </c:ext>
          </c:extLst>
        </c:ser>
        <c:ser>
          <c:idx val="3"/>
          <c:order val="3"/>
          <c:tx>
            <c:strRef>
              <c:f>'AEO Data '!$D$110</c:f>
              <c:strCache>
                <c:ptCount val="1"/>
                <c:pt idx="0">
                  <c:v>Low Uptake of Inflation Reduction Act</c:v>
                </c:pt>
              </c:strCache>
            </c:strRef>
          </c:tx>
          <c:spPr>
            <a:ln w="19050" cap="rnd">
              <a:solidFill>
                <a:schemeClr val="accent4"/>
              </a:solidFill>
              <a:round/>
            </a:ln>
            <a:effectLst/>
          </c:spPr>
          <c:marker>
            <c:symbol val="none"/>
          </c:marker>
          <c:xVal>
            <c:numRef>
              <c:f>'AEO Data '!$E$111:$AD$111</c:f>
              <c:numCache>
                <c:formatCode>General</c:formatCode>
                <c:ptCount val="26"/>
                <c:pt idx="0">
                  <c:v>2025</c:v>
                </c:pt>
                <c:pt idx="1">
                  <c:v>2026</c:v>
                </c:pt>
                <c:pt idx="2">
                  <c:v>2027</c:v>
                </c:pt>
                <c:pt idx="3">
                  <c:v>2028</c:v>
                </c:pt>
                <c:pt idx="4">
                  <c:v>2029</c:v>
                </c:pt>
                <c:pt idx="5">
                  <c:v>2030</c:v>
                </c:pt>
                <c:pt idx="6">
                  <c:v>2031</c:v>
                </c:pt>
                <c:pt idx="7">
                  <c:v>2032</c:v>
                </c:pt>
                <c:pt idx="8">
                  <c:v>2033</c:v>
                </c:pt>
                <c:pt idx="9">
                  <c:v>2034</c:v>
                </c:pt>
                <c:pt idx="10">
                  <c:v>2035</c:v>
                </c:pt>
                <c:pt idx="11">
                  <c:v>2036</c:v>
                </c:pt>
                <c:pt idx="12">
                  <c:v>2037</c:v>
                </c:pt>
                <c:pt idx="13">
                  <c:v>2038</c:v>
                </c:pt>
                <c:pt idx="14">
                  <c:v>2039</c:v>
                </c:pt>
                <c:pt idx="15">
                  <c:v>2040</c:v>
                </c:pt>
                <c:pt idx="16">
                  <c:v>2041</c:v>
                </c:pt>
                <c:pt idx="17">
                  <c:v>2042</c:v>
                </c:pt>
                <c:pt idx="18">
                  <c:v>2043</c:v>
                </c:pt>
                <c:pt idx="19">
                  <c:v>2044</c:v>
                </c:pt>
                <c:pt idx="20">
                  <c:v>2045</c:v>
                </c:pt>
                <c:pt idx="21">
                  <c:v>2046</c:v>
                </c:pt>
                <c:pt idx="22">
                  <c:v>2047</c:v>
                </c:pt>
                <c:pt idx="23">
                  <c:v>2048</c:v>
                </c:pt>
                <c:pt idx="24">
                  <c:v>2049</c:v>
                </c:pt>
                <c:pt idx="25">
                  <c:v>2050</c:v>
                </c:pt>
              </c:numCache>
            </c:numRef>
          </c:xVal>
          <c:yVal>
            <c:numRef>
              <c:f>'AEO Data '!$E$110:$AD$110</c:f>
              <c:numCache>
                <c:formatCode>0%</c:formatCode>
                <c:ptCount val="26"/>
                <c:pt idx="0">
                  <c:v>1</c:v>
                </c:pt>
                <c:pt idx="1">
                  <c:v>0.93527532122182733</c:v>
                </c:pt>
                <c:pt idx="2">
                  <c:v>0.89708309944643605</c:v>
                </c:pt>
                <c:pt idx="3">
                  <c:v>0.89898002796838117</c:v>
                </c:pt>
                <c:pt idx="4">
                  <c:v>0.88267791160121079</c:v>
                </c:pt>
                <c:pt idx="5">
                  <c:v>0.86759329973227117</c:v>
                </c:pt>
                <c:pt idx="6">
                  <c:v>0.87215462076715344</c:v>
                </c:pt>
                <c:pt idx="7">
                  <c:v>0.88083033987629311</c:v>
                </c:pt>
                <c:pt idx="8">
                  <c:v>0.8994240875016517</c:v>
                </c:pt>
                <c:pt idx="9">
                  <c:v>0.89789551938672341</c:v>
                </c:pt>
                <c:pt idx="10">
                  <c:v>0.87550869880633808</c:v>
                </c:pt>
                <c:pt idx="11">
                  <c:v>0.87863306142627084</c:v>
                </c:pt>
                <c:pt idx="12">
                  <c:v>0.88755653509195775</c:v>
                </c:pt>
                <c:pt idx="13">
                  <c:v>0.81238703160977721</c:v>
                </c:pt>
                <c:pt idx="14">
                  <c:v>0.8259803483873942</c:v>
                </c:pt>
                <c:pt idx="15">
                  <c:v>0.82819575014956115</c:v>
                </c:pt>
                <c:pt idx="16">
                  <c:v>0.81897360749246606</c:v>
                </c:pt>
                <c:pt idx="17">
                  <c:v>0.80847353745925321</c:v>
                </c:pt>
                <c:pt idx="18">
                  <c:v>0.79275597193769776</c:v>
                </c:pt>
                <c:pt idx="19">
                  <c:v>0.78311893261424947</c:v>
                </c:pt>
                <c:pt idx="20">
                  <c:v>0.76938733018151129</c:v>
                </c:pt>
                <c:pt idx="21">
                  <c:v>0.76047326009717253</c:v>
                </c:pt>
                <c:pt idx="22">
                  <c:v>0.74062952822091399</c:v>
                </c:pt>
                <c:pt idx="23">
                  <c:v>0.68837278543523273</c:v>
                </c:pt>
                <c:pt idx="24">
                  <c:v>0.67050682730802758</c:v>
                </c:pt>
                <c:pt idx="25">
                  <c:v>0.65024492580200877</c:v>
                </c:pt>
              </c:numCache>
            </c:numRef>
          </c:yVal>
          <c:smooth val="1"/>
          <c:extLst>
            <c:ext xmlns:c16="http://schemas.microsoft.com/office/drawing/2014/chart" uri="{C3380CC4-5D6E-409C-BE32-E72D297353CC}">
              <c16:uniqueId val="{00000007-3F40-42B4-A944-FC0F76AA8002}"/>
            </c:ext>
          </c:extLst>
        </c:ser>
        <c:dLbls>
          <c:showLegendKey val="0"/>
          <c:showVal val="0"/>
          <c:showCatName val="0"/>
          <c:showSerName val="0"/>
          <c:showPercent val="0"/>
          <c:showBubbleSize val="0"/>
        </c:dLbls>
        <c:axId val="777464784"/>
        <c:axId val="723916656"/>
      </c:scatterChart>
      <c:valAx>
        <c:axId val="777464784"/>
        <c:scaling>
          <c:orientation val="minMax"/>
          <c:min val="2025"/>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23916656"/>
        <c:crosses val="autoZero"/>
        <c:crossBetween val="midCat"/>
      </c:valAx>
      <c:valAx>
        <c:axId val="723916656"/>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7464784"/>
        <c:crosses val="autoZero"/>
        <c:crossBetween val="midCat"/>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340995</xdr:colOff>
      <xdr:row>112</xdr:row>
      <xdr:rowOff>96202</xdr:rowOff>
    </xdr:from>
    <xdr:to>
      <xdr:col>1</xdr:col>
      <xdr:colOff>2474595</xdr:colOff>
      <xdr:row>127</xdr:row>
      <xdr:rowOff>128587</xdr:rowOff>
    </xdr:to>
    <xdr:graphicFrame macro="">
      <xdr:nvGraphicFramePr>
        <xdr:cNvPr id="2" name="Chart 1">
          <a:extLst>
            <a:ext uri="{FF2B5EF4-FFF2-40B4-BE49-F238E27FC236}">
              <a16:creationId xmlns:a16="http://schemas.microsoft.com/office/drawing/2014/main" id="{D4ED5F7F-5093-5ACD-890C-335FE9ABAD52}"/>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1</xdr:col>
      <xdr:colOff>2956560</xdr:colOff>
      <xdr:row>112</xdr:row>
      <xdr:rowOff>15240</xdr:rowOff>
    </xdr:from>
    <xdr:to>
      <xdr:col>6</xdr:col>
      <xdr:colOff>567690</xdr:colOff>
      <xdr:row>127</xdr:row>
      <xdr:rowOff>111240</xdr:rowOff>
    </xdr:to>
    <xdr:pic>
      <xdr:nvPicPr>
        <xdr:cNvPr id="3" name="Picture 2" descr="A map of the united states&#10;&#10;Description automatically generated">
          <a:extLst>
            <a:ext uri="{FF2B5EF4-FFF2-40B4-BE49-F238E27FC236}">
              <a16:creationId xmlns:a16="http://schemas.microsoft.com/office/drawing/2014/main" id="{A1EA1C9B-7839-4E66-977A-69FBAA78589A}"/>
            </a:ext>
          </a:extLst>
        </xdr:cNvPr>
        <xdr:cNvPicPr>
          <a:picLocks noChangeAspect="1"/>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b="6341"/>
        <a:stretch/>
      </xdr:blipFill>
      <xdr:spPr bwMode="auto">
        <a:xfrm>
          <a:off x="5265420" y="19423380"/>
          <a:ext cx="4956810" cy="2942070"/>
        </a:xfrm>
        <a:prstGeom prst="rect">
          <a:avLst/>
        </a:prstGeom>
        <a:noFill/>
        <a:ln>
          <a:noFill/>
        </a:ln>
        <a:extLst>
          <a:ext uri="{53640926-AAD7-44D8-BBD7-CCE9431645EC}">
            <a14:shadowObscured xmlns:a14="http://schemas.microsoft.com/office/drawing/2010/main"/>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Emissions%20Inventory/Files%20from%20MDEQ/First%20six%20modules/Ag%20Module_11.17.23.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ntrol"/>
      <sheetName val="Dataframe"/>
      <sheetName val="Dataframe_Sum"/>
      <sheetName val="Enteric Fermentation"/>
      <sheetName val="CH4 from Manure Management"/>
      <sheetName val="N2O from Manure Management"/>
      <sheetName val="Ag Soils-Plant-Residues&amp;Legumes"/>
      <sheetName val="Ag Soils-Plant-Fertilizers"/>
      <sheetName val="Ag Soils-Animals"/>
      <sheetName val="Rice Cultivation"/>
      <sheetName val="Liming"/>
      <sheetName val="Urea Fertilization"/>
      <sheetName val="Ag. Residue Burning-CH4"/>
      <sheetName val="Ag. Residue Burning-N2O"/>
      <sheetName val="Summary"/>
      <sheetName val="Default Livestock_Crop Data "/>
      <sheetName val="Summary Figures"/>
      <sheetName val="National Adjustment"/>
      <sheetName val="Uncertainty"/>
      <sheetName val="constants"/>
      <sheetName val="FertilizerData"/>
      <sheetName val="enteric EFsNEW"/>
      <sheetName val="enteric EFs"/>
      <sheetName val="VS-CattleNEW"/>
      <sheetName val="VS-Cattle"/>
      <sheetName val="TAM and NEx Rates"/>
      <sheetName val="MCF"/>
      <sheetName val="Data Sources"/>
      <sheetName val="manure%"/>
      <sheetName val="Documentation"/>
      <sheetName val="Notes"/>
      <sheetName val="ListData"/>
      <sheetName val="animal data"/>
      <sheetName val="crop data"/>
      <sheetName val="burn data"/>
      <sheetName val="Urea Consump Calendar Yr"/>
      <sheetName val="Urea Consump Fert Yr"/>
      <sheetName val="Limestone Final Data"/>
      <sheetName val="Limestone, pre-correction"/>
      <sheetName val="Correction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ow r="20">
          <cell r="B20">
            <v>4.1000000000000002E-2</v>
          </cell>
        </row>
        <row r="21">
          <cell r="B21">
            <v>0.2</v>
          </cell>
        </row>
        <row r="22">
          <cell r="B22">
            <v>0.1</v>
          </cell>
        </row>
      </sheetData>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s://www.eia.gov/environment/emissions/co2_vol_mass.php" TargetMode="External"/></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hyperlink" Target="https://www.eia.gov/environment/emissions/co2_vol_mass.php" TargetMode="External"/></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https://afleet.es.anl.gov/home/"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BC22093-45B7-4302-8265-6EA27C866746}">
  <sheetPr>
    <tabColor theme="9" tint="0.39997558519241921"/>
  </sheetPr>
  <dimension ref="A1:K27"/>
  <sheetViews>
    <sheetView tabSelected="1" zoomScaleNormal="100" zoomScaleSheetLayoutView="100" workbookViewId="0"/>
  </sheetViews>
  <sheetFormatPr defaultRowHeight="15" x14ac:dyDescent="0.25"/>
  <cols>
    <col min="1" max="1" width="10" customWidth="1"/>
    <col min="2" max="2" width="49.7109375" customWidth="1"/>
    <col min="3" max="3" width="12.85546875" customWidth="1"/>
    <col min="4" max="4" width="11.7109375" customWidth="1"/>
    <col min="5" max="5" width="11.42578125" customWidth="1"/>
    <col min="6" max="6" width="11.140625" customWidth="1"/>
    <col min="7" max="7" width="10" customWidth="1"/>
    <col min="8" max="8" width="10.5703125" bestFit="1" customWidth="1"/>
    <col min="9" max="9" width="11.5703125" bestFit="1" customWidth="1"/>
    <col min="10" max="10" width="10" customWidth="1"/>
    <col min="11" max="11" width="13.28515625" bestFit="1" customWidth="1"/>
  </cols>
  <sheetData>
    <row r="1" spans="1:11" x14ac:dyDescent="0.25">
      <c r="A1" s="1" t="s">
        <v>512</v>
      </c>
    </row>
    <row r="2" spans="1:11" x14ac:dyDescent="0.25">
      <c r="A2" s="1" t="s">
        <v>190</v>
      </c>
    </row>
    <row r="3" spans="1:11" x14ac:dyDescent="0.25">
      <c r="A3" s="1" t="s">
        <v>513</v>
      </c>
    </row>
    <row r="5" spans="1:11" x14ac:dyDescent="0.25">
      <c r="A5" t="s">
        <v>506</v>
      </c>
    </row>
    <row r="6" spans="1:11" ht="15.75" thickBot="1" x14ac:dyDescent="0.3"/>
    <row r="7" spans="1:11" ht="29.25" customHeight="1" thickTop="1" x14ac:dyDescent="0.25">
      <c r="A7" s="397" t="s">
        <v>475</v>
      </c>
      <c r="B7" s="400" t="s">
        <v>191</v>
      </c>
      <c r="C7" s="403" t="s">
        <v>476</v>
      </c>
      <c r="D7" s="406" t="s">
        <v>116</v>
      </c>
      <c r="E7" s="406"/>
      <c r="F7" s="393" t="s">
        <v>454</v>
      </c>
      <c r="K7" s="95"/>
    </row>
    <row r="8" spans="1:11" ht="18" x14ac:dyDescent="0.25">
      <c r="A8" s="398"/>
      <c r="B8" s="401"/>
      <c r="C8" s="404"/>
      <c r="D8" s="407" t="s">
        <v>477</v>
      </c>
      <c r="E8" s="407"/>
      <c r="F8" s="304" t="s">
        <v>478</v>
      </c>
    </row>
    <row r="9" spans="1:11" ht="15.75" thickBot="1" x14ac:dyDescent="0.3">
      <c r="A9" s="399"/>
      <c r="B9" s="402"/>
      <c r="C9" s="405"/>
      <c r="D9" s="366" t="s">
        <v>117</v>
      </c>
      <c r="E9" s="366" t="s">
        <v>118</v>
      </c>
      <c r="F9" s="108" t="s">
        <v>455</v>
      </c>
    </row>
    <row r="10" spans="1:11" ht="15.75" thickTop="1" x14ac:dyDescent="0.25">
      <c r="A10" s="375">
        <v>1</v>
      </c>
      <c r="B10" s="376" t="s">
        <v>452</v>
      </c>
      <c r="C10" s="377">
        <v>24595948</v>
      </c>
      <c r="D10" s="378">
        <f>'2 Sustainable Schools'!E17</f>
        <v>1.1053348428592652E-2</v>
      </c>
      <c r="E10" s="378">
        <f>'2 Sustainable Schools'!F17</f>
        <v>6.4835617269412907E-2</v>
      </c>
      <c r="F10" s="379">
        <f>C10/(D10*1000000)</f>
        <v>2225.203354340621</v>
      </c>
    </row>
    <row r="11" spans="1:11" x14ac:dyDescent="0.25">
      <c r="A11" s="228">
        <v>2</v>
      </c>
      <c r="B11" s="380" t="s">
        <v>480</v>
      </c>
      <c r="C11" s="381">
        <v>10369695</v>
      </c>
      <c r="D11" s="245">
        <f>'3 Clean Transport'!E17</f>
        <v>3.5175400592792603E-3</v>
      </c>
      <c r="E11" s="245">
        <f>'3 Clean Transport'!F17</f>
        <v>1.3843452736850224E-2</v>
      </c>
      <c r="F11" s="382">
        <f>C11/(D11*1000000)</f>
        <v>2947.9962772974754</v>
      </c>
    </row>
    <row r="12" spans="1:11" x14ac:dyDescent="0.25">
      <c r="A12" s="228">
        <v>3</v>
      </c>
      <c r="B12" s="380" t="s">
        <v>479</v>
      </c>
      <c r="C12" s="381">
        <v>11983832</v>
      </c>
      <c r="D12" s="394">
        <f>'5 Transmission'!E17</f>
        <v>2.4263751447E-2</v>
      </c>
      <c r="E12" s="394">
        <f>'5 Transmission'!F17</f>
        <v>0.15787577261699995</v>
      </c>
      <c r="F12" s="382">
        <f>C12/(D12*1000000)</f>
        <v>493.89856412668189</v>
      </c>
    </row>
    <row r="13" spans="1:11" x14ac:dyDescent="0.25">
      <c r="A13" s="395" t="s">
        <v>5</v>
      </c>
      <c r="B13" s="396"/>
      <c r="C13" s="383">
        <f>SUM(C10:C12,C14)</f>
        <v>48949475</v>
      </c>
      <c r="D13" s="245">
        <f>SUM(D10:D12)</f>
        <v>3.8834639934871913E-2</v>
      </c>
      <c r="E13" s="245">
        <f>SUM(E10:E12)</f>
        <v>0.2365548426232631</v>
      </c>
      <c r="F13" s="382">
        <f>C13/(D13*1000000)</f>
        <v>1260.4590922457705</v>
      </c>
      <c r="H13" s="95"/>
      <c r="I13" s="95"/>
    </row>
    <row r="14" spans="1:11" ht="15.75" thickBot="1" x14ac:dyDescent="0.3">
      <c r="A14" s="384">
        <v>4</v>
      </c>
      <c r="B14" s="385" t="s">
        <v>481</v>
      </c>
      <c r="C14" s="386">
        <v>2000000</v>
      </c>
      <c r="D14" s="408" t="s">
        <v>484</v>
      </c>
      <c r="E14" s="409"/>
      <c r="F14" s="410"/>
    </row>
    <row r="15" spans="1:11" ht="15.75" thickTop="1" x14ac:dyDescent="0.25"/>
    <row r="17" spans="1:10" x14ac:dyDescent="0.25">
      <c r="A17" t="s">
        <v>507</v>
      </c>
    </row>
    <row r="18" spans="1:10" ht="15.75" thickBot="1" x14ac:dyDescent="0.3"/>
    <row r="19" spans="1:10" ht="15" customHeight="1" thickTop="1" x14ac:dyDescent="0.25">
      <c r="A19" s="415" t="s">
        <v>475</v>
      </c>
      <c r="B19" s="418" t="s">
        <v>191</v>
      </c>
      <c r="C19" s="406" t="s">
        <v>339</v>
      </c>
      <c r="D19" s="406"/>
      <c r="E19" s="406"/>
      <c r="F19" s="406"/>
      <c r="G19" s="406"/>
      <c r="H19" s="406"/>
      <c r="I19" s="406"/>
      <c r="J19" s="414"/>
    </row>
    <row r="20" spans="1:10" ht="18" x14ac:dyDescent="0.35">
      <c r="A20" s="416"/>
      <c r="B20" s="419"/>
      <c r="C20" s="198" t="s">
        <v>482</v>
      </c>
      <c r="D20" s="198" t="s">
        <v>483</v>
      </c>
      <c r="E20" s="91" t="s">
        <v>470</v>
      </c>
      <c r="F20" s="91" t="s">
        <v>16</v>
      </c>
      <c r="G20" s="91" t="s">
        <v>229</v>
      </c>
      <c r="H20" s="91" t="s">
        <v>230</v>
      </c>
      <c r="I20" s="91" t="s">
        <v>231</v>
      </c>
      <c r="J20" s="349" t="s">
        <v>335</v>
      </c>
    </row>
    <row r="21" spans="1:10" ht="15.75" thickBot="1" x14ac:dyDescent="0.3">
      <c r="A21" s="417"/>
      <c r="B21" s="420"/>
      <c r="C21" s="366" t="s">
        <v>340</v>
      </c>
      <c r="D21" s="366" t="s">
        <v>340</v>
      </c>
      <c r="E21" s="13" t="s">
        <v>340</v>
      </c>
      <c r="F21" s="13" t="s">
        <v>340</v>
      </c>
      <c r="G21" s="13" t="s">
        <v>340</v>
      </c>
      <c r="H21" s="13" t="s">
        <v>340</v>
      </c>
      <c r="I21" s="13" t="s">
        <v>340</v>
      </c>
      <c r="J21" s="108" t="s">
        <v>341</v>
      </c>
    </row>
    <row r="22" spans="1:10" ht="15" customHeight="1" thickTop="1" x14ac:dyDescent="0.25">
      <c r="A22" s="375">
        <v>1</v>
      </c>
      <c r="B22" s="376" t="s">
        <v>452</v>
      </c>
      <c r="C22" s="387">
        <f>'2. Schools CoPol'!E17</f>
        <v>0.52010602675225492</v>
      </c>
      <c r="D22" s="387">
        <f>'2. Schools CoPol'!F17</f>
        <v>0.48072782178166662</v>
      </c>
      <c r="E22" s="387">
        <f>'2. Schools CoPol'!G17</f>
        <v>2.1440646918775004</v>
      </c>
      <c r="F22" s="387">
        <f>'2. Schools CoPol'!H17</f>
        <v>5.906325660666667</v>
      </c>
      <c r="G22" s="387">
        <f>'2. Schools CoPol'!I17</f>
        <v>2.8504157296681818</v>
      </c>
      <c r="H22" s="387">
        <f>'2. Schools CoPol'!J17</f>
        <v>0.23316296883541665</v>
      </c>
      <c r="I22" s="388">
        <f>'2. Schools CoPol'!K17</f>
        <v>9.7816414278333348E-6</v>
      </c>
      <c r="J22" s="389">
        <f>'2. Schools CoPol'!L17</f>
        <v>79.693189857092719</v>
      </c>
    </row>
    <row r="23" spans="1:10" ht="15" customHeight="1" x14ac:dyDescent="0.25">
      <c r="A23" s="228">
        <v>2</v>
      </c>
      <c r="B23" s="380" t="s">
        <v>480</v>
      </c>
      <c r="C23" s="61">
        <f>'3 Clean Transport'!E22</f>
        <v>1.672306679914646</v>
      </c>
      <c r="D23" s="61">
        <f>'3 Clean Transport'!F22</f>
        <v>1.2716487574888282</v>
      </c>
      <c r="E23" s="61">
        <f>'3 Clean Transport'!G22</f>
        <v>-0.65971621477996978</v>
      </c>
      <c r="F23" s="61">
        <f>'3 Clean Transport'!H22</f>
        <v>48.097020106239064</v>
      </c>
      <c r="G23" s="61">
        <f>'3 Clean Transport'!I22</f>
        <v>1.6611879398367331</v>
      </c>
      <c r="H23" s="61">
        <f>'3 Clean Transport'!J22</f>
        <v>3.6385751117291596</v>
      </c>
      <c r="I23" s="390" t="s">
        <v>113</v>
      </c>
      <c r="J23" s="391" t="s">
        <v>113</v>
      </c>
    </row>
    <row r="24" spans="1:10" x14ac:dyDescent="0.25">
      <c r="A24" s="228">
        <v>3</v>
      </c>
      <c r="B24" s="380" t="s">
        <v>479</v>
      </c>
      <c r="C24" s="61">
        <f>'5 Transmission'!B22</f>
        <v>1.8</v>
      </c>
      <c r="D24" s="61">
        <f>'5 Transmission'!C22</f>
        <v>1.53</v>
      </c>
      <c r="E24" s="61">
        <f>'5 Transmission'!D22</f>
        <v>8.85</v>
      </c>
      <c r="F24" s="61">
        <f>'5 Transmission'!E22</f>
        <v>14.91</v>
      </c>
      <c r="G24" s="61">
        <f>'5 Transmission'!F22</f>
        <v>3.1428571428571424E-2</v>
      </c>
      <c r="H24" s="61">
        <f>'5 Transmission'!G22</f>
        <v>0.48</v>
      </c>
      <c r="I24" s="390" t="s">
        <v>113</v>
      </c>
      <c r="J24" s="391" t="s">
        <v>113</v>
      </c>
    </row>
    <row r="25" spans="1:10" x14ac:dyDescent="0.25">
      <c r="A25" s="395" t="s">
        <v>5</v>
      </c>
      <c r="B25" s="396"/>
      <c r="C25" s="61">
        <f t="shared" ref="C25:J25" si="0">SUM(C22:C24)</f>
        <v>3.9924127066669008</v>
      </c>
      <c r="D25" s="61">
        <f t="shared" si="0"/>
        <v>3.2823765792704949</v>
      </c>
      <c r="E25" s="61">
        <f t="shared" si="0"/>
        <v>10.33434847709753</v>
      </c>
      <c r="F25" s="61">
        <f t="shared" si="0"/>
        <v>68.913345766905735</v>
      </c>
      <c r="G25" s="61">
        <f t="shared" si="0"/>
        <v>4.5430322409334858</v>
      </c>
      <c r="H25" s="61">
        <f t="shared" si="0"/>
        <v>4.3517380805645764</v>
      </c>
      <c r="I25" s="259">
        <f t="shared" si="0"/>
        <v>9.7816414278333348E-6</v>
      </c>
      <c r="J25" s="392">
        <f t="shared" si="0"/>
        <v>79.693189857092719</v>
      </c>
    </row>
    <row r="26" spans="1:10" ht="15.75" thickBot="1" x14ac:dyDescent="0.3">
      <c r="A26" s="384">
        <v>4</v>
      </c>
      <c r="B26" s="385" t="s">
        <v>481</v>
      </c>
      <c r="C26" s="411" t="s">
        <v>484</v>
      </c>
      <c r="D26" s="412"/>
      <c r="E26" s="412"/>
      <c r="F26" s="412"/>
      <c r="G26" s="412"/>
      <c r="H26" s="412"/>
      <c r="I26" s="412"/>
      <c r="J26" s="413"/>
    </row>
    <row r="27" spans="1:10" ht="15.75" thickTop="1" x14ac:dyDescent="0.25"/>
  </sheetData>
  <mergeCells count="12">
    <mergeCell ref="A25:B25"/>
    <mergeCell ref="D14:F14"/>
    <mergeCell ref="C26:J26"/>
    <mergeCell ref="C19:J19"/>
    <mergeCell ref="A19:A21"/>
    <mergeCell ref="B19:B21"/>
    <mergeCell ref="A13:B13"/>
    <mergeCell ref="A7:A9"/>
    <mergeCell ref="B7:B9"/>
    <mergeCell ref="C7:C9"/>
    <mergeCell ref="D7:E7"/>
    <mergeCell ref="D8:E8"/>
  </mergeCells>
  <pageMargins left="0.7" right="0.7" top="0.75" bottom="0.75" header="0.3" footer="0.3"/>
  <pageSetup scale="75"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2124192-D2E3-47AE-B46F-C1F12B1A7E22}">
  <sheetPr>
    <tabColor theme="9" tint="0.59999389629810485"/>
  </sheetPr>
  <dimension ref="A1:R167"/>
  <sheetViews>
    <sheetView view="pageBreakPreview" topLeftCell="A65" zoomScale="60" zoomScaleNormal="100" workbookViewId="0">
      <selection activeCell="C52" sqref="C52"/>
    </sheetView>
  </sheetViews>
  <sheetFormatPr defaultRowHeight="15" x14ac:dyDescent="0.25"/>
  <cols>
    <col min="1" max="1" width="13" customWidth="1"/>
    <col min="2" max="2" width="16.7109375" customWidth="1"/>
    <col min="3" max="3" width="16.140625" customWidth="1"/>
    <col min="4" max="4" width="13.28515625" customWidth="1"/>
    <col min="5" max="5" width="14.85546875" customWidth="1"/>
    <col min="6" max="6" width="14" customWidth="1"/>
    <col min="7" max="7" width="17.85546875" bestFit="1" customWidth="1"/>
    <col min="8" max="8" width="18.28515625" customWidth="1"/>
    <col min="9" max="9" width="17.42578125" customWidth="1"/>
    <col min="10" max="10" width="11.7109375" customWidth="1"/>
    <col min="11" max="12" width="10.7109375" customWidth="1"/>
    <col min="14" max="14" width="14.28515625" customWidth="1"/>
    <col min="15" max="15" width="14.5703125" customWidth="1"/>
    <col min="18" max="18" width="14" bestFit="1" customWidth="1"/>
    <col min="19" max="19" width="10.140625" bestFit="1" customWidth="1"/>
  </cols>
  <sheetData>
    <row r="1" spans="1:7" x14ac:dyDescent="0.25">
      <c r="A1" s="1" t="s">
        <v>189</v>
      </c>
    </row>
    <row r="2" spans="1:7" x14ac:dyDescent="0.25">
      <c r="A2" s="1" t="s">
        <v>190</v>
      </c>
    </row>
    <row r="3" spans="1:7" x14ac:dyDescent="0.25">
      <c r="A3" s="1" t="s">
        <v>505</v>
      </c>
    </row>
    <row r="5" spans="1:7" x14ac:dyDescent="0.25">
      <c r="A5" s="1" t="s">
        <v>1</v>
      </c>
      <c r="B5" s="1" t="s">
        <v>452</v>
      </c>
    </row>
    <row r="6" spans="1:7" x14ac:dyDescent="0.25">
      <c r="A6" s="1" t="s">
        <v>226</v>
      </c>
    </row>
    <row r="7" spans="1:7" x14ac:dyDescent="0.25">
      <c r="A7" s="1"/>
    </row>
    <row r="8" spans="1:7" x14ac:dyDescent="0.25">
      <c r="A8" s="5" t="s">
        <v>25</v>
      </c>
    </row>
    <row r="9" spans="1:7" x14ac:dyDescent="0.25">
      <c r="A9" t="s">
        <v>26</v>
      </c>
    </row>
    <row r="10" spans="1:7" x14ac:dyDescent="0.25">
      <c r="A10" t="s">
        <v>27</v>
      </c>
    </row>
    <row r="12" spans="1:7" ht="15.75" x14ac:dyDescent="0.25">
      <c r="A12" s="199" t="s">
        <v>302</v>
      </c>
    </row>
    <row r="13" spans="1:7" ht="15.75" x14ac:dyDescent="0.25">
      <c r="A13" s="199"/>
    </row>
    <row r="14" spans="1:7" x14ac:dyDescent="0.25">
      <c r="A14" s="421" t="s">
        <v>115</v>
      </c>
      <c r="B14" s="421"/>
      <c r="C14" s="421"/>
      <c r="D14" s="421"/>
      <c r="E14" s="421" t="s">
        <v>116</v>
      </c>
      <c r="F14" s="421"/>
      <c r="G14" s="50" t="s">
        <v>454</v>
      </c>
    </row>
    <row r="15" spans="1:7" ht="18" x14ac:dyDescent="0.25">
      <c r="A15" s="421"/>
      <c r="B15" s="421"/>
      <c r="C15" s="421"/>
      <c r="D15" s="421"/>
      <c r="E15" s="421" t="s">
        <v>301</v>
      </c>
      <c r="F15" s="421"/>
      <c r="G15" s="50" t="s">
        <v>456</v>
      </c>
    </row>
    <row r="16" spans="1:7" x14ac:dyDescent="0.25">
      <c r="A16" s="421"/>
      <c r="B16" s="421"/>
      <c r="C16" s="421"/>
      <c r="D16" s="421"/>
      <c r="E16" s="198" t="s">
        <v>117</v>
      </c>
      <c r="F16" s="198" t="s">
        <v>118</v>
      </c>
      <c r="G16" s="11" t="s">
        <v>455</v>
      </c>
    </row>
    <row r="17" spans="1:18" ht="52.5" customHeight="1" x14ac:dyDescent="0.25">
      <c r="A17" s="422" t="s">
        <v>511</v>
      </c>
      <c r="B17" s="423"/>
      <c r="C17" s="423"/>
      <c r="D17" s="424"/>
      <c r="E17" s="62">
        <f>C81/1000000</f>
        <v>1.1053348428592652E-2</v>
      </c>
      <c r="F17" s="62">
        <f>D81/1000000</f>
        <v>6.4835617269412907E-2</v>
      </c>
      <c r="G17" s="353">
        <f>C48/C81</f>
        <v>2225.203354340621</v>
      </c>
    </row>
    <row r="18" spans="1:18" x14ac:dyDescent="0.25">
      <c r="A18" s="425" t="s">
        <v>120</v>
      </c>
      <c r="B18" s="425"/>
      <c r="C18" s="425"/>
      <c r="D18" s="425"/>
      <c r="E18" s="425"/>
      <c r="F18" s="425"/>
    </row>
    <row r="20" spans="1:18" ht="15.75" x14ac:dyDescent="0.25">
      <c r="A20" s="199" t="s">
        <v>2</v>
      </c>
    </row>
    <row r="22" spans="1:18" ht="15.75" thickBot="1" x14ac:dyDescent="0.3">
      <c r="A22" s="140" t="s">
        <v>91</v>
      </c>
      <c r="B22" s="4"/>
      <c r="C22" s="4"/>
      <c r="D22" s="4"/>
      <c r="E22" s="4"/>
      <c r="F22" s="4"/>
      <c r="G22" s="4"/>
      <c r="H22" s="4"/>
      <c r="I22" s="4"/>
      <c r="J22" s="4"/>
      <c r="K22" s="4"/>
      <c r="L22" s="4"/>
    </row>
    <row r="23" spans="1:18" ht="63.75" thickTop="1" thickBot="1" x14ac:dyDescent="0.3">
      <c r="A23" s="19" t="s">
        <v>28</v>
      </c>
      <c r="B23" s="9" t="s">
        <v>88</v>
      </c>
      <c r="C23" s="20" t="s">
        <v>20</v>
      </c>
      <c r="D23" s="20" t="s">
        <v>29</v>
      </c>
      <c r="E23" s="9" t="s">
        <v>30</v>
      </c>
      <c r="F23" s="9" t="s">
        <v>490</v>
      </c>
      <c r="G23" s="47" t="s">
        <v>199</v>
      </c>
      <c r="H23" s="9" t="s">
        <v>49</v>
      </c>
      <c r="I23" s="31" t="s">
        <v>50</v>
      </c>
    </row>
    <row r="24" spans="1:18" ht="15.75" thickTop="1" x14ac:dyDescent="0.25">
      <c r="A24" s="21" t="s">
        <v>13</v>
      </c>
      <c r="B24" s="22">
        <v>1000</v>
      </c>
      <c r="C24" s="22" t="s">
        <v>42</v>
      </c>
      <c r="D24" s="426" t="s">
        <v>38</v>
      </c>
      <c r="E24" s="25">
        <v>247504</v>
      </c>
      <c r="F24" s="22">
        <v>63.7</v>
      </c>
      <c r="G24" s="35" t="s">
        <v>7</v>
      </c>
      <c r="H24" s="38">
        <v>1364321</v>
      </c>
      <c r="I24" s="39">
        <v>94000</v>
      </c>
      <c r="R24" s="97"/>
    </row>
    <row r="25" spans="1:18" x14ac:dyDescent="0.25">
      <c r="A25" s="23" t="s">
        <v>6</v>
      </c>
      <c r="B25" s="11">
        <v>240</v>
      </c>
      <c r="C25" s="11" t="s">
        <v>41</v>
      </c>
      <c r="D25" s="427"/>
      <c r="E25" s="28">
        <v>55778</v>
      </c>
      <c r="F25" s="11">
        <v>111</v>
      </c>
      <c r="G25" s="36" t="s">
        <v>79</v>
      </c>
      <c r="H25" s="40">
        <v>2413000</v>
      </c>
      <c r="I25" s="41">
        <v>80300</v>
      </c>
      <c r="R25" s="97"/>
    </row>
    <row r="26" spans="1:18" x14ac:dyDescent="0.25">
      <c r="A26" s="23" t="s">
        <v>11</v>
      </c>
      <c r="B26" s="11">
        <v>1300</v>
      </c>
      <c r="C26" s="11" t="s">
        <v>43</v>
      </c>
      <c r="D26" s="428"/>
      <c r="E26" s="28">
        <v>287075</v>
      </c>
      <c r="F26" s="11">
        <v>60</v>
      </c>
      <c r="G26" s="36" t="s">
        <v>7</v>
      </c>
      <c r="H26" s="40">
        <v>1925740</v>
      </c>
      <c r="I26" s="41">
        <v>41761</v>
      </c>
      <c r="Q26" s="55"/>
    </row>
    <row r="27" spans="1:18" x14ac:dyDescent="0.25">
      <c r="A27" s="23" t="s">
        <v>9</v>
      </c>
      <c r="B27" s="11">
        <v>1800</v>
      </c>
      <c r="C27" s="11" t="s">
        <v>44</v>
      </c>
      <c r="D27" s="429" t="s">
        <v>39</v>
      </c>
      <c r="E27" s="28">
        <v>407517</v>
      </c>
      <c r="F27" s="11">
        <v>70.099999999999994</v>
      </c>
      <c r="G27" s="36" t="s">
        <v>7</v>
      </c>
      <c r="H27" s="40">
        <v>4085680</v>
      </c>
      <c r="I27" s="41">
        <v>23010</v>
      </c>
    </row>
    <row r="28" spans="1:18" x14ac:dyDescent="0.25">
      <c r="A28" s="23" t="s">
        <v>10</v>
      </c>
      <c r="B28" s="11">
        <v>60</v>
      </c>
      <c r="C28" s="11" t="s">
        <v>45</v>
      </c>
      <c r="D28" s="428"/>
      <c r="E28" s="28">
        <v>46557</v>
      </c>
      <c r="F28" s="11">
        <v>54.3</v>
      </c>
      <c r="G28" s="36" t="s">
        <v>7</v>
      </c>
      <c r="H28" s="40">
        <v>1303270</v>
      </c>
      <c r="I28" s="41">
        <v>6830</v>
      </c>
    </row>
    <row r="29" spans="1:18" ht="48.75" thickBot="1" x14ac:dyDescent="0.3">
      <c r="A29" s="24" t="s">
        <v>12</v>
      </c>
      <c r="B29" s="13">
        <v>200</v>
      </c>
      <c r="C29" s="13" t="s">
        <v>41</v>
      </c>
      <c r="D29" s="354" t="s">
        <v>40</v>
      </c>
      <c r="E29" s="33">
        <v>22419</v>
      </c>
      <c r="F29" s="13">
        <v>238.1</v>
      </c>
      <c r="G29" s="37" t="s">
        <v>68</v>
      </c>
      <c r="H29" s="158">
        <v>1159240</v>
      </c>
      <c r="I29" s="42">
        <v>28065</v>
      </c>
    </row>
    <row r="30" spans="1:18" ht="15.75" thickTop="1" x14ac:dyDescent="0.25"/>
    <row r="31" spans="1:18" ht="15.75" thickBot="1" x14ac:dyDescent="0.3">
      <c r="A31" s="141" t="s">
        <v>211</v>
      </c>
    </row>
    <row r="32" spans="1:18" ht="49.5" thickTop="1" thickBot="1" x14ac:dyDescent="0.3">
      <c r="A32" s="19" t="s">
        <v>28</v>
      </c>
      <c r="B32" s="9" t="s">
        <v>33</v>
      </c>
      <c r="C32" s="9" t="s">
        <v>32</v>
      </c>
      <c r="D32" s="9" t="s">
        <v>34</v>
      </c>
      <c r="E32" s="9" t="s">
        <v>83</v>
      </c>
      <c r="F32" s="9" t="s">
        <v>78</v>
      </c>
      <c r="G32" s="9" t="s">
        <v>36</v>
      </c>
      <c r="H32" s="31" t="s">
        <v>204</v>
      </c>
      <c r="K32" s="102"/>
    </row>
    <row r="33" spans="1:11" ht="15.75" thickTop="1" x14ac:dyDescent="0.25">
      <c r="A33" s="21" t="s">
        <v>13</v>
      </c>
      <c r="B33" s="22" t="s">
        <v>35</v>
      </c>
      <c r="C33" s="22" t="s">
        <v>35</v>
      </c>
      <c r="D33" s="22" t="s">
        <v>35</v>
      </c>
      <c r="E33" s="22"/>
      <c r="F33" s="22"/>
      <c r="G33" s="22">
        <v>5280</v>
      </c>
      <c r="H33" s="130">
        <f>187/1.10231</f>
        <v>169.64374812892927</v>
      </c>
      <c r="K33" s="96"/>
    </row>
    <row r="34" spans="1:11" x14ac:dyDescent="0.25">
      <c r="A34" s="23" t="s">
        <v>6</v>
      </c>
      <c r="B34" s="11" t="s">
        <v>35</v>
      </c>
      <c r="C34" s="11" t="s">
        <v>35</v>
      </c>
      <c r="D34" s="11" t="s">
        <v>35</v>
      </c>
      <c r="E34" s="11"/>
      <c r="F34" s="11"/>
      <c r="G34" s="18">
        <f>K133</f>
        <v>3661.1366001599999</v>
      </c>
      <c r="H34" s="131">
        <f>N133</f>
        <v>266.00191143155132</v>
      </c>
      <c r="K34" s="96"/>
    </row>
    <row r="35" spans="1:11" x14ac:dyDescent="0.25">
      <c r="A35" s="23" t="s">
        <v>11</v>
      </c>
      <c r="B35" s="11" t="s">
        <v>35</v>
      </c>
      <c r="C35" s="11" t="s">
        <v>35</v>
      </c>
      <c r="D35" s="11" t="s">
        <v>35</v>
      </c>
      <c r="E35" s="11"/>
      <c r="F35" s="11" t="s">
        <v>35</v>
      </c>
      <c r="G35" s="11">
        <v>9219</v>
      </c>
      <c r="H35" s="131">
        <f>350/1.10231</f>
        <v>317.5150366049478</v>
      </c>
      <c r="K35" s="96"/>
    </row>
    <row r="36" spans="1:11" ht="17.25" x14ac:dyDescent="0.25">
      <c r="A36" s="23" t="s">
        <v>9</v>
      </c>
      <c r="B36" s="11" t="s">
        <v>35</v>
      </c>
      <c r="C36" s="11"/>
      <c r="D36" s="11" t="s">
        <v>35</v>
      </c>
      <c r="E36" s="11" t="s">
        <v>89</v>
      </c>
      <c r="F36" s="11"/>
      <c r="G36" s="18">
        <f>K145</f>
        <v>2409.2456932599998</v>
      </c>
      <c r="H36" s="131">
        <f>N145</f>
        <v>161.37364872921501</v>
      </c>
      <c r="K36" s="96"/>
    </row>
    <row r="37" spans="1:11" x14ac:dyDescent="0.25">
      <c r="A37" s="23" t="s">
        <v>10</v>
      </c>
      <c r="B37" s="11" t="s">
        <v>35</v>
      </c>
      <c r="C37" s="11"/>
      <c r="D37" s="11"/>
      <c r="E37" s="11"/>
      <c r="F37" s="11"/>
      <c r="G37" s="18">
        <f>K149</f>
        <v>1084.7781</v>
      </c>
      <c r="H37" s="131">
        <f>N149</f>
        <v>57.395609270999991</v>
      </c>
      <c r="K37" s="96"/>
    </row>
    <row r="38" spans="1:11" ht="15.75" thickBot="1" x14ac:dyDescent="0.3">
      <c r="A38" s="24" t="s">
        <v>12</v>
      </c>
      <c r="B38" s="13" t="s">
        <v>35</v>
      </c>
      <c r="C38" s="13" t="s">
        <v>35</v>
      </c>
      <c r="D38" s="13"/>
      <c r="E38" s="13"/>
      <c r="F38" s="13"/>
      <c r="G38" s="13">
        <v>15344</v>
      </c>
      <c r="H38" s="132">
        <f>428/1.10231</f>
        <v>388.27553047690765</v>
      </c>
      <c r="K38" s="96"/>
    </row>
    <row r="39" spans="1:11" ht="15.75" thickTop="1" x14ac:dyDescent="0.25">
      <c r="A39" s="32" t="s">
        <v>84</v>
      </c>
      <c r="B39" s="10"/>
      <c r="C39" s="10"/>
      <c r="D39" s="10"/>
      <c r="E39" s="10"/>
      <c r="F39" s="10"/>
      <c r="G39" s="10"/>
      <c r="H39" s="10"/>
      <c r="I39" s="10"/>
    </row>
    <row r="40" spans="1:11" x14ac:dyDescent="0.25">
      <c r="A40" s="43" t="s">
        <v>90</v>
      </c>
      <c r="B40" s="10"/>
      <c r="C40" s="10"/>
      <c r="D40" s="10"/>
      <c r="E40" s="10"/>
      <c r="F40" s="10"/>
      <c r="G40" s="10"/>
      <c r="H40" s="10"/>
      <c r="I40" s="10"/>
    </row>
    <row r="41" spans="1:11" x14ac:dyDescent="0.25">
      <c r="A41" s="133"/>
      <c r="B41" s="133"/>
      <c r="C41" s="133"/>
      <c r="D41" s="133"/>
      <c r="E41" s="133"/>
      <c r="F41" s="133"/>
      <c r="G41" s="133"/>
      <c r="H41" s="133"/>
      <c r="I41" s="133"/>
      <c r="J41" s="133"/>
    </row>
    <row r="42" spans="1:11" ht="15.75" thickBot="1" x14ac:dyDescent="0.3">
      <c r="A42" s="142" t="s">
        <v>212</v>
      </c>
    </row>
    <row r="43" spans="1:11" ht="64.5" thickTop="1" thickBot="1" x14ac:dyDescent="0.3">
      <c r="A43" s="44" t="s">
        <v>343</v>
      </c>
      <c r="B43" s="31" t="s">
        <v>37</v>
      </c>
      <c r="C43" s="77"/>
      <c r="D43" s="77"/>
    </row>
    <row r="44" spans="1:11" ht="16.5" thickTop="1" thickBot="1" x14ac:dyDescent="0.3">
      <c r="A44" s="148">
        <f>SUM(H24:H29)</f>
        <v>12251251</v>
      </c>
      <c r="B44" s="149">
        <f>SUM(H33:H38)</f>
        <v>1360.205484642551</v>
      </c>
      <c r="C44" s="49"/>
      <c r="D44" s="49"/>
      <c r="G44" s="151"/>
    </row>
    <row r="45" spans="1:11" ht="46.5" customHeight="1" thickTop="1" x14ac:dyDescent="0.25">
      <c r="A45" s="430" t="s">
        <v>221</v>
      </c>
      <c r="B45" s="430"/>
      <c r="C45" s="430"/>
      <c r="D45" s="430"/>
      <c r="E45" s="430"/>
      <c r="F45" s="430"/>
      <c r="G45" s="430"/>
      <c r="H45" s="430"/>
      <c r="I45" s="430"/>
      <c r="J45" s="430"/>
      <c r="K45" s="430"/>
    </row>
    <row r="46" spans="1:11" ht="15" customHeight="1" x14ac:dyDescent="0.25">
      <c r="A46" s="89"/>
      <c r="B46" s="4"/>
      <c r="C46" s="4"/>
      <c r="D46" s="4"/>
      <c r="E46" s="4"/>
      <c r="F46" s="4"/>
      <c r="G46" s="4"/>
      <c r="H46" s="4"/>
      <c r="I46" s="4"/>
      <c r="J46" s="4"/>
    </row>
    <row r="47" spans="1:11" ht="15" customHeight="1" x14ac:dyDescent="0.25">
      <c r="A47" s="140" t="s">
        <v>205</v>
      </c>
      <c r="B47" s="4"/>
      <c r="C47" s="4"/>
      <c r="D47" s="4"/>
      <c r="E47" s="4"/>
      <c r="F47" s="4"/>
      <c r="G47" s="4"/>
      <c r="H47" s="4"/>
      <c r="I47" s="4"/>
      <c r="J47" s="4"/>
    </row>
    <row r="48" spans="1:11" ht="15" customHeight="1" x14ac:dyDescent="0.25">
      <c r="A48" s="89" t="s">
        <v>219</v>
      </c>
      <c r="B48" s="4"/>
      <c r="C48" s="135">
        <f>Summary!C10</f>
        <v>24595948</v>
      </c>
      <c r="D48" s="4"/>
      <c r="E48" s="4"/>
      <c r="F48" s="4"/>
      <c r="G48" s="4"/>
      <c r="H48" s="4"/>
      <c r="I48" s="4"/>
      <c r="J48" s="4"/>
    </row>
    <row r="49" spans="1:11" ht="15" customHeight="1" x14ac:dyDescent="0.25">
      <c r="A49" s="89" t="s">
        <v>288</v>
      </c>
      <c r="B49" s="4"/>
      <c r="C49" s="135">
        <f>C48-23630000</f>
        <v>965948</v>
      </c>
      <c r="D49" s="4"/>
      <c r="E49" s="4"/>
      <c r="F49" s="4"/>
      <c r="G49" s="4"/>
      <c r="H49" s="4"/>
      <c r="I49" s="4"/>
      <c r="J49" s="4"/>
    </row>
    <row r="50" spans="1:11" ht="15" customHeight="1" x14ac:dyDescent="0.25">
      <c r="A50" s="89" t="s">
        <v>213</v>
      </c>
      <c r="B50" s="4"/>
      <c r="C50" s="135">
        <f>C48-C49</f>
        <v>23630000</v>
      </c>
      <c r="D50" s="150"/>
      <c r="E50" s="155"/>
      <c r="F50" s="154"/>
      <c r="G50" s="154"/>
      <c r="H50" s="4"/>
      <c r="I50" s="4"/>
      <c r="J50" s="4"/>
    </row>
    <row r="51" spans="1:11" ht="15" customHeight="1" x14ac:dyDescent="0.25">
      <c r="A51" s="89"/>
      <c r="B51" s="4"/>
      <c r="C51" s="135"/>
      <c r="D51" s="150"/>
      <c r="E51" s="155"/>
      <c r="F51" s="154"/>
      <c r="G51" s="154"/>
      <c r="H51" s="4"/>
      <c r="I51" s="4"/>
      <c r="J51" s="4"/>
    </row>
    <row r="52" spans="1:11" ht="15" customHeight="1" x14ac:dyDescent="0.25">
      <c r="A52" s="89" t="s">
        <v>283</v>
      </c>
      <c r="B52" s="4"/>
      <c r="C52" s="152">
        <v>2.8</v>
      </c>
      <c r="D52" s="180" t="s">
        <v>294</v>
      </c>
      <c r="E52" s="155"/>
      <c r="F52" s="154"/>
      <c r="G52" s="154"/>
      <c r="H52" s="4"/>
      <c r="I52" s="4"/>
      <c r="J52" s="4"/>
    </row>
    <row r="53" spans="1:11" ht="15" customHeight="1" x14ac:dyDescent="0.25">
      <c r="A53" s="89" t="s">
        <v>284</v>
      </c>
      <c r="B53" s="4"/>
      <c r="C53" s="4">
        <v>50</v>
      </c>
      <c r="D53" s="150" t="s">
        <v>197</v>
      </c>
      <c r="E53" s="155"/>
      <c r="F53" s="154"/>
      <c r="G53" s="154"/>
      <c r="H53" s="4"/>
      <c r="I53" s="4"/>
      <c r="J53" s="4"/>
    </row>
    <row r="54" spans="1:11" ht="15" customHeight="1" x14ac:dyDescent="0.25">
      <c r="A54" s="89" t="s">
        <v>295</v>
      </c>
      <c r="B54" s="4"/>
      <c r="C54" s="4">
        <v>12</v>
      </c>
      <c r="D54" s="150" t="s">
        <v>286</v>
      </c>
      <c r="E54" s="155"/>
      <c r="F54" s="154"/>
      <c r="G54" s="154"/>
      <c r="H54" s="4"/>
      <c r="I54" s="4"/>
      <c r="J54" s="4"/>
    </row>
    <row r="55" spans="1:11" ht="15" customHeight="1" x14ac:dyDescent="0.25">
      <c r="A55" s="89" t="s">
        <v>285</v>
      </c>
      <c r="B55" s="4"/>
      <c r="C55" s="89">
        <f>C54*C53</f>
        <v>600</v>
      </c>
      <c r="D55" s="150" t="s">
        <v>197</v>
      </c>
      <c r="E55" s="155"/>
      <c r="F55" s="154"/>
      <c r="G55" s="154"/>
      <c r="H55" s="4"/>
      <c r="I55" s="4"/>
      <c r="J55" s="4"/>
    </row>
    <row r="56" spans="1:11" ht="15" customHeight="1" x14ac:dyDescent="0.25">
      <c r="A56" s="89" t="s">
        <v>287</v>
      </c>
      <c r="B56" s="4"/>
      <c r="C56" s="136">
        <f>C55*1000*C52</f>
        <v>1680000</v>
      </c>
      <c r="D56" s="150"/>
      <c r="E56" s="155"/>
      <c r="F56" s="154"/>
      <c r="G56" s="154"/>
      <c r="H56" s="4"/>
      <c r="I56" s="4"/>
      <c r="J56" s="4"/>
    </row>
    <row r="57" spans="1:11" ht="15" customHeight="1" x14ac:dyDescent="0.25">
      <c r="A57" s="89"/>
      <c r="B57" s="4"/>
      <c r="C57" s="136"/>
      <c r="D57" s="150"/>
      <c r="E57" s="155"/>
      <c r="F57" s="154"/>
      <c r="G57" s="154"/>
      <c r="H57" s="4"/>
      <c r="I57" s="4"/>
      <c r="J57" s="4"/>
    </row>
    <row r="58" spans="1:11" ht="15" customHeight="1" x14ac:dyDescent="0.25">
      <c r="A58" s="89" t="s">
        <v>213</v>
      </c>
      <c r="B58" s="4"/>
      <c r="C58" s="136">
        <f>C50</f>
        <v>23630000</v>
      </c>
      <c r="D58" s="150"/>
      <c r="E58" s="155"/>
      <c r="F58" s="154"/>
      <c r="G58" s="154"/>
      <c r="H58" s="4"/>
      <c r="I58" s="4"/>
      <c r="J58" s="4"/>
    </row>
    <row r="59" spans="1:11" ht="15" customHeight="1" x14ac:dyDescent="0.25">
      <c r="A59" s="89" t="s">
        <v>296</v>
      </c>
      <c r="B59" s="4"/>
      <c r="C59" s="136">
        <f>C56</f>
        <v>1680000</v>
      </c>
      <c r="D59" s="150"/>
      <c r="E59" s="155"/>
      <c r="F59" s="154"/>
      <c r="G59" s="154"/>
      <c r="H59" s="4"/>
      <c r="I59" s="4"/>
      <c r="J59" s="4"/>
    </row>
    <row r="60" spans="1:11" ht="15" customHeight="1" x14ac:dyDescent="0.25">
      <c r="A60" s="89" t="s">
        <v>297</v>
      </c>
      <c r="B60" s="4"/>
      <c r="C60" s="136">
        <f>C58-C59</f>
        <v>21950000</v>
      </c>
      <c r="D60" s="150"/>
      <c r="E60" s="155"/>
      <c r="F60" s="154"/>
      <c r="G60" s="154"/>
      <c r="H60" s="4"/>
      <c r="I60" s="4"/>
      <c r="J60" s="4"/>
    </row>
    <row r="61" spans="1:11" ht="15" customHeight="1" x14ac:dyDescent="0.25">
      <c r="A61" s="89"/>
      <c r="B61" s="4"/>
      <c r="C61" s="135"/>
      <c r="D61" s="4"/>
      <c r="E61" s="4"/>
      <c r="F61" s="4"/>
      <c r="G61" s="4"/>
      <c r="H61" s="4"/>
      <c r="I61" s="4"/>
      <c r="J61" s="4"/>
    </row>
    <row r="62" spans="1:11" ht="15" customHeight="1" x14ac:dyDescent="0.25">
      <c r="A62" s="140" t="s">
        <v>206</v>
      </c>
      <c r="B62" s="4"/>
      <c r="C62" s="135"/>
      <c r="D62" s="4"/>
      <c r="E62" s="4"/>
      <c r="F62" s="4"/>
      <c r="G62" s="4"/>
      <c r="H62" s="4"/>
      <c r="I62" s="4"/>
      <c r="J62" s="4"/>
    </row>
    <row r="63" spans="1:11" ht="30" customHeight="1" x14ac:dyDescent="0.25">
      <c r="A63" s="430" t="s">
        <v>210</v>
      </c>
      <c r="B63" s="430"/>
      <c r="C63" s="430"/>
      <c r="D63" s="430"/>
      <c r="E63" s="430"/>
      <c r="F63" s="430"/>
      <c r="G63" s="430"/>
      <c r="H63" s="430"/>
      <c r="I63" s="430"/>
      <c r="J63" s="430"/>
      <c r="K63" s="430"/>
    </row>
    <row r="64" spans="1:11" ht="15" customHeight="1" x14ac:dyDescent="0.25">
      <c r="A64" s="134"/>
      <c r="B64" s="4"/>
      <c r="C64" s="135"/>
      <c r="D64" s="4"/>
      <c r="E64" s="4"/>
      <c r="F64" s="4"/>
      <c r="J64" s="4"/>
    </row>
    <row r="65" spans="1:12" ht="31.5" customHeight="1" x14ac:dyDescent="0.25">
      <c r="A65" s="50" t="s">
        <v>208</v>
      </c>
      <c r="B65" s="434" t="s">
        <v>316</v>
      </c>
      <c r="C65" s="435"/>
      <c r="D65" s="436" t="s">
        <v>214</v>
      </c>
      <c r="E65" s="437"/>
      <c r="F65" s="86" t="s">
        <v>317</v>
      </c>
      <c r="J65" s="4"/>
    </row>
    <row r="66" spans="1:12" ht="15" customHeight="1" x14ac:dyDescent="0.25">
      <c r="A66" s="143" t="s">
        <v>207</v>
      </c>
      <c r="B66" s="144">
        <v>0.4</v>
      </c>
      <c r="C66" s="145">
        <f>B66*$C$58</f>
        <v>9452000</v>
      </c>
      <c r="D66" s="144">
        <v>0.05</v>
      </c>
      <c r="E66" s="146">
        <f>D66*C66</f>
        <v>472600</v>
      </c>
      <c r="F66" s="147">
        <f>E66+C66</f>
        <v>9924600</v>
      </c>
      <c r="J66" s="4"/>
    </row>
    <row r="67" spans="1:12" ht="15" customHeight="1" x14ac:dyDescent="0.25">
      <c r="A67" s="143" t="s">
        <v>209</v>
      </c>
      <c r="B67" s="144">
        <v>0.6</v>
      </c>
      <c r="C67" s="145">
        <f>B67*$C$58</f>
        <v>14178000</v>
      </c>
      <c r="D67" s="144">
        <v>0.25</v>
      </c>
      <c r="E67" s="146">
        <f>D67*C67</f>
        <v>3544500</v>
      </c>
      <c r="F67" s="147">
        <f>E67+C67</f>
        <v>17722500</v>
      </c>
      <c r="J67" s="4"/>
      <c r="L67" s="15"/>
    </row>
    <row r="68" spans="1:12" ht="15" customHeight="1" x14ac:dyDescent="0.25">
      <c r="A68" s="89"/>
      <c r="B68" s="137"/>
      <c r="C68" s="137"/>
      <c r="D68" s="4"/>
      <c r="E68" s="181" t="s">
        <v>5</v>
      </c>
      <c r="F68" s="182">
        <f>F67+F66</f>
        <v>27647100</v>
      </c>
      <c r="J68" s="154"/>
    </row>
    <row r="69" spans="1:12" ht="15" customHeight="1" x14ac:dyDescent="0.25">
      <c r="A69" s="89" t="s">
        <v>318</v>
      </c>
      <c r="C69" s="465">
        <f>F68</f>
        <v>27647100</v>
      </c>
      <c r="D69" s="465"/>
      <c r="E69" s="4"/>
      <c r="F69" s="135"/>
      <c r="I69" s="4"/>
      <c r="J69" s="4"/>
    </row>
    <row r="70" spans="1:12" ht="15" customHeight="1" x14ac:dyDescent="0.25">
      <c r="A70" s="203" t="s">
        <v>225</v>
      </c>
      <c r="B70" s="204"/>
      <c r="C70" s="466">
        <f>C48</f>
        <v>24595948</v>
      </c>
      <c r="D70" s="467"/>
      <c r="E70" s="4"/>
      <c r="F70" s="135"/>
      <c r="I70" s="4"/>
      <c r="J70" s="4"/>
    </row>
    <row r="71" spans="1:12" ht="15" customHeight="1" x14ac:dyDescent="0.25">
      <c r="A71" s="89" t="s">
        <v>312</v>
      </c>
      <c r="C71" s="138"/>
      <c r="D71" s="139">
        <f>C70/C69</f>
        <v>0.88963934734565286</v>
      </c>
      <c r="E71" s="4"/>
      <c r="F71" s="135"/>
      <c r="I71" s="4"/>
      <c r="J71" s="4"/>
    </row>
    <row r="72" spans="1:12" ht="15" customHeight="1" x14ac:dyDescent="0.25">
      <c r="A72" s="89"/>
      <c r="B72" s="138"/>
      <c r="C72" s="139"/>
      <c r="D72" s="4"/>
      <c r="E72" s="4"/>
      <c r="F72" s="135"/>
      <c r="G72" s="4"/>
      <c r="H72" s="4"/>
      <c r="I72" s="4"/>
      <c r="J72" s="4"/>
    </row>
    <row r="73" spans="1:12" ht="15" customHeight="1" x14ac:dyDescent="0.25">
      <c r="A73" s="140" t="s">
        <v>311</v>
      </c>
      <c r="B73" s="138"/>
      <c r="C73" s="139"/>
      <c r="D73" s="4"/>
      <c r="E73" s="4"/>
      <c r="F73" s="135"/>
      <c r="G73" s="4"/>
      <c r="H73" s="4"/>
      <c r="I73" s="4"/>
      <c r="J73" s="4"/>
    </row>
    <row r="74" spans="1:12" ht="15" customHeight="1" x14ac:dyDescent="0.25">
      <c r="A74" s="140"/>
      <c r="B74" s="138"/>
      <c r="C74" s="139"/>
      <c r="D74" s="4"/>
      <c r="E74" s="4"/>
      <c r="F74" s="135"/>
      <c r="G74" s="4"/>
      <c r="H74" s="4"/>
      <c r="I74" s="4"/>
      <c r="J74" s="4"/>
    </row>
    <row r="75" spans="1:12" ht="63.75" customHeight="1" x14ac:dyDescent="0.25">
      <c r="A75" s="430" t="s">
        <v>315</v>
      </c>
      <c r="B75" s="430"/>
      <c r="C75" s="430"/>
      <c r="D75" s="430"/>
      <c r="E75" s="430"/>
      <c r="F75" s="430"/>
      <c r="G75" s="430"/>
      <c r="H75" s="430"/>
      <c r="I75" s="430"/>
      <c r="J75" s="430"/>
      <c r="K75" s="430"/>
    </row>
    <row r="76" spans="1:12" ht="15" customHeight="1" thickBot="1" x14ac:dyDescent="0.3">
      <c r="A76" s="140"/>
      <c r="B76" s="138"/>
      <c r="C76" s="139"/>
      <c r="D76" s="4"/>
      <c r="E76" s="4"/>
      <c r="F76" s="135"/>
      <c r="G76" s="4"/>
      <c r="H76" s="4"/>
      <c r="I76" s="4"/>
      <c r="J76" s="4"/>
    </row>
    <row r="77" spans="1:12" ht="15" customHeight="1" thickTop="1" x14ac:dyDescent="0.25">
      <c r="A77" s="431" t="s">
        <v>191</v>
      </c>
      <c r="B77" s="468" t="s">
        <v>298</v>
      </c>
      <c r="C77" s="468"/>
      <c r="D77" s="468"/>
      <c r="E77" s="468" t="s">
        <v>224</v>
      </c>
      <c r="F77" s="468"/>
      <c r="G77" s="469"/>
      <c r="H77" s="4"/>
      <c r="I77" s="4"/>
      <c r="J77" s="4"/>
    </row>
    <row r="78" spans="1:12" ht="34.5" customHeight="1" thickBot="1" x14ac:dyDescent="0.3">
      <c r="A78" s="433"/>
      <c r="B78" s="119" t="s">
        <v>220</v>
      </c>
      <c r="C78" s="119" t="s">
        <v>222</v>
      </c>
      <c r="D78" s="119" t="s">
        <v>223</v>
      </c>
      <c r="E78" s="119" t="s">
        <v>220</v>
      </c>
      <c r="F78" s="119" t="s">
        <v>222</v>
      </c>
      <c r="G78" s="120" t="s">
        <v>223</v>
      </c>
      <c r="H78" s="4"/>
      <c r="I78" s="4"/>
      <c r="J78" s="4"/>
    </row>
    <row r="79" spans="1:12" ht="15" customHeight="1" thickTop="1" x14ac:dyDescent="0.25">
      <c r="A79" s="318" t="s">
        <v>19</v>
      </c>
      <c r="B79" s="71">
        <f>D158</f>
        <v>725.74779260860532</v>
      </c>
      <c r="C79" s="71">
        <f>E158</f>
        <v>2523.7879487964256</v>
      </c>
      <c r="D79" s="71">
        <f>F158</f>
        <v>16095.271670577344</v>
      </c>
      <c r="E79" s="71">
        <f>B79</f>
        <v>725.74779260860532</v>
      </c>
      <c r="F79" s="71">
        <f>C79</f>
        <v>2523.7879487964256</v>
      </c>
      <c r="G79" s="319">
        <f>D79</f>
        <v>16095.271670577344</v>
      </c>
      <c r="H79" s="4"/>
      <c r="I79" s="4"/>
      <c r="J79" s="4"/>
    </row>
    <row r="80" spans="1:12" ht="15" customHeight="1" x14ac:dyDescent="0.25">
      <c r="A80" s="320" t="s">
        <v>289</v>
      </c>
      <c r="B80" s="53">
        <f>C60*B44/A44</f>
        <v>2437.0172799417787</v>
      </c>
      <c r="C80" s="53">
        <f>(0.5*B80*4)+(0.5*B80*3)</f>
        <v>8529.560479796226</v>
      </c>
      <c r="D80" s="53">
        <f>B80*20</f>
        <v>48740.345598835571</v>
      </c>
      <c r="E80" s="53">
        <f>C69*B44/A44</f>
        <v>3069.5426168691733</v>
      </c>
      <c r="F80" s="53">
        <f>(0.5*E80*4)+(0.5*E80*3)</f>
        <v>10743.399159042106</v>
      </c>
      <c r="G80" s="321">
        <f>E80*20</f>
        <v>61390.852337383469</v>
      </c>
      <c r="H80" s="4"/>
      <c r="I80" s="4"/>
      <c r="J80" s="4"/>
    </row>
    <row r="81" spans="1:12" ht="15" customHeight="1" thickBot="1" x14ac:dyDescent="0.3">
      <c r="A81" s="322" t="s">
        <v>5</v>
      </c>
      <c r="B81" s="157">
        <f>B80+B79</f>
        <v>3162.765072550384</v>
      </c>
      <c r="C81" s="157">
        <f>C80+C79</f>
        <v>11053.348428592652</v>
      </c>
      <c r="D81" s="157">
        <f t="shared" ref="D81" si="0">D80+D79</f>
        <v>64835.617269412913</v>
      </c>
      <c r="E81" s="157">
        <f>E80+E79</f>
        <v>3795.2904094777787</v>
      </c>
      <c r="F81" s="157">
        <f>F80+F79</f>
        <v>13267.187107838532</v>
      </c>
      <c r="G81" s="323">
        <f t="shared" ref="G81" si="1">G80+G79</f>
        <v>77486.124007960811</v>
      </c>
      <c r="H81" s="4"/>
      <c r="I81" s="4"/>
      <c r="J81" s="4"/>
    </row>
    <row r="82" spans="1:12" ht="15.75" thickTop="1" x14ac:dyDescent="0.25"/>
    <row r="83" spans="1:12" x14ac:dyDescent="0.25">
      <c r="A83" s="141" t="s">
        <v>215</v>
      </c>
    </row>
    <row r="84" spans="1:12" x14ac:dyDescent="0.25">
      <c r="A84" s="30" t="s">
        <v>60</v>
      </c>
    </row>
    <row r="85" spans="1:12" x14ac:dyDescent="0.25">
      <c r="A85" t="s">
        <v>56</v>
      </c>
      <c r="C85" t="s">
        <v>57</v>
      </c>
    </row>
    <row r="86" spans="1:12" x14ac:dyDescent="0.25">
      <c r="A86" t="s">
        <v>58</v>
      </c>
      <c r="C86" t="s">
        <v>48</v>
      </c>
    </row>
    <row r="87" spans="1:12" x14ac:dyDescent="0.25">
      <c r="A87" t="s">
        <v>59</v>
      </c>
      <c r="C87" t="s">
        <v>47</v>
      </c>
    </row>
    <row r="88" spans="1:12" x14ac:dyDescent="0.25">
      <c r="A88" t="s">
        <v>80</v>
      </c>
      <c r="C88" s="430" t="s">
        <v>81</v>
      </c>
      <c r="D88" s="430"/>
      <c r="E88" s="430"/>
      <c r="F88" s="430"/>
      <c r="G88" s="430"/>
      <c r="H88" s="430"/>
      <c r="I88" s="430"/>
      <c r="J88" s="430"/>
      <c r="K88" s="430"/>
      <c r="L88" s="92"/>
    </row>
    <row r="89" spans="1:12" x14ac:dyDescent="0.25">
      <c r="C89" s="430"/>
      <c r="D89" s="430"/>
      <c r="E89" s="430"/>
      <c r="F89" s="430"/>
      <c r="G89" s="430"/>
      <c r="H89" s="430"/>
      <c r="I89" s="430"/>
      <c r="J89" s="430"/>
      <c r="K89" s="430"/>
      <c r="L89" s="92"/>
    </row>
    <row r="91" spans="1:12" x14ac:dyDescent="0.25">
      <c r="A91" t="s">
        <v>82</v>
      </c>
    </row>
    <row r="92" spans="1:12" ht="14.45" customHeight="1" x14ac:dyDescent="0.25">
      <c r="A92" t="s">
        <v>61</v>
      </c>
      <c r="B92" s="430" t="s">
        <v>46</v>
      </c>
      <c r="C92" s="430"/>
      <c r="D92" s="430"/>
      <c r="E92" s="430"/>
      <c r="F92" s="430"/>
      <c r="G92" s="430"/>
      <c r="H92" s="430"/>
      <c r="I92" s="430"/>
      <c r="J92" s="430"/>
    </row>
    <row r="93" spans="1:12" x14ac:dyDescent="0.25">
      <c r="B93" s="430"/>
      <c r="C93" s="430"/>
      <c r="D93" s="430"/>
      <c r="E93" s="430"/>
      <c r="F93" s="430"/>
      <c r="G93" s="430"/>
      <c r="H93" s="430"/>
      <c r="I93" s="430"/>
      <c r="J93" s="430"/>
    </row>
    <row r="94" spans="1:12" x14ac:dyDescent="0.25">
      <c r="B94" s="430"/>
      <c r="C94" s="430"/>
      <c r="D94" s="430"/>
      <c r="E94" s="430"/>
      <c r="F94" s="430"/>
      <c r="G94" s="430"/>
      <c r="H94" s="430"/>
      <c r="I94" s="430"/>
      <c r="J94" s="430"/>
    </row>
    <row r="95" spans="1:12" x14ac:dyDescent="0.25">
      <c r="A95" t="s">
        <v>62</v>
      </c>
      <c r="B95" t="s">
        <v>63</v>
      </c>
    </row>
    <row r="96" spans="1:12" ht="14.45" customHeight="1" x14ac:dyDescent="0.25">
      <c r="A96" t="s">
        <v>87</v>
      </c>
      <c r="B96" s="430" t="s">
        <v>321</v>
      </c>
      <c r="C96" s="430"/>
      <c r="D96" s="430"/>
      <c r="E96" s="430"/>
      <c r="F96" s="430"/>
      <c r="G96" s="430"/>
      <c r="H96" s="430"/>
      <c r="I96" s="430"/>
      <c r="J96" s="430"/>
    </row>
    <row r="97" spans="1:12" x14ac:dyDescent="0.25">
      <c r="B97" s="430"/>
      <c r="C97" s="430"/>
      <c r="D97" s="430"/>
      <c r="E97" s="430"/>
      <c r="F97" s="430"/>
      <c r="G97" s="430"/>
      <c r="H97" s="430"/>
      <c r="I97" s="430"/>
      <c r="J97" s="430"/>
    </row>
    <row r="98" spans="1:12" x14ac:dyDescent="0.25">
      <c r="C98" s="4"/>
      <c r="D98" s="4"/>
      <c r="E98" s="4"/>
      <c r="F98" s="4"/>
      <c r="G98" s="4"/>
      <c r="H98" s="4"/>
      <c r="I98" s="4"/>
      <c r="J98" s="4"/>
      <c r="K98" s="4"/>
      <c r="L98" s="4"/>
    </row>
    <row r="99" spans="1:12" x14ac:dyDescent="0.25">
      <c r="A99" s="142" t="s">
        <v>64</v>
      </c>
    </row>
    <row r="100" spans="1:12" ht="9" customHeight="1" x14ac:dyDescent="0.25"/>
    <row r="101" spans="1:12" x14ac:dyDescent="0.25">
      <c r="A101" s="3" t="s">
        <v>65</v>
      </c>
    </row>
    <row r="102" spans="1:12" x14ac:dyDescent="0.25">
      <c r="A102">
        <v>3412.14</v>
      </c>
      <c r="B102" t="s">
        <v>72</v>
      </c>
    </row>
    <row r="103" spans="1:12" x14ac:dyDescent="0.25">
      <c r="A103">
        <v>0.1</v>
      </c>
      <c r="B103" t="s">
        <v>76</v>
      </c>
    </row>
    <row r="104" spans="1:12" x14ac:dyDescent="0.25">
      <c r="A104" s="3"/>
    </row>
    <row r="105" spans="1:12" x14ac:dyDescent="0.25">
      <c r="A105" t="s">
        <v>68</v>
      </c>
      <c r="B105">
        <v>91500</v>
      </c>
      <c r="C105" t="s">
        <v>66</v>
      </c>
    </row>
    <row r="106" spans="1:12" x14ac:dyDescent="0.25">
      <c r="A106" t="s">
        <v>67</v>
      </c>
      <c r="B106">
        <v>138690</v>
      </c>
      <c r="C106" t="s">
        <v>66</v>
      </c>
    </row>
    <row r="108" spans="1:12" x14ac:dyDescent="0.25">
      <c r="A108" t="s">
        <v>68</v>
      </c>
      <c r="B108">
        <v>62.88</v>
      </c>
      <c r="C108" s="29" t="s">
        <v>55</v>
      </c>
    </row>
    <row r="109" spans="1:12" x14ac:dyDescent="0.25">
      <c r="A109" t="s">
        <v>67</v>
      </c>
      <c r="B109">
        <v>74.14</v>
      </c>
      <c r="C109" s="29" t="s">
        <v>55</v>
      </c>
    </row>
    <row r="110" spans="1:12" x14ac:dyDescent="0.25">
      <c r="A110" t="s">
        <v>77</v>
      </c>
      <c r="B110">
        <v>52.91</v>
      </c>
      <c r="C110" s="29" t="s">
        <v>55</v>
      </c>
    </row>
    <row r="111" spans="1:12" x14ac:dyDescent="0.25">
      <c r="A111" s="16" t="s">
        <v>54</v>
      </c>
    </row>
    <row r="113" spans="1:17" x14ac:dyDescent="0.25">
      <c r="A113" t="s">
        <v>69</v>
      </c>
    </row>
    <row r="114" spans="1:17" x14ac:dyDescent="0.25">
      <c r="A114" s="205" t="s">
        <v>218</v>
      </c>
    </row>
    <row r="115" spans="1:17" x14ac:dyDescent="0.25">
      <c r="A115" t="s">
        <v>17</v>
      </c>
      <c r="B115">
        <v>634.6</v>
      </c>
      <c r="C115" s="29" t="s">
        <v>70</v>
      </c>
    </row>
    <row r="116" spans="1:17" x14ac:dyDescent="0.25">
      <c r="A116" t="s">
        <v>319</v>
      </c>
      <c r="C116" s="29"/>
    </row>
    <row r="117" spans="1:17" x14ac:dyDescent="0.25">
      <c r="A117" s="205" t="s">
        <v>217</v>
      </c>
      <c r="C117" s="29"/>
    </row>
    <row r="118" spans="1:17" x14ac:dyDescent="0.25">
      <c r="A118" t="s">
        <v>14</v>
      </c>
      <c r="B118">
        <v>0.871</v>
      </c>
      <c r="C118" t="s">
        <v>393</v>
      </c>
    </row>
    <row r="119" spans="1:17" x14ac:dyDescent="0.25">
      <c r="A119" t="s">
        <v>320</v>
      </c>
    </row>
    <row r="121" spans="1:17" ht="15.75" thickBot="1" x14ac:dyDescent="0.3">
      <c r="A121" s="142" t="s">
        <v>216</v>
      </c>
    </row>
    <row r="122" spans="1:17" ht="15.75" thickTop="1" x14ac:dyDescent="0.25">
      <c r="A122" s="431" t="s">
        <v>31</v>
      </c>
      <c r="B122" s="450" t="s">
        <v>127</v>
      </c>
      <c r="C122" s="451"/>
      <c r="D122" s="451"/>
      <c r="E122" s="451"/>
      <c r="F122" s="452"/>
      <c r="G122" s="459" t="s">
        <v>73</v>
      </c>
      <c r="H122" s="460"/>
      <c r="I122" s="460"/>
      <c r="J122" s="460"/>
      <c r="K122" s="461"/>
      <c r="L122" s="431" t="s">
        <v>74</v>
      </c>
      <c r="M122" s="455"/>
      <c r="N122" s="456"/>
    </row>
    <row r="123" spans="1:17" ht="30" x14ac:dyDescent="0.25">
      <c r="A123" s="432"/>
      <c r="B123" s="86" t="s">
        <v>192</v>
      </c>
      <c r="C123" s="86" t="s">
        <v>193</v>
      </c>
      <c r="D123" s="436" t="s">
        <v>196</v>
      </c>
      <c r="E123" s="453"/>
      <c r="F123" s="454"/>
      <c r="G123" s="118" t="s">
        <v>193</v>
      </c>
      <c r="H123" s="462" t="s">
        <v>196</v>
      </c>
      <c r="I123" s="462"/>
      <c r="J123" s="462"/>
      <c r="K123" s="463"/>
      <c r="L123" s="432"/>
      <c r="M123" s="457"/>
      <c r="N123" s="458"/>
      <c r="O123" s="77"/>
      <c r="P123" s="77"/>
      <c r="Q123" s="77"/>
    </row>
    <row r="124" spans="1:17" ht="18.75" thickBot="1" x14ac:dyDescent="0.3">
      <c r="A124" s="433"/>
      <c r="B124" s="119" t="s">
        <v>195</v>
      </c>
      <c r="C124" s="119" t="s">
        <v>194</v>
      </c>
      <c r="D124" s="119" t="s">
        <v>71</v>
      </c>
      <c r="E124" s="125" t="s">
        <v>75</v>
      </c>
      <c r="F124" s="120" t="s">
        <v>52</v>
      </c>
      <c r="G124" s="121" t="s">
        <v>194</v>
      </c>
      <c r="H124" s="119" t="s">
        <v>71</v>
      </c>
      <c r="I124" s="119" t="s">
        <v>75</v>
      </c>
      <c r="J124" s="119" t="s">
        <v>52</v>
      </c>
      <c r="K124" s="120" t="s">
        <v>53</v>
      </c>
      <c r="L124" s="122" t="s">
        <v>201</v>
      </c>
      <c r="M124" s="123" t="s">
        <v>202</v>
      </c>
      <c r="N124" s="124" t="s">
        <v>203</v>
      </c>
      <c r="O124" s="77"/>
      <c r="P124" s="77"/>
      <c r="Q124" s="77"/>
    </row>
    <row r="125" spans="1:17" ht="15.75" thickTop="1" x14ac:dyDescent="0.25">
      <c r="A125" s="441" t="s">
        <v>13</v>
      </c>
      <c r="B125" s="442"/>
      <c r="C125" s="442"/>
      <c r="D125" s="442"/>
      <c r="E125" s="442"/>
      <c r="F125" s="442"/>
      <c r="G125" s="442"/>
      <c r="H125" s="442"/>
      <c r="I125" s="442"/>
      <c r="J125" s="442"/>
      <c r="K125" s="442"/>
      <c r="L125" s="442"/>
      <c r="M125" s="442"/>
      <c r="N125" s="443"/>
      <c r="O125" s="77"/>
      <c r="P125" s="77"/>
      <c r="Q125" s="77"/>
    </row>
    <row r="126" spans="1:17" x14ac:dyDescent="0.25">
      <c r="A126" s="109" t="s">
        <v>51</v>
      </c>
      <c r="B126" s="98">
        <v>362</v>
      </c>
      <c r="C126" s="98">
        <v>3528</v>
      </c>
      <c r="D126" s="98">
        <v>783800</v>
      </c>
      <c r="E126" s="99" t="s">
        <v>113</v>
      </c>
      <c r="F126" s="103"/>
      <c r="G126" s="114">
        <v>985</v>
      </c>
      <c r="H126" s="98">
        <v>210550</v>
      </c>
      <c r="I126" s="98" t="s">
        <v>113</v>
      </c>
      <c r="J126" s="98" t="s">
        <v>113</v>
      </c>
      <c r="K126" s="110" t="s">
        <v>113</v>
      </c>
      <c r="L126" s="444" t="s">
        <v>200</v>
      </c>
      <c r="M126" s="445"/>
      <c r="N126" s="446"/>
      <c r="O126" s="100"/>
    </row>
    <row r="127" spans="1:17" x14ac:dyDescent="0.25">
      <c r="A127" s="109" t="s">
        <v>7</v>
      </c>
      <c r="B127" s="98" t="s">
        <v>113</v>
      </c>
      <c r="C127" s="98" t="s">
        <v>113</v>
      </c>
      <c r="D127" s="98" t="s">
        <v>113</v>
      </c>
      <c r="E127" s="99">
        <v>157597</v>
      </c>
      <c r="F127" s="103"/>
      <c r="G127" s="114" t="s">
        <v>113</v>
      </c>
      <c r="H127" s="98" t="s">
        <v>113</v>
      </c>
      <c r="I127" s="98">
        <v>45857</v>
      </c>
      <c r="J127" s="98" t="s">
        <v>113</v>
      </c>
      <c r="K127" s="110" t="s">
        <v>113</v>
      </c>
      <c r="L127" s="447"/>
      <c r="M127" s="448"/>
      <c r="N127" s="449"/>
      <c r="O127" s="100"/>
      <c r="P127" s="100"/>
      <c r="Q127" s="46"/>
    </row>
    <row r="128" spans="1:17" ht="15.75" thickBot="1" x14ac:dyDescent="0.3">
      <c r="A128" s="438" t="s">
        <v>198</v>
      </c>
      <c r="B128" s="439"/>
      <c r="C128" s="439"/>
      <c r="D128" s="439"/>
      <c r="E128" s="439"/>
      <c r="F128" s="439"/>
      <c r="G128" s="439"/>
      <c r="H128" s="439"/>
      <c r="I128" s="439"/>
      <c r="J128" s="440"/>
      <c r="K128" s="113">
        <v>5280</v>
      </c>
      <c r="L128" s="115" t="s">
        <v>113</v>
      </c>
      <c r="M128" s="111" t="s">
        <v>113</v>
      </c>
      <c r="N128" s="112">
        <v>170</v>
      </c>
      <c r="O128" s="100"/>
      <c r="P128" s="100"/>
      <c r="Q128" s="46"/>
    </row>
    <row r="129" spans="1:15" ht="15.75" thickTop="1" x14ac:dyDescent="0.25">
      <c r="A129" s="441" t="s">
        <v>6</v>
      </c>
      <c r="B129" s="442"/>
      <c r="C129" s="442"/>
      <c r="D129" s="442"/>
      <c r="E129" s="442"/>
      <c r="F129" s="442"/>
      <c r="G129" s="442"/>
      <c r="H129" s="442"/>
      <c r="I129" s="442"/>
      <c r="J129" s="442"/>
      <c r="K129" s="442"/>
      <c r="L129" s="442"/>
      <c r="M129" s="442"/>
      <c r="N129" s="443"/>
      <c r="O129" s="46"/>
    </row>
    <row r="130" spans="1:15" x14ac:dyDescent="0.25">
      <c r="A130" s="109" t="s">
        <v>51</v>
      </c>
      <c r="B130" s="98">
        <v>315</v>
      </c>
      <c r="C130" s="98">
        <v>2627</v>
      </c>
      <c r="D130" s="98">
        <v>535517</v>
      </c>
      <c r="E130" s="99" t="s">
        <v>113</v>
      </c>
      <c r="F130" s="99" t="s">
        <v>113</v>
      </c>
      <c r="G130" s="114">
        <v>-1158</v>
      </c>
      <c r="H130" s="98">
        <v>-151556</v>
      </c>
      <c r="I130" s="98" t="s">
        <v>113</v>
      </c>
      <c r="J130" s="98" t="s">
        <v>113</v>
      </c>
      <c r="K130" s="110">
        <f>H130*A$102/1000000</f>
        <v>-517.13028983999993</v>
      </c>
      <c r="L130" s="98" t="s">
        <v>113</v>
      </c>
      <c r="M130" s="98">
        <f>H130/1000*$B$115</f>
        <v>-96177.437600000005</v>
      </c>
      <c r="N130" s="110">
        <f>M130/2204.62</f>
        <v>-43.625403743048693</v>
      </c>
      <c r="O130" s="46"/>
    </row>
    <row r="131" spans="1:15" x14ac:dyDescent="0.25">
      <c r="A131" s="109" t="s">
        <v>68</v>
      </c>
      <c r="B131" s="99" t="s">
        <v>113</v>
      </c>
      <c r="C131" s="99" t="s">
        <v>113</v>
      </c>
      <c r="D131" s="99" t="s">
        <v>113</v>
      </c>
      <c r="E131" s="99" t="s">
        <v>113</v>
      </c>
      <c r="F131" s="110">
        <v>4167</v>
      </c>
      <c r="G131" s="126" t="s">
        <v>113</v>
      </c>
      <c r="H131" s="98" t="s">
        <v>113</v>
      </c>
      <c r="I131" s="98" t="s">
        <v>113</v>
      </c>
      <c r="J131" s="98">
        <v>145</v>
      </c>
      <c r="K131" s="110">
        <f>J131*$B$105/1000000</f>
        <v>13.2675</v>
      </c>
      <c r="L131" s="98">
        <f>$B$108*K131</f>
        <v>834.2604</v>
      </c>
      <c r="M131" s="98" t="s">
        <v>113</v>
      </c>
      <c r="N131" s="110">
        <f>L131/1000</f>
        <v>0.83426040000000001</v>
      </c>
      <c r="O131" s="46"/>
    </row>
    <row r="132" spans="1:15" x14ac:dyDescent="0.25">
      <c r="A132" s="109" t="s">
        <v>8</v>
      </c>
      <c r="B132" s="99" t="s">
        <v>113</v>
      </c>
      <c r="C132" s="99" t="s">
        <v>113</v>
      </c>
      <c r="D132" s="99" t="s">
        <v>113</v>
      </c>
      <c r="E132" s="99" t="s">
        <v>113</v>
      </c>
      <c r="F132" s="110">
        <v>28986</v>
      </c>
      <c r="G132" s="126" t="s">
        <v>113</v>
      </c>
      <c r="H132" s="98" t="s">
        <v>113</v>
      </c>
      <c r="I132" s="98" t="s">
        <v>113</v>
      </c>
      <c r="J132" s="98">
        <v>30031</v>
      </c>
      <c r="K132" s="110">
        <f>J132*$B$106/1000000</f>
        <v>4164.9993899999999</v>
      </c>
      <c r="L132" s="98">
        <f>$B$109*K132</f>
        <v>308793.05477460002</v>
      </c>
      <c r="M132" s="98" t="s">
        <v>113</v>
      </c>
      <c r="N132" s="110">
        <f>L132/1000</f>
        <v>308.79305477460002</v>
      </c>
      <c r="O132" s="46"/>
    </row>
    <row r="133" spans="1:15" ht="15.75" thickBot="1" x14ac:dyDescent="0.3">
      <c r="A133" s="438" t="s">
        <v>198</v>
      </c>
      <c r="B133" s="439"/>
      <c r="C133" s="439"/>
      <c r="D133" s="439"/>
      <c r="E133" s="439"/>
      <c r="F133" s="439"/>
      <c r="G133" s="439"/>
      <c r="H133" s="439"/>
      <c r="I133" s="439"/>
      <c r="J133" s="440"/>
      <c r="K133" s="113">
        <f>K132+K131+K130</f>
        <v>3661.1366001599999</v>
      </c>
      <c r="L133" s="111" t="s">
        <v>113</v>
      </c>
      <c r="M133" s="111" t="s">
        <v>113</v>
      </c>
      <c r="N133" s="113">
        <f>N132+N131+N130</f>
        <v>266.00191143155132</v>
      </c>
      <c r="O133" s="46"/>
    </row>
    <row r="134" spans="1:15" ht="16.5" thickTop="1" thickBot="1" x14ac:dyDescent="0.3">
      <c r="A134" s="142" t="s">
        <v>508</v>
      </c>
      <c r="O134" s="46"/>
    </row>
    <row r="135" spans="1:15" ht="15.75" thickTop="1" x14ac:dyDescent="0.25">
      <c r="A135" s="431" t="s">
        <v>31</v>
      </c>
      <c r="B135" s="450" t="s">
        <v>127</v>
      </c>
      <c r="C135" s="451"/>
      <c r="D135" s="451"/>
      <c r="E135" s="451"/>
      <c r="F135" s="452"/>
      <c r="G135" s="459" t="s">
        <v>73</v>
      </c>
      <c r="H135" s="460"/>
      <c r="I135" s="460"/>
      <c r="J135" s="460"/>
      <c r="K135" s="461"/>
      <c r="L135" s="431" t="s">
        <v>74</v>
      </c>
      <c r="M135" s="455"/>
      <c r="N135" s="456"/>
      <c r="O135" s="46"/>
    </row>
    <row r="136" spans="1:15" ht="30" x14ac:dyDescent="0.25">
      <c r="A136" s="432"/>
      <c r="B136" s="86" t="s">
        <v>192</v>
      </c>
      <c r="C136" s="86" t="s">
        <v>193</v>
      </c>
      <c r="D136" s="436" t="s">
        <v>196</v>
      </c>
      <c r="E136" s="453"/>
      <c r="F136" s="454"/>
      <c r="G136" s="118" t="s">
        <v>193</v>
      </c>
      <c r="H136" s="462" t="s">
        <v>196</v>
      </c>
      <c r="I136" s="462"/>
      <c r="J136" s="462"/>
      <c r="K136" s="463"/>
      <c r="L136" s="432"/>
      <c r="M136" s="457"/>
      <c r="N136" s="458"/>
      <c r="O136" s="46"/>
    </row>
    <row r="137" spans="1:15" ht="18.75" thickBot="1" x14ac:dyDescent="0.3">
      <c r="A137" s="433"/>
      <c r="B137" s="119" t="s">
        <v>195</v>
      </c>
      <c r="C137" s="119" t="s">
        <v>194</v>
      </c>
      <c r="D137" s="119" t="s">
        <v>71</v>
      </c>
      <c r="E137" s="125" t="s">
        <v>75</v>
      </c>
      <c r="F137" s="120" t="s">
        <v>52</v>
      </c>
      <c r="G137" s="121" t="s">
        <v>194</v>
      </c>
      <c r="H137" s="119" t="s">
        <v>71</v>
      </c>
      <c r="I137" s="119" t="s">
        <v>75</v>
      </c>
      <c r="J137" s="119" t="s">
        <v>52</v>
      </c>
      <c r="K137" s="120" t="s">
        <v>53</v>
      </c>
      <c r="L137" s="122" t="s">
        <v>201</v>
      </c>
      <c r="M137" s="123" t="s">
        <v>202</v>
      </c>
      <c r="N137" s="124" t="s">
        <v>203</v>
      </c>
      <c r="O137" s="46"/>
    </row>
    <row r="138" spans="1:15" ht="15.75" thickTop="1" x14ac:dyDescent="0.25">
      <c r="A138" s="441" t="s">
        <v>11</v>
      </c>
      <c r="B138" s="442"/>
      <c r="C138" s="442"/>
      <c r="D138" s="442"/>
      <c r="E138" s="442"/>
      <c r="F138" s="442"/>
      <c r="G138" s="442"/>
      <c r="H138" s="442"/>
      <c r="I138" s="442"/>
      <c r="J138" s="442"/>
      <c r="K138" s="442"/>
      <c r="L138" s="442"/>
      <c r="M138" s="442"/>
      <c r="N138" s="443"/>
      <c r="O138" s="46"/>
    </row>
    <row r="139" spans="1:15" x14ac:dyDescent="0.25">
      <c r="A139" s="109" t="s">
        <v>51</v>
      </c>
      <c r="B139" s="98">
        <v>417</v>
      </c>
      <c r="C139" s="98">
        <v>4036</v>
      </c>
      <c r="D139" s="98">
        <v>1320532</v>
      </c>
      <c r="E139" s="99" t="s">
        <v>113</v>
      </c>
      <c r="F139" s="99" t="s">
        <v>113</v>
      </c>
      <c r="G139" s="114">
        <f>40+79+7</f>
        <v>126</v>
      </c>
      <c r="H139" s="98">
        <f>40621+13981+77907+98482+3395+11984+2713+4327+2330+666+333</f>
        <v>256739</v>
      </c>
      <c r="I139" s="98" t="s">
        <v>113</v>
      </c>
      <c r="J139" s="98" t="s">
        <v>113</v>
      </c>
      <c r="K139" s="110" t="s">
        <v>113</v>
      </c>
      <c r="L139" s="444" t="s">
        <v>200</v>
      </c>
      <c r="M139" s="445"/>
      <c r="N139" s="446"/>
      <c r="O139" s="46"/>
    </row>
    <row r="140" spans="1:15" x14ac:dyDescent="0.25">
      <c r="A140" s="109" t="s">
        <v>7</v>
      </c>
      <c r="B140" s="99" t="s">
        <v>113</v>
      </c>
      <c r="C140" s="99" t="s">
        <v>113</v>
      </c>
      <c r="D140" s="99" t="s">
        <v>113</v>
      </c>
      <c r="E140" s="99">
        <v>132409</v>
      </c>
      <c r="F140" s="99" t="s">
        <v>113</v>
      </c>
      <c r="G140" s="126" t="s">
        <v>113</v>
      </c>
      <c r="H140" s="98" t="s">
        <v>113</v>
      </c>
      <c r="I140" s="98">
        <f>18991+2354+13802+5546+2018+672+1531+837+109</f>
        <v>45860</v>
      </c>
      <c r="J140" s="98" t="s">
        <v>113</v>
      </c>
      <c r="K140" s="110" t="s">
        <v>113</v>
      </c>
      <c r="L140" s="447"/>
      <c r="M140" s="448"/>
      <c r="N140" s="449"/>
      <c r="O140" s="46"/>
    </row>
    <row r="141" spans="1:15" ht="15.75" thickBot="1" x14ac:dyDescent="0.3">
      <c r="A141" s="438" t="s">
        <v>198</v>
      </c>
      <c r="B141" s="439"/>
      <c r="C141" s="439"/>
      <c r="D141" s="439"/>
      <c r="E141" s="439"/>
      <c r="F141" s="439"/>
      <c r="G141" s="439"/>
      <c r="H141" s="439"/>
      <c r="I141" s="439"/>
      <c r="J141" s="440"/>
      <c r="K141" s="113">
        <v>9219</v>
      </c>
      <c r="L141" s="111" t="s">
        <v>113</v>
      </c>
      <c r="M141" s="111" t="s">
        <v>113</v>
      </c>
      <c r="N141" s="112">
        <f>350/1.10231</f>
        <v>317.5150366049478</v>
      </c>
      <c r="O141" s="46"/>
    </row>
    <row r="142" spans="1:15" ht="15.75" thickTop="1" x14ac:dyDescent="0.25">
      <c r="A142" s="441" t="s">
        <v>9</v>
      </c>
      <c r="B142" s="442"/>
      <c r="C142" s="442"/>
      <c r="D142" s="442"/>
      <c r="E142" s="442"/>
      <c r="F142" s="442"/>
      <c r="G142" s="442"/>
      <c r="H142" s="442"/>
      <c r="I142" s="442"/>
      <c r="J142" s="442"/>
      <c r="K142" s="442"/>
      <c r="L142" s="442"/>
      <c r="M142" s="442"/>
      <c r="N142" s="443"/>
      <c r="O142" s="46"/>
    </row>
    <row r="143" spans="1:15" x14ac:dyDescent="0.25">
      <c r="A143" s="109" t="s">
        <v>51</v>
      </c>
      <c r="B143" s="98">
        <v>662</v>
      </c>
      <c r="C143" s="98">
        <v>6590</v>
      </c>
      <c r="D143" s="98">
        <v>2146180</v>
      </c>
      <c r="E143" s="99" t="s">
        <v>113</v>
      </c>
      <c r="F143" s="99" t="s">
        <v>113</v>
      </c>
      <c r="G143" s="114">
        <v>4</v>
      </c>
      <c r="H143" s="98">
        <v>55609</v>
      </c>
      <c r="I143" s="98" t="s">
        <v>113</v>
      </c>
      <c r="J143" s="98" t="s">
        <v>113</v>
      </c>
      <c r="K143" s="99">
        <f>H143*$A$102/1000000</f>
        <v>189.74569326</v>
      </c>
      <c r="L143" s="114" t="s">
        <v>113</v>
      </c>
      <c r="M143" s="98">
        <f>H143/1000*$B$118</f>
        <v>48.435439000000002</v>
      </c>
      <c r="N143" s="110">
        <f>M143*0.907185</f>
        <v>43.939903729215004</v>
      </c>
      <c r="O143" s="46"/>
    </row>
    <row r="144" spans="1:15" x14ac:dyDescent="0.25">
      <c r="A144" s="109" t="s">
        <v>7</v>
      </c>
      <c r="B144" s="99" t="s">
        <v>113</v>
      </c>
      <c r="C144" s="99" t="s">
        <v>113</v>
      </c>
      <c r="D144" s="99" t="s">
        <v>113</v>
      </c>
      <c r="E144" s="99">
        <v>212563</v>
      </c>
      <c r="F144" s="99" t="s">
        <v>113</v>
      </c>
      <c r="G144" s="114"/>
      <c r="H144" s="98" t="s">
        <v>113</v>
      </c>
      <c r="I144" s="98">
        <v>22195</v>
      </c>
      <c r="J144" s="98" t="s">
        <v>113</v>
      </c>
      <c r="K144" s="99">
        <f>I144*$A$103</f>
        <v>2219.5</v>
      </c>
      <c r="L144" s="114">
        <f>$B$110*K144</f>
        <v>117433.745</v>
      </c>
      <c r="M144" s="98" t="s">
        <v>113</v>
      </c>
      <c r="N144" s="110">
        <f>L144/1000</f>
        <v>117.433745</v>
      </c>
      <c r="O144" s="46"/>
    </row>
    <row r="145" spans="1:14" ht="15.75" thickBot="1" x14ac:dyDescent="0.3">
      <c r="A145" s="438" t="s">
        <v>198</v>
      </c>
      <c r="B145" s="439"/>
      <c r="C145" s="439"/>
      <c r="D145" s="439"/>
      <c r="E145" s="439"/>
      <c r="F145" s="439"/>
      <c r="G145" s="439"/>
      <c r="H145" s="439"/>
      <c r="I145" s="439"/>
      <c r="J145" s="440"/>
      <c r="K145" s="117">
        <f>K144+K143</f>
        <v>2409.2456932599998</v>
      </c>
      <c r="L145" s="116" t="s">
        <v>113</v>
      </c>
      <c r="M145" s="111" t="s">
        <v>113</v>
      </c>
      <c r="N145" s="112">
        <f>N144+N143</f>
        <v>161.37364872921501</v>
      </c>
    </row>
    <row r="146" spans="1:14" ht="15.75" thickTop="1" x14ac:dyDescent="0.25">
      <c r="A146" s="441" t="s">
        <v>10</v>
      </c>
      <c r="B146" s="442"/>
      <c r="C146" s="442"/>
      <c r="D146" s="442"/>
      <c r="E146" s="442"/>
      <c r="F146" s="442"/>
      <c r="G146" s="442"/>
      <c r="H146" s="442"/>
      <c r="I146" s="442"/>
      <c r="J146" s="442"/>
      <c r="K146" s="442"/>
      <c r="L146" s="442"/>
      <c r="M146" s="442"/>
      <c r="N146" s="443"/>
    </row>
    <row r="147" spans="1:14" x14ac:dyDescent="0.25">
      <c r="A147" s="109" t="s">
        <v>51</v>
      </c>
      <c r="B147" s="127" t="s">
        <v>113</v>
      </c>
      <c r="C147" s="127" t="s">
        <v>113</v>
      </c>
      <c r="D147" s="127" t="s">
        <v>113</v>
      </c>
      <c r="E147" s="127" t="s">
        <v>113</v>
      </c>
      <c r="F147" s="128" t="s">
        <v>113</v>
      </c>
      <c r="G147" s="126" t="s">
        <v>113</v>
      </c>
      <c r="H147" s="98" t="s">
        <v>113</v>
      </c>
      <c r="I147" s="98" t="s">
        <v>113</v>
      </c>
      <c r="J147" s="98" t="s">
        <v>113</v>
      </c>
      <c r="K147" s="99" t="s">
        <v>113</v>
      </c>
      <c r="L147" s="114" t="s">
        <v>113</v>
      </c>
      <c r="M147" s="98" t="s">
        <v>113</v>
      </c>
      <c r="N147" s="110" t="s">
        <v>113</v>
      </c>
    </row>
    <row r="148" spans="1:14" x14ac:dyDescent="0.25">
      <c r="A148" s="109" t="s">
        <v>7</v>
      </c>
      <c r="B148" s="127" t="s">
        <v>113</v>
      </c>
      <c r="C148" s="127" t="s">
        <v>113</v>
      </c>
      <c r="D148" s="127" t="s">
        <v>113</v>
      </c>
      <c r="E148" s="99">
        <f>390+344+302+186+87+43+0+0+33+112+136+333</f>
        <v>1966</v>
      </c>
      <c r="F148" s="129" t="s">
        <v>113</v>
      </c>
      <c r="G148" s="126" t="s">
        <v>113</v>
      </c>
      <c r="H148" s="98" t="s">
        <v>113</v>
      </c>
      <c r="I148" s="98">
        <f>K148*0.1</f>
        <v>108.47781000000001</v>
      </c>
      <c r="J148" s="98" t="s">
        <v>113</v>
      </c>
      <c r="K148" s="99">
        <f>23.3*E28/1000</f>
        <v>1084.7781</v>
      </c>
      <c r="L148" s="114">
        <f>$B$110*K148</f>
        <v>57395.609270999994</v>
      </c>
      <c r="M148" s="98" t="s">
        <v>113</v>
      </c>
      <c r="N148" s="110">
        <f>L148/1000</f>
        <v>57.395609270999991</v>
      </c>
    </row>
    <row r="149" spans="1:14" ht="15.75" thickBot="1" x14ac:dyDescent="0.3">
      <c r="A149" s="438" t="s">
        <v>198</v>
      </c>
      <c r="B149" s="439"/>
      <c r="C149" s="439"/>
      <c r="D149" s="439"/>
      <c r="E149" s="439"/>
      <c r="F149" s="439"/>
      <c r="G149" s="439"/>
      <c r="H149" s="439"/>
      <c r="I149" s="439"/>
      <c r="J149" s="440"/>
      <c r="K149" s="117">
        <f>K148</f>
        <v>1084.7781</v>
      </c>
      <c r="L149" s="116" t="s">
        <v>113</v>
      </c>
      <c r="M149" s="111" t="s">
        <v>113</v>
      </c>
      <c r="N149" s="112">
        <f>N148</f>
        <v>57.395609270999991</v>
      </c>
    </row>
    <row r="150" spans="1:14" ht="15.75" thickTop="1" x14ac:dyDescent="0.25">
      <c r="A150" s="441" t="s">
        <v>12</v>
      </c>
      <c r="B150" s="442"/>
      <c r="C150" s="442"/>
      <c r="D150" s="442"/>
      <c r="E150" s="442"/>
      <c r="F150" s="442"/>
      <c r="G150" s="442"/>
      <c r="H150" s="442"/>
      <c r="I150" s="442"/>
      <c r="J150" s="442"/>
      <c r="K150" s="442"/>
      <c r="L150" s="442"/>
      <c r="M150" s="442"/>
      <c r="N150" s="443"/>
    </row>
    <row r="151" spans="1:14" x14ac:dyDescent="0.25">
      <c r="A151" s="109" t="s">
        <v>51</v>
      </c>
      <c r="B151" s="127" t="s">
        <v>113</v>
      </c>
      <c r="C151" s="127" t="s">
        <v>113</v>
      </c>
      <c r="D151" s="98">
        <v>426320</v>
      </c>
      <c r="E151" s="127" t="s">
        <v>113</v>
      </c>
      <c r="F151" s="128" t="s">
        <v>113</v>
      </c>
      <c r="G151" s="126" t="s">
        <v>113</v>
      </c>
      <c r="H151" s="98">
        <v>135555</v>
      </c>
      <c r="I151" s="98" t="s">
        <v>113</v>
      </c>
      <c r="J151" s="98" t="s">
        <v>113</v>
      </c>
      <c r="K151" s="99" t="s">
        <v>113</v>
      </c>
      <c r="L151" s="444" t="s">
        <v>200</v>
      </c>
      <c r="M151" s="445"/>
      <c r="N151" s="446"/>
    </row>
    <row r="152" spans="1:14" x14ac:dyDescent="0.25">
      <c r="A152" s="109" t="s">
        <v>68</v>
      </c>
      <c r="B152" s="127" t="s">
        <v>113</v>
      </c>
      <c r="C152" s="127" t="s">
        <v>113</v>
      </c>
      <c r="D152" s="127" t="s">
        <v>113</v>
      </c>
      <c r="E152" s="127" t="s">
        <v>113</v>
      </c>
      <c r="F152" s="103">
        <v>38830</v>
      </c>
      <c r="G152" s="126" t="s">
        <v>113</v>
      </c>
      <c r="H152" s="98" t="s">
        <v>113</v>
      </c>
      <c r="I152" s="98"/>
      <c r="J152" s="98">
        <v>10719</v>
      </c>
      <c r="K152" s="110">
        <f>J152*$B$105/1000000</f>
        <v>980.7885</v>
      </c>
      <c r="L152" s="447"/>
      <c r="M152" s="448"/>
      <c r="N152" s="449"/>
    </row>
    <row r="153" spans="1:14" ht="15.75" thickBot="1" x14ac:dyDescent="0.3">
      <c r="A153" s="438" t="s">
        <v>198</v>
      </c>
      <c r="B153" s="439"/>
      <c r="C153" s="439"/>
      <c r="D153" s="439"/>
      <c r="E153" s="439"/>
      <c r="F153" s="439"/>
      <c r="G153" s="439"/>
      <c r="H153" s="439"/>
      <c r="I153" s="439"/>
      <c r="J153" s="440"/>
      <c r="K153" s="117">
        <f>K152</f>
        <v>980.7885</v>
      </c>
      <c r="L153" s="116" t="s">
        <v>113</v>
      </c>
      <c r="M153" s="111" t="s">
        <v>113</v>
      </c>
      <c r="N153" s="113">
        <f>428/1.10231</f>
        <v>388.27553047690765</v>
      </c>
    </row>
    <row r="154" spans="1:14" ht="15.75" thickTop="1" x14ac:dyDescent="0.25">
      <c r="E154" s="46"/>
      <c r="F154" s="46"/>
      <c r="I154" s="46"/>
    </row>
    <row r="155" spans="1:14" x14ac:dyDescent="0.25">
      <c r="A155" s="140" t="s">
        <v>93</v>
      </c>
    </row>
    <row r="156" spans="1:14" ht="31.5" customHeight="1" thickBot="1" x14ac:dyDescent="0.3">
      <c r="A156" s="430" t="s">
        <v>282</v>
      </c>
      <c r="B156" s="430"/>
      <c r="C156" s="430"/>
      <c r="D156" s="430"/>
      <c r="E156" s="430"/>
      <c r="F156" s="430"/>
      <c r="G156" s="430"/>
      <c r="H156" s="430"/>
      <c r="I156" s="430"/>
      <c r="J156" s="430"/>
      <c r="K156" s="430"/>
      <c r="L156" s="92"/>
    </row>
    <row r="157" spans="1:14" ht="66.75" thickTop="1" thickBot="1" x14ac:dyDescent="0.3">
      <c r="A157" s="44" t="s">
        <v>94</v>
      </c>
      <c r="B157" s="20" t="s">
        <v>95</v>
      </c>
      <c r="C157" s="20" t="s">
        <v>96</v>
      </c>
      <c r="D157" s="47" t="s">
        <v>114</v>
      </c>
      <c r="E157" s="31" t="s">
        <v>99</v>
      </c>
      <c r="F157" s="31" t="s">
        <v>313</v>
      </c>
    </row>
    <row r="158" spans="1:14" ht="16.5" thickTop="1" thickBot="1" x14ac:dyDescent="0.3">
      <c r="A158" s="24">
        <v>12</v>
      </c>
      <c r="B158" s="13">
        <f>A158*50</f>
        <v>600</v>
      </c>
      <c r="C158" s="34">
        <f>B158/1000</f>
        <v>0.6</v>
      </c>
      <c r="D158" s="45">
        <f>800/1.10231131</f>
        <v>725.74779260860532</v>
      </c>
      <c r="E158" s="33">
        <f>(0.5*SUM('Grid Projections'!C48:C51))+(0.5*SUM('Grid Projections'!C48:C50))</f>
        <v>2523.7879487964256</v>
      </c>
      <c r="F158" s="14">
        <f>(0.5*SUM('Grid Projections'!C48:C71)+(0.5*SUM('Grid Projections'!C48:C70)))</f>
        <v>16095.271670577344</v>
      </c>
    </row>
    <row r="159" spans="1:14" ht="15.75" thickTop="1" x14ac:dyDescent="0.25">
      <c r="A159" t="s">
        <v>97</v>
      </c>
    </row>
    <row r="160" spans="1:14" x14ac:dyDescent="0.25">
      <c r="A160" t="s">
        <v>98</v>
      </c>
    </row>
    <row r="161" spans="1:10" x14ac:dyDescent="0.25">
      <c r="A161" s="464" t="s">
        <v>299</v>
      </c>
      <c r="B161" s="464"/>
      <c r="C161" s="464"/>
      <c r="D161" s="464"/>
      <c r="E161" s="464"/>
      <c r="F161" s="464"/>
      <c r="G161" s="464"/>
      <c r="H161" s="464"/>
      <c r="I161" s="464"/>
      <c r="J161" s="464"/>
    </row>
    <row r="162" spans="1:10" x14ac:dyDescent="0.25">
      <c r="A162" s="464" t="s">
        <v>314</v>
      </c>
      <c r="B162" s="464"/>
      <c r="C162" s="464"/>
      <c r="D162" s="464"/>
      <c r="E162" s="464"/>
      <c r="F162" s="464"/>
      <c r="G162" s="464"/>
      <c r="H162" s="464"/>
      <c r="I162" s="464"/>
      <c r="J162" s="464"/>
    </row>
    <row r="164" spans="1:10" ht="31.15" customHeight="1" x14ac:dyDescent="0.25"/>
    <row r="165" spans="1:10" ht="18" customHeight="1" x14ac:dyDescent="0.25"/>
    <row r="166" spans="1:10" ht="15" customHeight="1" x14ac:dyDescent="0.25"/>
    <row r="167" spans="1:10" ht="43.9" customHeight="1" x14ac:dyDescent="0.25"/>
  </sheetData>
  <mergeCells count="50">
    <mergeCell ref="A162:J162"/>
    <mergeCell ref="C69:D69"/>
    <mergeCell ref="C70:D70"/>
    <mergeCell ref="B77:D77"/>
    <mergeCell ref="E77:G77"/>
    <mergeCell ref="A75:K75"/>
    <mergeCell ref="A161:J161"/>
    <mergeCell ref="A135:A137"/>
    <mergeCell ref="B135:F135"/>
    <mergeCell ref="G135:K135"/>
    <mergeCell ref="A128:J128"/>
    <mergeCell ref="A77:A78"/>
    <mergeCell ref="C88:K89"/>
    <mergeCell ref="A146:N146"/>
    <mergeCell ref="A125:N125"/>
    <mergeCell ref="A150:N150"/>
    <mergeCell ref="A138:N138"/>
    <mergeCell ref="A141:J141"/>
    <mergeCell ref="A142:N142"/>
    <mergeCell ref="A145:J145"/>
    <mergeCell ref="B122:F122"/>
    <mergeCell ref="D123:F123"/>
    <mergeCell ref="A149:J149"/>
    <mergeCell ref="L122:N123"/>
    <mergeCell ref="G122:K122"/>
    <mergeCell ref="H123:K123"/>
    <mergeCell ref="L135:N136"/>
    <mergeCell ref="D136:F136"/>
    <mergeCell ref="H136:K136"/>
    <mergeCell ref="D24:D26"/>
    <mergeCell ref="D27:D28"/>
    <mergeCell ref="A156:K156"/>
    <mergeCell ref="A122:A124"/>
    <mergeCell ref="A63:K63"/>
    <mergeCell ref="B65:C65"/>
    <mergeCell ref="D65:E65"/>
    <mergeCell ref="A45:K45"/>
    <mergeCell ref="A153:J153"/>
    <mergeCell ref="A129:N129"/>
    <mergeCell ref="A133:J133"/>
    <mergeCell ref="B92:J94"/>
    <mergeCell ref="B96:J97"/>
    <mergeCell ref="L126:N127"/>
    <mergeCell ref="L139:N140"/>
    <mergeCell ref="L151:N152"/>
    <mergeCell ref="A14:D16"/>
    <mergeCell ref="A17:D17"/>
    <mergeCell ref="E14:F14"/>
    <mergeCell ref="E15:F15"/>
    <mergeCell ref="A18:F18"/>
  </mergeCells>
  <hyperlinks>
    <hyperlink ref="A111" r:id="rId1" xr:uid="{53A6DF3D-8786-4483-A3E3-562B69FE776E}"/>
  </hyperlinks>
  <pageMargins left="0.7" right="0.7" top="0.75" bottom="0.75" header="0.3" footer="0.3"/>
  <pageSetup scale="64" orientation="landscape" r:id="rId2"/>
  <rowBreaks count="3" manualBreakCount="3">
    <brk id="41" max="13" man="1"/>
    <brk id="82" max="16383" man="1"/>
    <brk id="133"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7CD7F2D-8BBE-42A4-AAD6-BF288B77AD8C}">
  <sheetPr>
    <tabColor theme="9" tint="0.59999389629810485"/>
  </sheetPr>
  <dimension ref="A1:M124"/>
  <sheetViews>
    <sheetView view="pageBreakPreview" topLeftCell="A85" zoomScale="60" zoomScaleNormal="100" workbookViewId="0">
      <selection activeCell="I10" sqref="I10"/>
    </sheetView>
  </sheetViews>
  <sheetFormatPr defaultRowHeight="15" x14ac:dyDescent="0.25"/>
  <cols>
    <col min="1" max="1" width="10.140625" customWidth="1"/>
    <col min="2" max="2" width="12.28515625" customWidth="1"/>
    <col min="3" max="3" width="11.42578125" customWidth="1"/>
    <col min="4" max="4" width="11.140625" customWidth="1"/>
    <col min="5" max="5" width="10.5703125" customWidth="1"/>
    <col min="6" max="6" width="11.28515625" customWidth="1"/>
    <col min="7" max="7" width="12" bestFit="1" customWidth="1"/>
    <col min="8" max="8" width="11.5703125" customWidth="1"/>
    <col min="9" max="10" width="12" bestFit="1" customWidth="1"/>
    <col min="11" max="12" width="10.140625" customWidth="1"/>
    <col min="15" max="16" width="12" bestFit="1" customWidth="1"/>
    <col min="17" max="19" width="11" bestFit="1" customWidth="1"/>
  </cols>
  <sheetData>
    <row r="1" spans="1:12" x14ac:dyDescent="0.25">
      <c r="A1" s="1" t="s">
        <v>189</v>
      </c>
    </row>
    <row r="2" spans="1:12" x14ac:dyDescent="0.25">
      <c r="A2" s="1" t="s">
        <v>190</v>
      </c>
    </row>
    <row r="3" spans="1:12" x14ac:dyDescent="0.25">
      <c r="A3" s="1" t="s">
        <v>505</v>
      </c>
    </row>
    <row r="5" spans="1:12" x14ac:dyDescent="0.25">
      <c r="A5" s="1" t="s">
        <v>1</v>
      </c>
      <c r="B5" s="1" t="s">
        <v>452</v>
      </c>
    </row>
    <row r="6" spans="1:12" x14ac:dyDescent="0.25">
      <c r="A6" s="1" t="s">
        <v>453</v>
      </c>
    </row>
    <row r="8" spans="1:12" x14ac:dyDescent="0.25">
      <c r="A8" s="5" t="s">
        <v>25</v>
      </c>
    </row>
    <row r="9" spans="1:12" x14ac:dyDescent="0.25">
      <c r="A9" t="s">
        <v>334</v>
      </c>
    </row>
    <row r="10" spans="1:12" x14ac:dyDescent="0.25">
      <c r="A10" t="s">
        <v>27</v>
      </c>
    </row>
    <row r="12" spans="1:12" ht="15.75" x14ac:dyDescent="0.25">
      <c r="A12" s="199" t="s">
        <v>302</v>
      </c>
    </row>
    <row r="13" spans="1:12" ht="15.75" x14ac:dyDescent="0.25">
      <c r="A13" s="199"/>
    </row>
    <row r="14" spans="1:12" ht="15" customHeight="1" x14ac:dyDescent="0.25">
      <c r="A14" s="421" t="s">
        <v>115</v>
      </c>
      <c r="B14" s="421"/>
      <c r="C14" s="421"/>
      <c r="D14" s="421"/>
      <c r="E14" s="485" t="s">
        <v>339</v>
      </c>
      <c r="F14" s="486"/>
      <c r="G14" s="486"/>
      <c r="H14" s="486"/>
      <c r="I14" s="486"/>
      <c r="J14" s="486"/>
      <c r="K14" s="486"/>
      <c r="L14" s="487"/>
    </row>
    <row r="15" spans="1:12" ht="18" x14ac:dyDescent="0.35">
      <c r="A15" s="421"/>
      <c r="B15" s="421"/>
      <c r="C15" s="421"/>
      <c r="D15" s="421"/>
      <c r="E15" s="251" t="s">
        <v>336</v>
      </c>
      <c r="F15" s="251" t="s">
        <v>337</v>
      </c>
      <c r="G15" s="153" t="s">
        <v>338</v>
      </c>
      <c r="H15" s="153" t="s">
        <v>16</v>
      </c>
      <c r="I15" s="153" t="s">
        <v>229</v>
      </c>
      <c r="J15" s="153" t="s">
        <v>230</v>
      </c>
      <c r="K15" s="153" t="s">
        <v>231</v>
      </c>
      <c r="L15" s="153" t="s">
        <v>335</v>
      </c>
    </row>
    <row r="16" spans="1:12" x14ac:dyDescent="0.25">
      <c r="A16" s="421"/>
      <c r="B16" s="421"/>
      <c r="C16" s="421"/>
      <c r="D16" s="421"/>
      <c r="E16" s="198" t="s">
        <v>340</v>
      </c>
      <c r="F16" s="198" t="s">
        <v>340</v>
      </c>
      <c r="G16" s="11" t="s">
        <v>340</v>
      </c>
      <c r="H16" s="11" t="s">
        <v>340</v>
      </c>
      <c r="I16" s="11" t="s">
        <v>340</v>
      </c>
      <c r="J16" s="11" t="s">
        <v>340</v>
      </c>
      <c r="K16" s="11" t="s">
        <v>340</v>
      </c>
      <c r="L16" s="11" t="s">
        <v>341</v>
      </c>
    </row>
    <row r="17" spans="1:12" ht="53.25" customHeight="1" x14ac:dyDescent="0.25">
      <c r="A17" s="422" t="s">
        <v>300</v>
      </c>
      <c r="B17" s="423"/>
      <c r="C17" s="423"/>
      <c r="D17" s="424"/>
      <c r="E17" s="61">
        <f>M52+D118</f>
        <v>0.52010602675225492</v>
      </c>
      <c r="F17" s="61">
        <f>M53+D119</f>
        <v>0.48072782178166662</v>
      </c>
      <c r="G17" s="61">
        <f>M54+D120</f>
        <v>2.1440646918775004</v>
      </c>
      <c r="H17" s="61">
        <f>M55+D121</f>
        <v>5.906325660666667</v>
      </c>
      <c r="I17" s="61">
        <f>M56+D122</f>
        <v>2.8504157296681818</v>
      </c>
      <c r="J17" s="61">
        <f>M57+D123</f>
        <v>0.23316296883541665</v>
      </c>
      <c r="K17" s="259">
        <f>M58+D124</f>
        <v>9.7816414278333348E-6</v>
      </c>
      <c r="L17" s="27">
        <f>C112</f>
        <v>79.693189857092719</v>
      </c>
    </row>
    <row r="18" spans="1:12" ht="18" customHeight="1" x14ac:dyDescent="0.25">
      <c r="A18" s="295" t="s">
        <v>375</v>
      </c>
      <c r="B18" s="295"/>
      <c r="C18" s="295"/>
      <c r="D18" s="295"/>
      <c r="E18" s="296"/>
      <c r="F18" s="296"/>
      <c r="G18" s="296"/>
      <c r="H18" s="296"/>
      <c r="I18" s="296"/>
      <c r="J18" s="296"/>
      <c r="K18" s="297"/>
      <c r="L18" s="78"/>
    </row>
    <row r="20" spans="1:12" x14ac:dyDescent="0.25">
      <c r="A20" s="142" t="s">
        <v>233</v>
      </c>
    </row>
    <row r="21" spans="1:12" x14ac:dyDescent="0.25">
      <c r="A21" s="97">
        <f>'2 Sustainable Schools'!I127+'2 Sustainable Schools'!I140+'2 Sustainable Schools'!I144+'2 Sustainable Schools'!I148</f>
        <v>114020.47781</v>
      </c>
      <c r="B21" t="s">
        <v>75</v>
      </c>
      <c r="C21" t="s">
        <v>234</v>
      </c>
    </row>
    <row r="22" spans="1:12" x14ac:dyDescent="0.25">
      <c r="A22" s="97">
        <f>'2 Sustainable Schools'!J131+'2 Sustainable Schools'!J152</f>
        <v>10864</v>
      </c>
      <c r="B22" t="s">
        <v>52</v>
      </c>
      <c r="C22" t="s">
        <v>235</v>
      </c>
    </row>
    <row r="23" spans="1:12" x14ac:dyDescent="0.25">
      <c r="A23" s="97">
        <f>'2 Sustainable Schools'!J132</f>
        <v>30031</v>
      </c>
      <c r="B23" t="s">
        <v>52</v>
      </c>
      <c r="C23" t="s">
        <v>236</v>
      </c>
    </row>
    <row r="24" spans="1:12" x14ac:dyDescent="0.25">
      <c r="A24" s="97">
        <f>'2 Sustainable Schools'!H126+'2 Sustainable Schools'!H139+'2 Sustainable Schools'!H143+'2 Sustainable Schools'!H151</f>
        <v>658453</v>
      </c>
      <c r="B24" t="s">
        <v>71</v>
      </c>
      <c r="C24" t="s">
        <v>237</v>
      </c>
    </row>
    <row r="25" spans="1:12" x14ac:dyDescent="0.25">
      <c r="A25" s="97">
        <f>'2 Sustainable Schools'!H130</f>
        <v>-151556</v>
      </c>
      <c r="B25" t="s">
        <v>71</v>
      </c>
      <c r="C25" t="s">
        <v>238</v>
      </c>
    </row>
    <row r="27" spans="1:12" x14ac:dyDescent="0.25">
      <c r="A27" s="142" t="s">
        <v>65</v>
      </c>
    </row>
    <row r="28" spans="1:12" x14ac:dyDescent="0.25">
      <c r="A28">
        <v>3412.14</v>
      </c>
      <c r="B28" t="s">
        <v>72</v>
      </c>
    </row>
    <row r="29" spans="1:12" x14ac:dyDescent="0.25">
      <c r="A29">
        <v>0.1</v>
      </c>
      <c r="B29" t="s">
        <v>76</v>
      </c>
    </row>
    <row r="30" spans="1:12" ht="17.25" x14ac:dyDescent="0.25">
      <c r="A30">
        <v>1020</v>
      </c>
      <c r="B30" t="s">
        <v>239</v>
      </c>
    </row>
    <row r="31" spans="1:12" x14ac:dyDescent="0.25">
      <c r="A31">
        <v>1000</v>
      </c>
      <c r="B31" t="s">
        <v>326</v>
      </c>
    </row>
    <row r="33" spans="1:3" x14ac:dyDescent="0.25">
      <c r="A33" s="1" t="s">
        <v>68</v>
      </c>
      <c r="B33">
        <v>91500</v>
      </c>
      <c r="C33" t="s">
        <v>66</v>
      </c>
    </row>
    <row r="34" spans="1:3" x14ac:dyDescent="0.25">
      <c r="A34" s="1" t="s">
        <v>67</v>
      </c>
      <c r="B34">
        <v>138690</v>
      </c>
      <c r="C34" t="s">
        <v>66</v>
      </c>
    </row>
    <row r="36" spans="1:3" x14ac:dyDescent="0.25">
      <c r="A36" s="1" t="s">
        <v>68</v>
      </c>
      <c r="B36">
        <v>62.88</v>
      </c>
      <c r="C36" s="29" t="s">
        <v>55</v>
      </c>
    </row>
    <row r="37" spans="1:3" x14ac:dyDescent="0.25">
      <c r="A37" s="1" t="s">
        <v>67</v>
      </c>
      <c r="B37">
        <v>74.14</v>
      </c>
      <c r="C37" s="29" t="s">
        <v>55</v>
      </c>
    </row>
    <row r="38" spans="1:3" x14ac:dyDescent="0.25">
      <c r="A38" s="1" t="s">
        <v>77</v>
      </c>
      <c r="B38">
        <v>52.91</v>
      </c>
      <c r="C38" s="29" t="s">
        <v>55</v>
      </c>
    </row>
    <row r="39" spans="1:3" x14ac:dyDescent="0.25">
      <c r="A39" s="16" t="s">
        <v>54</v>
      </c>
    </row>
    <row r="41" spans="1:3" x14ac:dyDescent="0.25">
      <c r="A41" s="1" t="s">
        <v>69</v>
      </c>
    </row>
    <row r="42" spans="1:3" x14ac:dyDescent="0.25">
      <c r="A42" s="3" t="s">
        <v>218</v>
      </c>
    </row>
    <row r="43" spans="1:3" x14ac:dyDescent="0.25">
      <c r="A43" t="s">
        <v>17</v>
      </c>
      <c r="B43">
        <v>634.6</v>
      </c>
      <c r="C43" s="29" t="s">
        <v>70</v>
      </c>
    </row>
    <row r="44" spans="1:3" x14ac:dyDescent="0.25">
      <c r="A44" t="s">
        <v>85</v>
      </c>
      <c r="C44" s="29"/>
    </row>
    <row r="45" spans="1:3" x14ac:dyDescent="0.25">
      <c r="A45" s="3" t="s">
        <v>217</v>
      </c>
      <c r="C45" s="29"/>
    </row>
    <row r="46" spans="1:3" x14ac:dyDescent="0.25">
      <c r="A46" t="s">
        <v>14</v>
      </c>
      <c r="B46">
        <v>0.871</v>
      </c>
      <c r="C46" t="s">
        <v>24</v>
      </c>
    </row>
    <row r="47" spans="1:3" x14ac:dyDescent="0.25">
      <c r="A47" t="s">
        <v>86</v>
      </c>
    </row>
    <row r="49" spans="1:13" ht="15.75" thickBot="1" x14ac:dyDescent="0.3">
      <c r="A49" s="142" t="s">
        <v>307</v>
      </c>
    </row>
    <row r="50" spans="1:13" ht="18" thickTop="1" x14ac:dyDescent="0.25">
      <c r="A50" s="497" t="s">
        <v>227</v>
      </c>
      <c r="B50" s="495" t="s">
        <v>303</v>
      </c>
      <c r="C50" s="496"/>
      <c r="D50" s="418" t="s">
        <v>305</v>
      </c>
      <c r="E50" s="478"/>
      <c r="F50" s="479" t="s">
        <v>306</v>
      </c>
      <c r="G50" s="480"/>
      <c r="H50" s="489" t="s">
        <v>325</v>
      </c>
      <c r="I50" s="418"/>
      <c r="J50" s="478"/>
      <c r="K50" s="479" t="s">
        <v>3</v>
      </c>
      <c r="L50" s="418"/>
      <c r="M50" s="480"/>
    </row>
    <row r="51" spans="1:13" ht="48" thickBot="1" x14ac:dyDescent="0.3">
      <c r="A51" s="498"/>
      <c r="B51" s="51" t="s">
        <v>232</v>
      </c>
      <c r="C51" s="26" t="s">
        <v>240</v>
      </c>
      <c r="D51" s="26" t="s">
        <v>292</v>
      </c>
      <c r="E51" s="212" t="s">
        <v>240</v>
      </c>
      <c r="F51" s="51" t="s">
        <v>292</v>
      </c>
      <c r="G51" s="106" t="s">
        <v>240</v>
      </c>
      <c r="H51" s="230" t="s">
        <v>323</v>
      </c>
      <c r="I51" s="26" t="s">
        <v>324</v>
      </c>
      <c r="J51" s="212" t="s">
        <v>240</v>
      </c>
      <c r="K51" s="51" t="s">
        <v>240</v>
      </c>
      <c r="L51" s="26" t="s">
        <v>310</v>
      </c>
      <c r="M51" s="106" t="s">
        <v>330</v>
      </c>
    </row>
    <row r="52" spans="1:13" ht="18.75" thickTop="1" x14ac:dyDescent="0.35">
      <c r="A52" s="222" t="s">
        <v>327</v>
      </c>
      <c r="B52" s="226">
        <v>7.6</v>
      </c>
      <c r="C52" s="130">
        <f>$A$21*$A$29/$A$30*B52</f>
        <v>84.956434446666663</v>
      </c>
      <c r="D52" s="194">
        <v>0.2</v>
      </c>
      <c r="E52" s="213">
        <f>$A$22*D52/1000</f>
        <v>2.1728000000000001</v>
      </c>
      <c r="F52" s="21">
        <v>2</v>
      </c>
      <c r="G52" s="130">
        <f>$A$23*F52/1000</f>
        <v>60.061999999999998</v>
      </c>
      <c r="H52" s="231" t="s">
        <v>113</v>
      </c>
      <c r="I52" s="214" t="s">
        <v>113</v>
      </c>
      <c r="J52" s="215">
        <f>J53/0.85</f>
        <v>44.12985647058823</v>
      </c>
      <c r="K52" s="236">
        <f>G52+E52+C52+J52</f>
        <v>191.32109091725491</v>
      </c>
      <c r="L52" s="216">
        <f>K52/2000</f>
        <v>9.5660545458627455E-2</v>
      </c>
      <c r="M52" s="217">
        <f>(0.5*L52*4)+(0.5*L52*3)</f>
        <v>0.33481190910519609</v>
      </c>
    </row>
    <row r="53" spans="1:13" ht="18" x14ac:dyDescent="0.35">
      <c r="A53" s="223" t="s">
        <v>322</v>
      </c>
      <c r="B53" s="227">
        <f t="shared" ref="B53:G53" si="0">B52</f>
        <v>7.6</v>
      </c>
      <c r="C53" s="207">
        <f t="shared" si="0"/>
        <v>84.956434446666663</v>
      </c>
      <c r="D53" s="206">
        <f t="shared" si="0"/>
        <v>0.2</v>
      </c>
      <c r="E53" s="208">
        <f t="shared" si="0"/>
        <v>2.1728000000000001</v>
      </c>
      <c r="F53" s="233">
        <f t="shared" si="0"/>
        <v>2</v>
      </c>
      <c r="G53" s="234">
        <f t="shared" si="0"/>
        <v>60.061999999999998</v>
      </c>
      <c r="H53" s="107">
        <f>I53</f>
        <v>7.3999999999999996E-2</v>
      </c>
      <c r="I53" s="11">
        <v>7.3999999999999996E-2</v>
      </c>
      <c r="J53" s="193">
        <f>($A$25/$A$31*H53)+($A$24/$A$31*I53)</f>
        <v>37.510377999999996</v>
      </c>
      <c r="K53" s="237">
        <f>G53+E53+C53+J53</f>
        <v>184.70161244666667</v>
      </c>
      <c r="L53" s="56">
        <f>K53/2000</f>
        <v>9.2350806223333332E-2</v>
      </c>
      <c r="M53" s="218">
        <f>(0.5*L53*4)+(0.5*L53*3)</f>
        <v>0.32322782178166665</v>
      </c>
    </row>
    <row r="54" spans="1:13" x14ac:dyDescent="0.25">
      <c r="A54" s="224" t="s">
        <v>15</v>
      </c>
      <c r="B54" s="228">
        <v>0.6</v>
      </c>
      <c r="C54" s="131">
        <f>$A$21*$A$29/$A$30*B54</f>
        <v>6.70708693</v>
      </c>
      <c r="D54" s="91">
        <f>0.1*0.5</f>
        <v>0.05</v>
      </c>
      <c r="E54" s="193">
        <f t="shared" ref="E54:E57" si="1">$A$22*D54/1000</f>
        <v>0.54320000000000002</v>
      </c>
      <c r="F54" s="373">
        <f>142*0.0015</f>
        <v>0.21299999999999999</v>
      </c>
      <c r="G54" s="131">
        <f>$A$23*F54/1000</f>
        <v>6.3966029999999998</v>
      </c>
      <c r="H54" s="107">
        <v>0.34300000000000003</v>
      </c>
      <c r="I54" s="11">
        <v>1.1140000000000001</v>
      </c>
      <c r="J54" s="193">
        <f>($A$25/$A$31*H54)+($A$24/$A$31*I54)</f>
        <v>681.53293400000007</v>
      </c>
      <c r="K54" s="237">
        <f>G54+E54+C54+J54</f>
        <v>695.17982393000011</v>
      </c>
      <c r="L54" s="56">
        <f t="shared" ref="L54:L57" si="2">K54/2000</f>
        <v>0.34758991196500005</v>
      </c>
      <c r="M54" s="218">
        <f t="shared" ref="M54:M58" si="3">(0.5*L54*4)+(0.5*L54*3)</f>
        <v>1.2165646918775002</v>
      </c>
    </row>
    <row r="55" spans="1:13" x14ac:dyDescent="0.25">
      <c r="A55" s="224" t="s">
        <v>16</v>
      </c>
      <c r="B55" s="228">
        <v>100</v>
      </c>
      <c r="C55" s="131">
        <f>$A$21*$A$29/$A$30*B55</f>
        <v>1117.8478216666667</v>
      </c>
      <c r="D55" s="91">
        <v>13</v>
      </c>
      <c r="E55" s="193">
        <f t="shared" si="1"/>
        <v>141.232</v>
      </c>
      <c r="F55" s="23">
        <v>20</v>
      </c>
      <c r="G55" s="131">
        <f t="shared" ref="G55:G58" si="4">$A$23*F55/1000</f>
        <v>600.62</v>
      </c>
      <c r="H55" s="107">
        <v>0.55300000000000005</v>
      </c>
      <c r="I55" s="11">
        <v>1.077</v>
      </c>
      <c r="J55" s="193">
        <f>($A$25/$A$31*H55)+($A$24/$A$31*I55)</f>
        <v>625.34341299999994</v>
      </c>
      <c r="K55" s="237">
        <f>G55+E55+C55+J55</f>
        <v>2485.0432346666666</v>
      </c>
      <c r="L55" s="56">
        <f t="shared" si="2"/>
        <v>1.2425216173333333</v>
      </c>
      <c r="M55" s="218">
        <f t="shared" si="3"/>
        <v>4.3488256606666669</v>
      </c>
    </row>
    <row r="56" spans="1:13" x14ac:dyDescent="0.25">
      <c r="A56" s="224" t="s">
        <v>229</v>
      </c>
      <c r="B56" s="228">
        <v>84</v>
      </c>
      <c r="C56" s="131">
        <f>$A$21*$A$29/$A$30*B56</f>
        <v>938.99217020000003</v>
      </c>
      <c r="D56" s="91">
        <v>7.5</v>
      </c>
      <c r="E56" s="193">
        <f t="shared" si="1"/>
        <v>81.48</v>
      </c>
      <c r="F56" s="23">
        <v>5</v>
      </c>
      <c r="G56" s="131">
        <f t="shared" si="4"/>
        <v>150.155</v>
      </c>
      <c r="H56" s="238">
        <f>B56*H57/B57</f>
        <v>0.42763636363636359</v>
      </c>
      <c r="I56" s="239">
        <f>B56*I57/B57</f>
        <v>0.42763636363636359</v>
      </c>
      <c r="J56" s="240">
        <f>($A$25/$A$31*H56)+($A$24/$A$31*I56)</f>
        <v>216.76758981818176</v>
      </c>
      <c r="K56" s="237">
        <f>G56+E56+C56</f>
        <v>1170.6271701999999</v>
      </c>
      <c r="L56" s="56">
        <f t="shared" si="2"/>
        <v>0.58531358509999998</v>
      </c>
      <c r="M56" s="218">
        <f t="shared" si="3"/>
        <v>2.04859754785</v>
      </c>
    </row>
    <row r="57" spans="1:13" x14ac:dyDescent="0.25">
      <c r="A57" s="224" t="s">
        <v>230</v>
      </c>
      <c r="B57" s="228">
        <v>5.5</v>
      </c>
      <c r="C57" s="131">
        <f>$A$21*$A$29/$A$30*B57</f>
        <v>61.481630191666667</v>
      </c>
      <c r="D57" s="91">
        <v>1</v>
      </c>
      <c r="E57" s="193">
        <f t="shared" si="1"/>
        <v>10.864000000000001</v>
      </c>
      <c r="F57" s="23">
        <v>0.55600000000000005</v>
      </c>
      <c r="G57" s="131">
        <f t="shared" si="4"/>
        <v>16.697236</v>
      </c>
      <c r="H57" s="107">
        <f>I57</f>
        <v>2.8000000000000001E-2</v>
      </c>
      <c r="I57" s="11">
        <v>2.8000000000000001E-2</v>
      </c>
      <c r="J57" s="49">
        <f>($A$25/$A$31*H57)+($A$24/$A$31*I57)</f>
        <v>14.193116</v>
      </c>
      <c r="K57" s="237">
        <f>G57+E57+C57+J57</f>
        <v>103.23598219166666</v>
      </c>
      <c r="L57" s="56">
        <f t="shared" si="2"/>
        <v>5.1617991095833329E-2</v>
      </c>
      <c r="M57" s="218">
        <f t="shared" si="3"/>
        <v>0.18066296883541666</v>
      </c>
    </row>
    <row r="58" spans="1:13" ht="15.75" thickBot="1" x14ac:dyDescent="0.3">
      <c r="A58" s="225" t="s">
        <v>231</v>
      </c>
      <c r="B58" s="229">
        <v>5.0000000000000001E-4</v>
      </c>
      <c r="C58" s="192">
        <f>$A$21*$A$29/$A$30*B58</f>
        <v>5.5892391083333338E-3</v>
      </c>
      <c r="D58" s="195" t="s">
        <v>113</v>
      </c>
      <c r="E58" s="57" t="s">
        <v>113</v>
      </c>
      <c r="F58" s="235">
        <f>9/(10^9)</f>
        <v>8.9999999999999995E-9</v>
      </c>
      <c r="G58" s="108">
        <f t="shared" si="4"/>
        <v>2.7027899999999998E-7</v>
      </c>
      <c r="H58" s="232" t="s">
        <v>113</v>
      </c>
      <c r="I58" s="220" t="s">
        <v>113</v>
      </c>
      <c r="J58" s="221" t="s">
        <v>113</v>
      </c>
      <c r="K58" s="235">
        <f>G58+C58</f>
        <v>5.5895093873333341E-3</v>
      </c>
      <c r="L58" s="219">
        <f>K58/2000</f>
        <v>2.7947546936666672E-6</v>
      </c>
      <c r="M58" s="192">
        <f t="shared" si="3"/>
        <v>9.7816414278333348E-6</v>
      </c>
    </row>
    <row r="59" spans="1:13" ht="15.75" thickTop="1" x14ac:dyDescent="0.25">
      <c r="A59" s="196" t="s">
        <v>304</v>
      </c>
      <c r="B59" s="101"/>
      <c r="C59" s="49"/>
      <c r="D59" s="101"/>
    </row>
    <row r="60" spans="1:13" x14ac:dyDescent="0.25">
      <c r="A60" s="196" t="s">
        <v>293</v>
      </c>
      <c r="B60" s="101"/>
      <c r="C60" s="49"/>
      <c r="D60" s="101"/>
    </row>
    <row r="61" spans="1:13" x14ac:dyDescent="0.25">
      <c r="A61" s="197" t="s">
        <v>309</v>
      </c>
      <c r="B61" s="101"/>
      <c r="C61" s="49"/>
      <c r="D61" s="101"/>
    </row>
    <row r="62" spans="1:13" x14ac:dyDescent="0.25">
      <c r="A62" s="197" t="s">
        <v>308</v>
      </c>
      <c r="B62" s="101"/>
      <c r="C62" s="49"/>
      <c r="D62" s="101"/>
    </row>
    <row r="63" spans="1:13" ht="27.75" customHeight="1" x14ac:dyDescent="0.25">
      <c r="A63" s="490" t="s">
        <v>328</v>
      </c>
      <c r="B63" s="490"/>
      <c r="C63" s="490"/>
      <c r="D63" s="490"/>
      <c r="E63" s="490"/>
      <c r="F63" s="490"/>
      <c r="G63" s="490"/>
      <c r="H63" s="490"/>
      <c r="I63" s="490"/>
      <c r="J63" s="490"/>
      <c r="K63" s="490"/>
      <c r="L63" s="490"/>
      <c r="M63" s="490"/>
    </row>
    <row r="64" spans="1:13" ht="29.25" customHeight="1" x14ac:dyDescent="0.25">
      <c r="A64" s="490" t="s">
        <v>329</v>
      </c>
      <c r="B64" s="490"/>
      <c r="C64" s="490"/>
      <c r="D64" s="490"/>
      <c r="E64" s="490"/>
      <c r="F64" s="490"/>
      <c r="G64" s="490"/>
      <c r="H64" s="490"/>
      <c r="I64" s="490"/>
      <c r="J64" s="490"/>
      <c r="K64" s="490"/>
      <c r="L64" s="490"/>
      <c r="M64" s="490"/>
    </row>
    <row r="65" spans="1:13" ht="15" customHeight="1" x14ac:dyDescent="0.25">
      <c r="A65" s="490" t="s">
        <v>331</v>
      </c>
      <c r="B65" s="490"/>
      <c r="C65" s="490"/>
      <c r="D65" s="490"/>
      <c r="E65" s="490"/>
      <c r="F65" s="490"/>
      <c r="G65" s="490"/>
      <c r="H65" s="490"/>
      <c r="I65" s="490"/>
      <c r="J65" s="490"/>
      <c r="K65" s="490"/>
      <c r="L65" s="490"/>
      <c r="M65" s="490"/>
    </row>
    <row r="67" spans="1:13" ht="15.75" thickBot="1" x14ac:dyDescent="0.3">
      <c r="A67" s="6" t="s">
        <v>241</v>
      </c>
      <c r="D67" s="488" t="s">
        <v>7</v>
      </c>
      <c r="E67" s="488"/>
      <c r="F67" s="488" t="s">
        <v>68</v>
      </c>
      <c r="G67" s="488"/>
      <c r="H67" s="491" t="s">
        <v>8</v>
      </c>
      <c r="I67" s="492"/>
    </row>
    <row r="68" spans="1:13" ht="48.75" thickTop="1" thickBot="1" x14ac:dyDescent="0.3">
      <c r="A68" s="176" t="s">
        <v>245</v>
      </c>
      <c r="B68" s="472" t="s">
        <v>227</v>
      </c>
      <c r="C68" s="473"/>
      <c r="D68" s="241" t="s">
        <v>246</v>
      </c>
      <c r="E68" s="202" t="s">
        <v>240</v>
      </c>
      <c r="F68" s="202" t="s">
        <v>240</v>
      </c>
      <c r="G68" s="93" t="s">
        <v>240</v>
      </c>
      <c r="H68" s="243" t="s">
        <v>332</v>
      </c>
      <c r="I68" s="90" t="s">
        <v>240</v>
      </c>
    </row>
    <row r="69" spans="1:13" ht="15.75" thickTop="1" x14ac:dyDescent="0.25">
      <c r="A69" s="165">
        <v>7440382</v>
      </c>
      <c r="B69" s="474" t="s">
        <v>247</v>
      </c>
      <c r="C69" s="475"/>
      <c r="D69" s="166">
        <v>2.0000000000000001E-4</v>
      </c>
      <c r="E69" s="183">
        <f t="shared" ref="E69:E85" si="5">$A$21*$A$29/$A$30*D69</f>
        <v>2.2356956433333334E-3</v>
      </c>
      <c r="F69" s="68">
        <f>4/(10^9)</f>
        <v>4.0000000000000002E-9</v>
      </c>
      <c r="G69" s="211">
        <f>$A$22/(10^3)*F69</f>
        <v>4.3456000000000009E-8</v>
      </c>
      <c r="H69" s="68">
        <f>4/(10^9)</f>
        <v>4.0000000000000002E-9</v>
      </c>
      <c r="I69" s="211">
        <f>$A$23/(10^3)*H69</f>
        <v>1.20124E-7</v>
      </c>
    </row>
    <row r="70" spans="1:13" x14ac:dyDescent="0.25">
      <c r="A70" s="161">
        <v>71432</v>
      </c>
      <c r="B70" s="470" t="s">
        <v>248</v>
      </c>
      <c r="C70" s="471"/>
      <c r="D70" s="162">
        <v>2.0999999999999999E-3</v>
      </c>
      <c r="E70" s="184">
        <f t="shared" si="5"/>
        <v>2.3474804254999999E-2</v>
      </c>
      <c r="F70" s="177">
        <v>2.14E-4</v>
      </c>
      <c r="G70" s="211">
        <f t="shared" ref="G70:G73" si="6">$A$22/(10^3)*F70</f>
        <v>2.3248960000000003E-3</v>
      </c>
      <c r="H70" s="177">
        <v>2.14E-4</v>
      </c>
      <c r="I70" s="244">
        <f>$A$23/(10^3)*H70</f>
        <v>6.4266339999999996E-3</v>
      </c>
      <c r="K70" s="151"/>
    </row>
    <row r="71" spans="1:13" x14ac:dyDescent="0.25">
      <c r="A71" s="161">
        <v>7440417</v>
      </c>
      <c r="B71" s="470" t="s">
        <v>249</v>
      </c>
      <c r="C71" s="471"/>
      <c r="D71" s="162">
        <v>1.2E-5</v>
      </c>
      <c r="E71" s="185">
        <f t="shared" si="5"/>
        <v>1.3414173860000001E-4</v>
      </c>
      <c r="F71" s="68">
        <f>3/(10^9)</f>
        <v>3E-9</v>
      </c>
      <c r="G71" s="211">
        <f t="shared" si="6"/>
        <v>3.2592000000000005E-8</v>
      </c>
      <c r="H71" s="68">
        <f>3/(10^9)</f>
        <v>3E-9</v>
      </c>
      <c r="I71" s="211">
        <f>$A$23/(10^3)*H71</f>
        <v>9.0092999999999998E-8</v>
      </c>
    </row>
    <row r="72" spans="1:13" x14ac:dyDescent="0.25">
      <c r="A72" s="161">
        <v>7440439</v>
      </c>
      <c r="B72" s="470" t="s">
        <v>250</v>
      </c>
      <c r="C72" s="471"/>
      <c r="D72" s="162">
        <v>1.1000000000000001E-3</v>
      </c>
      <c r="E72" s="184">
        <f t="shared" si="5"/>
        <v>1.2296326038333335E-2</v>
      </c>
      <c r="F72" s="68">
        <f>3/(10^9)</f>
        <v>3E-9</v>
      </c>
      <c r="G72" s="211">
        <f t="shared" si="6"/>
        <v>3.2592000000000005E-8</v>
      </c>
      <c r="H72" s="68">
        <f>3/(10^9)</f>
        <v>3E-9</v>
      </c>
      <c r="I72" s="211">
        <f>$A$23/(10^3)*H72</f>
        <v>9.0092999999999998E-8</v>
      </c>
    </row>
    <row r="73" spans="1:13" x14ac:dyDescent="0.25">
      <c r="A73" s="161">
        <v>7440473</v>
      </c>
      <c r="B73" s="470" t="s">
        <v>251</v>
      </c>
      <c r="C73" s="471"/>
      <c r="D73" s="162">
        <v>1.4E-3</v>
      </c>
      <c r="E73" s="184">
        <f t="shared" si="5"/>
        <v>1.5649869503333334E-2</v>
      </c>
      <c r="F73" s="68">
        <f>3/(10^9)</f>
        <v>3E-9</v>
      </c>
      <c r="G73" s="211">
        <f t="shared" si="6"/>
        <v>3.2592000000000005E-8</v>
      </c>
      <c r="H73" s="68">
        <f>3/(10^9)</f>
        <v>3E-9</v>
      </c>
      <c r="I73" s="211">
        <f>$A$23/(10^3)*H73</f>
        <v>9.0092999999999998E-8</v>
      </c>
    </row>
    <row r="74" spans="1:13" x14ac:dyDescent="0.25">
      <c r="A74" s="161">
        <v>7440484</v>
      </c>
      <c r="B74" s="470" t="s">
        <v>252</v>
      </c>
      <c r="C74" s="471"/>
      <c r="D74" s="162">
        <v>8.3999999999999995E-5</v>
      </c>
      <c r="E74" s="185">
        <f t="shared" si="5"/>
        <v>9.3899217019999997E-4</v>
      </c>
      <c r="F74" s="68" t="s">
        <v>113</v>
      </c>
      <c r="G74" s="68" t="s">
        <v>113</v>
      </c>
      <c r="H74" s="68" t="s">
        <v>113</v>
      </c>
      <c r="I74" s="68" t="s">
        <v>113</v>
      </c>
    </row>
    <row r="75" spans="1:13" x14ac:dyDescent="0.25">
      <c r="A75" s="161">
        <v>25321226</v>
      </c>
      <c r="B75" s="476" t="s">
        <v>279</v>
      </c>
      <c r="C75" s="477"/>
      <c r="D75" s="162">
        <v>1.1999999999999999E-3</v>
      </c>
      <c r="E75" s="184">
        <f t="shared" si="5"/>
        <v>1.341417386E-2</v>
      </c>
      <c r="F75" s="68" t="s">
        <v>113</v>
      </c>
      <c r="G75" s="68" t="s">
        <v>113</v>
      </c>
      <c r="H75" s="68" t="s">
        <v>113</v>
      </c>
      <c r="I75" s="68" t="s">
        <v>113</v>
      </c>
    </row>
    <row r="76" spans="1:13" x14ac:dyDescent="0.25">
      <c r="A76" s="161">
        <v>50000</v>
      </c>
      <c r="B76" s="470" t="s">
        <v>253</v>
      </c>
      <c r="C76" s="471"/>
      <c r="D76" s="162">
        <v>7.4999999999999997E-2</v>
      </c>
      <c r="E76" s="184">
        <f t="shared" si="5"/>
        <v>0.83838586625</v>
      </c>
      <c r="F76" s="177">
        <v>3.3000000000000002E-2</v>
      </c>
      <c r="G76" s="211">
        <f t="shared" ref="G76" si="7">$A$22/(10^3)*F76</f>
        <v>0.35851200000000005</v>
      </c>
      <c r="H76" s="177">
        <v>3.3000000000000002E-2</v>
      </c>
      <c r="I76" s="8">
        <f>$A$23/(10^3)*H76</f>
        <v>0.99102299999999999</v>
      </c>
    </row>
    <row r="77" spans="1:13" ht="15.75" thickBot="1" x14ac:dyDescent="0.3">
      <c r="A77" s="6" t="s">
        <v>509</v>
      </c>
      <c r="D77" s="488" t="s">
        <v>7</v>
      </c>
      <c r="E77" s="488"/>
      <c r="F77" s="488" t="s">
        <v>68</v>
      </c>
      <c r="G77" s="488"/>
      <c r="H77" s="491" t="s">
        <v>8</v>
      </c>
      <c r="I77" s="492"/>
    </row>
    <row r="78" spans="1:13" ht="48.75" thickTop="1" thickBot="1" x14ac:dyDescent="0.3">
      <c r="A78" s="176" t="s">
        <v>245</v>
      </c>
      <c r="B78" s="472" t="s">
        <v>227</v>
      </c>
      <c r="C78" s="473"/>
      <c r="D78" s="241" t="s">
        <v>246</v>
      </c>
      <c r="E78" s="202" t="s">
        <v>240</v>
      </c>
      <c r="F78" s="202" t="s">
        <v>240</v>
      </c>
      <c r="G78" s="93" t="s">
        <v>240</v>
      </c>
      <c r="H78" s="243" t="s">
        <v>332</v>
      </c>
      <c r="I78" s="90" t="s">
        <v>240</v>
      </c>
    </row>
    <row r="79" spans="1:13" ht="15.75" thickTop="1" x14ac:dyDescent="0.25">
      <c r="A79" s="161">
        <v>110543</v>
      </c>
      <c r="B79" s="470" t="s">
        <v>254</v>
      </c>
      <c r="C79" s="471"/>
      <c r="D79" s="162">
        <v>1.8</v>
      </c>
      <c r="E79" s="184">
        <f t="shared" si="5"/>
        <v>20.121260790000001</v>
      </c>
      <c r="F79" s="68" t="s">
        <v>113</v>
      </c>
      <c r="G79" s="68" t="s">
        <v>113</v>
      </c>
      <c r="H79" s="68" t="s">
        <v>113</v>
      </c>
      <c r="I79" s="68" t="s">
        <v>113</v>
      </c>
    </row>
    <row r="80" spans="1:13" x14ac:dyDescent="0.25">
      <c r="A80" s="161">
        <v>7439965</v>
      </c>
      <c r="B80" s="470" t="s">
        <v>255</v>
      </c>
      <c r="C80" s="471"/>
      <c r="D80" s="162">
        <v>3.8000000000000002E-4</v>
      </c>
      <c r="E80" s="185">
        <f t="shared" si="5"/>
        <v>4.2478217223333335E-3</v>
      </c>
      <c r="F80" s="68">
        <f>6/(10^9)</f>
        <v>6E-9</v>
      </c>
      <c r="G80" s="211">
        <f t="shared" ref="G80:G86" si="8">$A$22/(10^3)*F80</f>
        <v>6.518400000000001E-8</v>
      </c>
      <c r="H80" s="68">
        <f>6/(10^9)</f>
        <v>6E-9</v>
      </c>
      <c r="I80" s="211">
        <f t="shared" ref="I80:I86" si="9">$A$23/(10^3)*H80</f>
        <v>1.80186E-7</v>
      </c>
    </row>
    <row r="81" spans="1:9" x14ac:dyDescent="0.25">
      <c r="A81" s="161">
        <v>7439976</v>
      </c>
      <c r="B81" s="470" t="s">
        <v>256</v>
      </c>
      <c r="C81" s="471"/>
      <c r="D81" s="162">
        <v>2.5999999999999998E-4</v>
      </c>
      <c r="E81" s="185">
        <f t="shared" si="5"/>
        <v>2.9064043363333332E-3</v>
      </c>
      <c r="F81" s="68">
        <f>3/(10^9)</f>
        <v>3E-9</v>
      </c>
      <c r="G81" s="211">
        <f t="shared" si="8"/>
        <v>3.2592000000000005E-8</v>
      </c>
      <c r="H81" s="68">
        <f>3/(10^9)</f>
        <v>3E-9</v>
      </c>
      <c r="I81" s="211">
        <f t="shared" si="9"/>
        <v>9.0092999999999998E-8</v>
      </c>
    </row>
    <row r="82" spans="1:9" x14ac:dyDescent="0.25">
      <c r="A82" s="161">
        <v>91203</v>
      </c>
      <c r="B82" s="470" t="s">
        <v>257</v>
      </c>
      <c r="C82" s="471"/>
      <c r="D82" s="162">
        <v>6.0999999999999997E-4</v>
      </c>
      <c r="E82" s="185">
        <f t="shared" si="5"/>
        <v>6.8188717121666666E-3</v>
      </c>
      <c r="F82" s="177">
        <v>1.1299999999999999E-3</v>
      </c>
      <c r="G82" s="211">
        <f t="shared" si="8"/>
        <v>1.227632E-2</v>
      </c>
      <c r="H82" s="177">
        <v>1.1299999999999999E-3</v>
      </c>
      <c r="I82" s="245">
        <f t="shared" si="9"/>
        <v>3.3935029999999998E-2</v>
      </c>
    </row>
    <row r="83" spans="1:9" x14ac:dyDescent="0.25">
      <c r="A83" s="161">
        <v>7440020</v>
      </c>
      <c r="B83" s="470" t="s">
        <v>258</v>
      </c>
      <c r="C83" s="471"/>
      <c r="D83" s="162">
        <v>2.0999999999999999E-3</v>
      </c>
      <c r="E83" s="184">
        <f t="shared" si="5"/>
        <v>2.3474804254999999E-2</v>
      </c>
      <c r="F83" s="68">
        <f>3/(10^9)</f>
        <v>3E-9</v>
      </c>
      <c r="G83" s="211">
        <f t="shared" si="8"/>
        <v>3.2592000000000005E-8</v>
      </c>
      <c r="H83" s="68">
        <f>3/(10^9)</f>
        <v>3E-9</v>
      </c>
      <c r="I83" s="211">
        <f t="shared" si="9"/>
        <v>9.0092999999999998E-8</v>
      </c>
    </row>
    <row r="84" spans="1:9" x14ac:dyDescent="0.25">
      <c r="A84" s="161">
        <v>7782492</v>
      </c>
      <c r="B84" s="470" t="s">
        <v>259</v>
      </c>
      <c r="C84" s="471"/>
      <c r="D84" s="162">
        <v>2.4000000000000001E-5</v>
      </c>
      <c r="E84" s="185">
        <f t="shared" si="5"/>
        <v>2.6828347720000002E-4</v>
      </c>
      <c r="F84" s="68">
        <f>15/(10^9)</f>
        <v>1.4999999999999999E-8</v>
      </c>
      <c r="G84" s="211">
        <f t="shared" si="8"/>
        <v>1.6296E-7</v>
      </c>
      <c r="H84" s="68">
        <f>15/(10^9)</f>
        <v>1.4999999999999999E-8</v>
      </c>
      <c r="I84" s="211">
        <f t="shared" si="9"/>
        <v>4.5046499999999995E-7</v>
      </c>
    </row>
    <row r="85" spans="1:9" x14ac:dyDescent="0.25">
      <c r="A85" s="178">
        <v>108883</v>
      </c>
      <c r="B85" s="483" t="s">
        <v>260</v>
      </c>
      <c r="C85" s="484"/>
      <c r="D85" s="179">
        <v>3.3999999999999998E-3</v>
      </c>
      <c r="E85" s="186">
        <f t="shared" si="5"/>
        <v>3.8006825936666669E-2</v>
      </c>
      <c r="F85" s="177">
        <v>6.1999999999999998E-3</v>
      </c>
      <c r="G85" s="211">
        <f t="shared" si="8"/>
        <v>6.7356800000000008E-2</v>
      </c>
      <c r="H85" s="177">
        <v>6.1999999999999998E-3</v>
      </c>
      <c r="I85" s="8">
        <f t="shared" si="9"/>
        <v>0.18619219999999997</v>
      </c>
    </row>
    <row r="86" spans="1:9" x14ac:dyDescent="0.25">
      <c r="A86" s="242"/>
      <c r="B86" s="483" t="s">
        <v>333</v>
      </c>
      <c r="C86" s="484"/>
      <c r="D86" s="7"/>
      <c r="E86" s="186"/>
      <c r="F86" s="246">
        <v>1.0900000000000001E-4</v>
      </c>
      <c r="G86" s="211">
        <f t="shared" si="8"/>
        <v>1.1841760000000001E-3</v>
      </c>
      <c r="H86" s="246">
        <v>1.0900000000000001E-4</v>
      </c>
      <c r="I86" s="244">
        <f t="shared" si="9"/>
        <v>3.2733789999999999E-3</v>
      </c>
    </row>
    <row r="87" spans="1:9" x14ac:dyDescent="0.25">
      <c r="A87" s="163" t="s">
        <v>261</v>
      </c>
      <c r="B87" s="164"/>
      <c r="C87" s="164"/>
      <c r="D87" s="164"/>
      <c r="E87" s="187"/>
      <c r="F87" s="36"/>
      <c r="G87" s="250"/>
      <c r="H87" s="36"/>
      <c r="I87" s="250"/>
    </row>
    <row r="88" spans="1:9" x14ac:dyDescent="0.25">
      <c r="A88" s="165">
        <v>91576</v>
      </c>
      <c r="B88" s="474" t="s">
        <v>242</v>
      </c>
      <c r="C88" s="475"/>
      <c r="D88" s="166">
        <v>2.4000000000000001E-5</v>
      </c>
      <c r="E88" s="183">
        <f t="shared" ref="E88:E98" si="10">$A$21*$A$29/$A$30*D88</f>
        <v>2.6828347720000002E-4</v>
      </c>
      <c r="F88" s="68" t="s">
        <v>113</v>
      </c>
      <c r="G88" s="68" t="s">
        <v>113</v>
      </c>
      <c r="H88" s="68" t="s">
        <v>113</v>
      </c>
      <c r="I88" s="68" t="s">
        <v>113</v>
      </c>
    </row>
    <row r="89" spans="1:9" x14ac:dyDescent="0.25">
      <c r="A89" s="161">
        <v>56495</v>
      </c>
      <c r="B89" s="470" t="s">
        <v>243</v>
      </c>
      <c r="C89" s="471"/>
      <c r="D89" s="162">
        <v>1.7999999999999999E-6</v>
      </c>
      <c r="E89" s="185">
        <f t="shared" si="10"/>
        <v>2.012126079E-5</v>
      </c>
      <c r="F89" s="68" t="s">
        <v>113</v>
      </c>
      <c r="G89" s="68" t="s">
        <v>113</v>
      </c>
      <c r="H89" s="68" t="s">
        <v>113</v>
      </c>
      <c r="I89" s="68" t="s">
        <v>113</v>
      </c>
    </row>
    <row r="90" spans="1:9" x14ac:dyDescent="0.25">
      <c r="A90" s="161">
        <v>57977</v>
      </c>
      <c r="B90" s="481" t="s">
        <v>262</v>
      </c>
      <c r="C90" s="482"/>
      <c r="D90" s="162">
        <v>1.5999999999999999E-5</v>
      </c>
      <c r="E90" s="185">
        <f t="shared" si="10"/>
        <v>1.7885565146666667E-4</v>
      </c>
      <c r="F90" s="68" t="s">
        <v>113</v>
      </c>
      <c r="G90" s="68" t="s">
        <v>113</v>
      </c>
      <c r="H90" s="68" t="s">
        <v>113</v>
      </c>
      <c r="I90" s="68" t="s">
        <v>113</v>
      </c>
    </row>
    <row r="91" spans="1:9" x14ac:dyDescent="0.25">
      <c r="A91" s="161">
        <v>83329</v>
      </c>
      <c r="B91" s="470" t="s">
        <v>244</v>
      </c>
      <c r="C91" s="471"/>
      <c r="D91" s="162">
        <v>1.7999999999999999E-6</v>
      </c>
      <c r="E91" s="185">
        <f t="shared" si="10"/>
        <v>2.012126079E-5</v>
      </c>
      <c r="F91" s="177">
        <v>2.1100000000000001E-5</v>
      </c>
      <c r="G91" s="211">
        <f t="shared" ref="G91:G98" si="11">$A$22/(10^3)*F91</f>
        <v>2.2923040000000003E-4</v>
      </c>
      <c r="H91" s="177">
        <v>2.1100000000000001E-5</v>
      </c>
      <c r="I91" s="247">
        <f t="shared" ref="I91:I98" si="12">$A$23/(10^3)*H91</f>
        <v>6.3365410000000002E-4</v>
      </c>
    </row>
    <row r="92" spans="1:9" x14ac:dyDescent="0.25">
      <c r="A92" s="161">
        <v>203968</v>
      </c>
      <c r="B92" s="188" t="s">
        <v>263</v>
      </c>
      <c r="C92" s="167"/>
      <c r="D92" s="189">
        <v>1.7999999999999999E-6</v>
      </c>
      <c r="E92" s="185">
        <f t="shared" si="10"/>
        <v>2.012126079E-5</v>
      </c>
      <c r="F92" s="177">
        <v>2.53E-7</v>
      </c>
      <c r="G92" s="211">
        <f t="shared" si="11"/>
        <v>2.748592E-6</v>
      </c>
      <c r="H92" s="177">
        <v>2.53E-7</v>
      </c>
      <c r="I92" s="211">
        <f t="shared" si="12"/>
        <v>7.5978429999999996E-6</v>
      </c>
    </row>
    <row r="93" spans="1:9" x14ac:dyDescent="0.25">
      <c r="A93" s="161">
        <v>120127</v>
      </c>
      <c r="B93" s="470" t="s">
        <v>264</v>
      </c>
      <c r="C93" s="471"/>
      <c r="D93" s="162">
        <v>2.3999999999999999E-6</v>
      </c>
      <c r="E93" s="185">
        <f t="shared" si="10"/>
        <v>2.6828347719999998E-5</v>
      </c>
      <c r="F93" s="177">
        <v>1.22E-6</v>
      </c>
      <c r="G93" s="211">
        <f t="shared" si="11"/>
        <v>1.3254080000000001E-5</v>
      </c>
      <c r="H93" s="177">
        <v>1.22E-6</v>
      </c>
      <c r="I93" s="211">
        <f t="shared" si="12"/>
        <v>3.6637819999999998E-5</v>
      </c>
    </row>
    <row r="94" spans="1:9" x14ac:dyDescent="0.25">
      <c r="A94" s="161">
        <v>191242</v>
      </c>
      <c r="B94" s="470" t="s">
        <v>265</v>
      </c>
      <c r="C94" s="471"/>
      <c r="D94" s="162">
        <v>1.1999999999999999E-6</v>
      </c>
      <c r="E94" s="185">
        <f t="shared" si="10"/>
        <v>1.3414173859999999E-5</v>
      </c>
      <c r="F94" s="177">
        <v>2.26E-6</v>
      </c>
      <c r="G94" s="211">
        <f t="shared" si="11"/>
        <v>2.4552640000000002E-5</v>
      </c>
      <c r="H94" s="177">
        <v>2.26E-6</v>
      </c>
      <c r="I94" s="211">
        <f t="shared" si="12"/>
        <v>6.787005999999999E-5</v>
      </c>
    </row>
    <row r="95" spans="1:9" x14ac:dyDescent="0.25">
      <c r="A95" s="161">
        <v>206440</v>
      </c>
      <c r="B95" s="470" t="s">
        <v>266</v>
      </c>
      <c r="C95" s="471"/>
      <c r="D95" s="162">
        <v>3.0000000000000001E-6</v>
      </c>
      <c r="E95" s="185">
        <f t="shared" si="10"/>
        <v>3.3535434650000003E-5</v>
      </c>
      <c r="F95" s="177">
        <v>4.8400000000000002E-6</v>
      </c>
      <c r="G95" s="211">
        <f t="shared" si="11"/>
        <v>5.2581760000000009E-5</v>
      </c>
      <c r="H95" s="177">
        <v>4.8400000000000002E-6</v>
      </c>
      <c r="I95" s="247">
        <f t="shared" si="12"/>
        <v>1.4535004000000001E-4</v>
      </c>
    </row>
    <row r="96" spans="1:9" x14ac:dyDescent="0.25">
      <c r="A96" s="161">
        <v>86737</v>
      </c>
      <c r="B96" s="470" t="s">
        <v>267</v>
      </c>
      <c r="C96" s="471"/>
      <c r="D96" s="162">
        <v>2.7999999999999999E-6</v>
      </c>
      <c r="E96" s="185">
        <f t="shared" si="10"/>
        <v>3.1299739006666666E-5</v>
      </c>
      <c r="F96" s="177">
        <v>4.4700000000000004E-6</v>
      </c>
      <c r="G96" s="211">
        <f t="shared" si="11"/>
        <v>4.8562080000000006E-5</v>
      </c>
      <c r="H96" s="177">
        <v>4.4700000000000004E-6</v>
      </c>
      <c r="I96" s="247">
        <f t="shared" si="12"/>
        <v>1.3423857000000001E-4</v>
      </c>
    </row>
    <row r="97" spans="1:13" x14ac:dyDescent="0.25">
      <c r="A97" s="161">
        <v>85018</v>
      </c>
      <c r="B97" s="470" t="s">
        <v>268</v>
      </c>
      <c r="C97" s="471"/>
      <c r="D97" s="162">
        <v>1.7E-5</v>
      </c>
      <c r="E97" s="185">
        <f t="shared" si="10"/>
        <v>1.9003412968333333E-4</v>
      </c>
      <c r="F97" s="177">
        <v>1.0499999999999999E-5</v>
      </c>
      <c r="G97" s="211">
        <f t="shared" si="11"/>
        <v>1.14072E-4</v>
      </c>
      <c r="H97" s="177">
        <v>1.0499999999999999E-5</v>
      </c>
      <c r="I97" s="247">
        <f t="shared" si="12"/>
        <v>3.1532549999999999E-4</v>
      </c>
    </row>
    <row r="98" spans="1:13" x14ac:dyDescent="0.25">
      <c r="A98" s="178">
        <v>129000</v>
      </c>
      <c r="B98" s="483" t="s">
        <v>269</v>
      </c>
      <c r="C98" s="484"/>
      <c r="D98" s="179">
        <v>5.0000000000000004E-6</v>
      </c>
      <c r="E98" s="186">
        <f t="shared" si="10"/>
        <v>5.589239108333334E-5</v>
      </c>
      <c r="F98" s="177">
        <v>4.25E-6</v>
      </c>
      <c r="G98" s="211">
        <f t="shared" si="11"/>
        <v>4.6172000000000004E-5</v>
      </c>
      <c r="H98" s="177">
        <v>4.25E-6</v>
      </c>
      <c r="I98" s="247">
        <f t="shared" si="12"/>
        <v>1.2763175E-4</v>
      </c>
    </row>
    <row r="99" spans="1:13" x14ac:dyDescent="0.25">
      <c r="A99" s="168" t="s">
        <v>270</v>
      </c>
      <c r="B99" s="169"/>
      <c r="C99" s="169"/>
      <c r="D99" s="169"/>
      <c r="E99" s="190"/>
      <c r="F99" s="104"/>
      <c r="G99" s="248"/>
      <c r="H99" s="104"/>
      <c r="I99" s="248"/>
    </row>
    <row r="100" spans="1:13" x14ac:dyDescent="0.25">
      <c r="A100" s="170" t="s">
        <v>271</v>
      </c>
      <c r="B100" s="171"/>
      <c r="C100" s="171"/>
      <c r="D100" s="172"/>
      <c r="E100" s="191"/>
      <c r="F100" s="105"/>
      <c r="G100" s="249"/>
      <c r="H100" s="105"/>
      <c r="I100" s="249"/>
    </row>
    <row r="101" spans="1:13" x14ac:dyDescent="0.25">
      <c r="A101" s="165">
        <v>56553</v>
      </c>
      <c r="B101" s="474" t="s">
        <v>272</v>
      </c>
      <c r="C101" s="475"/>
      <c r="D101" s="166">
        <v>1.7999999999999999E-6</v>
      </c>
      <c r="E101" s="183">
        <f t="shared" ref="E101:E107" si="13">$A$21*$A$29/$A$30*D101</f>
        <v>2.012126079E-5</v>
      </c>
      <c r="F101" s="177">
        <v>4.0099999999999997E-6</v>
      </c>
      <c r="G101" s="211">
        <f t="shared" ref="G101:G102" si="14">$A$22/(10^3)*F101</f>
        <v>4.3564640000000002E-5</v>
      </c>
      <c r="H101" s="177">
        <v>4.0099999999999997E-6</v>
      </c>
      <c r="I101" s="247">
        <f>$A$23/(10^3)*H101</f>
        <v>1.2042430999999999E-4</v>
      </c>
    </row>
    <row r="102" spans="1:13" x14ac:dyDescent="0.25">
      <c r="A102" s="161">
        <v>205992</v>
      </c>
      <c r="B102" s="470" t="s">
        <v>273</v>
      </c>
      <c r="C102" s="471"/>
      <c r="D102" s="162">
        <v>1.7999999999999999E-6</v>
      </c>
      <c r="E102" s="185">
        <f t="shared" si="13"/>
        <v>2.012126079E-5</v>
      </c>
      <c r="F102" s="177">
        <v>1.48E-6</v>
      </c>
      <c r="G102" s="211">
        <f t="shared" si="14"/>
        <v>1.607872E-5</v>
      </c>
      <c r="H102" s="177">
        <v>1.48E-6</v>
      </c>
      <c r="I102" s="211">
        <f>$A$23/(10^3)*H102</f>
        <v>4.4445879999999999E-5</v>
      </c>
    </row>
    <row r="103" spans="1:13" x14ac:dyDescent="0.25">
      <c r="A103" s="161">
        <v>205823</v>
      </c>
      <c r="B103" s="470" t="s">
        <v>274</v>
      </c>
      <c r="C103" s="471"/>
      <c r="D103" s="162">
        <v>1.7999999999999999E-6</v>
      </c>
      <c r="E103" s="185">
        <f t="shared" si="13"/>
        <v>2.012126079E-5</v>
      </c>
      <c r="F103" s="68" t="s">
        <v>113</v>
      </c>
      <c r="G103" s="68" t="s">
        <v>113</v>
      </c>
      <c r="H103" s="68" t="s">
        <v>113</v>
      </c>
      <c r="I103" s="68" t="s">
        <v>113</v>
      </c>
    </row>
    <row r="104" spans="1:13" x14ac:dyDescent="0.25">
      <c r="A104" s="161">
        <v>53703</v>
      </c>
      <c r="B104" s="470" t="s">
        <v>275</v>
      </c>
      <c r="C104" s="471"/>
      <c r="D104" s="162">
        <v>1.1999999999999999E-6</v>
      </c>
      <c r="E104" s="185">
        <f t="shared" si="13"/>
        <v>1.3414173859999999E-5</v>
      </c>
      <c r="F104" s="177">
        <v>1.6700000000000001E-6</v>
      </c>
      <c r="G104" s="211">
        <f t="shared" ref="G104:G106" si="15">$A$22/(10^3)*F104</f>
        <v>1.8142880000000004E-5</v>
      </c>
      <c r="H104" s="177">
        <v>1.6700000000000001E-6</v>
      </c>
      <c r="I104" s="211">
        <f>$A$23/(10^3)*H104</f>
        <v>5.0151770000000001E-5</v>
      </c>
    </row>
    <row r="105" spans="1:13" x14ac:dyDescent="0.25">
      <c r="A105" s="161">
        <v>218019</v>
      </c>
      <c r="B105" s="470" t="s">
        <v>276</v>
      </c>
      <c r="C105" s="471"/>
      <c r="D105" s="162">
        <v>1.7999999999999999E-6</v>
      </c>
      <c r="E105" s="185">
        <f t="shared" si="13"/>
        <v>2.012126079E-5</v>
      </c>
      <c r="F105" s="177">
        <v>2.3800000000000001E-6</v>
      </c>
      <c r="G105" s="211">
        <f t="shared" si="15"/>
        <v>2.5856320000000003E-5</v>
      </c>
      <c r="H105" s="177">
        <v>2.3800000000000001E-6</v>
      </c>
      <c r="I105" s="211">
        <f>$A$23/(10^3)*H105</f>
        <v>7.1473779999999999E-5</v>
      </c>
    </row>
    <row r="106" spans="1:13" x14ac:dyDescent="0.25">
      <c r="A106" s="161">
        <v>193395</v>
      </c>
      <c r="B106" s="470" t="s">
        <v>277</v>
      </c>
      <c r="C106" s="471"/>
      <c r="D106" s="162">
        <v>1.7999999999999999E-6</v>
      </c>
      <c r="E106" s="185">
        <f t="shared" si="13"/>
        <v>2.012126079E-5</v>
      </c>
      <c r="F106" s="177">
        <v>2.1399999999999998E-6</v>
      </c>
      <c r="G106" s="211">
        <f t="shared" si="15"/>
        <v>2.3248960000000001E-5</v>
      </c>
      <c r="H106" s="177">
        <v>2.1399999999999998E-6</v>
      </c>
      <c r="I106" s="211">
        <f>$A$23/(10^3)*H106</f>
        <v>6.4266339999999994E-5</v>
      </c>
    </row>
    <row r="107" spans="1:13" ht="15.75" thickBot="1" x14ac:dyDescent="0.3">
      <c r="A107" s="173">
        <v>50328</v>
      </c>
      <c r="B107" s="493" t="s">
        <v>278</v>
      </c>
      <c r="C107" s="494"/>
      <c r="D107" s="174">
        <v>1.1999999999999999E-6</v>
      </c>
      <c r="E107" s="192">
        <f t="shared" si="13"/>
        <v>1.3414173859999999E-5</v>
      </c>
      <c r="F107" s="68" t="s">
        <v>113</v>
      </c>
      <c r="G107" s="68" t="s">
        <v>113</v>
      </c>
      <c r="H107" s="68" t="s">
        <v>113</v>
      </c>
      <c r="I107" s="68" t="s">
        <v>113</v>
      </c>
    </row>
    <row r="108" spans="1:13" ht="16.5" thickTop="1" thickBot="1" x14ac:dyDescent="0.3">
      <c r="D108" s="200" t="s">
        <v>198</v>
      </c>
      <c r="E108" s="201">
        <f>SUM(E69:E107)</f>
        <v>21.104499612677206</v>
      </c>
      <c r="F108" s="292"/>
      <c r="G108" s="293">
        <f>SUM(G69:G107)</f>
        <v>0.44231269163200004</v>
      </c>
      <c r="H108" s="292"/>
      <c r="I108" s="293">
        <f>SUM(I69:I107)</f>
        <v>1.2226705120029999</v>
      </c>
      <c r="J108" s="46"/>
    </row>
    <row r="109" spans="1:13" ht="32.25" customHeight="1" thickTop="1" x14ac:dyDescent="0.25">
      <c r="A109" s="430" t="s">
        <v>374</v>
      </c>
      <c r="B109" s="430"/>
      <c r="C109" s="430"/>
      <c r="D109" s="430"/>
      <c r="E109" s="430"/>
      <c r="F109" s="430"/>
      <c r="G109" s="430"/>
      <c r="H109" s="430"/>
      <c r="I109" s="430"/>
      <c r="J109" s="430"/>
      <c r="K109" s="430"/>
      <c r="L109" s="430"/>
      <c r="M109" s="430"/>
    </row>
    <row r="110" spans="1:13" ht="15.75" thickBot="1" x14ac:dyDescent="0.3"/>
    <row r="111" spans="1:13" ht="61.5" thickTop="1" thickBot="1" x14ac:dyDescent="0.3">
      <c r="A111" s="19" t="s">
        <v>346</v>
      </c>
      <c r="B111" s="9" t="s">
        <v>345</v>
      </c>
      <c r="C111" s="31" t="s">
        <v>291</v>
      </c>
    </row>
    <row r="112" spans="1:13" ht="16.5" thickTop="1" thickBot="1" x14ac:dyDescent="0.3">
      <c r="A112" s="260" t="s">
        <v>280</v>
      </c>
      <c r="B112" s="261">
        <f>E108+G108+I108</f>
        <v>22.769482816312205</v>
      </c>
      <c r="C112" s="262">
        <f>(0.5*B112*4)+(0.5*B112*3)</f>
        <v>79.693189857092719</v>
      </c>
    </row>
    <row r="113" spans="1:11" ht="15.75" thickTop="1" x14ac:dyDescent="0.25"/>
    <row r="114" spans="1:11" x14ac:dyDescent="0.25">
      <c r="A114" s="140" t="s">
        <v>93</v>
      </c>
    </row>
    <row r="115" spans="1:11" x14ac:dyDescent="0.25">
      <c r="A115" s="89" t="s">
        <v>344</v>
      </c>
    </row>
    <row r="116" spans="1:11" ht="15.75" thickBot="1" x14ac:dyDescent="0.3"/>
    <row r="117" spans="1:11" ht="61.5" thickTop="1" thickBot="1" x14ac:dyDescent="0.3">
      <c r="A117" s="19" t="s">
        <v>227</v>
      </c>
      <c r="B117" s="9" t="s">
        <v>290</v>
      </c>
      <c r="C117" s="9" t="s">
        <v>291</v>
      </c>
      <c r="D117" s="31" t="s">
        <v>342</v>
      </c>
    </row>
    <row r="118" spans="1:11" ht="15.75" thickTop="1" x14ac:dyDescent="0.25">
      <c r="A118" s="21" t="s">
        <v>228</v>
      </c>
      <c r="B118" s="254">
        <f>B119/0.85</f>
        <v>105.88235294117648</v>
      </c>
      <c r="C118" s="254">
        <f>(0.5*B118*4)+(0.5*B118*3)</f>
        <v>370.58823529411768</v>
      </c>
      <c r="D118" s="255">
        <f>C118/2000</f>
        <v>0.18529411764705883</v>
      </c>
    </row>
    <row r="119" spans="1:11" x14ac:dyDescent="0.25">
      <c r="A119" s="23" t="s">
        <v>22</v>
      </c>
      <c r="B119" s="18">
        <v>90</v>
      </c>
      <c r="C119" s="253">
        <f>(0.5*B119*4)+(0.5*B119*3)</f>
        <v>315</v>
      </c>
      <c r="D119" s="256">
        <f t="shared" ref="D119:D123" si="16">C119/2000</f>
        <v>0.1575</v>
      </c>
    </row>
    <row r="120" spans="1:11" x14ac:dyDescent="0.25">
      <c r="A120" s="23" t="s">
        <v>15</v>
      </c>
      <c r="B120" s="18">
        <v>530</v>
      </c>
      <c r="C120" s="253">
        <f t="shared" ref="C120:C123" si="17">(0.5*B120*4)+(0.5*B120*3)</f>
        <v>1855</v>
      </c>
      <c r="D120" s="256">
        <f t="shared" si="16"/>
        <v>0.92749999999999999</v>
      </c>
    </row>
    <row r="121" spans="1:11" x14ac:dyDescent="0.25">
      <c r="A121" s="23" t="s">
        <v>16</v>
      </c>
      <c r="B121" s="18">
        <v>890</v>
      </c>
      <c r="C121" s="253">
        <f t="shared" si="17"/>
        <v>3115</v>
      </c>
      <c r="D121" s="256">
        <f t="shared" si="16"/>
        <v>1.5575000000000001</v>
      </c>
    </row>
    <row r="122" spans="1:11" x14ac:dyDescent="0.25">
      <c r="A122" s="23" t="s">
        <v>229</v>
      </c>
      <c r="B122" s="18">
        <f>C56*B123/C57</f>
        <v>458.18181818181824</v>
      </c>
      <c r="C122" s="253">
        <f>(0.5*B122*4)+(0.5*B122*3)</f>
        <v>1603.636363636364</v>
      </c>
      <c r="D122" s="256">
        <f>C122/2000</f>
        <v>0.80181818181818199</v>
      </c>
    </row>
    <row r="123" spans="1:11" ht="15.75" thickBot="1" x14ac:dyDescent="0.3">
      <c r="A123" s="24" t="s">
        <v>230</v>
      </c>
      <c r="B123" s="45">
        <v>30</v>
      </c>
      <c r="C123" s="257">
        <f t="shared" si="17"/>
        <v>105</v>
      </c>
      <c r="D123" s="258">
        <f t="shared" si="16"/>
        <v>5.2499999999999998E-2</v>
      </c>
    </row>
    <row r="124" spans="1:11" ht="15.75" thickTop="1" x14ac:dyDescent="0.25">
      <c r="A124" s="499" t="s">
        <v>469</v>
      </c>
      <c r="B124" s="499"/>
      <c r="C124" s="499"/>
      <c r="D124" s="499"/>
      <c r="E124" s="499"/>
      <c r="F124" s="499"/>
      <c r="G124" s="499"/>
      <c r="H124" s="499"/>
      <c r="I124" s="499"/>
      <c r="J124" s="499"/>
      <c r="K124" s="499"/>
    </row>
  </sheetData>
  <mergeCells count="55">
    <mergeCell ref="D77:E77"/>
    <mergeCell ref="F77:G77"/>
    <mergeCell ref="H77:I77"/>
    <mergeCell ref="B78:C78"/>
    <mergeCell ref="A124:K124"/>
    <mergeCell ref="B98:C98"/>
    <mergeCell ref="B101:C101"/>
    <mergeCell ref="B102:C102"/>
    <mergeCell ref="B103:C103"/>
    <mergeCell ref="B104:C104"/>
    <mergeCell ref="B86:C86"/>
    <mergeCell ref="B81:C81"/>
    <mergeCell ref="E14:L14"/>
    <mergeCell ref="F67:G67"/>
    <mergeCell ref="A109:M109"/>
    <mergeCell ref="A14:D16"/>
    <mergeCell ref="A17:D17"/>
    <mergeCell ref="H50:J50"/>
    <mergeCell ref="A63:M63"/>
    <mergeCell ref="A64:M64"/>
    <mergeCell ref="A65:M65"/>
    <mergeCell ref="D67:E67"/>
    <mergeCell ref="H67:I67"/>
    <mergeCell ref="B105:C105"/>
    <mergeCell ref="B106:C106"/>
    <mergeCell ref="B107:C107"/>
    <mergeCell ref="B50:C50"/>
    <mergeCell ref="A50:A51"/>
    <mergeCell ref="D50:E50"/>
    <mergeCell ref="F50:G50"/>
    <mergeCell ref="K50:M50"/>
    <mergeCell ref="B97:C97"/>
    <mergeCell ref="B90:C90"/>
    <mergeCell ref="B91:C91"/>
    <mergeCell ref="B93:C93"/>
    <mergeCell ref="B94:C94"/>
    <mergeCell ref="B95:C95"/>
    <mergeCell ref="B96:C96"/>
    <mergeCell ref="B82:C82"/>
    <mergeCell ref="B83:C83"/>
    <mergeCell ref="B84:C84"/>
    <mergeCell ref="B85:C85"/>
    <mergeCell ref="B88:C88"/>
    <mergeCell ref="B89:C89"/>
    <mergeCell ref="B74:C74"/>
    <mergeCell ref="B75:C75"/>
    <mergeCell ref="B76:C76"/>
    <mergeCell ref="B79:C79"/>
    <mergeCell ref="B80:C80"/>
    <mergeCell ref="B73:C73"/>
    <mergeCell ref="B68:C68"/>
    <mergeCell ref="B69:C69"/>
    <mergeCell ref="B70:C70"/>
    <mergeCell ref="B71:C71"/>
    <mergeCell ref="B72:C72"/>
  </mergeCells>
  <hyperlinks>
    <hyperlink ref="A39" r:id="rId1" xr:uid="{7EFD2548-61CA-434C-820E-8447C2A47E23}"/>
  </hyperlinks>
  <pageMargins left="0.7" right="0.7" top="0.75" bottom="0.75" header="0.3" footer="0.3"/>
  <pageSetup scale="78" orientation="landscape" r:id="rId2"/>
  <rowBreaks count="3" manualBreakCount="3">
    <brk id="40" max="16383" man="1"/>
    <brk id="76" max="12" man="1"/>
    <brk id="113"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F3CAE3-BC2F-4D51-8434-761371FB9E22}">
  <sheetPr>
    <tabColor theme="9" tint="0.59999389629810485"/>
  </sheetPr>
  <dimension ref="A1:P94"/>
  <sheetViews>
    <sheetView view="pageBreakPreview" zoomScale="60" zoomScaleNormal="100" workbookViewId="0">
      <selection activeCell="I10" sqref="I10"/>
    </sheetView>
  </sheetViews>
  <sheetFormatPr defaultRowHeight="15" x14ac:dyDescent="0.25"/>
  <cols>
    <col min="1" max="1" width="18.140625" customWidth="1"/>
    <col min="2" max="2" width="11.85546875" bestFit="1" customWidth="1"/>
    <col min="3" max="3" width="12" customWidth="1"/>
    <col min="4" max="4" width="13" customWidth="1"/>
    <col min="5" max="5" width="12.7109375" customWidth="1"/>
    <col min="6" max="6" width="15.85546875" customWidth="1"/>
    <col min="7" max="7" width="17" customWidth="1"/>
    <col min="8" max="8" width="14.5703125" customWidth="1"/>
    <col min="9" max="9" width="15" customWidth="1"/>
    <col min="10" max="10" width="12.5703125" customWidth="1"/>
    <col min="11" max="11" width="13.140625" customWidth="1"/>
    <col min="12" max="12" width="11.85546875" customWidth="1"/>
    <col min="13" max="13" width="10.85546875" customWidth="1"/>
    <col min="15" max="15" width="11" bestFit="1" customWidth="1"/>
  </cols>
  <sheetData>
    <row r="1" spans="1:7" x14ac:dyDescent="0.25">
      <c r="A1" s="1" t="s">
        <v>189</v>
      </c>
    </row>
    <row r="2" spans="1:7" x14ac:dyDescent="0.25">
      <c r="A2" s="1" t="s">
        <v>190</v>
      </c>
    </row>
    <row r="3" spans="1:7" x14ac:dyDescent="0.25">
      <c r="A3" s="1" t="s">
        <v>505</v>
      </c>
    </row>
    <row r="5" spans="1:7" x14ac:dyDescent="0.25">
      <c r="A5" s="1" t="s">
        <v>1</v>
      </c>
      <c r="B5" s="1" t="s">
        <v>400</v>
      </c>
    </row>
    <row r="7" spans="1:7" x14ac:dyDescent="0.25">
      <c r="A7" s="1" t="s">
        <v>25</v>
      </c>
    </row>
    <row r="8" spans="1:7" x14ac:dyDescent="0.25">
      <c r="A8" t="s">
        <v>103</v>
      </c>
    </row>
    <row r="9" spans="1:7" x14ac:dyDescent="0.25">
      <c r="A9" t="s">
        <v>108</v>
      </c>
    </row>
    <row r="10" spans="1:7" x14ac:dyDescent="0.25">
      <c r="A10" s="16" t="s">
        <v>104</v>
      </c>
    </row>
    <row r="11" spans="1:7" x14ac:dyDescent="0.25">
      <c r="A11" s="16"/>
    </row>
    <row r="12" spans="1:7" ht="15.75" x14ac:dyDescent="0.25">
      <c r="A12" s="199" t="s">
        <v>401</v>
      </c>
    </row>
    <row r="13" spans="1:7" x14ac:dyDescent="0.25">
      <c r="A13" s="16"/>
    </row>
    <row r="14" spans="1:7" x14ac:dyDescent="0.25">
      <c r="A14" s="421" t="s">
        <v>115</v>
      </c>
      <c r="B14" s="421"/>
      <c r="C14" s="421"/>
      <c r="D14" s="421"/>
      <c r="E14" s="421" t="s">
        <v>116</v>
      </c>
      <c r="F14" s="421"/>
      <c r="G14" s="50" t="s">
        <v>454</v>
      </c>
    </row>
    <row r="15" spans="1:7" ht="18" x14ac:dyDescent="0.25">
      <c r="A15" s="421"/>
      <c r="B15" s="421"/>
      <c r="C15" s="421"/>
      <c r="D15" s="421"/>
      <c r="E15" s="421" t="s">
        <v>301</v>
      </c>
      <c r="F15" s="421"/>
      <c r="G15" s="50" t="s">
        <v>456</v>
      </c>
    </row>
    <row r="16" spans="1:7" x14ac:dyDescent="0.25">
      <c r="A16" s="421"/>
      <c r="B16" s="421"/>
      <c r="C16" s="421"/>
      <c r="D16" s="421"/>
      <c r="E16" s="198" t="s">
        <v>117</v>
      </c>
      <c r="F16" s="198" t="s">
        <v>118</v>
      </c>
      <c r="G16" s="11" t="s">
        <v>455</v>
      </c>
    </row>
    <row r="17" spans="1:12" ht="22.5" customHeight="1" x14ac:dyDescent="0.25">
      <c r="A17" s="422" t="s">
        <v>400</v>
      </c>
      <c r="B17" s="423"/>
      <c r="C17" s="423"/>
      <c r="D17" s="424"/>
      <c r="E17" s="62">
        <f>(SUM(K51:K57)/1000000)*C46</f>
        <v>3.5175400592792603E-3</v>
      </c>
      <c r="F17" s="62">
        <f>(SUM(L51:L57)/1000000)*C46</f>
        <v>1.3843452736850224E-2</v>
      </c>
      <c r="G17" s="353">
        <f>B46/(E17*1000000)</f>
        <v>2947.9962772974754</v>
      </c>
    </row>
    <row r="18" spans="1:12" x14ac:dyDescent="0.25">
      <c r="A18" s="16"/>
    </row>
    <row r="19" spans="1:12" ht="15.75" customHeight="1" x14ac:dyDescent="0.25">
      <c r="A19" s="500" t="s">
        <v>115</v>
      </c>
      <c r="B19" s="501"/>
      <c r="C19" s="501"/>
      <c r="D19" s="502"/>
      <c r="E19" s="421" t="s">
        <v>339</v>
      </c>
      <c r="F19" s="421"/>
      <c r="G19" s="421"/>
      <c r="H19" s="421"/>
      <c r="I19" s="421"/>
      <c r="J19" s="421"/>
      <c r="K19" s="324"/>
      <c r="L19" s="324"/>
    </row>
    <row r="20" spans="1:12" ht="15.75" customHeight="1" x14ac:dyDescent="0.35">
      <c r="A20" s="503"/>
      <c r="B20" s="504"/>
      <c r="C20" s="504"/>
      <c r="D20" s="505"/>
      <c r="E20" s="251" t="s">
        <v>336</v>
      </c>
      <c r="F20" s="251" t="s">
        <v>337</v>
      </c>
      <c r="G20" s="153" t="s">
        <v>338</v>
      </c>
      <c r="H20" s="153" t="s">
        <v>16</v>
      </c>
      <c r="I20" s="153" t="s">
        <v>229</v>
      </c>
      <c r="J20" s="153" t="s">
        <v>230</v>
      </c>
      <c r="K20" s="325"/>
      <c r="L20" s="325"/>
    </row>
    <row r="21" spans="1:12" x14ac:dyDescent="0.25">
      <c r="A21" s="506"/>
      <c r="B21" s="507"/>
      <c r="C21" s="507"/>
      <c r="D21" s="508"/>
      <c r="E21" s="198" t="s">
        <v>340</v>
      </c>
      <c r="F21" s="198" t="s">
        <v>340</v>
      </c>
      <c r="G21" s="11" t="s">
        <v>340</v>
      </c>
      <c r="H21" s="11" t="s">
        <v>340</v>
      </c>
      <c r="I21" s="11" t="s">
        <v>340</v>
      </c>
      <c r="J21" s="11" t="s">
        <v>340</v>
      </c>
      <c r="K21" s="10"/>
      <c r="L21" s="10"/>
    </row>
    <row r="22" spans="1:12" ht="22.5" customHeight="1" x14ac:dyDescent="0.25">
      <c r="A22" s="422" t="s">
        <v>400</v>
      </c>
      <c r="B22" s="423"/>
      <c r="C22" s="423"/>
      <c r="D22" s="424"/>
      <c r="E22" s="61">
        <f>C46*SUM(C72:C76)/2000*4</f>
        <v>1.672306679914646</v>
      </c>
      <c r="F22" s="61">
        <f>C46*SUM(D72:D76)/2000*4</f>
        <v>1.2716487574888282</v>
      </c>
      <c r="G22" s="61">
        <f>C46*SUM(E72:E76)/2000*4</f>
        <v>-0.65971621477996978</v>
      </c>
      <c r="H22" s="61">
        <f>C46*SUM(F72:F76)/2000*4</f>
        <v>48.097020106239064</v>
      </c>
      <c r="I22" s="61">
        <f>C46*SUM(G72:G76)/2000*4</f>
        <v>1.6611879398367331</v>
      </c>
      <c r="J22" s="61">
        <f>C46*SUM(H72:H76)/2000*4</f>
        <v>3.6385751117291596</v>
      </c>
      <c r="K22" s="294"/>
      <c r="L22" s="78"/>
    </row>
    <row r="23" spans="1:12" ht="15" customHeight="1" x14ac:dyDescent="0.25">
      <c r="A23" s="425" t="s">
        <v>399</v>
      </c>
      <c r="B23" s="425"/>
      <c r="C23" s="425"/>
      <c r="D23" s="425"/>
      <c r="E23" s="425"/>
      <c r="F23" s="425"/>
      <c r="G23" s="425"/>
      <c r="H23" s="425"/>
      <c r="I23" s="425"/>
      <c r="J23" s="425"/>
      <c r="K23" s="298"/>
      <c r="L23" s="298"/>
    </row>
    <row r="24" spans="1:12" x14ac:dyDescent="0.25">
      <c r="A24" s="16"/>
    </row>
    <row r="25" spans="1:12" ht="15.75" x14ac:dyDescent="0.25">
      <c r="A25" s="199" t="s">
        <v>2</v>
      </c>
    </row>
    <row r="26" spans="1:12" x14ac:dyDescent="0.25">
      <c r="A26" s="16"/>
    </row>
    <row r="27" spans="1:12" x14ac:dyDescent="0.25">
      <c r="A27" s="263" t="s">
        <v>350</v>
      </c>
    </row>
    <row r="28" spans="1:12" x14ac:dyDescent="0.25">
      <c r="A28" s="263" t="s">
        <v>351</v>
      </c>
    </row>
    <row r="29" spans="1:12" x14ac:dyDescent="0.25">
      <c r="A29" s="263"/>
    </row>
    <row r="30" spans="1:12" x14ac:dyDescent="0.25">
      <c r="A30" s="263" t="s">
        <v>352</v>
      </c>
      <c r="B30" s="55">
        <v>0.15</v>
      </c>
      <c r="C30" t="s">
        <v>353</v>
      </c>
    </row>
    <row r="31" spans="1:12" x14ac:dyDescent="0.25">
      <c r="A31" s="263"/>
      <c r="B31" s="55">
        <v>0.3</v>
      </c>
      <c r="C31" t="s">
        <v>357</v>
      </c>
    </row>
    <row r="32" spans="1:12" x14ac:dyDescent="0.25">
      <c r="A32" s="263" t="s">
        <v>354</v>
      </c>
      <c r="B32" s="55">
        <v>0.23</v>
      </c>
    </row>
    <row r="33" spans="1:10" x14ac:dyDescent="0.25">
      <c r="A33" s="263" t="s">
        <v>355</v>
      </c>
      <c r="B33" s="55">
        <v>0.77</v>
      </c>
    </row>
    <row r="34" spans="1:10" x14ac:dyDescent="0.25">
      <c r="A34" s="16"/>
    </row>
    <row r="35" spans="1:10" ht="15.75" thickBot="1" x14ac:dyDescent="0.3">
      <c r="A35" s="284" t="s">
        <v>364</v>
      </c>
    </row>
    <row r="36" spans="1:10" ht="16.5" thickTop="1" thickBot="1" x14ac:dyDescent="0.3">
      <c r="A36" s="270" t="s">
        <v>102</v>
      </c>
      <c r="B36" s="271" t="s">
        <v>347</v>
      </c>
      <c r="C36" s="271" t="s">
        <v>349</v>
      </c>
      <c r="D36" s="271" t="s">
        <v>356</v>
      </c>
      <c r="E36" s="271" t="s">
        <v>355</v>
      </c>
      <c r="F36" s="271" t="s">
        <v>354</v>
      </c>
      <c r="G36" s="272" t="s">
        <v>352</v>
      </c>
      <c r="H36" s="266"/>
    </row>
    <row r="37" spans="1:10" ht="15.75" thickTop="1" x14ac:dyDescent="0.25">
      <c r="A37" s="273" t="s">
        <v>358</v>
      </c>
      <c r="B37" s="274">
        <v>11</v>
      </c>
      <c r="C37" s="275">
        <v>400000</v>
      </c>
      <c r="D37" s="275">
        <f>B37*C37</f>
        <v>4400000</v>
      </c>
      <c r="E37" s="275">
        <f t="shared" ref="E37:E43" si="0">(D37-G37)*$B$33</f>
        <v>2879800</v>
      </c>
      <c r="F37" s="275">
        <f>(D37-G37)*$B$32</f>
        <v>860200</v>
      </c>
      <c r="G37" s="276">
        <f>D37*$B$30</f>
        <v>660000</v>
      </c>
      <c r="H37" s="267"/>
      <c r="I37" s="10"/>
    </row>
    <row r="38" spans="1:10" x14ac:dyDescent="0.25">
      <c r="A38" s="277" t="s">
        <v>359</v>
      </c>
      <c r="B38" s="268">
        <v>3</v>
      </c>
      <c r="C38" s="269">
        <v>640000</v>
      </c>
      <c r="D38" s="269">
        <f t="shared" ref="D38:D43" si="1">B38*C38</f>
        <v>1920000</v>
      </c>
      <c r="E38" s="269">
        <f t="shared" si="0"/>
        <v>1256640</v>
      </c>
      <c r="F38" s="269">
        <f t="shared" ref="F38:F43" si="2">(D38-G38)*$B$32</f>
        <v>375360</v>
      </c>
      <c r="G38" s="278">
        <f t="shared" ref="G38:G41" si="3">D38*$B$30</f>
        <v>288000</v>
      </c>
      <c r="H38" s="267"/>
      <c r="I38" s="10"/>
    </row>
    <row r="39" spans="1:10" x14ac:dyDescent="0.25">
      <c r="A39" s="277" t="s">
        <v>360</v>
      </c>
      <c r="B39" s="268">
        <v>4</v>
      </c>
      <c r="C39" s="269">
        <v>900000</v>
      </c>
      <c r="D39" s="269">
        <f t="shared" si="1"/>
        <v>3600000</v>
      </c>
      <c r="E39" s="269">
        <f t="shared" si="0"/>
        <v>2356200</v>
      </c>
      <c r="F39" s="269">
        <f t="shared" si="2"/>
        <v>703800</v>
      </c>
      <c r="G39" s="278">
        <f t="shared" si="3"/>
        <v>540000</v>
      </c>
      <c r="H39" s="267"/>
      <c r="I39" s="10"/>
    </row>
    <row r="40" spans="1:10" x14ac:dyDescent="0.25">
      <c r="A40" s="277" t="s">
        <v>361</v>
      </c>
      <c r="B40" s="268">
        <v>2</v>
      </c>
      <c r="C40" s="269">
        <v>675000</v>
      </c>
      <c r="D40" s="269">
        <f t="shared" si="1"/>
        <v>1350000</v>
      </c>
      <c r="E40" s="269">
        <f t="shared" si="0"/>
        <v>883575</v>
      </c>
      <c r="F40" s="269">
        <f t="shared" si="2"/>
        <v>263925</v>
      </c>
      <c r="G40" s="278">
        <f t="shared" si="3"/>
        <v>202500</v>
      </c>
      <c r="H40" s="267"/>
      <c r="I40" s="10"/>
    </row>
    <row r="41" spans="1:10" x14ac:dyDescent="0.25">
      <c r="A41" s="277" t="s">
        <v>348</v>
      </c>
      <c r="B41" s="268">
        <v>1</v>
      </c>
      <c r="C41" s="269">
        <v>2000000</v>
      </c>
      <c r="D41" s="269">
        <f t="shared" si="1"/>
        <v>2000000</v>
      </c>
      <c r="E41" s="269">
        <f t="shared" si="0"/>
        <v>1309000</v>
      </c>
      <c r="F41" s="269">
        <f t="shared" si="2"/>
        <v>391000</v>
      </c>
      <c r="G41" s="278">
        <f t="shared" si="3"/>
        <v>300000</v>
      </c>
      <c r="H41" s="267"/>
      <c r="I41" s="10"/>
    </row>
    <row r="42" spans="1:10" x14ac:dyDescent="0.25">
      <c r="A42" s="277" t="s">
        <v>362</v>
      </c>
      <c r="B42" s="268">
        <v>2</v>
      </c>
      <c r="C42" s="269">
        <v>150000</v>
      </c>
      <c r="D42" s="269">
        <f t="shared" si="1"/>
        <v>300000</v>
      </c>
      <c r="E42" s="269">
        <f t="shared" si="0"/>
        <v>161700</v>
      </c>
      <c r="F42" s="269">
        <f t="shared" si="2"/>
        <v>48300</v>
      </c>
      <c r="G42" s="278">
        <f>D42*$B$31</f>
        <v>90000</v>
      </c>
      <c r="H42" s="267"/>
      <c r="I42" s="10"/>
    </row>
    <row r="43" spans="1:10" x14ac:dyDescent="0.25">
      <c r="A43" s="277" t="s">
        <v>363</v>
      </c>
      <c r="B43" s="268">
        <v>3</v>
      </c>
      <c r="C43" s="269">
        <v>60000</v>
      </c>
      <c r="D43" s="269">
        <f t="shared" si="1"/>
        <v>180000</v>
      </c>
      <c r="E43" s="269">
        <f t="shared" si="0"/>
        <v>97020</v>
      </c>
      <c r="F43" s="269">
        <f t="shared" si="2"/>
        <v>28980</v>
      </c>
      <c r="G43" s="278">
        <f>D43*$B$31</f>
        <v>54000</v>
      </c>
      <c r="H43" s="267"/>
      <c r="I43" s="10"/>
    </row>
    <row r="44" spans="1:10" ht="15.75" thickBot="1" x14ac:dyDescent="0.3">
      <c r="A44" s="279" t="s">
        <v>198</v>
      </c>
      <c r="B44" s="280">
        <f>SUM(B37:B43)</f>
        <v>26</v>
      </c>
      <c r="C44" s="280"/>
      <c r="D44" s="281">
        <f>SUM(D37:D43)</f>
        <v>13750000</v>
      </c>
      <c r="E44" s="282">
        <f>SUM(E37:E43)</f>
        <v>8943935</v>
      </c>
      <c r="F44" s="282">
        <f>SUM(F37:F43)</f>
        <v>2671565</v>
      </c>
      <c r="G44" s="283">
        <f>SUM(G37:G43)</f>
        <v>2134500</v>
      </c>
      <c r="H44" s="267"/>
      <c r="I44" s="10"/>
      <c r="J44" s="63"/>
    </row>
    <row r="45" spans="1:10" ht="15.75" thickTop="1" x14ac:dyDescent="0.25">
      <c r="C45" s="264"/>
      <c r="D45" s="264"/>
      <c r="E45" s="264"/>
      <c r="F45" s="264"/>
      <c r="G45" s="264"/>
      <c r="H45" s="264"/>
      <c r="J45" s="63"/>
    </row>
    <row r="46" spans="1:10" x14ac:dyDescent="0.25">
      <c r="A46" s="264" t="s">
        <v>485</v>
      </c>
      <c r="B46" s="265">
        <f>Summary!C11</f>
        <v>10369695</v>
      </c>
      <c r="C46" s="15">
        <f>B46/B47</f>
        <v>0.7463866302891452</v>
      </c>
      <c r="D46" s="265"/>
      <c r="E46" s="264"/>
      <c r="F46" s="264"/>
      <c r="G46" s="264"/>
      <c r="H46" s="264"/>
    </row>
    <row r="47" spans="1:10" x14ac:dyDescent="0.25">
      <c r="A47" s="263" t="s">
        <v>356</v>
      </c>
      <c r="B47" s="58">
        <v>13893195</v>
      </c>
      <c r="C47" s="15">
        <f>B47/B47</f>
        <v>1</v>
      </c>
    </row>
    <row r="49" spans="1:16" ht="15.75" thickBot="1" x14ac:dyDescent="0.3">
      <c r="A49" s="142" t="s">
        <v>112</v>
      </c>
    </row>
    <row r="50" spans="1:16" ht="91.5" thickTop="1" thickBot="1" x14ac:dyDescent="0.3">
      <c r="A50" s="19" t="s">
        <v>102</v>
      </c>
      <c r="B50" s="20" t="s">
        <v>0</v>
      </c>
      <c r="C50" s="9" t="s">
        <v>105</v>
      </c>
      <c r="D50" s="9" t="s">
        <v>109</v>
      </c>
      <c r="E50" s="9" t="s">
        <v>106</v>
      </c>
      <c r="F50" s="9" t="s">
        <v>504</v>
      </c>
      <c r="G50" s="9" t="s">
        <v>365</v>
      </c>
      <c r="H50" s="47" t="s">
        <v>395</v>
      </c>
      <c r="I50" s="47" t="s">
        <v>396</v>
      </c>
      <c r="J50" s="47" t="s">
        <v>121</v>
      </c>
      <c r="K50" s="47" t="s">
        <v>92</v>
      </c>
      <c r="L50" s="47" t="s">
        <v>119</v>
      </c>
      <c r="M50" s="31" t="s">
        <v>402</v>
      </c>
      <c r="N50" s="63"/>
    </row>
    <row r="51" spans="1:16" ht="15.75" thickTop="1" x14ac:dyDescent="0.25">
      <c r="A51" s="70" t="s">
        <v>100</v>
      </c>
      <c r="B51" s="22">
        <f t="shared" ref="B51:B57" si="4">B37</f>
        <v>11</v>
      </c>
      <c r="C51" s="71">
        <v>15000</v>
      </c>
      <c r="D51" s="71" t="s">
        <v>110</v>
      </c>
      <c r="E51" s="22" t="s">
        <v>107</v>
      </c>
      <c r="F51" s="22">
        <v>7</v>
      </c>
      <c r="G51" s="22">
        <v>22.5</v>
      </c>
      <c r="H51" s="72">
        <v>442.5</v>
      </c>
      <c r="I51" s="72">
        <v>151.69999999999999</v>
      </c>
      <c r="J51" s="72">
        <f>((H51-I51)/1.10231)</f>
        <v>263.8096361277681</v>
      </c>
      <c r="K51" s="309">
        <f>((H51/1.10231)*4)-(SUM('Grid Projections'!G15:G18))</f>
        <v>1234.1028819638982</v>
      </c>
      <c r="L51" s="309">
        <f>((H51/1.10231)*15)-(SUM('Grid Projections'!G15:G29))</f>
        <v>4965.5868676677565</v>
      </c>
      <c r="M51" s="303">
        <v>15</v>
      </c>
      <c r="N51" s="63"/>
      <c r="P51" s="2"/>
    </row>
    <row r="52" spans="1:16" ht="17.25" x14ac:dyDescent="0.25">
      <c r="A52" s="277" t="s">
        <v>491</v>
      </c>
      <c r="B52" s="286">
        <f t="shared" si="4"/>
        <v>3</v>
      </c>
      <c r="C52" s="287">
        <f>C94</f>
        <v>1225</v>
      </c>
      <c r="D52" s="53" t="s">
        <v>110</v>
      </c>
      <c r="E52" s="11" t="s">
        <v>107</v>
      </c>
      <c r="F52" s="286">
        <v>1.7</v>
      </c>
      <c r="G52" s="286">
        <v>6.2</v>
      </c>
      <c r="H52" s="288">
        <v>29.8</v>
      </c>
      <c r="I52" s="288">
        <v>9</v>
      </c>
      <c r="J52" s="74">
        <f>(H52-I52)/1.10231</f>
        <v>18.869465032522616</v>
      </c>
      <c r="K52" s="310">
        <f>((H52/1.10231)*4)-(SUM('Grid Projections'!I15:I18))</f>
        <v>86.089455628280518</v>
      </c>
      <c r="L52" s="311">
        <f>((H52/1.10231)*M52)-(SUM('Grid Projections'!I15:I24))</f>
        <v>225.5902086000772</v>
      </c>
      <c r="M52" s="304">
        <v>10</v>
      </c>
      <c r="N52" s="63"/>
      <c r="P52" s="2"/>
    </row>
    <row r="53" spans="1:16" x14ac:dyDescent="0.25">
      <c r="A53" s="73" t="s">
        <v>101</v>
      </c>
      <c r="B53" s="286">
        <f t="shared" si="4"/>
        <v>4</v>
      </c>
      <c r="C53" s="53">
        <v>45000</v>
      </c>
      <c r="D53" s="53" t="s">
        <v>110</v>
      </c>
      <c r="E53" s="11" t="s">
        <v>107</v>
      </c>
      <c r="F53" s="11">
        <v>4.4000000000000004</v>
      </c>
      <c r="G53" s="11">
        <v>11.2</v>
      </c>
      <c r="H53" s="74">
        <v>563.20000000000005</v>
      </c>
      <c r="I53" s="74">
        <v>243.9</v>
      </c>
      <c r="J53" s="74">
        <f>(H53-I53)/1.10231</f>
        <v>289.66443196559959</v>
      </c>
      <c r="K53" s="312">
        <f>((H53/1.10231)*4)-(SUM('Grid Projections'!K15:K18))</f>
        <v>1446.2319658633487</v>
      </c>
      <c r="L53" s="313">
        <f>((H53/1.10231)*M53)-(SUM('Grid Projections'!K15:K26))</f>
        <v>4703.2787151223383</v>
      </c>
      <c r="M53" s="304">
        <v>12</v>
      </c>
      <c r="N53" s="63"/>
    </row>
    <row r="54" spans="1:16" x14ac:dyDescent="0.25">
      <c r="A54" s="52" t="s">
        <v>111</v>
      </c>
      <c r="B54" s="286">
        <f t="shared" si="4"/>
        <v>2</v>
      </c>
      <c r="C54" s="53">
        <v>23400</v>
      </c>
      <c r="D54" s="53" t="s">
        <v>110</v>
      </c>
      <c r="E54" s="11" t="s">
        <v>107</v>
      </c>
      <c r="F54" s="11">
        <v>1.7</v>
      </c>
      <c r="G54" s="11">
        <v>6.2</v>
      </c>
      <c r="H54" s="28">
        <v>379</v>
      </c>
      <c r="I54" s="28">
        <v>114.5</v>
      </c>
      <c r="J54" s="28">
        <f>(H54-I54)/1.10231</f>
        <v>239.95064909145341</v>
      </c>
      <c r="K54" s="312">
        <f>((H54/1.10231)*4)-(SUM('Grid Projections'!M15:M18))</f>
        <v>1094.8056724261205</v>
      </c>
      <c r="L54" s="313">
        <f>((H54/1.10231)*M54)-(SUM('Grid Projections'!M15:M26))</f>
        <v>4487.0424085766936</v>
      </c>
      <c r="M54" s="304">
        <v>15</v>
      </c>
      <c r="N54" s="63"/>
    </row>
    <row r="55" spans="1:16" ht="47.25" x14ac:dyDescent="0.25">
      <c r="A55" s="52" t="s">
        <v>493</v>
      </c>
      <c r="B55" s="286">
        <f t="shared" si="4"/>
        <v>1</v>
      </c>
      <c r="C55" s="67" t="s">
        <v>113</v>
      </c>
      <c r="D55" s="53" t="s">
        <v>110</v>
      </c>
      <c r="E55" s="90" t="s">
        <v>397</v>
      </c>
      <c r="F55" s="68" t="s">
        <v>113</v>
      </c>
      <c r="G55" s="68" t="s">
        <v>113</v>
      </c>
      <c r="H55" s="28">
        <f>I55*1.2</f>
        <v>1215</v>
      </c>
      <c r="I55" s="69">
        <v>1012.5</v>
      </c>
      <c r="J55" s="28">
        <f>(H55-I55)/1.10231</f>
        <v>183.7051283214341</v>
      </c>
      <c r="K55" s="314">
        <f>J55*4</f>
        <v>734.82051328573641</v>
      </c>
      <c r="L55" s="315">
        <f>J55*M55</f>
        <v>3674.1025664286822</v>
      </c>
      <c r="M55" s="304">
        <v>20</v>
      </c>
      <c r="N55" s="63"/>
    </row>
    <row r="56" spans="1:16" ht="17.25" x14ac:dyDescent="0.25">
      <c r="A56" s="277" t="s">
        <v>494</v>
      </c>
      <c r="B56" s="286">
        <f t="shared" si="4"/>
        <v>2</v>
      </c>
      <c r="C56" s="299" t="s">
        <v>497</v>
      </c>
      <c r="D56" s="53" t="s">
        <v>110</v>
      </c>
      <c r="E56" s="11" t="s">
        <v>107</v>
      </c>
      <c r="F56" s="68" t="s">
        <v>113</v>
      </c>
      <c r="G56" s="68" t="s">
        <v>113</v>
      </c>
      <c r="H56" s="28">
        <f>10762149.6303507/1000000*B56</f>
        <v>21.524299260701401</v>
      </c>
      <c r="I56" s="69">
        <f>H56*0.5</f>
        <v>10.7621496303507</v>
      </c>
      <c r="J56" s="69">
        <f>H56-I56</f>
        <v>10.7621496303507</v>
      </c>
      <c r="K56" s="314">
        <f>((H56/1.10231)*4)-(SUM('Grid Projections'!O15:O18))</f>
        <v>51.74236460848612</v>
      </c>
      <c r="L56" s="315">
        <f>((H56/1.10231)*M56)-(SUM('Grid Projections'!O15:O29))</f>
        <v>217.99160849019779</v>
      </c>
      <c r="M56" s="304">
        <v>15</v>
      </c>
      <c r="N56" s="63"/>
    </row>
    <row r="57" spans="1:16" ht="18" thickBot="1" x14ac:dyDescent="0.3">
      <c r="A57" s="305" t="s">
        <v>495</v>
      </c>
      <c r="B57" s="306">
        <f t="shared" si="4"/>
        <v>3</v>
      </c>
      <c r="C57" s="307" t="s">
        <v>498</v>
      </c>
      <c r="D57" s="156" t="s">
        <v>110</v>
      </c>
      <c r="E57" s="13" t="s">
        <v>107</v>
      </c>
      <c r="F57" s="220" t="s">
        <v>113</v>
      </c>
      <c r="G57" s="220" t="s">
        <v>113</v>
      </c>
      <c r="H57" s="33">
        <f>9008373/1000000*B57</f>
        <v>27.025119000000004</v>
      </c>
      <c r="I57" s="308">
        <f>H57*0.5</f>
        <v>13.512559500000002</v>
      </c>
      <c r="J57" s="308">
        <f>H57-I57</f>
        <v>13.512559500000002</v>
      </c>
      <c r="K57" s="316">
        <f>((H57/1.10231)*4)-(SUM('Grid Projections'!Q15:Q18))</f>
        <v>64.965811149020368</v>
      </c>
      <c r="L57" s="317">
        <f>((H57/1.10231)*M57)-(SUM('Grid Projections'!Q15:Q29))</f>
        <v>273.70225107421362</v>
      </c>
      <c r="M57" s="108">
        <v>15</v>
      </c>
      <c r="N57" s="63"/>
    </row>
    <row r="58" spans="1:16" ht="15.75" thickTop="1" x14ac:dyDescent="0.25">
      <c r="A58" s="29" t="s">
        <v>376</v>
      </c>
      <c r="B58" s="10"/>
      <c r="C58" s="48"/>
      <c r="D58" s="48"/>
      <c r="E58" s="10"/>
      <c r="F58" s="10"/>
      <c r="G58" s="49"/>
      <c r="H58" s="49"/>
      <c r="I58" s="49"/>
      <c r="K58" s="63"/>
      <c r="M58" s="63"/>
    </row>
    <row r="59" spans="1:16" x14ac:dyDescent="0.25">
      <c r="A59" s="29" t="s">
        <v>377</v>
      </c>
      <c r="B59" s="10"/>
      <c r="C59" s="48"/>
      <c r="D59" s="48"/>
      <c r="E59" s="10"/>
      <c r="F59" s="10"/>
      <c r="G59" s="49"/>
      <c r="H59" s="49"/>
      <c r="I59" s="49"/>
      <c r="K59" s="63"/>
      <c r="M59" s="63"/>
    </row>
    <row r="60" spans="1:16" x14ac:dyDescent="0.25">
      <c r="A60" t="s">
        <v>492</v>
      </c>
      <c r="B60" s="10"/>
      <c r="C60" s="48"/>
      <c r="D60" s="48"/>
      <c r="E60" s="10"/>
      <c r="F60" s="10"/>
      <c r="G60" s="49"/>
      <c r="H60" s="49"/>
      <c r="I60" s="49"/>
      <c r="K60" s="63"/>
      <c r="M60" s="63"/>
    </row>
    <row r="61" spans="1:16" x14ac:dyDescent="0.25">
      <c r="A61" t="s">
        <v>496</v>
      </c>
      <c r="B61" s="10"/>
      <c r="C61" s="48"/>
      <c r="D61" s="48"/>
      <c r="E61" s="10"/>
      <c r="F61" s="10"/>
      <c r="G61" s="49"/>
      <c r="H61" s="49"/>
      <c r="I61" s="49"/>
      <c r="K61" s="63"/>
      <c r="M61" s="63"/>
    </row>
    <row r="62" spans="1:16" x14ac:dyDescent="0.25">
      <c r="A62" t="s">
        <v>394</v>
      </c>
      <c r="B62" s="10"/>
      <c r="C62" s="48"/>
      <c r="D62" s="48"/>
      <c r="E62" s="10"/>
      <c r="F62" s="10"/>
      <c r="G62" s="49"/>
      <c r="H62" s="49"/>
      <c r="I62" s="49"/>
      <c r="K62" s="63"/>
      <c r="M62" s="63"/>
    </row>
    <row r="63" spans="1:16" x14ac:dyDescent="0.25">
      <c r="A63" t="s">
        <v>499</v>
      </c>
      <c r="B63" s="10"/>
      <c r="C63" s="48"/>
      <c r="D63" s="48"/>
      <c r="E63" s="10"/>
      <c r="F63" s="10"/>
      <c r="G63" s="49"/>
      <c r="H63" s="49"/>
      <c r="I63" s="49"/>
      <c r="K63" s="63"/>
      <c r="M63" s="63"/>
    </row>
    <row r="64" spans="1:16" x14ac:dyDescent="0.25">
      <c r="A64" t="s">
        <v>500</v>
      </c>
      <c r="B64" s="10"/>
      <c r="C64" s="48"/>
      <c r="D64" s="48"/>
      <c r="E64" s="10"/>
      <c r="F64" s="10"/>
      <c r="G64" s="49"/>
      <c r="H64" s="49"/>
      <c r="I64" s="49"/>
      <c r="K64" s="63"/>
      <c r="M64" s="63"/>
    </row>
    <row r="65" spans="1:14" x14ac:dyDescent="0.25">
      <c r="A65" t="s">
        <v>501</v>
      </c>
      <c r="B65" s="10"/>
      <c r="C65" s="48"/>
      <c r="D65" s="48"/>
      <c r="E65" s="10"/>
      <c r="F65" s="10"/>
      <c r="G65" s="49"/>
      <c r="H65" s="49"/>
      <c r="I65" s="49"/>
      <c r="K65" s="63"/>
      <c r="M65" s="63"/>
    </row>
    <row r="66" spans="1:14" x14ac:dyDescent="0.25">
      <c r="A66" s="356" t="s">
        <v>502</v>
      </c>
      <c r="K66" s="63"/>
      <c r="M66" s="63"/>
    </row>
    <row r="67" spans="1:14" x14ac:dyDescent="0.25">
      <c r="A67" s="356" t="s">
        <v>503</v>
      </c>
      <c r="K67" s="63"/>
      <c r="M67" s="63"/>
    </row>
    <row r="68" spans="1:14" x14ac:dyDescent="0.25">
      <c r="K68" s="63"/>
      <c r="M68" s="63"/>
    </row>
    <row r="69" spans="1:14" x14ac:dyDescent="0.25">
      <c r="A69" s="142" t="s">
        <v>366</v>
      </c>
    </row>
    <row r="70" spans="1:14" x14ac:dyDescent="0.25">
      <c r="A70" s="419" t="s">
        <v>102</v>
      </c>
      <c r="B70" s="419" t="s">
        <v>0</v>
      </c>
      <c r="C70" s="419" t="s">
        <v>373</v>
      </c>
      <c r="D70" s="419"/>
      <c r="E70" s="419"/>
      <c r="F70" s="419"/>
      <c r="G70" s="419"/>
      <c r="H70" s="419"/>
      <c r="I70" s="298"/>
      <c r="J70" s="298"/>
      <c r="K70" s="298"/>
      <c r="L70" s="298"/>
      <c r="M70" s="298"/>
      <c r="N70" s="298"/>
    </row>
    <row r="71" spans="1:14" ht="46.9" customHeight="1" x14ac:dyDescent="0.25">
      <c r="A71" s="419"/>
      <c r="B71" s="419"/>
      <c r="C71" s="90" t="s">
        <v>367</v>
      </c>
      <c r="D71" s="90" t="s">
        <v>368</v>
      </c>
      <c r="E71" s="90" t="s">
        <v>369</v>
      </c>
      <c r="F71" s="90" t="s">
        <v>370</v>
      </c>
      <c r="G71" s="291" t="s">
        <v>371</v>
      </c>
      <c r="H71" s="291" t="s">
        <v>372</v>
      </c>
      <c r="I71" s="298"/>
      <c r="J71" s="298"/>
      <c r="K71" s="298"/>
      <c r="L71" s="298"/>
      <c r="M71" s="298"/>
      <c r="N71" s="298"/>
    </row>
    <row r="72" spans="1:14" ht="18" customHeight="1" x14ac:dyDescent="0.25">
      <c r="A72" s="285" t="s">
        <v>100</v>
      </c>
      <c r="B72" s="286">
        <f>B51</f>
        <v>11</v>
      </c>
      <c r="C72" s="27">
        <f>51.49-64.72</f>
        <v>-13.229999999999997</v>
      </c>
      <c r="D72" s="27">
        <f>19.16-22.09</f>
        <v>-2.9299999999999997</v>
      </c>
      <c r="E72" s="27">
        <f>52.86-178.56</f>
        <v>-125.7</v>
      </c>
      <c r="F72" s="27">
        <f>775.78-215.45</f>
        <v>560.32999999999993</v>
      </c>
      <c r="G72" s="27">
        <f>465.83-125.53</f>
        <v>340.29999999999995</v>
      </c>
      <c r="H72" s="27">
        <f>105.07-34.61</f>
        <v>70.459999999999994</v>
      </c>
      <c r="I72" s="298"/>
      <c r="J72" s="298"/>
      <c r="K72" s="298"/>
      <c r="L72" s="298"/>
      <c r="M72" s="298"/>
      <c r="N72" s="298"/>
    </row>
    <row r="73" spans="1:14" ht="15" customHeight="1" x14ac:dyDescent="0.25">
      <c r="A73" s="277" t="s">
        <v>359</v>
      </c>
      <c r="B73" s="286">
        <f>B52</f>
        <v>3</v>
      </c>
      <c r="C73" s="27">
        <f>1.72-2.66</f>
        <v>-0.94000000000000017</v>
      </c>
      <c r="D73" s="27">
        <f>0.86-1.15</f>
        <v>-0.28999999999999992</v>
      </c>
      <c r="E73" s="27">
        <f>3.55-10.58</f>
        <v>-7.03</v>
      </c>
      <c r="F73" s="27">
        <f>35.03-12.77</f>
        <v>22.26</v>
      </c>
      <c r="G73" s="27">
        <f>21.22-7.44</f>
        <v>13.779999999999998</v>
      </c>
      <c r="H73" s="27">
        <f>5.35-2.05</f>
        <v>3.3</v>
      </c>
      <c r="I73" s="298"/>
      <c r="J73" s="298"/>
      <c r="K73" s="298"/>
      <c r="L73" s="298"/>
      <c r="M73" s="298"/>
      <c r="N73" s="298"/>
    </row>
    <row r="74" spans="1:14" x14ac:dyDescent="0.25">
      <c r="A74" s="73" t="s">
        <v>101</v>
      </c>
      <c r="B74" s="286">
        <f t="shared" ref="B74:B78" si="5">B53</f>
        <v>4</v>
      </c>
      <c r="C74" s="27">
        <f>47.18-79.17</f>
        <v>-31.990000000000002</v>
      </c>
      <c r="D74" s="27">
        <f>19.03-32.29</f>
        <v>-13.259999999999998</v>
      </c>
      <c r="E74" s="27">
        <f>67.27-286.97</f>
        <v>-219.70000000000005</v>
      </c>
      <c r="F74" s="27">
        <f>1162.17-346.26</f>
        <v>815.91000000000008</v>
      </c>
      <c r="G74" s="27">
        <f>785.03-201.75</f>
        <v>583.28</v>
      </c>
      <c r="H74" s="27">
        <f>123.33-55.62</f>
        <v>67.710000000000008</v>
      </c>
      <c r="I74" s="298"/>
      <c r="J74" s="298"/>
      <c r="K74" s="298"/>
      <c r="L74" s="298"/>
      <c r="M74" s="298"/>
      <c r="N74" s="298"/>
    </row>
    <row r="75" spans="1:14" x14ac:dyDescent="0.25">
      <c r="A75" s="52" t="s">
        <v>111</v>
      </c>
      <c r="B75" s="286">
        <f t="shared" si="5"/>
        <v>2</v>
      </c>
      <c r="C75" s="27">
        <f>21.86-33.81</f>
        <v>-11.950000000000003</v>
      </c>
      <c r="D75" s="27">
        <f>11-14.65</f>
        <v>-3.6500000000000004</v>
      </c>
      <c r="E75" s="27">
        <f>45.27-134.78</f>
        <v>-89.509999999999991</v>
      </c>
      <c r="F75" s="27">
        <f>446.04-162.63</f>
        <v>283.41000000000003</v>
      </c>
      <c r="G75" s="27">
        <f>270.22-94.76</f>
        <v>175.46000000000004</v>
      </c>
      <c r="H75" s="27">
        <f>68.11-26.12</f>
        <v>41.989999999999995</v>
      </c>
      <c r="I75" s="159"/>
      <c r="J75" s="160"/>
      <c r="K75" s="159"/>
      <c r="L75" s="159"/>
      <c r="M75" s="159"/>
      <c r="N75" s="159"/>
    </row>
    <row r="76" spans="1:14" ht="30" x14ac:dyDescent="0.25">
      <c r="A76" s="54" t="s">
        <v>128</v>
      </c>
      <c r="B76" s="286">
        <f t="shared" si="5"/>
        <v>1</v>
      </c>
      <c r="C76" s="18">
        <f>D76/0.74</f>
        <v>1178.3783783783783</v>
      </c>
      <c r="D76" s="18">
        <f>0.436*2000</f>
        <v>872</v>
      </c>
      <c r="E76" s="210" t="s">
        <v>113</v>
      </c>
      <c r="F76" s="18">
        <f>15.269*2000</f>
        <v>30538</v>
      </c>
      <c r="G76" s="27">
        <v>0</v>
      </c>
      <c r="H76" s="209">
        <f>1.127*2000</f>
        <v>2254</v>
      </c>
      <c r="I76" s="10"/>
      <c r="J76" s="10"/>
      <c r="K76" s="10"/>
      <c r="L76" s="10"/>
      <c r="M76" s="10"/>
      <c r="N76" s="10"/>
    </row>
    <row r="77" spans="1:14" x14ac:dyDescent="0.25">
      <c r="A77" s="277" t="s">
        <v>362</v>
      </c>
      <c r="B77" s="286">
        <f t="shared" si="5"/>
        <v>2</v>
      </c>
      <c r="C77" s="210" t="s">
        <v>113</v>
      </c>
      <c r="D77" s="210" t="s">
        <v>113</v>
      </c>
      <c r="E77" s="210" t="s">
        <v>113</v>
      </c>
      <c r="F77" s="210" t="s">
        <v>113</v>
      </c>
      <c r="G77" s="210" t="s">
        <v>113</v>
      </c>
      <c r="H77" s="210" t="s">
        <v>113</v>
      </c>
      <c r="I77" s="10"/>
      <c r="J77" s="10"/>
      <c r="K77" s="10"/>
      <c r="L77" s="10"/>
      <c r="M77" s="10"/>
      <c r="N77" s="10"/>
    </row>
    <row r="78" spans="1:14" x14ac:dyDescent="0.25">
      <c r="A78" s="277" t="s">
        <v>363</v>
      </c>
      <c r="B78" s="286">
        <f t="shared" si="5"/>
        <v>3</v>
      </c>
      <c r="C78" s="210" t="s">
        <v>113</v>
      </c>
      <c r="D78" s="210" t="s">
        <v>113</v>
      </c>
      <c r="E78" s="210" t="s">
        <v>113</v>
      </c>
      <c r="F78" s="210" t="s">
        <v>113</v>
      </c>
      <c r="G78" s="210" t="s">
        <v>113</v>
      </c>
      <c r="H78" s="210" t="s">
        <v>113</v>
      </c>
      <c r="I78" s="10"/>
      <c r="J78" s="10"/>
      <c r="K78" s="10"/>
      <c r="L78" s="10"/>
      <c r="M78" s="10"/>
      <c r="N78" s="10"/>
    </row>
    <row r="79" spans="1:14" ht="18" x14ac:dyDescent="0.35">
      <c r="A79" t="s">
        <v>389</v>
      </c>
    </row>
    <row r="80" spans="1:14" x14ac:dyDescent="0.25">
      <c r="A80" t="s">
        <v>390</v>
      </c>
    </row>
    <row r="81" spans="1:4" x14ac:dyDescent="0.25">
      <c r="A81" t="s">
        <v>398</v>
      </c>
    </row>
    <row r="83" spans="1:4" x14ac:dyDescent="0.25">
      <c r="A83" s="142" t="s">
        <v>391</v>
      </c>
    </row>
    <row r="85" spans="1:4" x14ac:dyDescent="0.25">
      <c r="A85" s="6" t="s">
        <v>378</v>
      </c>
    </row>
    <row r="86" spans="1:4" x14ac:dyDescent="0.25">
      <c r="A86" t="s">
        <v>379</v>
      </c>
      <c r="C86" s="97">
        <v>23400</v>
      </c>
      <c r="D86" t="s">
        <v>380</v>
      </c>
    </row>
    <row r="87" spans="1:4" x14ac:dyDescent="0.25">
      <c r="A87" t="s">
        <v>381</v>
      </c>
      <c r="C87">
        <v>5</v>
      </c>
      <c r="D87" t="s">
        <v>382</v>
      </c>
    </row>
    <row r="88" spans="1:4" x14ac:dyDescent="0.25">
      <c r="A88" s="97"/>
      <c r="C88">
        <v>52</v>
      </c>
      <c r="D88" t="s">
        <v>383</v>
      </c>
    </row>
    <row r="89" spans="1:4" x14ac:dyDescent="0.25">
      <c r="A89" s="97"/>
      <c r="C89">
        <f>C87*52</f>
        <v>260</v>
      </c>
      <c r="D89" t="s">
        <v>384</v>
      </c>
    </row>
    <row r="90" spans="1:4" x14ac:dyDescent="0.25">
      <c r="A90" s="97"/>
      <c r="C90">
        <f>C86/C89</f>
        <v>90</v>
      </c>
      <c r="D90" t="s">
        <v>385</v>
      </c>
    </row>
    <row r="91" spans="1:4" x14ac:dyDescent="0.25">
      <c r="A91" s="97" t="s">
        <v>386</v>
      </c>
      <c r="C91">
        <v>7</v>
      </c>
      <c r="D91" t="s">
        <v>388</v>
      </c>
    </row>
    <row r="92" spans="1:4" x14ac:dyDescent="0.25">
      <c r="A92" s="97"/>
      <c r="C92">
        <v>5</v>
      </c>
      <c r="D92" t="s">
        <v>382</v>
      </c>
    </row>
    <row r="93" spans="1:4" x14ac:dyDescent="0.25">
      <c r="A93" s="97"/>
      <c r="C93">
        <v>35</v>
      </c>
      <c r="D93" t="s">
        <v>387</v>
      </c>
    </row>
    <row r="94" spans="1:4" x14ac:dyDescent="0.25">
      <c r="A94" t="s">
        <v>392</v>
      </c>
      <c r="C94">
        <f>C91*C92*C93</f>
        <v>1225</v>
      </c>
      <c r="D94" t="s">
        <v>380</v>
      </c>
    </row>
  </sheetData>
  <mergeCells count="11">
    <mergeCell ref="C70:H70"/>
    <mergeCell ref="A70:A71"/>
    <mergeCell ref="B70:B71"/>
    <mergeCell ref="E14:F14"/>
    <mergeCell ref="E15:F15"/>
    <mergeCell ref="A19:D21"/>
    <mergeCell ref="A22:D22"/>
    <mergeCell ref="A14:D16"/>
    <mergeCell ref="A17:D17"/>
    <mergeCell ref="E19:J19"/>
    <mergeCell ref="A23:J23"/>
  </mergeCells>
  <hyperlinks>
    <hyperlink ref="A10" r:id="rId1" xr:uid="{E0DE24E5-45FE-48D3-AABF-78C49C5F625F}"/>
  </hyperlinks>
  <pageMargins left="0.7" right="0.7" top="0.75" bottom="0.75" header="0.3" footer="0.3"/>
  <pageSetup scale="60" orientation="landscape" r:id="rId2"/>
  <rowBreaks count="1" manualBreakCount="1">
    <brk id="48"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EB4575-4E32-41DE-B547-195C37D3B482}">
  <sheetPr>
    <tabColor theme="9" tint="0.39997558519241921"/>
  </sheetPr>
  <dimension ref="A1:O235"/>
  <sheetViews>
    <sheetView view="pageBreakPreview" topLeftCell="A58" zoomScale="60" zoomScaleNormal="100" workbookViewId="0">
      <selection activeCell="I10" sqref="I10"/>
    </sheetView>
  </sheetViews>
  <sheetFormatPr defaultRowHeight="15" x14ac:dyDescent="0.25"/>
  <cols>
    <col min="1" max="1" width="17.140625" customWidth="1"/>
    <col min="2" max="2" width="12.7109375" customWidth="1"/>
    <col min="3" max="3" width="12.140625" customWidth="1"/>
    <col min="4" max="4" width="14.5703125" customWidth="1"/>
    <col min="5" max="6" width="14.7109375" customWidth="1"/>
    <col min="7" max="7" width="19.85546875" customWidth="1"/>
    <col min="10" max="10" width="13.85546875" bestFit="1" customWidth="1"/>
    <col min="13" max="13" width="14.28515625" bestFit="1" customWidth="1"/>
    <col min="15" max="15" width="9.28515625" customWidth="1"/>
  </cols>
  <sheetData>
    <row r="1" spans="1:15" ht="15" customHeight="1" x14ac:dyDescent="0.25">
      <c r="A1" s="1" t="s">
        <v>189</v>
      </c>
      <c r="E1" s="326"/>
      <c r="F1" s="326"/>
      <c r="G1" s="326"/>
      <c r="H1" s="326"/>
      <c r="I1" s="326"/>
      <c r="J1" s="326"/>
      <c r="K1" s="326"/>
      <c r="L1" s="326"/>
      <c r="M1" s="326"/>
    </row>
    <row r="2" spans="1:15" ht="15" customHeight="1" x14ac:dyDescent="0.25">
      <c r="A2" s="1" t="s">
        <v>190</v>
      </c>
      <c r="E2" s="326"/>
      <c r="F2" s="326"/>
      <c r="G2" s="326"/>
      <c r="H2" s="326"/>
      <c r="I2" s="326"/>
      <c r="J2" s="326"/>
      <c r="K2" s="326"/>
      <c r="L2" s="326"/>
      <c r="M2" s="326"/>
      <c r="O2" s="16"/>
    </row>
    <row r="3" spans="1:15" ht="15" customHeight="1" x14ac:dyDescent="0.25">
      <c r="A3" s="1" t="s">
        <v>505</v>
      </c>
      <c r="E3" s="326"/>
      <c r="F3" s="326"/>
      <c r="G3" s="326"/>
      <c r="H3" s="326"/>
      <c r="I3" s="326"/>
      <c r="J3" s="326"/>
      <c r="K3" s="326"/>
      <c r="L3" s="326"/>
      <c r="M3" s="326"/>
      <c r="O3" s="16"/>
    </row>
    <row r="4" spans="1:15" ht="15" customHeight="1" x14ac:dyDescent="0.25">
      <c r="E4" s="326"/>
      <c r="F4" s="326"/>
      <c r="G4" s="326"/>
      <c r="H4" s="326"/>
      <c r="I4" s="326"/>
      <c r="J4" s="326"/>
      <c r="K4" s="326"/>
      <c r="L4" s="326"/>
      <c r="M4" s="326"/>
      <c r="O4" s="16"/>
    </row>
    <row r="5" spans="1:15" ht="15" customHeight="1" x14ac:dyDescent="0.25">
      <c r="A5" s="1" t="s">
        <v>1</v>
      </c>
      <c r="B5" s="1" t="s">
        <v>123</v>
      </c>
      <c r="E5" s="326"/>
      <c r="F5" s="326"/>
      <c r="G5" s="326"/>
      <c r="H5" s="326"/>
      <c r="I5" s="326"/>
      <c r="J5" s="326"/>
      <c r="K5" s="326"/>
      <c r="L5" s="326"/>
      <c r="M5" s="326"/>
      <c r="O5" s="16"/>
    </row>
    <row r="6" spans="1:15" ht="15" customHeight="1" x14ac:dyDescent="0.25">
      <c r="A6" s="1"/>
      <c r="B6" s="1"/>
      <c r="E6" s="326"/>
      <c r="F6" s="326"/>
      <c r="G6" s="326"/>
      <c r="H6" s="326"/>
      <c r="I6" s="326"/>
      <c r="J6" s="326"/>
      <c r="K6" s="326"/>
      <c r="L6" s="326"/>
      <c r="M6" s="326"/>
      <c r="O6" s="16"/>
    </row>
    <row r="7" spans="1:15" ht="15" customHeight="1" x14ac:dyDescent="0.25">
      <c r="A7" s="374" t="s">
        <v>25</v>
      </c>
      <c r="B7" s="1"/>
      <c r="E7" s="326"/>
      <c r="F7" s="326"/>
      <c r="G7" s="326"/>
      <c r="H7" s="326"/>
      <c r="I7" s="326"/>
      <c r="J7" s="326"/>
      <c r="K7" s="326"/>
      <c r="L7" s="326"/>
      <c r="M7" s="326"/>
      <c r="O7" s="16"/>
    </row>
    <row r="8" spans="1:15" ht="15" customHeight="1" x14ac:dyDescent="0.25">
      <c r="A8" s="188" t="s">
        <v>474</v>
      </c>
      <c r="B8" s="1"/>
      <c r="E8" s="326"/>
      <c r="F8" s="326"/>
      <c r="G8" s="326"/>
      <c r="H8" s="326"/>
      <c r="I8" s="326"/>
      <c r="J8" s="326"/>
      <c r="K8" s="326"/>
      <c r="L8" s="326"/>
      <c r="M8" s="326"/>
      <c r="O8" s="16"/>
    </row>
    <row r="9" spans="1:15" ht="15" customHeight="1" x14ac:dyDescent="0.25">
      <c r="A9" s="327" t="s">
        <v>408</v>
      </c>
      <c r="B9" s="1"/>
      <c r="E9" s="326"/>
      <c r="F9" s="326"/>
      <c r="G9" s="326"/>
      <c r="H9" s="326"/>
      <c r="I9" s="326"/>
      <c r="J9" s="326"/>
      <c r="K9" s="326"/>
      <c r="L9" s="326"/>
      <c r="M9" s="326"/>
      <c r="O9" s="16"/>
    </row>
    <row r="10" spans="1:15" ht="15" customHeight="1" x14ac:dyDescent="0.25">
      <c r="A10" s="327"/>
      <c r="B10" s="1"/>
      <c r="E10" s="326"/>
      <c r="F10" s="326"/>
      <c r="G10" s="326"/>
      <c r="H10" s="326"/>
      <c r="I10" s="326"/>
      <c r="J10" s="326"/>
      <c r="K10" s="326"/>
      <c r="L10" s="326"/>
      <c r="M10" s="326"/>
      <c r="O10" s="16"/>
    </row>
    <row r="11" spans="1:15" x14ac:dyDescent="0.25">
      <c r="A11" s="1"/>
      <c r="O11" s="16"/>
    </row>
    <row r="12" spans="1:15" ht="15.75" x14ac:dyDescent="0.25">
      <c r="A12" s="199" t="s">
        <v>302</v>
      </c>
      <c r="O12" s="16"/>
    </row>
    <row r="13" spans="1:15" ht="15.75" x14ac:dyDescent="0.25">
      <c r="A13" s="199"/>
      <c r="O13" s="16"/>
    </row>
    <row r="14" spans="1:15" x14ac:dyDescent="0.25">
      <c r="A14" s="421" t="s">
        <v>115</v>
      </c>
      <c r="B14" s="421"/>
      <c r="C14" s="421"/>
      <c r="D14" s="421"/>
      <c r="E14" s="421" t="s">
        <v>116</v>
      </c>
      <c r="F14" s="421"/>
      <c r="G14" s="50" t="s">
        <v>454</v>
      </c>
      <c r="O14" s="16"/>
    </row>
    <row r="15" spans="1:15" ht="18" x14ac:dyDescent="0.25">
      <c r="A15" s="421"/>
      <c r="B15" s="421"/>
      <c r="C15" s="421"/>
      <c r="D15" s="421"/>
      <c r="E15" s="421" t="s">
        <v>301</v>
      </c>
      <c r="F15" s="421"/>
      <c r="G15" s="50" t="s">
        <v>456</v>
      </c>
      <c r="O15" s="16"/>
    </row>
    <row r="16" spans="1:15" x14ac:dyDescent="0.25">
      <c r="A16" s="421"/>
      <c r="B16" s="421"/>
      <c r="C16" s="421"/>
      <c r="D16" s="421"/>
      <c r="E16" s="198" t="s">
        <v>117</v>
      </c>
      <c r="F16" s="198" t="s">
        <v>118</v>
      </c>
      <c r="G16" s="11" t="s">
        <v>455</v>
      </c>
      <c r="O16" s="16"/>
    </row>
    <row r="17" spans="1:15" ht="45.75" customHeight="1" x14ac:dyDescent="0.25">
      <c r="A17" s="422" t="s">
        <v>467</v>
      </c>
      <c r="B17" s="423"/>
      <c r="C17" s="423"/>
      <c r="D17" s="424"/>
      <c r="E17" s="62">
        <f>D86</f>
        <v>2.4263751447E-2</v>
      </c>
      <c r="F17" s="62">
        <f>E86</f>
        <v>0.15787577261699995</v>
      </c>
      <c r="G17" s="353">
        <f>Summary!C12/(E17*1000000)</f>
        <v>493.89856412668189</v>
      </c>
      <c r="O17" s="16"/>
    </row>
    <row r="18" spans="1:15" x14ac:dyDescent="0.25">
      <c r="A18" s="1"/>
      <c r="O18" s="16"/>
    </row>
    <row r="19" spans="1:15" x14ac:dyDescent="0.25">
      <c r="A19" s="419" t="s">
        <v>115</v>
      </c>
      <c r="B19" s="419" t="s">
        <v>339</v>
      </c>
      <c r="C19" s="419"/>
      <c r="D19" s="419"/>
      <c r="E19" s="419"/>
      <c r="F19" s="419"/>
      <c r="G19" s="419"/>
      <c r="O19" s="16"/>
    </row>
    <row r="20" spans="1:15" ht="18" x14ac:dyDescent="0.25">
      <c r="A20" s="419"/>
      <c r="B20" s="90" t="s">
        <v>327</v>
      </c>
      <c r="C20" s="90" t="s">
        <v>322</v>
      </c>
      <c r="D20" s="90" t="s">
        <v>470</v>
      </c>
      <c r="E20" s="90" t="s">
        <v>16</v>
      </c>
      <c r="F20" s="291" t="s">
        <v>229</v>
      </c>
      <c r="G20" s="291" t="s">
        <v>23</v>
      </c>
      <c r="O20" s="16"/>
    </row>
    <row r="21" spans="1:15" x14ac:dyDescent="0.25">
      <c r="A21" s="419"/>
      <c r="B21" s="252" t="s">
        <v>340</v>
      </c>
      <c r="C21" s="252" t="s">
        <v>340</v>
      </c>
      <c r="D21" s="252" t="s">
        <v>340</v>
      </c>
      <c r="E21" s="252" t="s">
        <v>340</v>
      </c>
      <c r="F21" s="252" t="s">
        <v>340</v>
      </c>
      <c r="G21" s="252" t="s">
        <v>340</v>
      </c>
      <c r="O21" s="16"/>
    </row>
    <row r="22" spans="1:15" x14ac:dyDescent="0.25">
      <c r="A22" s="7" t="s">
        <v>471</v>
      </c>
      <c r="B22" s="91">
        <f>B92*3/2000</f>
        <v>1.8</v>
      </c>
      <c r="C22" s="365">
        <f t="shared" ref="C22:G22" si="0">C92*3/2000</f>
        <v>1.53</v>
      </c>
      <c r="D22" s="365">
        <f t="shared" si="0"/>
        <v>8.85</v>
      </c>
      <c r="E22" s="365">
        <f t="shared" si="0"/>
        <v>14.91</v>
      </c>
      <c r="F22" s="76">
        <f t="shared" si="0"/>
        <v>3.1428571428571424E-2</v>
      </c>
      <c r="G22" s="91">
        <f t="shared" si="0"/>
        <v>0.48</v>
      </c>
      <c r="O22" s="16"/>
    </row>
    <row r="23" spans="1:15" ht="32.25" customHeight="1" x14ac:dyDescent="0.25">
      <c r="A23" s="430" t="s">
        <v>468</v>
      </c>
      <c r="B23" s="430"/>
      <c r="C23" s="430"/>
      <c r="D23" s="430"/>
      <c r="E23" s="430"/>
      <c r="F23" s="430"/>
      <c r="G23" s="430"/>
      <c r="H23" s="430"/>
      <c r="O23" s="16"/>
    </row>
    <row r="24" spans="1:15" x14ac:dyDescent="0.25">
      <c r="A24" s="430" t="s">
        <v>466</v>
      </c>
      <c r="B24" s="430"/>
      <c r="C24" s="430"/>
      <c r="D24" s="430"/>
      <c r="E24" s="430"/>
      <c r="F24" s="430"/>
      <c r="G24" s="430"/>
      <c r="H24" s="430"/>
      <c r="O24" s="16"/>
    </row>
    <row r="25" spans="1:15" x14ac:dyDescent="0.25">
      <c r="A25" s="430" t="s">
        <v>473</v>
      </c>
      <c r="B25" s="430"/>
      <c r="C25" s="430"/>
      <c r="D25" s="430"/>
      <c r="E25" s="430"/>
      <c r="F25" s="430"/>
      <c r="G25" s="430"/>
      <c r="H25" s="430"/>
      <c r="O25" s="16"/>
    </row>
    <row r="26" spans="1:15" x14ac:dyDescent="0.25">
      <c r="A26" s="92"/>
      <c r="B26" s="92"/>
      <c r="C26" s="92"/>
      <c r="D26" s="92"/>
      <c r="E26" s="92"/>
      <c r="F26" s="92"/>
      <c r="G26" s="92"/>
      <c r="H26" s="92"/>
      <c r="I26" s="92"/>
      <c r="J26" s="92"/>
    </row>
    <row r="27" spans="1:15" x14ac:dyDescent="0.25">
      <c r="A27" s="329" t="s">
        <v>405</v>
      </c>
      <c r="B27" s="92"/>
      <c r="C27" s="92"/>
      <c r="D27" s="92"/>
      <c r="E27" s="92"/>
      <c r="F27" s="92"/>
      <c r="G27" s="92"/>
      <c r="H27" s="92"/>
      <c r="I27" s="92"/>
      <c r="J27" s="92"/>
    </row>
    <row r="28" spans="1:15" ht="7.5" customHeight="1" x14ac:dyDescent="0.25">
      <c r="A28" s="92"/>
      <c r="B28" s="92"/>
      <c r="C28" s="92"/>
      <c r="D28" s="92"/>
      <c r="E28" s="92"/>
      <c r="F28" s="92"/>
      <c r="G28" s="92"/>
      <c r="H28" s="92"/>
      <c r="I28" s="92"/>
      <c r="J28" s="92"/>
    </row>
    <row r="29" spans="1:15" x14ac:dyDescent="0.25">
      <c r="A29" s="328" t="s">
        <v>412</v>
      </c>
      <c r="E29" s="92"/>
      <c r="F29" s="92"/>
      <c r="G29" s="92"/>
      <c r="H29" s="92"/>
      <c r="I29" s="92"/>
      <c r="J29" s="92"/>
    </row>
    <row r="30" spans="1:15" x14ac:dyDescent="0.25">
      <c r="A30" s="327" t="s">
        <v>406</v>
      </c>
      <c r="E30" s="92"/>
      <c r="F30" s="92"/>
      <c r="G30" s="92"/>
      <c r="H30" s="92"/>
      <c r="I30" s="92"/>
      <c r="J30" s="92"/>
    </row>
    <row r="31" spans="1:15" x14ac:dyDescent="0.25">
      <c r="A31" s="327" t="s">
        <v>407</v>
      </c>
      <c r="E31" s="92"/>
      <c r="F31" s="92"/>
      <c r="G31" s="92"/>
      <c r="H31" s="92"/>
      <c r="I31" s="92"/>
      <c r="J31" s="92"/>
    </row>
    <row r="32" spans="1:15" x14ac:dyDescent="0.25">
      <c r="A32" s="327" t="s">
        <v>408</v>
      </c>
      <c r="E32" s="92"/>
      <c r="F32" s="92"/>
      <c r="G32" s="92"/>
      <c r="H32" s="92"/>
      <c r="I32" s="92"/>
      <c r="J32" s="92"/>
    </row>
    <row r="33" spans="1:11" x14ac:dyDescent="0.25">
      <c r="A33" s="327"/>
      <c r="E33" s="92"/>
      <c r="F33" s="92"/>
      <c r="G33" s="92"/>
      <c r="H33" s="92"/>
      <c r="I33" s="92"/>
      <c r="J33" s="92"/>
    </row>
    <row r="34" spans="1:11" x14ac:dyDescent="0.25">
      <c r="A34" s="334" t="s">
        <v>403</v>
      </c>
      <c r="B34" s="330"/>
      <c r="D34" s="92"/>
      <c r="E34" s="92"/>
      <c r="F34" s="92"/>
      <c r="G34" s="92"/>
      <c r="H34" s="92"/>
      <c r="I34" s="92"/>
      <c r="J34" s="355"/>
      <c r="K34" s="356"/>
    </row>
    <row r="35" spans="1:11" x14ac:dyDescent="0.25">
      <c r="A35" s="92" t="s">
        <v>404</v>
      </c>
      <c r="B35" s="343">
        <v>187</v>
      </c>
      <c r="C35" s="92" t="s">
        <v>409</v>
      </c>
      <c r="D35" s="327" t="s">
        <v>410</v>
      </c>
      <c r="E35" s="92"/>
      <c r="F35" s="92"/>
      <c r="G35" s="92"/>
      <c r="H35" s="92"/>
      <c r="I35" s="92"/>
      <c r="J35" s="58"/>
    </row>
    <row r="36" spans="1:11" x14ac:dyDescent="0.25">
      <c r="A36" s="327" t="s">
        <v>457</v>
      </c>
      <c r="B36" s="344">
        <f>B37/B35</f>
        <v>2673.7967914438505</v>
      </c>
      <c r="C36" s="92" t="s">
        <v>411</v>
      </c>
      <c r="D36" s="92"/>
      <c r="E36" s="92"/>
      <c r="F36" s="92"/>
      <c r="G36" s="92"/>
      <c r="H36" s="92"/>
      <c r="I36" s="92"/>
      <c r="J36" s="355"/>
    </row>
    <row r="37" spans="1:11" x14ac:dyDescent="0.25">
      <c r="A37" s="92" t="s">
        <v>424</v>
      </c>
      <c r="B37" s="342">
        <v>500000</v>
      </c>
      <c r="D37" s="92"/>
      <c r="E37" s="92"/>
      <c r="F37" s="92"/>
      <c r="G37" s="92"/>
      <c r="H37" s="92"/>
      <c r="I37" s="92"/>
      <c r="J37" s="355"/>
    </row>
    <row r="38" spans="1:11" x14ac:dyDescent="0.25">
      <c r="A38" s="92"/>
      <c r="B38" s="92"/>
      <c r="C38" s="92"/>
      <c r="D38" s="92"/>
      <c r="E38" s="92"/>
      <c r="F38" s="92"/>
      <c r="G38" s="92"/>
      <c r="H38" s="92"/>
      <c r="I38" s="92"/>
      <c r="J38" s="355"/>
    </row>
    <row r="39" spans="1:11" x14ac:dyDescent="0.25">
      <c r="A39" s="329" t="s">
        <v>413</v>
      </c>
      <c r="B39" s="92"/>
      <c r="C39" s="92"/>
      <c r="D39" s="92"/>
      <c r="E39" s="92"/>
      <c r="F39" s="92"/>
      <c r="G39" s="92"/>
      <c r="H39" s="92"/>
      <c r="J39" s="92"/>
    </row>
    <row r="40" spans="1:11" ht="7.5" customHeight="1" x14ac:dyDescent="0.25">
      <c r="A40" s="92"/>
      <c r="B40" s="92"/>
      <c r="C40" s="92"/>
      <c r="D40" s="92"/>
      <c r="E40" s="92"/>
      <c r="F40" s="92"/>
      <c r="G40" s="92"/>
      <c r="H40" s="92"/>
      <c r="I40" s="92"/>
      <c r="J40" s="92"/>
    </row>
    <row r="41" spans="1:11" x14ac:dyDescent="0.25">
      <c r="A41" s="328" t="s">
        <v>414</v>
      </c>
      <c r="B41" s="92"/>
      <c r="C41" s="92"/>
      <c r="D41" s="92"/>
      <c r="E41" s="92"/>
      <c r="F41" s="92"/>
      <c r="G41" s="92"/>
      <c r="H41" s="92"/>
      <c r="I41" s="92"/>
      <c r="J41" s="92"/>
    </row>
    <row r="42" spans="1:11" x14ac:dyDescent="0.25">
      <c r="A42" s="92"/>
      <c r="B42" s="92"/>
      <c r="C42" s="92"/>
      <c r="D42" s="92"/>
      <c r="E42" s="92"/>
      <c r="F42" s="92"/>
      <c r="G42" s="92"/>
      <c r="H42" s="92"/>
      <c r="I42" s="92"/>
      <c r="J42" s="92"/>
    </row>
    <row r="43" spans="1:11" x14ac:dyDescent="0.25">
      <c r="A43" s="334" t="s">
        <v>415</v>
      </c>
      <c r="B43" s="330"/>
      <c r="C43" s="92"/>
      <c r="D43" s="92"/>
      <c r="E43" s="92"/>
      <c r="F43" s="92"/>
      <c r="G43" s="92"/>
      <c r="H43" s="92"/>
      <c r="I43" s="92"/>
      <c r="J43" s="92"/>
    </row>
    <row r="44" spans="1:11" x14ac:dyDescent="0.25">
      <c r="A44" s="92" t="s">
        <v>416</v>
      </c>
      <c r="B44" s="331">
        <v>2</v>
      </c>
      <c r="C44" s="92" t="s">
        <v>21</v>
      </c>
      <c r="D44" s="92"/>
      <c r="E44" s="92"/>
      <c r="F44" s="92"/>
      <c r="G44" s="92"/>
      <c r="H44" s="92"/>
      <c r="I44" s="92"/>
      <c r="J44" s="92"/>
    </row>
    <row r="45" spans="1:11" x14ac:dyDescent="0.25">
      <c r="A45" s="92"/>
      <c r="B45" s="331">
        <v>2</v>
      </c>
      <c r="C45" s="92" t="s">
        <v>437</v>
      </c>
      <c r="D45" s="92"/>
      <c r="E45" s="92"/>
      <c r="F45" s="92"/>
      <c r="G45" s="92"/>
      <c r="H45" s="92"/>
      <c r="I45" s="92"/>
      <c r="J45" s="92"/>
    </row>
    <row r="46" spans="1:11" x14ac:dyDescent="0.25">
      <c r="A46" s="92" t="s">
        <v>417</v>
      </c>
      <c r="B46" s="333">
        <v>4740000</v>
      </c>
      <c r="C46" s="327" t="s">
        <v>423</v>
      </c>
      <c r="E46" s="92"/>
      <c r="F46" s="92"/>
      <c r="G46" s="92"/>
      <c r="H46" s="92"/>
      <c r="I46" s="92"/>
      <c r="J46" s="92"/>
    </row>
    <row r="47" spans="1:11" x14ac:dyDescent="0.25">
      <c r="A47" s="92" t="s">
        <v>418</v>
      </c>
      <c r="B47" s="331">
        <v>2</v>
      </c>
      <c r="C47" s="92" t="s">
        <v>21</v>
      </c>
      <c r="D47" s="92"/>
      <c r="E47" s="92"/>
      <c r="F47" s="92"/>
      <c r="G47" s="92"/>
      <c r="H47" s="92"/>
      <c r="I47" s="92"/>
      <c r="J47" s="92"/>
    </row>
    <row r="48" spans="1:11" x14ac:dyDescent="0.25">
      <c r="B48" s="332">
        <v>1.32</v>
      </c>
      <c r="C48" s="92" t="s">
        <v>419</v>
      </c>
      <c r="D48" s="327" t="s">
        <v>420</v>
      </c>
      <c r="E48" s="92"/>
      <c r="F48" s="92"/>
      <c r="G48" s="92"/>
      <c r="H48" s="92"/>
      <c r="I48" s="92"/>
      <c r="J48" s="92"/>
    </row>
    <row r="49" spans="1:10" x14ac:dyDescent="0.25">
      <c r="A49" s="92" t="s">
        <v>448</v>
      </c>
      <c r="B49" s="336">
        <f>80/600</f>
        <v>0.13333333333333333</v>
      </c>
      <c r="C49" s="92" t="s">
        <v>449</v>
      </c>
      <c r="D49" s="327" t="s">
        <v>450</v>
      </c>
      <c r="E49" s="92"/>
      <c r="F49" s="92"/>
      <c r="G49" s="92"/>
      <c r="H49" s="92"/>
      <c r="I49" s="92"/>
      <c r="J49" s="92"/>
    </row>
    <row r="50" spans="1:10" x14ac:dyDescent="0.25">
      <c r="A50" s="92"/>
      <c r="B50" s="344">
        <f>B47/B49</f>
        <v>15</v>
      </c>
      <c r="C50" s="92" t="s">
        <v>451</v>
      </c>
      <c r="D50" s="327"/>
      <c r="E50" s="92"/>
      <c r="F50" s="92"/>
      <c r="G50" s="92"/>
      <c r="H50" s="92"/>
      <c r="I50" s="92"/>
      <c r="J50" s="92"/>
    </row>
    <row r="51" spans="1:10" x14ac:dyDescent="0.25">
      <c r="A51" s="92" t="s">
        <v>417</v>
      </c>
      <c r="B51" s="333">
        <f>B47*1000000*B48</f>
        <v>2640000</v>
      </c>
      <c r="C51" s="92"/>
      <c r="D51" s="92"/>
      <c r="E51" s="92"/>
      <c r="F51" s="92"/>
      <c r="G51" s="92"/>
      <c r="H51" s="92"/>
      <c r="I51" s="92"/>
      <c r="J51" s="92"/>
    </row>
    <row r="52" spans="1:10" x14ac:dyDescent="0.25">
      <c r="A52" s="92" t="s">
        <v>424</v>
      </c>
      <c r="B52" s="333">
        <v>5250000</v>
      </c>
      <c r="C52" s="92"/>
      <c r="D52" s="92"/>
      <c r="E52" s="92"/>
      <c r="F52" s="92"/>
      <c r="G52" s="92"/>
      <c r="H52" s="92"/>
      <c r="I52" s="92"/>
      <c r="J52" s="92"/>
    </row>
    <row r="53" spans="1:10" x14ac:dyDescent="0.25">
      <c r="A53" s="92" t="s">
        <v>458</v>
      </c>
      <c r="B53" s="344">
        <f>ROUNDUP(B52/B51,1)</f>
        <v>2</v>
      </c>
      <c r="C53" s="92"/>
      <c r="D53" s="92"/>
      <c r="E53" s="92"/>
      <c r="F53" s="92"/>
      <c r="G53" s="92"/>
      <c r="H53" s="92"/>
      <c r="I53" s="92"/>
      <c r="J53" s="92"/>
    </row>
    <row r="54" spans="1:10" x14ac:dyDescent="0.25">
      <c r="A54" s="92"/>
      <c r="B54" s="331"/>
      <c r="C54" s="92"/>
      <c r="D54" s="92"/>
      <c r="E54" s="92"/>
      <c r="F54" s="92"/>
      <c r="G54" s="92"/>
      <c r="H54" s="92"/>
      <c r="I54" s="92"/>
      <c r="J54" s="92"/>
    </row>
    <row r="55" spans="1:10" ht="30" customHeight="1" x14ac:dyDescent="0.25">
      <c r="A55" s="334" t="s">
        <v>422</v>
      </c>
      <c r="B55" s="337"/>
      <c r="C55" s="92"/>
      <c r="D55" s="92"/>
      <c r="E55" s="92"/>
      <c r="F55" s="92"/>
      <c r="G55" s="92"/>
      <c r="H55" s="92"/>
      <c r="I55" s="92"/>
      <c r="J55" s="92"/>
    </row>
    <row r="56" spans="1:10" x14ac:dyDescent="0.25">
      <c r="A56" s="92" t="s">
        <v>416</v>
      </c>
      <c r="B56" s="335">
        <v>75</v>
      </c>
      <c r="C56" s="92" t="s">
        <v>197</v>
      </c>
      <c r="D56" s="92"/>
      <c r="E56" s="92"/>
      <c r="F56" s="92"/>
      <c r="G56" s="92"/>
      <c r="H56" s="92"/>
      <c r="I56" s="92"/>
      <c r="J56" s="92"/>
    </row>
    <row r="57" spans="1:10" x14ac:dyDescent="0.25">
      <c r="A57" s="92"/>
      <c r="B57" s="335">
        <v>500</v>
      </c>
      <c r="C57" s="92" t="s">
        <v>71</v>
      </c>
      <c r="D57" s="92"/>
      <c r="E57" s="92"/>
      <c r="F57" s="92"/>
      <c r="G57" s="92"/>
      <c r="H57" s="92"/>
      <c r="I57" s="92"/>
      <c r="J57" s="92"/>
    </row>
    <row r="58" spans="1:10" x14ac:dyDescent="0.25">
      <c r="A58" s="92" t="s">
        <v>78</v>
      </c>
      <c r="B58" s="331">
        <v>131</v>
      </c>
      <c r="C58" s="327" t="s">
        <v>442</v>
      </c>
      <c r="D58" s="92"/>
      <c r="E58" s="92"/>
      <c r="F58" s="92"/>
      <c r="G58" s="92"/>
      <c r="H58" s="92"/>
      <c r="I58" s="92"/>
      <c r="J58" s="92"/>
    </row>
    <row r="59" spans="1:10" x14ac:dyDescent="0.25">
      <c r="A59" s="92" t="s">
        <v>417</v>
      </c>
      <c r="B59" s="333">
        <v>1000000</v>
      </c>
      <c r="C59" s="327" t="s">
        <v>439</v>
      </c>
      <c r="D59" s="92"/>
      <c r="E59" s="92"/>
      <c r="F59" s="92"/>
      <c r="G59" s="92"/>
      <c r="H59" s="92"/>
      <c r="I59" s="92"/>
      <c r="J59" s="92"/>
    </row>
    <row r="60" spans="1:10" x14ac:dyDescent="0.25">
      <c r="A60" s="92" t="s">
        <v>425</v>
      </c>
      <c r="B60" s="332">
        <v>3.5</v>
      </c>
      <c r="C60" s="327" t="s">
        <v>443</v>
      </c>
      <c r="D60" s="92"/>
      <c r="E60" s="92"/>
      <c r="F60" s="92"/>
      <c r="G60" s="92"/>
      <c r="H60" s="92"/>
      <c r="I60" s="92"/>
      <c r="J60" s="92"/>
    </row>
    <row r="61" spans="1:10" x14ac:dyDescent="0.25">
      <c r="A61" s="92"/>
      <c r="B61" s="333">
        <v>800</v>
      </c>
      <c r="C61" s="327" t="s">
        <v>426</v>
      </c>
      <c r="D61" s="92"/>
      <c r="E61" s="92"/>
      <c r="F61" s="92"/>
      <c r="G61" s="92"/>
      <c r="H61" s="92"/>
      <c r="I61" s="92"/>
      <c r="J61" s="92"/>
    </row>
    <row r="62" spans="1:10" x14ac:dyDescent="0.25">
      <c r="A62" s="92" t="s">
        <v>424</v>
      </c>
      <c r="B62" s="333">
        <v>6000000</v>
      </c>
      <c r="C62" s="92"/>
      <c r="D62" s="92"/>
      <c r="E62" s="92"/>
      <c r="F62" s="92"/>
      <c r="G62" s="92"/>
      <c r="H62" s="92"/>
      <c r="I62" s="92"/>
      <c r="J62" s="92"/>
    </row>
    <row r="63" spans="1:10" x14ac:dyDescent="0.25">
      <c r="A63" s="92" t="s">
        <v>458</v>
      </c>
      <c r="B63" s="344">
        <f>B62/B59</f>
        <v>6</v>
      </c>
      <c r="C63" s="92"/>
      <c r="D63" s="92"/>
      <c r="E63" s="92"/>
      <c r="F63" s="92"/>
      <c r="G63" s="92"/>
      <c r="H63" s="92"/>
      <c r="I63" s="92"/>
      <c r="J63" s="92"/>
    </row>
    <row r="64" spans="1:10" x14ac:dyDescent="0.25">
      <c r="A64" s="92"/>
      <c r="B64" s="333"/>
      <c r="C64" s="92"/>
      <c r="D64" s="92"/>
      <c r="E64" s="92"/>
      <c r="F64" s="92"/>
      <c r="G64" s="92"/>
      <c r="H64" s="92"/>
      <c r="I64" s="92"/>
      <c r="J64" s="92"/>
    </row>
    <row r="65" spans="1:10" x14ac:dyDescent="0.25">
      <c r="A65" s="328" t="s">
        <v>427</v>
      </c>
      <c r="B65" s="333"/>
      <c r="C65" s="92"/>
      <c r="D65" s="92"/>
      <c r="E65" s="92"/>
      <c r="F65" s="92"/>
      <c r="G65" s="92"/>
      <c r="H65" s="92"/>
      <c r="I65" s="92"/>
      <c r="J65" s="92"/>
    </row>
    <row r="66" spans="1:10" x14ac:dyDescent="0.25">
      <c r="A66" s="92" t="s">
        <v>428</v>
      </c>
      <c r="B66" s="333" t="s">
        <v>429</v>
      </c>
      <c r="C66" s="92"/>
      <c r="D66" s="92"/>
      <c r="E66" s="92"/>
      <c r="F66" s="92"/>
      <c r="G66" s="92"/>
      <c r="H66" s="92"/>
      <c r="I66" s="92"/>
      <c r="J66" s="92"/>
    </row>
    <row r="67" spans="1:10" x14ac:dyDescent="0.25">
      <c r="A67" s="327" t="s">
        <v>431</v>
      </c>
      <c r="B67" s="338">
        <v>0.8</v>
      </c>
      <c r="C67" t="s">
        <v>432</v>
      </c>
      <c r="D67" s="327"/>
      <c r="E67" s="327"/>
      <c r="F67" s="92"/>
      <c r="G67" s="92"/>
      <c r="H67" s="92"/>
      <c r="I67" s="92"/>
      <c r="J67" s="92"/>
    </row>
    <row r="68" spans="1:10" x14ac:dyDescent="0.25">
      <c r="A68" s="327" t="s">
        <v>430</v>
      </c>
      <c r="B68" s="335">
        <v>2300</v>
      </c>
      <c r="C68" t="s">
        <v>433</v>
      </c>
      <c r="D68" s="327"/>
      <c r="E68" s="327"/>
      <c r="F68" s="92"/>
      <c r="G68" s="92"/>
      <c r="H68" s="92"/>
      <c r="I68" s="92"/>
      <c r="J68" s="92"/>
    </row>
    <row r="69" spans="1:10" x14ac:dyDescent="0.25">
      <c r="A69" s="327" t="s">
        <v>434</v>
      </c>
      <c r="B69" s="335">
        <v>7</v>
      </c>
      <c r="C69" s="327" t="s">
        <v>435</v>
      </c>
      <c r="D69" s="327"/>
      <c r="E69" s="327"/>
      <c r="F69" s="92"/>
      <c r="G69" s="92"/>
      <c r="H69" s="92"/>
      <c r="I69" s="92"/>
      <c r="J69" s="92"/>
    </row>
    <row r="70" spans="1:10" x14ac:dyDescent="0.25">
      <c r="A70" s="327"/>
      <c r="B70" s="341">
        <f>B68/B69</f>
        <v>328.57142857142856</v>
      </c>
      <c r="C70" s="327" t="s">
        <v>436</v>
      </c>
      <c r="D70" s="327"/>
      <c r="E70" s="327"/>
      <c r="F70" s="92"/>
      <c r="G70" s="92"/>
      <c r="H70" s="92"/>
      <c r="I70" s="92"/>
      <c r="J70" s="92"/>
    </row>
    <row r="71" spans="1:10" x14ac:dyDescent="0.25">
      <c r="A71" s="327" t="s">
        <v>459</v>
      </c>
      <c r="B71" s="341"/>
      <c r="C71" s="327"/>
      <c r="D71" s="327"/>
      <c r="E71" s="327"/>
      <c r="F71" s="92"/>
      <c r="G71" s="92"/>
      <c r="H71" s="92"/>
      <c r="I71" s="92"/>
      <c r="J71" s="92"/>
    </row>
    <row r="72" spans="1:10" x14ac:dyDescent="0.25">
      <c r="A72" s="327" t="s">
        <v>438</v>
      </c>
      <c r="B72" s="341">
        <f>B45*B70*B67*B53</f>
        <v>1051.4285714285713</v>
      </c>
      <c r="C72" s="327" t="s">
        <v>440</v>
      </c>
      <c r="D72" s="327"/>
      <c r="E72" s="327"/>
      <c r="F72" s="92"/>
      <c r="G72" s="92"/>
      <c r="H72" s="92"/>
      <c r="I72" s="92"/>
      <c r="J72" s="92"/>
    </row>
    <row r="73" spans="1:10" x14ac:dyDescent="0.25">
      <c r="A73" s="327" t="s">
        <v>421</v>
      </c>
      <c r="B73" s="341">
        <f>B70*B57*B67*B63</f>
        <v>788571.42857142864</v>
      </c>
      <c r="C73" s="327" t="s">
        <v>71</v>
      </c>
      <c r="D73" s="327"/>
      <c r="E73" s="327"/>
      <c r="F73" s="92"/>
      <c r="G73" s="92"/>
      <c r="H73" s="92"/>
      <c r="I73" s="92"/>
      <c r="J73" s="92"/>
    </row>
    <row r="74" spans="1:10" x14ac:dyDescent="0.25">
      <c r="A74" s="327"/>
      <c r="B74" s="341">
        <f>B73/1000</f>
        <v>788.57142857142867</v>
      </c>
      <c r="C74" s="327" t="s">
        <v>440</v>
      </c>
      <c r="D74" s="327"/>
      <c r="E74" s="327"/>
      <c r="F74" s="92"/>
      <c r="G74" s="92"/>
      <c r="H74" s="92"/>
      <c r="I74" s="92"/>
      <c r="J74" s="92"/>
    </row>
    <row r="75" spans="1:10" x14ac:dyDescent="0.25">
      <c r="A75" s="327" t="s">
        <v>3</v>
      </c>
      <c r="B75" s="341">
        <f>B74+B72</f>
        <v>1840</v>
      </c>
      <c r="C75" s="327" t="s">
        <v>440</v>
      </c>
      <c r="D75" s="327"/>
      <c r="E75" s="327"/>
      <c r="F75" s="92"/>
      <c r="G75" s="92"/>
      <c r="H75" s="92"/>
      <c r="I75" s="92"/>
      <c r="J75" s="92"/>
    </row>
    <row r="76" spans="1:10" x14ac:dyDescent="0.25">
      <c r="A76" s="327"/>
      <c r="B76" s="340"/>
      <c r="C76" s="327"/>
      <c r="D76" s="327"/>
      <c r="E76" s="327"/>
      <c r="F76" s="92"/>
      <c r="G76" s="92"/>
      <c r="H76" s="92"/>
      <c r="I76" s="92"/>
      <c r="J76" s="92"/>
    </row>
    <row r="77" spans="1:10" x14ac:dyDescent="0.25">
      <c r="A77" s="327" t="s">
        <v>441</v>
      </c>
      <c r="B77" s="335"/>
      <c r="C77" s="327"/>
      <c r="D77" s="327"/>
      <c r="E77" s="327"/>
      <c r="F77" s="92"/>
      <c r="G77" s="92"/>
      <c r="H77" s="92"/>
      <c r="I77" s="92"/>
      <c r="J77" s="92"/>
    </row>
    <row r="78" spans="1:10" x14ac:dyDescent="0.25">
      <c r="A78" s="327" t="s">
        <v>438</v>
      </c>
      <c r="B78" s="340">
        <f>B47*B53</f>
        <v>4</v>
      </c>
      <c r="C78" s="327" t="s">
        <v>21</v>
      </c>
      <c r="D78" s="327"/>
      <c r="E78" s="327"/>
      <c r="F78" s="92"/>
      <c r="G78" s="92"/>
      <c r="H78" s="92"/>
      <c r="I78" s="92"/>
      <c r="J78" s="92"/>
    </row>
    <row r="79" spans="1:10" x14ac:dyDescent="0.25">
      <c r="A79" s="327" t="s">
        <v>421</v>
      </c>
      <c r="B79" s="340">
        <f>B58*B63</f>
        <v>786</v>
      </c>
      <c r="C79" s="327" t="s">
        <v>197</v>
      </c>
      <c r="D79" s="327"/>
      <c r="E79" s="327"/>
      <c r="F79" s="92"/>
      <c r="G79" s="92"/>
      <c r="H79" s="92"/>
      <c r="I79" s="92"/>
      <c r="J79" s="92"/>
    </row>
    <row r="80" spans="1:10" x14ac:dyDescent="0.25">
      <c r="A80" s="327"/>
      <c r="B80" s="339">
        <f>B79/1000</f>
        <v>0.78600000000000003</v>
      </c>
      <c r="C80" s="327" t="s">
        <v>21</v>
      </c>
      <c r="D80" s="327"/>
      <c r="E80" s="327"/>
      <c r="F80" s="92"/>
      <c r="G80" s="92"/>
      <c r="H80" s="92"/>
      <c r="I80" s="92"/>
      <c r="J80" s="92"/>
    </row>
    <row r="81" spans="1:11" x14ac:dyDescent="0.25">
      <c r="A81" s="327" t="s">
        <v>3</v>
      </c>
      <c r="B81" s="339">
        <f>B80+B78</f>
        <v>4.7859999999999996</v>
      </c>
      <c r="C81" s="327" t="s">
        <v>21</v>
      </c>
      <c r="D81" s="327"/>
      <c r="E81" s="327"/>
      <c r="F81" s="92"/>
      <c r="G81" s="92"/>
      <c r="H81" s="92"/>
      <c r="I81" s="92"/>
      <c r="J81" s="92"/>
    </row>
    <row r="82" spans="1:11" ht="15.75" thickBot="1" x14ac:dyDescent="0.3"/>
    <row r="83" spans="1:11" ht="66.75" thickTop="1" thickBot="1" x14ac:dyDescent="0.3">
      <c r="A83" s="345" t="s">
        <v>444</v>
      </c>
      <c r="B83" s="47" t="s">
        <v>460</v>
      </c>
      <c r="C83" s="47" t="s">
        <v>445</v>
      </c>
      <c r="D83" s="47" t="s">
        <v>462</v>
      </c>
      <c r="E83" s="47" t="s">
        <v>463</v>
      </c>
      <c r="F83" s="31" t="s">
        <v>402</v>
      </c>
    </row>
    <row r="84" spans="1:11" ht="15.75" thickTop="1" x14ac:dyDescent="0.25">
      <c r="A84" s="346" t="s">
        <v>461</v>
      </c>
      <c r="B84" s="71">
        <v>10990</v>
      </c>
      <c r="C84" s="71">
        <f>7640*0.907185</f>
        <v>6930.8933999999999</v>
      </c>
      <c r="D84" s="359">
        <f>SUM('Grid Projections'!D50:D52)/1000000</f>
        <v>2.0480789996999999E-2</v>
      </c>
      <c r="E84" s="360">
        <f>SUM('Grid Projections'!D50:D72)/1000000</f>
        <v>0.14904886256699995</v>
      </c>
      <c r="F84" s="347" t="s">
        <v>446</v>
      </c>
    </row>
    <row r="85" spans="1:11" x14ac:dyDescent="0.25">
      <c r="A85" s="348" t="s">
        <v>464</v>
      </c>
      <c r="B85" s="53">
        <v>2000</v>
      </c>
      <c r="C85" s="53">
        <f>1390*0.907185</f>
        <v>1260.9871499999999</v>
      </c>
      <c r="D85" s="362">
        <f>C85*3/1000000</f>
        <v>3.78296145E-3</v>
      </c>
      <c r="E85" s="175">
        <f>C85*7/1000000</f>
        <v>8.8269100499999992E-3</v>
      </c>
      <c r="F85" s="349">
        <v>7</v>
      </c>
    </row>
    <row r="86" spans="1:11" ht="15.75" thickBot="1" x14ac:dyDescent="0.3">
      <c r="A86" s="350" t="s">
        <v>3</v>
      </c>
      <c r="B86" s="156">
        <v>12990</v>
      </c>
      <c r="C86" s="156">
        <f>9030*0.907185</f>
        <v>8191.8805499999999</v>
      </c>
      <c r="D86" s="361">
        <f>D85+D84</f>
        <v>2.4263751447E-2</v>
      </c>
      <c r="E86" s="361">
        <f>E85+E84</f>
        <v>0.15787577261699995</v>
      </c>
      <c r="F86" s="363" t="s">
        <v>113</v>
      </c>
    </row>
    <row r="87" spans="1:11" ht="32.25" customHeight="1" thickTop="1" x14ac:dyDescent="0.25">
      <c r="A87" s="430" t="s">
        <v>468</v>
      </c>
      <c r="B87" s="430"/>
      <c r="C87" s="430"/>
      <c r="D87" s="430"/>
      <c r="E87" s="430"/>
      <c r="F87" s="430"/>
      <c r="G87" s="430"/>
      <c r="H87" s="430"/>
    </row>
    <row r="88" spans="1:11" x14ac:dyDescent="0.25">
      <c r="A88" s="430" t="s">
        <v>466</v>
      </c>
      <c r="B88" s="430"/>
      <c r="C88" s="430"/>
      <c r="D88" s="430"/>
      <c r="E88" s="430"/>
      <c r="F88" s="430"/>
      <c r="G88" s="430"/>
      <c r="H88" s="430"/>
    </row>
    <row r="89" spans="1:11" ht="15.75" thickBot="1" x14ac:dyDescent="0.3"/>
    <row r="90" spans="1:11" ht="15.75" thickTop="1" x14ac:dyDescent="0.25">
      <c r="A90" s="509" t="s">
        <v>444</v>
      </c>
      <c r="B90" s="418" t="s">
        <v>447</v>
      </c>
      <c r="C90" s="418"/>
      <c r="D90" s="418"/>
      <c r="E90" s="418"/>
      <c r="F90" s="418"/>
      <c r="G90" s="480"/>
    </row>
    <row r="91" spans="1:11" ht="33.75" thickBot="1" x14ac:dyDescent="0.3">
      <c r="A91" s="510"/>
      <c r="B91" s="26" t="s">
        <v>367</v>
      </c>
      <c r="C91" s="26" t="s">
        <v>368</v>
      </c>
      <c r="D91" s="26" t="s">
        <v>369</v>
      </c>
      <c r="E91" s="26" t="s">
        <v>370</v>
      </c>
      <c r="F91" s="351" t="s">
        <v>371</v>
      </c>
      <c r="G91" s="352" t="s">
        <v>372</v>
      </c>
    </row>
    <row r="92" spans="1:11" ht="16.5" thickTop="1" thickBot="1" x14ac:dyDescent="0.3">
      <c r="A92" s="350" t="s">
        <v>3</v>
      </c>
      <c r="B92" s="156">
        <f>C92/0.85</f>
        <v>1200</v>
      </c>
      <c r="C92" s="156">
        <v>1020</v>
      </c>
      <c r="D92" s="156">
        <v>5900</v>
      </c>
      <c r="E92" s="156">
        <v>9940</v>
      </c>
      <c r="F92" s="156">
        <f>G92*'2. Schools CoPol'!B123/'2. Schools CoPol'!B122</f>
        <v>20.952380952380949</v>
      </c>
      <c r="G92" s="364">
        <v>320</v>
      </c>
    </row>
    <row r="93" spans="1:11" ht="15.75" thickTop="1" x14ac:dyDescent="0.25">
      <c r="A93" s="430" t="s">
        <v>472</v>
      </c>
      <c r="B93" s="430"/>
      <c r="C93" s="430"/>
      <c r="D93" s="430"/>
      <c r="E93" s="430"/>
      <c r="F93" s="430"/>
      <c r="G93" s="430"/>
      <c r="H93" s="430"/>
      <c r="I93" s="89"/>
      <c r="J93" s="89"/>
      <c r="K93" s="89"/>
    </row>
    <row r="97" spans="1:15" x14ac:dyDescent="0.25">
      <c r="A97" s="1"/>
    </row>
    <row r="100" spans="1:15" x14ac:dyDescent="0.25">
      <c r="A100" s="1"/>
    </row>
    <row r="102" spans="1:15" x14ac:dyDescent="0.25">
      <c r="A102" s="3"/>
    </row>
    <row r="104" spans="1:15" x14ac:dyDescent="0.25">
      <c r="A104" s="6"/>
    </row>
    <row r="106" spans="1:15" x14ac:dyDescent="0.25">
      <c r="M106" s="95"/>
    </row>
    <row r="107" spans="1:15" x14ac:dyDescent="0.25">
      <c r="A107" s="55"/>
    </row>
    <row r="108" spans="1:15" x14ac:dyDescent="0.25">
      <c r="A108" s="60"/>
      <c r="B108" s="6"/>
    </row>
    <row r="109" spans="1:15" x14ac:dyDescent="0.25">
      <c r="O109" s="94"/>
    </row>
    <row r="110" spans="1:15" x14ac:dyDescent="0.25">
      <c r="O110" s="94"/>
    </row>
    <row r="111" spans="1:15" x14ac:dyDescent="0.25">
      <c r="A111" s="58"/>
    </row>
    <row r="115" spans="1:1" x14ac:dyDescent="0.25">
      <c r="A115" s="58"/>
    </row>
    <row r="199" spans="1:10" ht="15" customHeight="1" x14ac:dyDescent="0.25">
      <c r="A199" s="4"/>
      <c r="B199" s="4"/>
      <c r="C199" s="4"/>
      <c r="D199" s="4"/>
      <c r="E199" s="4"/>
      <c r="F199" s="4"/>
      <c r="G199" s="4"/>
      <c r="H199" s="4"/>
      <c r="I199" s="4"/>
      <c r="J199" s="4"/>
    </row>
    <row r="201" spans="1:10" x14ac:dyDescent="0.25">
      <c r="A201" s="1"/>
    </row>
    <row r="203" spans="1:10" x14ac:dyDescent="0.25">
      <c r="A203" s="10"/>
      <c r="B203" s="77"/>
      <c r="C203" s="77"/>
      <c r="D203" s="77"/>
      <c r="E203" s="77"/>
      <c r="F203" s="77"/>
    </row>
    <row r="204" spans="1:10" ht="28.9" customHeight="1" x14ac:dyDescent="0.25">
      <c r="A204" s="77"/>
      <c r="B204" s="10"/>
      <c r="C204" s="290"/>
      <c r="D204" s="290"/>
      <c r="E204" s="357"/>
      <c r="F204" s="289"/>
    </row>
    <row r="205" spans="1:10" ht="28.9" customHeight="1" x14ac:dyDescent="0.25">
      <c r="A205" s="77"/>
      <c r="B205" s="10"/>
      <c r="C205" s="358"/>
      <c r="D205" s="290"/>
      <c r="E205" s="357"/>
      <c r="F205" s="289"/>
    </row>
    <row r="234" spans="2:3" x14ac:dyDescent="0.25">
      <c r="B234" s="58"/>
    </row>
    <row r="235" spans="2:3" x14ac:dyDescent="0.25">
      <c r="B235" s="59"/>
      <c r="C235" s="59"/>
    </row>
  </sheetData>
  <mergeCells count="14">
    <mergeCell ref="A14:D16"/>
    <mergeCell ref="E14:F14"/>
    <mergeCell ref="E15:F15"/>
    <mergeCell ref="A17:D17"/>
    <mergeCell ref="A93:H93"/>
    <mergeCell ref="B19:G19"/>
    <mergeCell ref="A19:A21"/>
    <mergeCell ref="A23:H23"/>
    <mergeCell ref="A24:H24"/>
    <mergeCell ref="A25:H25"/>
    <mergeCell ref="A90:A91"/>
    <mergeCell ref="B90:G90"/>
    <mergeCell ref="A87:H87"/>
    <mergeCell ref="A88:H88"/>
  </mergeCells>
  <pageMargins left="0.7" right="0.7" top="0.75" bottom="0.75" header="0.3" footer="0.3"/>
  <pageSetup scale="78" orientation="landscape" r:id="rId1"/>
  <rowBreaks count="1" manualBreakCount="1">
    <brk id="38"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E16C9BB-56F5-4385-9670-FFA242DE37C5}">
  <sheetPr>
    <tabColor theme="9" tint="0.39997558519241921"/>
  </sheetPr>
  <dimension ref="A1:S73"/>
  <sheetViews>
    <sheetView view="pageBreakPreview" zoomScale="60" zoomScaleNormal="100" workbookViewId="0">
      <selection activeCell="I10" sqref="I10"/>
    </sheetView>
  </sheetViews>
  <sheetFormatPr defaultRowHeight="15" x14ac:dyDescent="0.25"/>
  <cols>
    <col min="2" max="2" width="14.28515625" customWidth="1"/>
    <col min="3" max="3" width="12.5703125" customWidth="1"/>
    <col min="4" max="4" width="10" customWidth="1"/>
    <col min="5" max="5" width="12.42578125" customWidth="1"/>
    <col min="6" max="6" width="11.5703125" customWidth="1"/>
    <col min="7" max="17" width="8" customWidth="1"/>
    <col min="18" max="18" width="12.140625" customWidth="1"/>
    <col min="21" max="21" width="13" customWidth="1"/>
    <col min="22" max="22" width="10.42578125" customWidth="1"/>
    <col min="23" max="23" width="11.140625" bestFit="1" customWidth="1"/>
    <col min="24" max="24" width="11.7109375" customWidth="1"/>
    <col min="25" max="25" width="12" bestFit="1" customWidth="1"/>
  </cols>
  <sheetData>
    <row r="1" spans="1:19" x14ac:dyDescent="0.25">
      <c r="A1" s="1" t="s">
        <v>189</v>
      </c>
    </row>
    <row r="2" spans="1:19" x14ac:dyDescent="0.25">
      <c r="A2" s="1" t="s">
        <v>190</v>
      </c>
    </row>
    <row r="3" spans="1:19" x14ac:dyDescent="0.25">
      <c r="A3" s="1" t="s">
        <v>505</v>
      </c>
    </row>
    <row r="5" spans="1:19" x14ac:dyDescent="0.25">
      <c r="A5" s="1" t="s">
        <v>487</v>
      </c>
      <c r="B5" s="1"/>
    </row>
    <row r="6" spans="1:19" x14ac:dyDescent="0.25">
      <c r="A6" s="1"/>
      <c r="B6" s="1"/>
    </row>
    <row r="7" spans="1:19" x14ac:dyDescent="0.25">
      <c r="A7" s="1" t="s">
        <v>486</v>
      </c>
    </row>
    <row r="8" spans="1:19" x14ac:dyDescent="0.25">
      <c r="A8" t="s">
        <v>489</v>
      </c>
    </row>
    <row r="9" spans="1:19" x14ac:dyDescent="0.25">
      <c r="A9" t="s">
        <v>126</v>
      </c>
    </row>
    <row r="10" spans="1:19" x14ac:dyDescent="0.25">
      <c r="R10" s="55"/>
      <c r="S10" s="75"/>
    </row>
    <row r="11" spans="1:19" x14ac:dyDescent="0.25">
      <c r="A11" s="7"/>
      <c r="B11" s="419" t="s">
        <v>179</v>
      </c>
      <c r="C11" s="419"/>
      <c r="D11" s="419"/>
      <c r="E11" s="419"/>
      <c r="F11" s="511" t="s">
        <v>185</v>
      </c>
      <c r="G11" s="512"/>
      <c r="H11" s="512"/>
      <c r="I11" s="512"/>
      <c r="J11" s="512"/>
      <c r="K11" s="512"/>
      <c r="L11" s="512"/>
      <c r="M11" s="512"/>
      <c r="N11" s="512"/>
      <c r="O11" s="512"/>
      <c r="P11" s="512"/>
      <c r="Q11" s="513"/>
      <c r="S11" s="87"/>
    </row>
    <row r="12" spans="1:19" ht="44.45" customHeight="1" x14ac:dyDescent="0.25">
      <c r="A12" s="514" t="s">
        <v>122</v>
      </c>
      <c r="B12" s="514" t="s">
        <v>180</v>
      </c>
      <c r="C12" s="514" t="s">
        <v>181</v>
      </c>
      <c r="D12" s="514" t="s">
        <v>182</v>
      </c>
      <c r="E12" s="514" t="s">
        <v>183</v>
      </c>
      <c r="F12" s="515" t="s">
        <v>100</v>
      </c>
      <c r="G12" s="515"/>
      <c r="H12" s="515" t="s">
        <v>359</v>
      </c>
      <c r="I12" s="515"/>
      <c r="J12" s="515" t="s">
        <v>101</v>
      </c>
      <c r="K12" s="515"/>
      <c r="L12" s="515" t="s">
        <v>111</v>
      </c>
      <c r="M12" s="515"/>
      <c r="N12" s="515" t="s">
        <v>362</v>
      </c>
      <c r="O12" s="515"/>
      <c r="P12" s="515" t="s">
        <v>363</v>
      </c>
      <c r="Q12" s="515"/>
      <c r="S12" s="64"/>
    </row>
    <row r="13" spans="1:19" x14ac:dyDescent="0.25">
      <c r="A13" s="514"/>
      <c r="B13" s="514"/>
      <c r="C13" s="514"/>
      <c r="D13" s="514"/>
      <c r="E13" s="514"/>
      <c r="F13" s="80" t="s">
        <v>184</v>
      </c>
      <c r="G13" s="80" t="s">
        <v>4</v>
      </c>
      <c r="H13" s="80" t="s">
        <v>184</v>
      </c>
      <c r="I13" s="80" t="s">
        <v>4</v>
      </c>
      <c r="J13" s="80" t="s">
        <v>184</v>
      </c>
      <c r="K13" s="80" t="s">
        <v>4</v>
      </c>
      <c r="L13" s="80" t="s">
        <v>184</v>
      </c>
      <c r="M13" s="80" t="s">
        <v>4</v>
      </c>
      <c r="N13" s="80" t="s">
        <v>184</v>
      </c>
      <c r="O13" s="80" t="s">
        <v>4</v>
      </c>
      <c r="P13" s="80" t="s">
        <v>184</v>
      </c>
      <c r="Q13" s="80" t="s">
        <v>4</v>
      </c>
      <c r="R13" s="79"/>
      <c r="S13" s="88"/>
    </row>
    <row r="14" spans="1:19" ht="15.75" x14ac:dyDescent="0.25">
      <c r="A14" s="83">
        <v>2025</v>
      </c>
      <c r="B14" s="18">
        <v>506.77726799999999</v>
      </c>
      <c r="C14" s="18">
        <v>134.20011700000001</v>
      </c>
      <c r="D14" s="56">
        <f>C14/B14</f>
        <v>0.26481084585664566</v>
      </c>
      <c r="E14" s="81">
        <f>D14/$D$14</f>
        <v>1</v>
      </c>
      <c r="F14" s="82">
        <f>'3 Clean Transport'!I51</f>
        <v>151.69999999999999</v>
      </c>
      <c r="G14" s="82">
        <f>F14/1.10231</f>
        <v>137.62008872277309</v>
      </c>
      <c r="H14" s="82">
        <f>'3 Clean Transport'!I52</f>
        <v>9</v>
      </c>
      <c r="I14" s="82">
        <f>H14/1.10231</f>
        <v>8.1646723698415151</v>
      </c>
      <c r="J14" s="82">
        <f>'3 Clean Transport'!I53</f>
        <v>243.9</v>
      </c>
      <c r="K14" s="82">
        <f>J14/1.10231</f>
        <v>221.26262122270506</v>
      </c>
      <c r="L14" s="82">
        <f>'3 Clean Transport'!I54</f>
        <v>114.5</v>
      </c>
      <c r="M14" s="82">
        <f>L14/1.10231</f>
        <v>103.8727762607615</v>
      </c>
      <c r="N14" s="82">
        <f>'3 Clean Transport'!I56</f>
        <v>10.7621496303507</v>
      </c>
      <c r="O14" s="82">
        <f>N14/1.10231</f>
        <v>9.7632695252249384</v>
      </c>
      <c r="P14" s="12">
        <f>'3 Clean Transport'!I57</f>
        <v>13.512559500000002</v>
      </c>
      <c r="Q14" s="12">
        <f>P14/1.10231</f>
        <v>12.258402355054388</v>
      </c>
      <c r="R14" s="46"/>
      <c r="S14" s="46"/>
    </row>
    <row r="15" spans="1:19" ht="15.75" x14ac:dyDescent="0.25">
      <c r="A15" s="83">
        <v>2026</v>
      </c>
      <c r="B15" s="18">
        <v>508.01115499999997</v>
      </c>
      <c r="C15" s="18">
        <v>118.54076400000001</v>
      </c>
      <c r="D15" s="56">
        <f t="shared" ref="D15:D39" si="0">C15/B15</f>
        <v>0.23334283673357531</v>
      </c>
      <c r="E15" s="81">
        <f t="shared" ref="E15:E39" si="1">D15/$D$14</f>
        <v>0.8811679747433554</v>
      </c>
      <c r="F15" s="82">
        <f>F$14*$E15</f>
        <v>133.67318176856699</v>
      </c>
      <c r="G15" s="82">
        <f t="shared" ref="G15:K39" si="2">F15/1.10231</f>
        <v>121.26641486384683</v>
      </c>
      <c r="H15" s="82">
        <f>H$14*$E15</f>
        <v>7.930511772690199</v>
      </c>
      <c r="I15" s="82">
        <f t="shared" ref="I15:I39" si="3">H15/1.10231</f>
        <v>7.1944478165762806</v>
      </c>
      <c r="J15" s="82">
        <f t="shared" ref="J15:J30" si="4">J$14*$E15</f>
        <v>214.91686903990438</v>
      </c>
      <c r="K15" s="82">
        <f t="shared" si="2"/>
        <v>194.96953582921719</v>
      </c>
      <c r="L15" s="82">
        <f t="shared" ref="L15:L30" si="5">L$14*$E15</f>
        <v>100.89373310811419</v>
      </c>
      <c r="M15" s="82">
        <f t="shared" ref="M15" si="6">L15/1.10231</f>
        <v>91.529363888664889</v>
      </c>
      <c r="N15" s="82">
        <f t="shared" ref="N15:N30" si="7">N$14*$E15</f>
        <v>9.4832615936610782</v>
      </c>
      <c r="O15" s="82">
        <f t="shared" ref="O15" si="8">N15/1.10231</f>
        <v>8.6030804344159808</v>
      </c>
      <c r="P15" s="12">
        <f t="shared" ref="P15:P30" si="9">P$14*$E15</f>
        <v>11.906834688214088</v>
      </c>
      <c r="Q15" s="12">
        <f t="shared" ref="Q15" si="10">P15/1.10231</f>
        <v>10.801711576792453</v>
      </c>
      <c r="R15" s="46"/>
      <c r="S15" s="17"/>
    </row>
    <row r="16" spans="1:19" ht="15.75" x14ac:dyDescent="0.25">
      <c r="A16" s="83">
        <v>2027</v>
      </c>
      <c r="B16" s="18">
        <v>507.73380199999997</v>
      </c>
      <c r="C16" s="18">
        <v>105.34437200000001</v>
      </c>
      <c r="D16" s="56">
        <f t="shared" si="0"/>
        <v>0.20747953274932837</v>
      </c>
      <c r="E16" s="81">
        <f t="shared" si="1"/>
        <v>0.78350088750385483</v>
      </c>
      <c r="F16" s="82">
        <f t="shared" ref="F16:P39" si="11">F$14*$E16</f>
        <v>118.85708463433477</v>
      </c>
      <c r="G16" s="82">
        <f t="shared" si="2"/>
        <v>107.82546165265195</v>
      </c>
      <c r="H16" s="82">
        <f t="shared" ref="H16:H22" si="12">H$14*$E16</f>
        <v>7.0515079875346931</v>
      </c>
      <c r="I16" s="82">
        <f t="shared" si="3"/>
        <v>6.3970280479490285</v>
      </c>
      <c r="J16" s="82">
        <f t="shared" si="4"/>
        <v>191.0958664621902</v>
      </c>
      <c r="K16" s="82">
        <f t="shared" si="2"/>
        <v>173.3594600994187</v>
      </c>
      <c r="L16" s="82">
        <f t="shared" si="5"/>
        <v>89.710851619191374</v>
      </c>
      <c r="M16" s="82">
        <f t="shared" ref="M16" si="13">L16/1.10231</f>
        <v>81.384412387795976</v>
      </c>
      <c r="N16" s="82">
        <f t="shared" si="7"/>
        <v>8.4321537868290566</v>
      </c>
      <c r="O16" s="82">
        <f t="shared" ref="O16" si="14">N16/1.10231</f>
        <v>7.6495303379530784</v>
      </c>
      <c r="P16" s="12">
        <f t="shared" si="9"/>
        <v>10.587102360698646</v>
      </c>
      <c r="Q16" s="12">
        <f t="shared" ref="Q16" si="15">P16/1.10231</f>
        <v>9.6044691245644565</v>
      </c>
      <c r="R16" s="46"/>
      <c r="S16" s="17"/>
    </row>
    <row r="17" spans="1:19" ht="15.75" x14ac:dyDescent="0.25">
      <c r="A17" s="83">
        <v>2028</v>
      </c>
      <c r="B17" s="18">
        <v>538.27687000000003</v>
      </c>
      <c r="C17" s="18">
        <v>82.411524999999997</v>
      </c>
      <c r="D17" s="56">
        <f t="shared" si="0"/>
        <v>0.15310248237120053</v>
      </c>
      <c r="E17" s="81">
        <f t="shared" si="1"/>
        <v>0.57815789937124396</v>
      </c>
      <c r="F17" s="82">
        <f t="shared" si="11"/>
        <v>87.706553334617695</v>
      </c>
      <c r="G17" s="82">
        <f t="shared" si="2"/>
        <v>79.566141407242696</v>
      </c>
      <c r="H17" s="82">
        <f t="shared" si="12"/>
        <v>5.2034210943411958</v>
      </c>
      <c r="I17" s="82">
        <f t="shared" si="3"/>
        <v>4.7204698264020069</v>
      </c>
      <c r="J17" s="82">
        <f t="shared" si="4"/>
        <v>141.01271165664642</v>
      </c>
      <c r="K17" s="82">
        <f t="shared" si="2"/>
        <v>127.92473229549439</v>
      </c>
      <c r="L17" s="82">
        <f t="shared" si="5"/>
        <v>66.199079478007434</v>
      </c>
      <c r="M17" s="82">
        <f t="shared" ref="M17" si="16">L17/1.10231</f>
        <v>60.054866124781086</v>
      </c>
      <c r="N17" s="82">
        <f t="shared" si="7"/>
        <v>6.2222218230025703</v>
      </c>
      <c r="O17" s="82">
        <f t="shared" ref="O17" si="17">N17/1.10231</f>
        <v>5.6447113996993323</v>
      </c>
      <c r="P17" s="12">
        <f t="shared" si="9"/>
        <v>7.8123930156489472</v>
      </c>
      <c r="Q17" s="12">
        <f t="shared" ref="Q17" si="18">P17/1.10231</f>
        <v>7.0872921552457546</v>
      </c>
      <c r="R17" s="46"/>
      <c r="S17" s="17"/>
    </row>
    <row r="18" spans="1:19" ht="15.75" x14ac:dyDescent="0.25">
      <c r="A18" s="83">
        <v>2029</v>
      </c>
      <c r="B18" s="18">
        <v>558.93746899999996</v>
      </c>
      <c r="C18" s="18">
        <v>67.712379999999996</v>
      </c>
      <c r="D18" s="56">
        <f t="shared" si="0"/>
        <v>0.12114482165803775</v>
      </c>
      <c r="E18" s="81">
        <f t="shared" si="1"/>
        <v>0.4574768124248923</v>
      </c>
      <c r="F18" s="300">
        <f t="shared" si="11"/>
        <v>69.399232444856153</v>
      </c>
      <c r="G18" s="300">
        <f t="shared" si="2"/>
        <v>62.957999514525099</v>
      </c>
      <c r="H18" s="300">
        <f t="shared" si="12"/>
        <v>4.1172913118240304</v>
      </c>
      <c r="I18" s="300">
        <f t="shared" si="3"/>
        <v>3.7351482902486874</v>
      </c>
      <c r="J18" s="300">
        <f t="shared" si="4"/>
        <v>111.57859455043123</v>
      </c>
      <c r="K18" s="300">
        <f t="shared" si="2"/>
        <v>101.22251866573944</v>
      </c>
      <c r="L18" s="300">
        <f t="shared" si="5"/>
        <v>52.381095022650172</v>
      </c>
      <c r="M18" s="300">
        <f t="shared" ref="M18" si="19">L18/1.10231</f>
        <v>47.519386581497201</v>
      </c>
      <c r="N18" s="300">
        <f t="shared" si="7"/>
        <v>4.9234339077325711</v>
      </c>
      <c r="O18" s="300">
        <f t="shared" ref="O18" si="20">N18/1.10231</f>
        <v>4.4664694212449962</v>
      </c>
      <c r="P18" s="301">
        <f t="shared" si="9"/>
        <v>6.1816826477616971</v>
      </c>
      <c r="Q18" s="301">
        <f t="shared" ref="Q18" si="21">P18/1.10231</f>
        <v>5.6079348348120739</v>
      </c>
      <c r="R18" s="46"/>
      <c r="S18" s="17"/>
    </row>
    <row r="19" spans="1:19" ht="15.75" x14ac:dyDescent="0.25">
      <c r="A19" s="83">
        <v>2030</v>
      </c>
      <c r="B19" s="18">
        <v>569.61921699999994</v>
      </c>
      <c r="C19" s="18">
        <v>66.409997000000004</v>
      </c>
      <c r="D19" s="56">
        <f t="shared" si="0"/>
        <v>0.11658665125407806</v>
      </c>
      <c r="E19" s="81">
        <f t="shared" si="1"/>
        <v>0.44026388298760166</v>
      </c>
      <c r="F19" s="82">
        <f t="shared" si="11"/>
        <v>66.788031049219171</v>
      </c>
      <c r="G19" s="82">
        <f t="shared" si="2"/>
        <v>60.589154638186336</v>
      </c>
      <c r="H19" s="82">
        <f t="shared" si="12"/>
        <v>3.9623749468884149</v>
      </c>
      <c r="I19" s="82">
        <f t="shared" si="3"/>
        <v>3.5946103608680091</v>
      </c>
      <c r="J19" s="82">
        <f t="shared" si="4"/>
        <v>107.38036106067605</v>
      </c>
      <c r="K19" s="82">
        <f t="shared" si="2"/>
        <v>97.41394077952306</v>
      </c>
      <c r="L19" s="82">
        <f t="shared" si="5"/>
        <v>50.410214602080387</v>
      </c>
      <c r="M19" s="82">
        <f t="shared" ref="M19" si="22">L19/1.10231</f>
        <v>45.731431813265225</v>
      </c>
      <c r="N19" s="82">
        <f t="shared" si="7"/>
        <v>4.7381857855517815</v>
      </c>
      <c r="O19" s="82">
        <f t="shared" ref="O19" si="23">N19/1.10231</f>
        <v>4.2984149518300496</v>
      </c>
      <c r="P19" s="12">
        <f t="shared" si="9"/>
        <v>5.9490919145710057</v>
      </c>
      <c r="Q19" s="12">
        <f t="shared" ref="Q19" si="24">P19/1.10231</f>
        <v>5.3969318200606056</v>
      </c>
      <c r="R19" s="46"/>
      <c r="S19" s="17"/>
    </row>
    <row r="20" spans="1:19" ht="15.75" x14ac:dyDescent="0.25">
      <c r="A20" s="83">
        <v>2031</v>
      </c>
      <c r="B20" s="18">
        <v>573.45889199999999</v>
      </c>
      <c r="C20" s="18">
        <v>67.843076999999994</v>
      </c>
      <c r="D20" s="56">
        <f t="shared" si="0"/>
        <v>0.11830503972724168</v>
      </c>
      <c r="E20" s="81">
        <f t="shared" si="1"/>
        <v>0.44675299965351745</v>
      </c>
      <c r="F20" s="82">
        <f t="shared" si="11"/>
        <v>67.77243004743859</v>
      </c>
      <c r="G20" s="82">
        <f t="shared" si="2"/>
        <v>61.482187449482083</v>
      </c>
      <c r="H20" s="82">
        <f t="shared" si="12"/>
        <v>4.0207769968816569</v>
      </c>
      <c r="I20" s="82">
        <f t="shared" si="3"/>
        <v>3.6475918724148899</v>
      </c>
      <c r="J20" s="82">
        <f t="shared" si="4"/>
        <v>108.9630566154929</v>
      </c>
      <c r="K20" s="82">
        <f t="shared" si="2"/>
        <v>98.849739742443518</v>
      </c>
      <c r="L20" s="82">
        <f t="shared" si="5"/>
        <v>51.15321846032775</v>
      </c>
      <c r="M20" s="82">
        <f t="shared" ref="M20" si="25">L20/1.10231</f>
        <v>46.40547437683388</v>
      </c>
      <c r="N20" s="82">
        <f t="shared" si="7"/>
        <v>4.8080226300791695</v>
      </c>
      <c r="O20" s="82">
        <f t="shared" ref="O20" si="26">N20/1.10231</f>
        <v>4.3617699468200142</v>
      </c>
      <c r="P20" s="12">
        <f t="shared" si="9"/>
        <v>6.0367764896216345</v>
      </c>
      <c r="Q20" s="12">
        <f t="shared" ref="Q20" si="27">P20/1.10231</f>
        <v>5.4764780230802907</v>
      </c>
      <c r="R20" s="46"/>
      <c r="S20" s="17"/>
    </row>
    <row r="21" spans="1:19" ht="15.75" x14ac:dyDescent="0.25">
      <c r="A21" s="83">
        <v>2032</v>
      </c>
      <c r="B21" s="18">
        <v>577.16699300000005</v>
      </c>
      <c r="C21" s="18">
        <v>69.138266999999985</v>
      </c>
      <c r="D21" s="56">
        <f t="shared" si="0"/>
        <v>0.11978901745685928</v>
      </c>
      <c r="E21" s="81">
        <f>D21/$D$14</f>
        <v>0.45235691562915292</v>
      </c>
      <c r="F21" s="82">
        <f t="shared" si="11"/>
        <v>68.622544100942491</v>
      </c>
      <c r="G21" s="82">
        <f t="shared" si="2"/>
        <v>62.253398863244001</v>
      </c>
      <c r="H21" s="82">
        <f t="shared" si="12"/>
        <v>4.0712122406623763</v>
      </c>
      <c r="I21" s="82">
        <f t="shared" si="3"/>
        <v>3.6933460103440745</v>
      </c>
      <c r="J21" s="82">
        <f t="shared" si="4"/>
        <v>110.3298517219504</v>
      </c>
      <c r="K21" s="82">
        <f t="shared" si="2"/>
        <v>100.08967688032442</v>
      </c>
      <c r="L21" s="82">
        <f t="shared" si="5"/>
        <v>51.79486683953801</v>
      </c>
      <c r="M21" s="82">
        <f t="shared" ref="M21" si="28">L21/1.10231</f>
        <v>46.987568687155168</v>
      </c>
      <c r="N21" s="82">
        <f t="shared" si="7"/>
        <v>4.868332812324871</v>
      </c>
      <c r="O21" s="82">
        <f t="shared" ref="O21" si="29">N21/1.10231</f>
        <v>4.4164824888868575</v>
      </c>
      <c r="P21" s="12">
        <f t="shared" si="9"/>
        <v>6.1124997376754093</v>
      </c>
      <c r="Q21" s="12">
        <f t="shared" ref="Q21" si="30">P21/1.10231</f>
        <v>5.545173079873547</v>
      </c>
      <c r="R21" s="46"/>
      <c r="S21" s="17"/>
    </row>
    <row r="22" spans="1:19" ht="15.75" x14ac:dyDescent="0.25">
      <c r="A22" s="83">
        <v>2033</v>
      </c>
      <c r="B22" s="18">
        <v>578.59512300000006</v>
      </c>
      <c r="C22" s="18">
        <v>73.056338999999994</v>
      </c>
      <c r="D22" s="56">
        <f t="shared" si="0"/>
        <v>0.12626504458109644</v>
      </c>
      <c r="E22" s="81">
        <f t="shared" si="1"/>
        <v>0.4768122097591484</v>
      </c>
      <c r="F22" s="82">
        <f t="shared" si="11"/>
        <v>72.3324122204628</v>
      </c>
      <c r="G22" s="82">
        <f t="shared" si="2"/>
        <v>65.618938611155485</v>
      </c>
      <c r="H22" s="82">
        <f t="shared" si="12"/>
        <v>4.2913098878323357</v>
      </c>
      <c r="I22" s="82">
        <f t="shared" si="3"/>
        <v>3.8930154746235961</v>
      </c>
      <c r="J22" s="82">
        <f t="shared" si="4"/>
        <v>116.29449796025629</v>
      </c>
      <c r="K22" s="82">
        <f t="shared" si="2"/>
        <v>105.50071936229945</v>
      </c>
      <c r="L22" s="82">
        <f t="shared" si="5"/>
        <v>54.59499801742249</v>
      </c>
      <c r="M22" s="82">
        <f t="shared" ref="M22" si="31">L22/1.10231</f>
        <v>49.527807982711302</v>
      </c>
      <c r="N22" s="82">
        <f t="shared" si="7"/>
        <v>5.1315243470061196</v>
      </c>
      <c r="O22" s="82">
        <f t="shared" ref="O22" si="32">N22/1.10231</f>
        <v>4.6552461167966541</v>
      </c>
      <c r="P22" s="12">
        <f t="shared" si="9"/>
        <v>6.4429533546969742</v>
      </c>
      <c r="Q22" s="12">
        <f t="shared" ref="Q22" si="33">P22/1.10231</f>
        <v>5.8449559150302317</v>
      </c>
      <c r="R22" s="46"/>
      <c r="S22" s="17"/>
    </row>
    <row r="23" spans="1:19" ht="15.75" x14ac:dyDescent="0.25">
      <c r="A23" s="83">
        <v>2034</v>
      </c>
      <c r="B23" s="18">
        <v>580.82981800000005</v>
      </c>
      <c r="C23" s="18">
        <v>73.962152000000003</v>
      </c>
      <c r="D23" s="56">
        <f t="shared" si="0"/>
        <v>0.12733876551771658</v>
      </c>
      <c r="E23" s="81">
        <f t="shared" si="1"/>
        <v>0.48086688105913511</v>
      </c>
      <c r="F23" s="82">
        <f t="shared" si="11"/>
        <v>72.947505856670787</v>
      </c>
      <c r="G23" s="82">
        <f t="shared" si="2"/>
        <v>66.176942835201345</v>
      </c>
      <c r="H23" s="82">
        <f>H$14*$E23</f>
        <v>4.3278019295322157</v>
      </c>
      <c r="I23" s="82">
        <f t="shared" si="3"/>
        <v>3.9261205373553865</v>
      </c>
      <c r="J23" s="82">
        <f t="shared" si="4"/>
        <v>117.28343229032306</v>
      </c>
      <c r="K23" s="82">
        <f t="shared" si="2"/>
        <v>106.39786656233099</v>
      </c>
      <c r="L23" s="82">
        <f t="shared" si="5"/>
        <v>55.059257881270973</v>
      </c>
      <c r="M23" s="82">
        <f t="shared" ref="M23" si="34">L23/1.10231</f>
        <v>49.948977947465757</v>
      </c>
      <c r="N23" s="82">
        <f t="shared" si="7"/>
        <v>5.1751613262384648</v>
      </c>
      <c r="O23" s="82">
        <f t="shared" ref="O23" si="35">N23/1.10231</f>
        <v>4.6948329655346184</v>
      </c>
      <c r="P23" s="12">
        <f t="shared" si="9"/>
        <v>6.4977423418909872</v>
      </c>
      <c r="Q23" s="12">
        <f t="shared" ref="Q23" si="36">P23/1.10231</f>
        <v>5.8946597072429601</v>
      </c>
      <c r="R23" s="46"/>
      <c r="S23" s="17"/>
    </row>
    <row r="24" spans="1:19" ht="15.75" x14ac:dyDescent="0.25">
      <c r="A24" s="83">
        <v>2035</v>
      </c>
      <c r="B24" s="18">
        <v>580.29080999999996</v>
      </c>
      <c r="C24" s="18">
        <v>74.331417000000002</v>
      </c>
      <c r="D24" s="56">
        <f t="shared" si="0"/>
        <v>0.12809338993323022</v>
      </c>
      <c r="E24" s="302">
        <f t="shared" si="1"/>
        <v>0.48371655442909267</v>
      </c>
      <c r="F24" s="82">
        <f t="shared" si="11"/>
        <v>73.379801306893356</v>
      </c>
      <c r="G24" s="82">
        <f t="shared" si="2"/>
        <v>66.569115137205827</v>
      </c>
      <c r="H24" s="300">
        <f t="shared" ref="H24:H39" si="37">H$14*$E24</f>
        <v>4.3534489898618336</v>
      </c>
      <c r="I24" s="300">
        <f t="shared" si="3"/>
        <v>3.9493871867821522</v>
      </c>
      <c r="J24" s="82">
        <f t="shared" si="4"/>
        <v>117.9784676252557</v>
      </c>
      <c r="K24" s="82">
        <f t="shared" si="2"/>
        <v>107.02839276179633</v>
      </c>
      <c r="L24" s="82">
        <f t="shared" si="5"/>
        <v>55.385545482131114</v>
      </c>
      <c r="M24" s="82">
        <f t="shared" ref="M24" si="38">L24/1.10231</f>
        <v>50.244981431839612</v>
      </c>
      <c r="N24" s="82">
        <f t="shared" si="7"/>
        <v>5.2058299374435739</v>
      </c>
      <c r="O24" s="82">
        <f t="shared" ref="O24" si="39">N24/1.10231</f>
        <v>4.7226550947043702</v>
      </c>
      <c r="P24" s="12">
        <f t="shared" si="9"/>
        <v>6.5362487228581045</v>
      </c>
      <c r="Q24" s="12">
        <f t="shared" ref="Q24" si="40">P24/1.10231</f>
        <v>5.9295921499923843</v>
      </c>
      <c r="R24" s="46"/>
      <c r="S24" s="17"/>
    </row>
    <row r="25" spans="1:19" ht="15.75" x14ac:dyDescent="0.25">
      <c r="A25" s="83">
        <v>2036</v>
      </c>
      <c r="B25" s="18">
        <v>583.015534</v>
      </c>
      <c r="C25" s="18">
        <v>74.567481000000001</v>
      </c>
      <c r="D25" s="56">
        <f t="shared" si="0"/>
        <v>0.12789964701009149</v>
      </c>
      <c r="E25" s="302">
        <f t="shared" si="1"/>
        <v>0.48298492683086508</v>
      </c>
      <c r="F25" s="82">
        <f t="shared" si="11"/>
        <v>73.268813400242223</v>
      </c>
      <c r="G25" s="82">
        <f t="shared" si="2"/>
        <v>66.468428482225718</v>
      </c>
      <c r="H25" s="82">
        <f t="shared" si="37"/>
        <v>4.3468643414777857</v>
      </c>
      <c r="I25" s="82">
        <f t="shared" si="3"/>
        <v>3.94341368714589</v>
      </c>
      <c r="J25" s="82">
        <f t="shared" si="4"/>
        <v>117.80002365404799</v>
      </c>
      <c r="K25" s="82">
        <f t="shared" si="2"/>
        <v>106.86651092165361</v>
      </c>
      <c r="L25" s="82">
        <f t="shared" si="5"/>
        <v>55.301774122134049</v>
      </c>
      <c r="M25" s="82">
        <f t="shared" ref="M25" si="41">L25/1.10231</f>
        <v>50.168985242022707</v>
      </c>
      <c r="N25" s="82">
        <f t="shared" si="7"/>
        <v>5.197956051757755</v>
      </c>
      <c r="O25" s="82">
        <f t="shared" ref="O25" si="42">N25/1.10231</f>
        <v>4.7155120172707816</v>
      </c>
      <c r="P25" s="12">
        <f t="shared" si="9"/>
        <v>6.5263625614052119</v>
      </c>
      <c r="Q25" s="12">
        <f t="shared" ref="Q25" si="43">P25/1.10231</f>
        <v>5.9206235645192482</v>
      </c>
      <c r="R25" s="46"/>
      <c r="S25" s="17"/>
    </row>
    <row r="26" spans="1:19" ht="15.75" x14ac:dyDescent="0.25">
      <c r="A26" s="83">
        <v>2037</v>
      </c>
      <c r="B26" s="18">
        <v>584.79430400000001</v>
      </c>
      <c r="C26" s="18">
        <v>75.744260999999995</v>
      </c>
      <c r="D26" s="56">
        <f t="shared" si="0"/>
        <v>0.12952291170059002</v>
      </c>
      <c r="E26" s="302">
        <f t="shared" si="1"/>
        <v>0.4891148294232131</v>
      </c>
      <c r="F26" s="82">
        <f t="shared" si="11"/>
        <v>74.198719623501418</v>
      </c>
      <c r="G26" s="82">
        <f t="shared" si="2"/>
        <v>67.312026220846604</v>
      </c>
      <c r="H26" s="82">
        <f t="shared" si="37"/>
        <v>4.4020334648089179</v>
      </c>
      <c r="I26" s="82">
        <f t="shared" si="3"/>
        <v>3.9934623334714536</v>
      </c>
      <c r="J26" s="300">
        <f t="shared" si="4"/>
        <v>119.29510689632168</v>
      </c>
      <c r="K26" s="300">
        <f t="shared" si="2"/>
        <v>108.22282923707641</v>
      </c>
      <c r="L26" s="300">
        <f t="shared" si="5"/>
        <v>56.0036479689579</v>
      </c>
      <c r="M26" s="300">
        <f t="shared" ref="M26" si="44">L26/1.10231</f>
        <v>50.805715242497939</v>
      </c>
      <c r="N26" s="82">
        <f t="shared" si="7"/>
        <v>5.2639269806760787</v>
      </c>
      <c r="O26" s="82">
        <f t="shared" ref="O26" si="45">N26/1.10231</f>
        <v>4.7753599084432503</v>
      </c>
      <c r="P26" s="12">
        <f t="shared" si="9"/>
        <v>6.6091932349135183</v>
      </c>
      <c r="Q26" s="12">
        <f t="shared" ref="Q26" si="46">P26/1.10231</f>
        <v>5.995766376893541</v>
      </c>
      <c r="R26" s="46"/>
      <c r="S26" s="17"/>
    </row>
    <row r="27" spans="1:19" ht="15.75" x14ac:dyDescent="0.25">
      <c r="A27" s="83">
        <v>2038</v>
      </c>
      <c r="B27" s="18">
        <v>580.16026199999999</v>
      </c>
      <c r="C27" s="18">
        <v>62.954551000000002</v>
      </c>
      <c r="D27" s="56">
        <f t="shared" si="0"/>
        <v>0.10851234585246379</v>
      </c>
      <c r="E27" s="302">
        <f t="shared" si="1"/>
        <v>0.4097730419667423</v>
      </c>
      <c r="F27" s="82">
        <f t="shared" si="11"/>
        <v>62.162570466354801</v>
      </c>
      <c r="G27" s="82">
        <f t="shared" si="2"/>
        <v>56.393002391663693</v>
      </c>
      <c r="H27" s="82">
        <f t="shared" si="37"/>
        <v>3.6879573777006809</v>
      </c>
      <c r="I27" s="82">
        <f t="shared" si="3"/>
        <v>3.3456626336517687</v>
      </c>
      <c r="J27" s="82">
        <f t="shared" si="4"/>
        <v>99.943644935688454</v>
      </c>
      <c r="K27" s="82">
        <f t="shared" si="2"/>
        <v>90.667457371962939</v>
      </c>
      <c r="L27" s="82">
        <f t="shared" si="5"/>
        <v>46.919013305191996</v>
      </c>
      <c r="M27" s="82">
        <f t="shared" ref="M27" si="47">L27/1.10231</f>
        <v>42.564263505903057</v>
      </c>
      <c r="N27" s="82">
        <f t="shared" si="7"/>
        <v>4.4100387921300577</v>
      </c>
      <c r="O27" s="82">
        <f t="shared" ref="O27" si="48">N27/1.10231</f>
        <v>4.0007246528926146</v>
      </c>
      <c r="P27" s="12">
        <f t="shared" si="9"/>
        <v>5.5370826110716029</v>
      </c>
      <c r="Q27" s="12">
        <f t="shared" ref="Q27" si="49">P27/1.10231</f>
        <v>5.0231628226829148</v>
      </c>
      <c r="R27" s="46"/>
      <c r="S27" s="17"/>
    </row>
    <row r="28" spans="1:19" ht="15.75" x14ac:dyDescent="0.25">
      <c r="A28" s="83">
        <v>2039</v>
      </c>
      <c r="B28" s="18">
        <v>586.536338</v>
      </c>
      <c r="C28" s="18">
        <v>63.316713999999997</v>
      </c>
      <c r="D28" s="56">
        <f t="shared" si="0"/>
        <v>0.1079501983046786</v>
      </c>
      <c r="E28" s="302">
        <f t="shared" si="1"/>
        <v>0.4076502152148142</v>
      </c>
      <c r="F28" s="82">
        <f t="shared" si="11"/>
        <v>61.840537648087313</v>
      </c>
      <c r="G28" s="82">
        <f t="shared" si="2"/>
        <v>56.100858785720277</v>
      </c>
      <c r="H28" s="82">
        <f t="shared" si="37"/>
        <v>3.6688519369333279</v>
      </c>
      <c r="I28" s="82">
        <f t="shared" si="3"/>
        <v>3.328330448724341</v>
      </c>
      <c r="J28" s="82">
        <f t="shared" si="4"/>
        <v>99.425887490893189</v>
      </c>
      <c r="K28" s="82">
        <f t="shared" si="2"/>
        <v>90.197755160429637</v>
      </c>
      <c r="L28" s="82">
        <f t="shared" si="5"/>
        <v>46.675949642096228</v>
      </c>
      <c r="M28" s="82">
        <f t="shared" ref="M28" si="50">L28/1.10231</f>
        <v>42.34375959765967</v>
      </c>
      <c r="N28" s="82">
        <f t="shared" si="7"/>
        <v>4.387192612986496</v>
      </c>
      <c r="O28" s="82">
        <f t="shared" ref="O28" si="51">N28/1.10231</f>
        <v>3.9799989231581825</v>
      </c>
      <c r="P28" s="12">
        <f t="shared" si="9"/>
        <v>5.5083977882779829</v>
      </c>
      <c r="Q28" s="12">
        <f t="shared" ref="Q28" si="52">P28/1.10231</f>
        <v>4.997140358227707</v>
      </c>
      <c r="R28" s="46"/>
      <c r="S28" s="17"/>
    </row>
    <row r="29" spans="1:19" ht="15.75" x14ac:dyDescent="0.25">
      <c r="A29" s="83">
        <v>2040</v>
      </c>
      <c r="B29" s="18">
        <v>596.94998900000007</v>
      </c>
      <c r="C29" s="18">
        <v>63.496756999999995</v>
      </c>
      <c r="D29" s="56">
        <f t="shared" si="0"/>
        <v>0.10636863752417287</v>
      </c>
      <c r="E29" s="302">
        <f t="shared" si="1"/>
        <v>0.40167779827928624</v>
      </c>
      <c r="F29" s="300">
        <f t="shared" si="11"/>
        <v>60.934521998967718</v>
      </c>
      <c r="G29" s="300">
        <f t="shared" si="2"/>
        <v>55.278934237163526</v>
      </c>
      <c r="H29" s="82">
        <f t="shared" si="37"/>
        <v>3.615100184513576</v>
      </c>
      <c r="I29" s="82">
        <f t="shared" si="3"/>
        <v>3.2795676211896621</v>
      </c>
      <c r="J29" s="82">
        <f t="shared" si="4"/>
        <v>97.969215000317917</v>
      </c>
      <c r="K29" s="82">
        <f t="shared" si="2"/>
        <v>88.876282534239849</v>
      </c>
      <c r="L29" s="82">
        <f t="shared" si="5"/>
        <v>45.992107902978276</v>
      </c>
      <c r="M29" s="82">
        <f t="shared" ref="M29" si="53">L29/1.10231</f>
        <v>41.723388069579592</v>
      </c>
      <c r="N29" s="300">
        <f t="shared" si="7"/>
        <v>4.3229165682715038</v>
      </c>
      <c r="O29" s="300">
        <f t="shared" ref="O29" si="54">N29/1.10231</f>
        <v>3.9216886068996057</v>
      </c>
      <c r="P29" s="301">
        <f t="shared" si="9"/>
        <v>5.427695149077854</v>
      </c>
      <c r="Q29" s="301">
        <f t="shared" ref="Q29" si="55">P29/1.10231</f>
        <v>4.9239280683998645</v>
      </c>
      <c r="R29" s="46"/>
      <c r="S29" s="17"/>
    </row>
    <row r="30" spans="1:19" ht="15.75" x14ac:dyDescent="0.25">
      <c r="A30" s="83">
        <v>2041</v>
      </c>
      <c r="B30" s="18">
        <v>603.08279400000004</v>
      </c>
      <c r="C30" s="18">
        <v>64.310705999999996</v>
      </c>
      <c r="D30" s="56">
        <f t="shared" si="0"/>
        <v>0.10663661215312337</v>
      </c>
      <c r="E30" s="302">
        <f t="shared" si="1"/>
        <v>0.40268974561129073</v>
      </c>
      <c r="F30" s="82">
        <f t="shared" si="11"/>
        <v>61.088034409232797</v>
      </c>
      <c r="G30" s="82">
        <f t="shared" si="2"/>
        <v>55.418198518776755</v>
      </c>
      <c r="H30" s="82">
        <f t="shared" si="37"/>
        <v>3.6242077105016164</v>
      </c>
      <c r="I30" s="82">
        <f t="shared" si="3"/>
        <v>3.2878298396110139</v>
      </c>
      <c r="J30" s="82">
        <f t="shared" si="4"/>
        <v>98.21602895459381</v>
      </c>
      <c r="K30" s="82">
        <f t="shared" si="2"/>
        <v>89.100188653458488</v>
      </c>
      <c r="L30" s="82">
        <f t="shared" si="5"/>
        <v>46.107975872492787</v>
      </c>
      <c r="M30" s="82">
        <f t="shared" ref="M30" si="56">L30/1.10231</f>
        <v>41.828501848384569</v>
      </c>
      <c r="N30" s="82">
        <f t="shared" si="7"/>
        <v>4.3338072968765697</v>
      </c>
      <c r="O30" s="82">
        <f t="shared" ref="O30" si="57">N30/1.10231</f>
        <v>3.9315685214472973</v>
      </c>
      <c r="P30" s="12">
        <f t="shared" si="9"/>
        <v>5.4413691476124306</v>
      </c>
      <c r="Q30" s="12">
        <f t="shared" ref="Q30" si="58">P30/1.10231</f>
        <v>4.9363329259576991</v>
      </c>
      <c r="R30" s="46"/>
      <c r="S30" s="17"/>
    </row>
    <row r="31" spans="1:19" ht="15.75" x14ac:dyDescent="0.25">
      <c r="A31" s="83">
        <v>2042</v>
      </c>
      <c r="B31" s="18">
        <v>607.74160699999993</v>
      </c>
      <c r="C31" s="18">
        <v>65.549230999999992</v>
      </c>
      <c r="D31" s="56">
        <f t="shared" si="0"/>
        <v>0.10785707321170789</v>
      </c>
      <c r="E31" s="81">
        <f t="shared" si="1"/>
        <v>0.4072985487539128</v>
      </c>
      <c r="F31" s="82">
        <f t="shared" si="11"/>
        <v>61.78718984596857</v>
      </c>
      <c r="G31" s="82">
        <f t="shared" si="2"/>
        <v>56.052462416170201</v>
      </c>
      <c r="H31" s="82">
        <f t="shared" si="37"/>
        <v>3.6656869387852153</v>
      </c>
      <c r="I31" s="82">
        <f t="shared" si="3"/>
        <v>3.3254592072876195</v>
      </c>
      <c r="J31" s="82">
        <f t="shared" si="11"/>
        <v>99.340116041079341</v>
      </c>
      <c r="K31" s="82">
        <f t="shared" si="2"/>
        <v>90.119944517494488</v>
      </c>
      <c r="L31" s="82">
        <f t="shared" si="11"/>
        <v>46.635683832323018</v>
      </c>
      <c r="M31" s="82">
        <f t="shared" ref="M31" si="59">L31/1.10231</f>
        <v>42.307231026048044</v>
      </c>
      <c r="N31" s="82">
        <f t="shared" si="11"/>
        <v>4.3834079259142991</v>
      </c>
      <c r="O31" s="82">
        <f t="shared" ref="O31" si="60">N31/1.10231</f>
        <v>3.9765655087174201</v>
      </c>
      <c r="P31" s="12">
        <f t="shared" si="11"/>
        <v>5.503645874300898</v>
      </c>
      <c r="Q31" s="12">
        <f t="shared" ref="Q31" si="61">P31/1.10231</f>
        <v>4.9928294892551994</v>
      </c>
      <c r="R31" s="46"/>
      <c r="S31" s="17"/>
    </row>
    <row r="32" spans="1:19" ht="15.75" x14ac:dyDescent="0.25">
      <c r="A32" s="83">
        <v>2043</v>
      </c>
      <c r="B32" s="18">
        <v>611.16988400000002</v>
      </c>
      <c r="C32" s="18">
        <v>65.414804000000004</v>
      </c>
      <c r="D32" s="56">
        <f t="shared" si="0"/>
        <v>0.10703211285849287</v>
      </c>
      <c r="E32" s="81">
        <f t="shared" si="1"/>
        <v>0.40418326716283476</v>
      </c>
      <c r="F32" s="82">
        <f t="shared" si="11"/>
        <v>61.314601628602027</v>
      </c>
      <c r="G32" s="82">
        <f t="shared" si="2"/>
        <v>55.623737087209619</v>
      </c>
      <c r="H32" s="82">
        <f t="shared" si="37"/>
        <v>3.6376494044655128</v>
      </c>
      <c r="I32" s="82">
        <f t="shared" si="3"/>
        <v>3.3000239537566682</v>
      </c>
      <c r="J32" s="82">
        <f t="shared" si="11"/>
        <v>98.580298861015393</v>
      </c>
      <c r="K32" s="82">
        <f t="shared" si="2"/>
        <v>89.430649146805706</v>
      </c>
      <c r="L32" s="82">
        <f t="shared" si="11"/>
        <v>46.278984090144583</v>
      </c>
      <c r="M32" s="82">
        <f t="shared" ref="M32" si="62">L32/1.10231</f>
        <v>41.983638078348726</v>
      </c>
      <c r="N32" s="82">
        <f t="shared" si="11"/>
        <v>4.3498807992904407</v>
      </c>
      <c r="O32" s="82">
        <f t="shared" ref="O32" si="63">N32/1.10231</f>
        <v>3.9461501748967542</v>
      </c>
      <c r="P32" s="12">
        <f t="shared" si="11"/>
        <v>5.4615504464422013</v>
      </c>
      <c r="Q32" s="12">
        <f t="shared" ref="Q32" si="64">P32/1.10231</f>
        <v>4.9546411140624702</v>
      </c>
      <c r="R32" s="46"/>
      <c r="S32" s="17"/>
    </row>
    <row r="33" spans="1:19" ht="15.75" x14ac:dyDescent="0.25">
      <c r="A33" s="83">
        <v>2044</v>
      </c>
      <c r="B33" s="18">
        <v>615.28704800000003</v>
      </c>
      <c r="C33" s="18">
        <v>66.208364000000003</v>
      </c>
      <c r="D33" s="56">
        <f t="shared" si="0"/>
        <v>0.1076056520533161</v>
      </c>
      <c r="E33" s="81">
        <f t="shared" si="1"/>
        <v>0.4063491119678988</v>
      </c>
      <c r="F33" s="82">
        <f t="shared" si="11"/>
        <v>61.643160285530243</v>
      </c>
      <c r="G33" s="82">
        <f t="shared" si="2"/>
        <v>55.921800841442291</v>
      </c>
      <c r="H33" s="82">
        <f t="shared" si="37"/>
        <v>3.657142007711089</v>
      </c>
      <c r="I33" s="82">
        <f t="shared" si="3"/>
        <v>3.3177073669939392</v>
      </c>
      <c r="J33" s="82">
        <f t="shared" si="11"/>
        <v>99.10854840897052</v>
      </c>
      <c r="K33" s="82">
        <f t="shared" si="2"/>
        <v>89.909869645535764</v>
      </c>
      <c r="L33" s="82">
        <f t="shared" si="11"/>
        <v>46.526973320324416</v>
      </c>
      <c r="M33" s="82">
        <f t="shared" ref="M33" si="65">L33/1.10231</f>
        <v>42.208610391200679</v>
      </c>
      <c r="N33" s="82">
        <f t="shared" si="11"/>
        <v>4.3731899451586571</v>
      </c>
      <c r="O33" s="82">
        <f t="shared" ref="O33" si="66">N33/1.10231</f>
        <v>3.9672959014784022</v>
      </c>
      <c r="P33" s="12">
        <f t="shared" si="11"/>
        <v>5.4908165532383952</v>
      </c>
      <c r="Q33" s="12">
        <f t="shared" ref="Q33" si="67">P33/1.10231</f>
        <v>4.9811909111215495</v>
      </c>
      <c r="R33" s="46"/>
      <c r="S33" s="17"/>
    </row>
    <row r="34" spans="1:19" ht="15.75" x14ac:dyDescent="0.25">
      <c r="A34" s="83">
        <v>2045</v>
      </c>
      <c r="B34" s="18">
        <v>619.58330499999988</v>
      </c>
      <c r="C34" s="18">
        <v>67.447415000000007</v>
      </c>
      <c r="D34" s="56">
        <f t="shared" si="0"/>
        <v>0.108859316343264</v>
      </c>
      <c r="E34" s="81">
        <f t="shared" si="1"/>
        <v>0.41108329982146796</v>
      </c>
      <c r="F34" s="82">
        <f t="shared" si="11"/>
        <v>62.361336582916685</v>
      </c>
      <c r="G34" s="82">
        <f t="shared" si="2"/>
        <v>56.573320193880754</v>
      </c>
      <c r="H34" s="82">
        <f t="shared" si="37"/>
        <v>3.6997496983932114</v>
      </c>
      <c r="I34" s="82">
        <f t="shared" si="3"/>
        <v>3.3563604597556149</v>
      </c>
      <c r="J34" s="82">
        <f t="shared" si="11"/>
        <v>100.26321682645604</v>
      </c>
      <c r="K34" s="82">
        <f t="shared" si="2"/>
        <v>90.957368459377179</v>
      </c>
      <c r="L34" s="82">
        <f t="shared" si="11"/>
        <v>47.069037829558084</v>
      </c>
      <c r="M34" s="82">
        <f t="shared" ref="M34" si="68">L34/1.10231</f>
        <v>42.700363626890883</v>
      </c>
      <c r="N34" s="82">
        <f t="shared" si="11"/>
        <v>4.4241399832169579</v>
      </c>
      <c r="O34" s="82">
        <f t="shared" ref="O34" si="69">N34/1.10231</f>
        <v>4.0135170534758444</v>
      </c>
      <c r="P34" s="12">
        <f t="shared" si="11"/>
        <v>5.554787548293926</v>
      </c>
      <c r="Q34" s="12">
        <f t="shared" ref="Q34" si="70">P34/1.10231</f>
        <v>5.0392244906550125</v>
      </c>
      <c r="R34" s="46"/>
      <c r="S34" s="17"/>
    </row>
    <row r="35" spans="1:19" ht="15.75" x14ac:dyDescent="0.25">
      <c r="A35" s="83">
        <v>2046</v>
      </c>
      <c r="B35" s="18">
        <v>621.37370299999998</v>
      </c>
      <c r="C35" s="18">
        <v>66.661139000000006</v>
      </c>
      <c r="D35" s="56">
        <f t="shared" si="0"/>
        <v>0.10728027059748296</v>
      </c>
      <c r="E35" s="81">
        <f t="shared" si="1"/>
        <v>0.40512038036221043</v>
      </c>
      <c r="F35" s="82">
        <f t="shared" si="11"/>
        <v>61.456761700947318</v>
      </c>
      <c r="G35" s="82">
        <f t="shared" si="2"/>
        <v>55.752702688850981</v>
      </c>
      <c r="H35" s="82">
        <f>H$14*$E35</f>
        <v>3.6460834232598938</v>
      </c>
      <c r="I35" s="82">
        <f t="shared" si="3"/>
        <v>3.3076751760030247</v>
      </c>
      <c r="J35" s="82">
        <f t="shared" si="11"/>
        <v>98.808860770343131</v>
      </c>
      <c r="K35" s="82">
        <f t="shared" si="2"/>
        <v>89.637997269681975</v>
      </c>
      <c r="L35" s="82">
        <f t="shared" si="11"/>
        <v>46.386283551473092</v>
      </c>
      <c r="M35" s="82">
        <f t="shared" ref="M35" si="71">L35/1.10231</f>
        <v>42.08097862803848</v>
      </c>
      <c r="N35" s="82">
        <f t="shared" si="11"/>
        <v>4.3599661517626984</v>
      </c>
      <c r="O35" s="82">
        <f t="shared" ref="O35" si="72">N35/1.10231</f>
        <v>3.9552994636379046</v>
      </c>
      <c r="P35" s="12">
        <f t="shared" si="11"/>
        <v>5.4742132443070011</v>
      </c>
      <c r="Q35" s="12">
        <f t="shared" ref="Q35" si="73">P35/1.10231</f>
        <v>4.9661286247126499</v>
      </c>
      <c r="R35" s="46"/>
      <c r="S35" s="17"/>
    </row>
    <row r="36" spans="1:19" ht="15.75" x14ac:dyDescent="0.25">
      <c r="A36" s="83">
        <v>2047</v>
      </c>
      <c r="B36" s="18">
        <v>628.83810400000004</v>
      </c>
      <c r="C36" s="18">
        <v>66.932340000000011</v>
      </c>
      <c r="D36" s="56">
        <f t="shared" si="0"/>
        <v>0.10643811113583537</v>
      </c>
      <c r="E36" s="81">
        <f t="shared" si="1"/>
        <v>0.40194015011551015</v>
      </c>
      <c r="F36" s="82">
        <f t="shared" si="11"/>
        <v>60.974320772522887</v>
      </c>
      <c r="G36" s="82">
        <f t="shared" si="2"/>
        <v>55.315039120141243</v>
      </c>
      <c r="H36" s="82">
        <f t="shared" si="37"/>
        <v>3.6174613510395912</v>
      </c>
      <c r="I36" s="82">
        <f t="shared" si="3"/>
        <v>3.2817096379780564</v>
      </c>
      <c r="J36" s="82">
        <f t="shared" si="11"/>
        <v>98.033202613172932</v>
      </c>
      <c r="K36" s="82">
        <f t="shared" si="2"/>
        <v>88.934331189205338</v>
      </c>
      <c r="L36" s="82">
        <f t="shared" si="11"/>
        <v>46.022147188225915</v>
      </c>
      <c r="M36" s="82">
        <f t="shared" ref="M36" si="74">L36/1.10231</f>
        <v>41.750639283165278</v>
      </c>
      <c r="N36" s="82">
        <f t="shared" si="11"/>
        <v>4.3257400379887425</v>
      </c>
      <c r="O36" s="82">
        <f t="shared" ref="O36" si="75">N36/1.10231</f>
        <v>3.924250018587097</v>
      </c>
      <c r="P36" s="12">
        <f t="shared" si="11"/>
        <v>5.4312401938747632</v>
      </c>
      <c r="Q36" s="12">
        <f t="shared" ref="Q36" si="76">P36/1.10231</f>
        <v>4.9271440827668842</v>
      </c>
      <c r="R36" s="46"/>
      <c r="S36" s="17"/>
    </row>
    <row r="37" spans="1:19" ht="15.75" x14ac:dyDescent="0.25">
      <c r="A37" s="83">
        <v>2048</v>
      </c>
      <c r="B37" s="18">
        <v>635.16078200000004</v>
      </c>
      <c r="C37" s="18">
        <v>68.224148999999997</v>
      </c>
      <c r="D37" s="56">
        <f t="shared" si="0"/>
        <v>0.10741240790272846</v>
      </c>
      <c r="E37" s="81">
        <f t="shared" si="1"/>
        <v>0.4056193678746669</v>
      </c>
      <c r="F37" s="82">
        <f t="shared" si="11"/>
        <v>61.532458106586965</v>
      </c>
      <c r="G37" s="82">
        <f t="shared" si="2"/>
        <v>55.821373394586793</v>
      </c>
      <c r="H37" s="82">
        <f t="shared" si="37"/>
        <v>3.6505743108720021</v>
      </c>
      <c r="I37" s="82">
        <f t="shared" si="3"/>
        <v>3.311749245558874</v>
      </c>
      <c r="J37" s="82">
        <f t="shared" si="11"/>
        <v>98.930563824631264</v>
      </c>
      <c r="K37" s="82">
        <f t="shared" si="2"/>
        <v>89.748404554645489</v>
      </c>
      <c r="L37" s="82">
        <f t="shared" si="11"/>
        <v>46.44341762164936</v>
      </c>
      <c r="M37" s="82">
        <f t="shared" ref="M37" si="77">L37/1.10231</f>
        <v>42.132809846276785</v>
      </c>
      <c r="N37" s="82">
        <f t="shared" si="11"/>
        <v>4.3653363300354311</v>
      </c>
      <c r="O37" s="82">
        <f t="shared" ref="O37" si="78">N37/1.10231</f>
        <v>3.9601712132117384</v>
      </c>
      <c r="P37" s="12">
        <f t="shared" si="11"/>
        <v>5.4809558427588261</v>
      </c>
      <c r="Q37" s="12">
        <f t="shared" ref="Q37" si="79">P37/1.10231</f>
        <v>4.9722454144104891</v>
      </c>
      <c r="R37" s="46"/>
      <c r="S37" s="17"/>
    </row>
    <row r="38" spans="1:19" ht="15.75" x14ac:dyDescent="0.25">
      <c r="A38" s="83">
        <v>2049</v>
      </c>
      <c r="B38" s="18">
        <v>638.94432900000004</v>
      </c>
      <c r="C38" s="18">
        <v>68.740358000000001</v>
      </c>
      <c r="D38" s="56">
        <f t="shared" si="0"/>
        <v>0.10758426811234754</v>
      </c>
      <c r="E38" s="81">
        <f t="shared" si="1"/>
        <v>0.40626836021130297</v>
      </c>
      <c r="F38" s="82">
        <f t="shared" si="11"/>
        <v>61.630910244054654</v>
      </c>
      <c r="G38" s="82">
        <f t="shared" si="2"/>
        <v>55.910687777535045</v>
      </c>
      <c r="H38" s="82">
        <f t="shared" si="37"/>
        <v>3.6564152419017266</v>
      </c>
      <c r="I38" s="82">
        <f t="shared" si="3"/>
        <v>3.3170480553580455</v>
      </c>
      <c r="J38" s="82">
        <f t="shared" si="11"/>
        <v>99.088853055536802</v>
      </c>
      <c r="K38" s="82">
        <f t="shared" si="2"/>
        <v>89.892002300203032</v>
      </c>
      <c r="L38" s="82">
        <f t="shared" si="11"/>
        <v>46.517727244194191</v>
      </c>
      <c r="M38" s="82">
        <f t="shared" ref="M38" si="80">L38/1.10231</f>
        <v>42.200222482055132</v>
      </c>
      <c r="N38" s="82">
        <f t="shared" si="11"/>
        <v>4.3723208826712598</v>
      </c>
      <c r="O38" s="82">
        <f t="shared" ref="O38" si="81">N38/1.10231</f>
        <v>3.9665075003141226</v>
      </c>
      <c r="P38" s="12">
        <f t="shared" si="11"/>
        <v>5.4897253903226648</v>
      </c>
      <c r="Q38" s="12">
        <f t="shared" ref="Q38" si="82">P38/1.10231</f>
        <v>4.9802010235983207</v>
      </c>
      <c r="R38" s="46"/>
      <c r="S38" s="17"/>
    </row>
    <row r="39" spans="1:19" ht="15.75" x14ac:dyDescent="0.25">
      <c r="A39" s="83">
        <v>2050</v>
      </c>
      <c r="B39" s="18">
        <v>641.88326299999994</v>
      </c>
      <c r="C39" s="18">
        <v>67.728964000000005</v>
      </c>
      <c r="D39" s="56">
        <f t="shared" si="0"/>
        <v>0.10551601498916169</v>
      </c>
      <c r="E39" s="81">
        <f t="shared" si="1"/>
        <v>0.39845805653399247</v>
      </c>
      <c r="F39" s="82">
        <f t="shared" si="11"/>
        <v>60.446087176206653</v>
      </c>
      <c r="G39" s="82">
        <f t="shared" si="2"/>
        <v>54.835833092511777</v>
      </c>
      <c r="H39" s="82">
        <f t="shared" si="37"/>
        <v>3.5861225088059321</v>
      </c>
      <c r="I39" s="82">
        <f t="shared" si="3"/>
        <v>3.2532794847238367</v>
      </c>
      <c r="J39" s="82">
        <f t="shared" si="11"/>
        <v>97.183919988640767</v>
      </c>
      <c r="K39" s="82">
        <f t="shared" si="2"/>
        <v>88.163874036015983</v>
      </c>
      <c r="L39" s="82">
        <f t="shared" si="11"/>
        <v>45.623447473142136</v>
      </c>
      <c r="M39" s="82">
        <f t="shared" ref="M39" si="83">L39/1.10231</f>
        <v>41.388944555653254</v>
      </c>
      <c r="N39" s="82">
        <f t="shared" si="11"/>
        <v>4.2882652258375655</v>
      </c>
      <c r="O39" s="82">
        <f t="shared" ref="O39" si="84">N39/1.10231</f>
        <v>3.890253400438684</v>
      </c>
      <c r="P39" s="12">
        <f t="shared" si="11"/>
        <v>5.3841881971699381</v>
      </c>
      <c r="Q39" s="12">
        <f t="shared" ref="Q39" si="85">P39/1.10231</f>
        <v>4.8844591786066882</v>
      </c>
      <c r="R39" s="46"/>
      <c r="S39" s="17"/>
    </row>
    <row r="41" spans="1:19" x14ac:dyDescent="0.25">
      <c r="A41" s="1" t="s">
        <v>510</v>
      </c>
    </row>
    <row r="42" spans="1:19" x14ac:dyDescent="0.25">
      <c r="A42" t="s">
        <v>19</v>
      </c>
      <c r="B42" s="372">
        <v>5.0000000000000001E-3</v>
      </c>
      <c r="C42" s="29" t="s">
        <v>125</v>
      </c>
    </row>
    <row r="43" spans="1:19" x14ac:dyDescent="0.25">
      <c r="A43" t="s">
        <v>18</v>
      </c>
      <c r="B43" s="372">
        <v>6.3E-3</v>
      </c>
      <c r="C43" s="29" t="s">
        <v>125</v>
      </c>
    </row>
    <row r="45" spans="1:19" x14ac:dyDescent="0.25">
      <c r="A45" s="516" t="s">
        <v>122</v>
      </c>
      <c r="B45" s="516" t="s">
        <v>124</v>
      </c>
      <c r="C45" s="50"/>
      <c r="D45" s="50" t="s">
        <v>187</v>
      </c>
      <c r="E45" s="516" t="s">
        <v>188</v>
      </c>
      <c r="F45" s="50" t="s">
        <v>187</v>
      </c>
    </row>
    <row r="46" spans="1:19" ht="30" x14ac:dyDescent="0.25">
      <c r="A46" s="517"/>
      <c r="B46" s="517" t="s">
        <v>124</v>
      </c>
      <c r="C46" s="86" t="s">
        <v>281</v>
      </c>
      <c r="D46" s="86" t="s">
        <v>465</v>
      </c>
      <c r="E46" s="517" t="s">
        <v>188</v>
      </c>
      <c r="F46" s="86" t="s">
        <v>186</v>
      </c>
    </row>
    <row r="47" spans="1:19" x14ac:dyDescent="0.25">
      <c r="A47" s="518"/>
      <c r="B47" s="518"/>
      <c r="C47" s="50" t="s">
        <v>4</v>
      </c>
      <c r="D47" s="50" t="s">
        <v>4</v>
      </c>
      <c r="E47" s="518"/>
      <c r="F47" s="50" t="s">
        <v>4</v>
      </c>
    </row>
    <row r="48" spans="1:19" x14ac:dyDescent="0.25">
      <c r="A48" s="65">
        <v>2025</v>
      </c>
      <c r="B48" s="84">
        <v>1</v>
      </c>
      <c r="C48" s="18">
        <f>'2 Sustainable Schools'!D158</f>
        <v>725.74779260860532</v>
      </c>
      <c r="D48" s="28">
        <f>'5 Transmission'!C84</f>
        <v>6930.8933999999999</v>
      </c>
      <c r="E48" s="84">
        <v>1</v>
      </c>
      <c r="F48" s="28">
        <v>155627.58675000002</v>
      </c>
    </row>
    <row r="49" spans="1:6" x14ac:dyDescent="0.25">
      <c r="A49" s="65">
        <v>2026</v>
      </c>
      <c r="B49" s="84">
        <f t="shared" ref="B49:B73" si="86">B48-$B$42</f>
        <v>0.995</v>
      </c>
      <c r="C49" s="27">
        <f t="shared" ref="C49:C73" si="87">$C$48*B49</f>
        <v>722.1190536455623</v>
      </c>
      <c r="D49" s="28">
        <f t="shared" ref="D49:D73" si="88">$D$48*B49</f>
        <v>6896.2389329999996</v>
      </c>
      <c r="E49" s="85">
        <f t="shared" ref="E49:E73" si="89">E48*(1-$B$43)</f>
        <v>0.99370000000000003</v>
      </c>
      <c r="F49" s="28">
        <f t="shared" ref="F49:F73" si="90">$F$48*E49</f>
        <v>154647.13295347503</v>
      </c>
    </row>
    <row r="50" spans="1:6" x14ac:dyDescent="0.25">
      <c r="A50" s="65">
        <v>2027</v>
      </c>
      <c r="B50" s="84">
        <f t="shared" si="86"/>
        <v>0.99</v>
      </c>
      <c r="C50" s="27">
        <f t="shared" si="87"/>
        <v>718.49031468251928</v>
      </c>
      <c r="D50" s="28">
        <f t="shared" si="88"/>
        <v>6861.5844660000002</v>
      </c>
      <c r="E50" s="85">
        <f t="shared" si="89"/>
        <v>0.98743969000000009</v>
      </c>
      <c r="F50" s="28">
        <f t="shared" si="90"/>
        <v>153672.85601586814</v>
      </c>
    </row>
    <row r="51" spans="1:6" x14ac:dyDescent="0.25">
      <c r="A51" s="65">
        <v>2028</v>
      </c>
      <c r="B51" s="84">
        <f t="shared" si="86"/>
        <v>0.98499999999999999</v>
      </c>
      <c r="C51" s="27">
        <f t="shared" si="87"/>
        <v>714.86157571947626</v>
      </c>
      <c r="D51" s="28">
        <f t="shared" si="88"/>
        <v>6826.929999</v>
      </c>
      <c r="E51" s="85">
        <f t="shared" si="89"/>
        <v>0.98121881995300009</v>
      </c>
      <c r="F51" s="28">
        <f t="shared" si="90"/>
        <v>152704.71702296817</v>
      </c>
    </row>
    <row r="52" spans="1:6" x14ac:dyDescent="0.25">
      <c r="A52" s="65">
        <v>2029</v>
      </c>
      <c r="B52" s="84">
        <f t="shared" si="86"/>
        <v>0.98</v>
      </c>
      <c r="C52" s="27">
        <f t="shared" si="87"/>
        <v>711.23283675643324</v>
      </c>
      <c r="D52" s="28">
        <f t="shared" si="88"/>
        <v>6792.2755319999997</v>
      </c>
      <c r="E52" s="85">
        <f t="shared" si="89"/>
        <v>0.97503714138729625</v>
      </c>
      <c r="F52" s="28">
        <f t="shared" si="90"/>
        <v>151742.67730572348</v>
      </c>
    </row>
    <row r="53" spans="1:6" x14ac:dyDescent="0.25">
      <c r="A53" s="65">
        <v>2030</v>
      </c>
      <c r="B53" s="84">
        <f t="shared" si="86"/>
        <v>0.97499999999999998</v>
      </c>
      <c r="C53" s="27">
        <f t="shared" si="87"/>
        <v>707.60409779339022</v>
      </c>
      <c r="D53" s="28">
        <f t="shared" si="88"/>
        <v>6757.6210649999994</v>
      </c>
      <c r="E53" s="85">
        <f t="shared" si="89"/>
        <v>0.9688944073965563</v>
      </c>
      <c r="F53" s="28">
        <f t="shared" si="90"/>
        <v>150786.69843869744</v>
      </c>
    </row>
    <row r="54" spans="1:6" x14ac:dyDescent="0.25">
      <c r="A54" s="65">
        <f>A53+1</f>
        <v>2031</v>
      </c>
      <c r="B54" s="84">
        <f t="shared" si="86"/>
        <v>0.97</v>
      </c>
      <c r="C54" s="27">
        <f t="shared" si="87"/>
        <v>703.97535883034709</v>
      </c>
      <c r="D54" s="28">
        <f t="shared" si="88"/>
        <v>6722.966598</v>
      </c>
      <c r="E54" s="85">
        <f t="shared" si="89"/>
        <v>0.96279037262995804</v>
      </c>
      <c r="F54" s="28">
        <f t="shared" si="90"/>
        <v>149836.74223853362</v>
      </c>
    </row>
    <row r="55" spans="1:6" x14ac:dyDescent="0.25">
      <c r="A55" s="65">
        <f>A54+1</f>
        <v>2032</v>
      </c>
      <c r="B55" s="84">
        <f t="shared" si="86"/>
        <v>0.96499999999999997</v>
      </c>
      <c r="C55" s="27">
        <f t="shared" si="87"/>
        <v>700.34661986730407</v>
      </c>
      <c r="D55" s="28">
        <f t="shared" si="88"/>
        <v>6688.3121309999997</v>
      </c>
      <c r="E55" s="85">
        <f t="shared" si="89"/>
        <v>0.95672479328238935</v>
      </c>
      <c r="F55" s="28">
        <f t="shared" si="90"/>
        <v>148892.77076243088</v>
      </c>
    </row>
    <row r="56" spans="1:6" x14ac:dyDescent="0.25">
      <c r="A56" s="65">
        <f t="shared" ref="A56:A62" si="91">A55+1</f>
        <v>2033</v>
      </c>
      <c r="B56" s="84">
        <f t="shared" si="86"/>
        <v>0.96</v>
      </c>
      <c r="C56" s="27">
        <f t="shared" si="87"/>
        <v>696.71788090426105</v>
      </c>
      <c r="D56" s="28">
        <f t="shared" si="88"/>
        <v>6653.6576639999994</v>
      </c>
      <c r="E56" s="85">
        <f t="shared" si="89"/>
        <v>0.95069742708471028</v>
      </c>
      <c r="F56" s="28">
        <f t="shared" si="90"/>
        <v>147954.74630662755</v>
      </c>
    </row>
    <row r="57" spans="1:6" x14ac:dyDescent="0.25">
      <c r="A57" s="65">
        <f t="shared" si="91"/>
        <v>2034</v>
      </c>
      <c r="B57" s="84">
        <f t="shared" si="86"/>
        <v>0.95499999999999996</v>
      </c>
      <c r="C57" s="27">
        <f t="shared" si="87"/>
        <v>693.08914194121803</v>
      </c>
      <c r="D57" s="28">
        <f t="shared" si="88"/>
        <v>6619.003197</v>
      </c>
      <c r="E57" s="85">
        <f t="shared" si="89"/>
        <v>0.9447080332940766</v>
      </c>
      <c r="F57" s="28">
        <f t="shared" si="90"/>
        <v>147022.6314048958</v>
      </c>
    </row>
    <row r="58" spans="1:6" x14ac:dyDescent="0.25">
      <c r="A58" s="65">
        <f t="shared" si="91"/>
        <v>2035</v>
      </c>
      <c r="B58" s="84">
        <f t="shared" si="86"/>
        <v>0.95</v>
      </c>
      <c r="C58" s="27">
        <f t="shared" si="87"/>
        <v>689.46040297817501</v>
      </c>
      <c r="D58" s="28">
        <f t="shared" si="88"/>
        <v>6584.3487299999997</v>
      </c>
      <c r="E58" s="85">
        <f t="shared" si="89"/>
        <v>0.93875637268432399</v>
      </c>
      <c r="F58" s="28">
        <f t="shared" si="90"/>
        <v>146096.38882704498</v>
      </c>
    </row>
    <row r="59" spans="1:6" x14ac:dyDescent="0.25">
      <c r="A59" s="65">
        <f t="shared" si="91"/>
        <v>2036</v>
      </c>
      <c r="B59" s="84">
        <f t="shared" si="86"/>
        <v>0.94499999999999995</v>
      </c>
      <c r="C59" s="27">
        <f t="shared" si="87"/>
        <v>685.83166401513199</v>
      </c>
      <c r="D59" s="28">
        <f t="shared" si="88"/>
        <v>6549.6942629999994</v>
      </c>
      <c r="E59" s="85">
        <f t="shared" si="89"/>
        <v>0.93284220753641278</v>
      </c>
      <c r="F59" s="28">
        <f t="shared" si="90"/>
        <v>145175.98157743461</v>
      </c>
    </row>
    <row r="60" spans="1:6" x14ac:dyDescent="0.25">
      <c r="A60" s="65">
        <f t="shared" si="91"/>
        <v>2037</v>
      </c>
      <c r="B60" s="84">
        <f t="shared" si="86"/>
        <v>0.94</v>
      </c>
      <c r="C60" s="27">
        <f t="shared" si="87"/>
        <v>682.20292505208897</v>
      </c>
      <c r="D60" s="28">
        <f t="shared" si="88"/>
        <v>6515.0397959999991</v>
      </c>
      <c r="E60" s="85">
        <f t="shared" si="89"/>
        <v>0.92696530162893342</v>
      </c>
      <c r="F60" s="28">
        <f t="shared" si="90"/>
        <v>144261.37289349677</v>
      </c>
    </row>
    <row r="61" spans="1:6" x14ac:dyDescent="0.25">
      <c r="A61" s="65">
        <f t="shared" si="91"/>
        <v>2038</v>
      </c>
      <c r="B61" s="84">
        <f t="shared" si="86"/>
        <v>0.93499999999999994</v>
      </c>
      <c r="C61" s="27">
        <f t="shared" si="87"/>
        <v>678.57418608904595</v>
      </c>
      <c r="D61" s="28">
        <f t="shared" si="88"/>
        <v>6480.3853289999997</v>
      </c>
      <c r="E61" s="85">
        <f t="shared" si="89"/>
        <v>0.92112542022867117</v>
      </c>
      <c r="F61" s="28">
        <f t="shared" si="90"/>
        <v>143352.52624426773</v>
      </c>
    </row>
    <row r="62" spans="1:6" x14ac:dyDescent="0.25">
      <c r="A62" s="65">
        <f t="shared" si="91"/>
        <v>2039</v>
      </c>
      <c r="B62" s="84">
        <f t="shared" si="86"/>
        <v>0.92999999999999994</v>
      </c>
      <c r="C62" s="27">
        <f t="shared" si="87"/>
        <v>674.94544712600293</v>
      </c>
      <c r="D62" s="28">
        <f t="shared" si="88"/>
        <v>6445.7308619999994</v>
      </c>
      <c r="E62" s="85">
        <f t="shared" si="89"/>
        <v>0.91532233008123054</v>
      </c>
      <c r="F62" s="28">
        <f t="shared" si="90"/>
        <v>142449.40532892884</v>
      </c>
    </row>
    <row r="63" spans="1:6" x14ac:dyDescent="0.25">
      <c r="A63" s="65">
        <v>2040</v>
      </c>
      <c r="B63" s="84">
        <f t="shared" si="86"/>
        <v>0.92499999999999993</v>
      </c>
      <c r="C63" s="27">
        <f t="shared" si="87"/>
        <v>671.31670816295991</v>
      </c>
      <c r="D63" s="28">
        <f t="shared" si="88"/>
        <v>6411.0763949999991</v>
      </c>
      <c r="E63" s="85">
        <f t="shared" si="89"/>
        <v>0.90955579940171882</v>
      </c>
      <c r="F63" s="28">
        <f t="shared" si="90"/>
        <v>141551.97407535661</v>
      </c>
    </row>
    <row r="64" spans="1:6" x14ac:dyDescent="0.25">
      <c r="A64" s="65">
        <f>A63+1</f>
        <v>2041</v>
      </c>
      <c r="B64" s="84">
        <f t="shared" si="86"/>
        <v>0.91999999999999993</v>
      </c>
      <c r="C64" s="27">
        <f t="shared" si="87"/>
        <v>667.68796919991689</v>
      </c>
      <c r="D64" s="28">
        <f t="shared" si="88"/>
        <v>6376.4219279999998</v>
      </c>
      <c r="E64" s="85">
        <f t="shared" si="89"/>
        <v>0.903825597865488</v>
      </c>
      <c r="F64" s="28">
        <f t="shared" si="90"/>
        <v>140660.19663868187</v>
      </c>
    </row>
    <row r="65" spans="1:6" x14ac:dyDescent="0.25">
      <c r="A65" s="65">
        <f>A64+1</f>
        <v>2042</v>
      </c>
      <c r="B65" s="84">
        <f t="shared" si="86"/>
        <v>0.91499999999999992</v>
      </c>
      <c r="C65" s="27">
        <f t="shared" si="87"/>
        <v>664.05923023687376</v>
      </c>
      <c r="D65" s="28">
        <f t="shared" si="88"/>
        <v>6341.7674609999995</v>
      </c>
      <c r="E65" s="85">
        <f t="shared" si="89"/>
        <v>0.89813149659893543</v>
      </c>
      <c r="F65" s="28">
        <f t="shared" si="90"/>
        <v>139774.03739985818</v>
      </c>
    </row>
    <row r="66" spans="1:6" x14ac:dyDescent="0.25">
      <c r="A66" s="65">
        <f t="shared" ref="A66:A72" si="92">A65+1</f>
        <v>2043</v>
      </c>
      <c r="B66" s="84">
        <f t="shared" si="86"/>
        <v>0.90999999999999992</v>
      </c>
      <c r="C66" s="27">
        <f t="shared" si="87"/>
        <v>660.43049127383074</v>
      </c>
      <c r="D66" s="28">
        <f t="shared" si="88"/>
        <v>6307.1129939999992</v>
      </c>
      <c r="E66" s="85">
        <f t="shared" si="89"/>
        <v>0.89247326817036221</v>
      </c>
      <c r="F66" s="28">
        <f t="shared" si="90"/>
        <v>138893.46096423909</v>
      </c>
    </row>
    <row r="67" spans="1:6" x14ac:dyDescent="0.25">
      <c r="A67" s="65">
        <f t="shared" si="92"/>
        <v>2044</v>
      </c>
      <c r="B67" s="84">
        <f t="shared" si="86"/>
        <v>0.90499999999999992</v>
      </c>
      <c r="C67" s="27">
        <f t="shared" si="87"/>
        <v>656.80175231078772</v>
      </c>
      <c r="D67" s="28">
        <f t="shared" si="88"/>
        <v>6272.4585269999998</v>
      </c>
      <c r="E67" s="85">
        <f t="shared" si="89"/>
        <v>0.88685068658088895</v>
      </c>
      <c r="F67" s="28">
        <f t="shared" si="90"/>
        <v>138018.43216016438</v>
      </c>
    </row>
    <row r="68" spans="1:6" x14ac:dyDescent="0.25">
      <c r="A68" s="65">
        <f t="shared" si="92"/>
        <v>2045</v>
      </c>
      <c r="B68" s="84">
        <f t="shared" si="86"/>
        <v>0.89999999999999991</v>
      </c>
      <c r="C68" s="27">
        <f t="shared" si="87"/>
        <v>653.1730133477447</v>
      </c>
      <c r="D68" s="28">
        <f t="shared" si="88"/>
        <v>6237.8040599999995</v>
      </c>
      <c r="E68" s="85">
        <f t="shared" si="89"/>
        <v>0.88126352725542934</v>
      </c>
      <c r="F68" s="28">
        <f t="shared" si="90"/>
        <v>137148.91603755535</v>
      </c>
    </row>
    <row r="69" spans="1:6" x14ac:dyDescent="0.25">
      <c r="A69" s="65">
        <f t="shared" si="92"/>
        <v>2046</v>
      </c>
      <c r="B69" s="84">
        <f t="shared" si="86"/>
        <v>0.89499999999999991</v>
      </c>
      <c r="C69" s="27">
        <f t="shared" si="87"/>
        <v>649.54427438470168</v>
      </c>
      <c r="D69" s="28">
        <f t="shared" si="88"/>
        <v>6203.1495929999992</v>
      </c>
      <c r="E69" s="85">
        <f t="shared" si="89"/>
        <v>0.87571156703372011</v>
      </c>
      <c r="F69" s="28">
        <f t="shared" si="90"/>
        <v>136284.87786651874</v>
      </c>
    </row>
    <row r="70" spans="1:6" x14ac:dyDescent="0.25">
      <c r="A70" s="65">
        <f t="shared" si="92"/>
        <v>2047</v>
      </c>
      <c r="B70" s="84">
        <f t="shared" si="86"/>
        <v>0.8899999999999999</v>
      </c>
      <c r="C70" s="27">
        <f t="shared" si="87"/>
        <v>645.91553542165866</v>
      </c>
      <c r="D70" s="28">
        <f t="shared" si="88"/>
        <v>6168.4951259999989</v>
      </c>
      <c r="E70" s="85">
        <f t="shared" si="89"/>
        <v>0.87019458416140771</v>
      </c>
      <c r="F70" s="28">
        <f t="shared" si="90"/>
        <v>135426.28313595967</v>
      </c>
    </row>
    <row r="71" spans="1:6" x14ac:dyDescent="0.25">
      <c r="A71" s="65">
        <f t="shared" si="92"/>
        <v>2048</v>
      </c>
      <c r="B71" s="84">
        <f t="shared" si="86"/>
        <v>0.8849999999999999</v>
      </c>
      <c r="C71" s="27">
        <f t="shared" si="87"/>
        <v>642.28679645861564</v>
      </c>
      <c r="D71" s="28">
        <f t="shared" si="88"/>
        <v>6133.8406589999995</v>
      </c>
      <c r="E71" s="85">
        <f t="shared" si="89"/>
        <v>0.86471235828119086</v>
      </c>
      <c r="F71" s="28">
        <f t="shared" si="90"/>
        <v>134573.09755220314</v>
      </c>
    </row>
    <row r="72" spans="1:6" x14ac:dyDescent="0.25">
      <c r="A72" s="65">
        <f t="shared" si="92"/>
        <v>2049</v>
      </c>
      <c r="B72" s="84">
        <f t="shared" si="86"/>
        <v>0.87999999999999989</v>
      </c>
      <c r="C72" s="27">
        <f t="shared" si="87"/>
        <v>638.65805749557262</v>
      </c>
      <c r="D72" s="28">
        <f t="shared" si="88"/>
        <v>6099.1861919999992</v>
      </c>
      <c r="E72" s="85">
        <f t="shared" si="89"/>
        <v>0.85926467042401944</v>
      </c>
      <c r="F72" s="28">
        <f t="shared" si="90"/>
        <v>133725.28703762425</v>
      </c>
    </row>
    <row r="73" spans="1:6" x14ac:dyDescent="0.25">
      <c r="A73" s="65">
        <v>2050</v>
      </c>
      <c r="B73" s="84">
        <f t="shared" si="86"/>
        <v>0.87499999999999989</v>
      </c>
      <c r="C73" s="27">
        <f t="shared" si="87"/>
        <v>635.0293185325296</v>
      </c>
      <c r="D73" s="28">
        <f t="shared" si="88"/>
        <v>6064.5317249999989</v>
      </c>
      <c r="E73" s="85">
        <f t="shared" si="89"/>
        <v>0.85385130300034817</v>
      </c>
      <c r="F73" s="28">
        <f t="shared" si="90"/>
        <v>132882.81772928723</v>
      </c>
    </row>
  </sheetData>
  <mergeCells count="16">
    <mergeCell ref="E45:E47"/>
    <mergeCell ref="A45:A47"/>
    <mergeCell ref="B45:B47"/>
    <mergeCell ref="E12:E13"/>
    <mergeCell ref="H12:I12"/>
    <mergeCell ref="F11:Q11"/>
    <mergeCell ref="D12:D13"/>
    <mergeCell ref="C12:C13"/>
    <mergeCell ref="B12:B13"/>
    <mergeCell ref="A12:A13"/>
    <mergeCell ref="B11:E11"/>
    <mergeCell ref="F12:G12"/>
    <mergeCell ref="J12:K12"/>
    <mergeCell ref="L12:M12"/>
    <mergeCell ref="N12:O12"/>
    <mergeCell ref="P12:Q12"/>
  </mergeCells>
  <phoneticPr fontId="11" type="noConversion"/>
  <pageMargins left="0.7" right="0.7" top="0.75" bottom="0.75" header="0.3" footer="0.3"/>
  <pageSetup scale="77" orientation="landscape" r:id="rId1"/>
  <rowBreaks count="1" manualBreakCount="1">
    <brk id="40" max="16" man="1"/>
  </rowBreaks>
  <colBreaks count="1" manualBreakCount="1">
    <brk id="17" max="1048575" man="1"/>
  </col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CA12D8-C3E1-44F0-8B0A-E898360F17E6}">
  <sheetPr>
    <tabColor theme="9" tint="0.39997558519241921"/>
  </sheetPr>
  <dimension ref="A1:AD111"/>
  <sheetViews>
    <sheetView topLeftCell="A109" zoomScaleNormal="100" workbookViewId="0">
      <selection activeCell="B136" sqref="B136"/>
    </sheetView>
  </sheetViews>
  <sheetFormatPr defaultRowHeight="15" x14ac:dyDescent="0.25"/>
  <cols>
    <col min="1" max="1" width="34.5703125" bestFit="1" customWidth="1"/>
    <col min="2" max="2" width="69.7109375" bestFit="1" customWidth="1"/>
    <col min="5" max="14" width="11" bestFit="1" customWidth="1"/>
  </cols>
  <sheetData>
    <row r="1" spans="1:30" x14ac:dyDescent="0.25">
      <c r="A1" s="1" t="s">
        <v>189</v>
      </c>
    </row>
    <row r="2" spans="1:30" x14ac:dyDescent="0.25">
      <c r="A2" s="1" t="s">
        <v>190</v>
      </c>
    </row>
    <row r="3" spans="1:30" x14ac:dyDescent="0.25">
      <c r="A3" s="1" t="s">
        <v>505</v>
      </c>
    </row>
    <row r="5" spans="1:30" x14ac:dyDescent="0.25">
      <c r="A5" s="1" t="s">
        <v>488</v>
      </c>
    </row>
    <row r="6" spans="1:30" x14ac:dyDescent="0.25">
      <c r="A6" s="1"/>
    </row>
    <row r="7" spans="1:30" x14ac:dyDescent="0.25">
      <c r="A7" s="1" t="s">
        <v>486</v>
      </c>
    </row>
    <row r="8" spans="1:30" x14ac:dyDescent="0.25">
      <c r="A8" t="s">
        <v>126</v>
      </c>
    </row>
    <row r="11" spans="1:30" ht="15.75" x14ac:dyDescent="0.25">
      <c r="A11" s="367"/>
      <c r="B11" s="367" t="s">
        <v>129</v>
      </c>
      <c r="C11" s="367" t="s">
        <v>130</v>
      </c>
      <c r="D11" s="367" t="s">
        <v>131</v>
      </c>
      <c r="E11" s="367">
        <v>2025</v>
      </c>
      <c r="F11" s="367">
        <v>2026</v>
      </c>
      <c r="G11" s="367">
        <v>2027</v>
      </c>
      <c r="H11" s="367">
        <v>2028</v>
      </c>
      <c r="I11" s="367">
        <v>2029</v>
      </c>
      <c r="J11" s="367">
        <v>2030</v>
      </c>
      <c r="K11" s="367">
        <v>2031</v>
      </c>
      <c r="L11" s="367">
        <v>2032</v>
      </c>
      <c r="M11" s="367">
        <v>2033</v>
      </c>
      <c r="N11" s="367">
        <v>2034</v>
      </c>
      <c r="O11" s="367">
        <v>2035</v>
      </c>
      <c r="P11" s="367">
        <v>2036</v>
      </c>
      <c r="Q11" s="367">
        <v>2037</v>
      </c>
      <c r="R11" s="367">
        <v>2038</v>
      </c>
      <c r="S11" s="367">
        <v>2039</v>
      </c>
      <c r="T11" s="367">
        <v>2040</v>
      </c>
      <c r="U11" s="367">
        <v>2041</v>
      </c>
      <c r="V11" s="367">
        <v>2042</v>
      </c>
      <c r="W11" s="367">
        <v>2043</v>
      </c>
      <c r="X11" s="367">
        <v>2044</v>
      </c>
      <c r="Y11" s="367">
        <v>2045</v>
      </c>
      <c r="Z11" s="367">
        <v>2046</v>
      </c>
      <c r="AA11" s="367">
        <v>2047</v>
      </c>
      <c r="AB11" s="367">
        <v>2048</v>
      </c>
      <c r="AC11" s="367">
        <v>2049</v>
      </c>
      <c r="AD11" s="367">
        <v>2050</v>
      </c>
    </row>
    <row r="12" spans="1:30" x14ac:dyDescent="0.25">
      <c r="A12" s="368" t="s">
        <v>132</v>
      </c>
      <c r="B12" s="368"/>
      <c r="C12" s="7"/>
      <c r="D12" s="7"/>
      <c r="E12" s="7"/>
      <c r="F12" s="7"/>
      <c r="G12" s="7"/>
      <c r="H12" s="7"/>
      <c r="I12" s="7"/>
      <c r="J12" s="7"/>
      <c r="K12" s="7"/>
      <c r="L12" s="7"/>
      <c r="M12" s="7"/>
      <c r="N12" s="7"/>
      <c r="O12" s="7"/>
      <c r="P12" s="7"/>
      <c r="Q12" s="7"/>
      <c r="R12" s="7"/>
      <c r="S12" s="7"/>
      <c r="T12" s="7"/>
      <c r="U12" s="7"/>
      <c r="V12" s="7"/>
      <c r="W12" s="7"/>
      <c r="X12" s="7"/>
      <c r="Y12" s="7"/>
      <c r="Z12" s="7"/>
      <c r="AA12" s="7"/>
      <c r="AB12" s="7"/>
      <c r="AC12" s="7"/>
      <c r="AD12" s="7"/>
    </row>
    <row r="13" spans="1:30" x14ac:dyDescent="0.25">
      <c r="A13" s="369" t="s">
        <v>133</v>
      </c>
      <c r="B13" s="369" t="s">
        <v>134</v>
      </c>
      <c r="C13" s="7"/>
      <c r="D13" s="7" t="s">
        <v>135</v>
      </c>
      <c r="E13" s="7"/>
      <c r="F13" s="7"/>
      <c r="G13" s="7"/>
      <c r="H13" s="7"/>
      <c r="I13" s="7"/>
      <c r="J13" s="7"/>
      <c r="K13" s="7"/>
      <c r="L13" s="7"/>
      <c r="M13" s="7"/>
      <c r="N13" s="7"/>
      <c r="O13" s="7"/>
      <c r="P13" s="7"/>
      <c r="Q13" s="7"/>
      <c r="R13" s="7"/>
      <c r="S13" s="7"/>
      <c r="T13" s="7"/>
      <c r="U13" s="7"/>
      <c r="V13" s="7"/>
      <c r="W13" s="7"/>
      <c r="X13" s="7"/>
      <c r="Y13" s="7"/>
      <c r="Z13" s="7"/>
      <c r="AA13" s="7"/>
      <c r="AB13" s="7"/>
      <c r="AC13" s="7"/>
      <c r="AD13" s="7"/>
    </row>
    <row r="14" spans="1:30" x14ac:dyDescent="0.25">
      <c r="A14" s="7" t="s">
        <v>136</v>
      </c>
      <c r="B14" s="7" t="s">
        <v>137</v>
      </c>
      <c r="C14" s="7" t="s">
        <v>138</v>
      </c>
      <c r="D14" s="7" t="s">
        <v>135</v>
      </c>
      <c r="E14" s="7">
        <v>221.432007</v>
      </c>
      <c r="F14" s="7">
        <v>217.263214</v>
      </c>
      <c r="G14" s="7">
        <v>211.774734</v>
      </c>
      <c r="H14" s="7">
        <v>231.63800000000001</v>
      </c>
      <c r="I14" s="7">
        <v>240.994629</v>
      </c>
      <c r="J14" s="7">
        <v>241.868729</v>
      </c>
      <c r="K14" s="7">
        <v>241.88269</v>
      </c>
      <c r="L14" s="7">
        <v>242.57493600000001</v>
      </c>
      <c r="M14" s="7">
        <v>239.68283099999999</v>
      </c>
      <c r="N14" s="7">
        <v>240.02477999999999</v>
      </c>
      <c r="O14" s="7">
        <v>238.25439499999999</v>
      </c>
      <c r="P14" s="7">
        <v>237.83123800000001</v>
      </c>
      <c r="Q14" s="7">
        <v>236.59635900000001</v>
      </c>
      <c r="R14" s="7">
        <v>233.183212</v>
      </c>
      <c r="S14" s="7">
        <v>234.28097500000001</v>
      </c>
      <c r="T14" s="7">
        <v>236.12760900000001</v>
      </c>
      <c r="U14" s="7">
        <v>236.677032</v>
      </c>
      <c r="V14" s="7">
        <v>239.84098800000001</v>
      </c>
      <c r="W14" s="7">
        <v>241.23857100000001</v>
      </c>
      <c r="X14" s="7">
        <v>243.89392100000001</v>
      </c>
      <c r="Y14" s="7">
        <v>245.49340799999999</v>
      </c>
      <c r="Z14" s="7">
        <v>247.64927700000001</v>
      </c>
      <c r="AA14" s="7">
        <v>252.68836999999999</v>
      </c>
      <c r="AB14" s="7">
        <v>254.87503100000001</v>
      </c>
      <c r="AC14" s="7">
        <v>257.359894</v>
      </c>
      <c r="AD14" s="7">
        <v>257.80493200000001</v>
      </c>
    </row>
    <row r="15" spans="1:30" x14ac:dyDescent="0.25">
      <c r="A15" s="7" t="s">
        <v>139</v>
      </c>
      <c r="B15" s="7" t="s">
        <v>140</v>
      </c>
      <c r="C15" s="7" t="s">
        <v>141</v>
      </c>
      <c r="D15" s="7" t="s">
        <v>135</v>
      </c>
      <c r="E15" s="7">
        <v>222.921875</v>
      </c>
      <c r="F15" s="7">
        <v>220.287811</v>
      </c>
      <c r="G15" s="7">
        <v>217.536057</v>
      </c>
      <c r="H15" s="7">
        <v>218.29078699999999</v>
      </c>
      <c r="I15" s="7">
        <v>219.68798799999999</v>
      </c>
      <c r="J15" s="7">
        <v>219.42523199999999</v>
      </c>
      <c r="K15" s="7">
        <v>219.99511699999999</v>
      </c>
      <c r="L15" s="7">
        <v>221.31146200000001</v>
      </c>
      <c r="M15" s="7">
        <v>224.122818</v>
      </c>
      <c r="N15" s="7">
        <v>226.188446</v>
      </c>
      <c r="O15" s="7">
        <v>223.71975699999999</v>
      </c>
      <c r="P15" s="7">
        <v>223.34085099999999</v>
      </c>
      <c r="Q15" s="7">
        <v>223.81575000000001</v>
      </c>
      <c r="R15" s="7">
        <v>222.81838999999999</v>
      </c>
      <c r="S15" s="7">
        <v>221.556107</v>
      </c>
      <c r="T15" s="7">
        <v>223.68867499999999</v>
      </c>
      <c r="U15" s="7">
        <v>224.59938</v>
      </c>
      <c r="V15" s="7">
        <v>225.204803</v>
      </c>
      <c r="W15" s="7">
        <v>225.932739</v>
      </c>
      <c r="X15" s="7">
        <v>227.80509900000001</v>
      </c>
      <c r="Y15" s="7">
        <v>228.292328</v>
      </c>
      <c r="Z15" s="7">
        <v>229.25242600000001</v>
      </c>
      <c r="AA15" s="7">
        <v>233.286011</v>
      </c>
      <c r="AB15" s="7">
        <v>237.13621499999999</v>
      </c>
      <c r="AC15" s="7">
        <v>237.15295399999999</v>
      </c>
      <c r="AD15" s="7">
        <v>237.69548</v>
      </c>
    </row>
    <row r="16" spans="1:30" x14ac:dyDescent="0.25">
      <c r="A16" s="7" t="s">
        <v>142</v>
      </c>
      <c r="B16" s="7" t="s">
        <v>143</v>
      </c>
      <c r="C16" s="7" t="s">
        <v>144</v>
      </c>
      <c r="D16" s="7" t="s">
        <v>135</v>
      </c>
      <c r="E16" s="7">
        <v>220.43718000000001</v>
      </c>
      <c r="F16" s="7">
        <v>216.63507100000001</v>
      </c>
      <c r="G16" s="7">
        <v>212.66213999999999</v>
      </c>
      <c r="H16" s="7">
        <v>225.60041799999999</v>
      </c>
      <c r="I16" s="7">
        <v>231.99247700000001</v>
      </c>
      <c r="J16" s="7">
        <v>245.569458</v>
      </c>
      <c r="K16" s="7">
        <v>247.36836199999999</v>
      </c>
      <c r="L16" s="7">
        <v>250.08644100000001</v>
      </c>
      <c r="M16" s="7">
        <v>247.18537900000001</v>
      </c>
      <c r="N16" s="7">
        <v>245.16236900000001</v>
      </c>
      <c r="O16" s="7">
        <v>242.43022199999999</v>
      </c>
      <c r="P16" s="7">
        <v>244.915817</v>
      </c>
      <c r="Q16" s="7">
        <v>247.223083</v>
      </c>
      <c r="R16" s="7">
        <v>244.31050099999999</v>
      </c>
      <c r="S16" s="7">
        <v>245.96002200000001</v>
      </c>
      <c r="T16" s="7">
        <v>246.13644400000001</v>
      </c>
      <c r="U16" s="7">
        <v>248.093842</v>
      </c>
      <c r="V16" s="7">
        <v>248.40867600000001</v>
      </c>
      <c r="W16" s="7">
        <v>249.48551900000001</v>
      </c>
      <c r="X16" s="7">
        <v>250.764465</v>
      </c>
      <c r="Y16" s="7">
        <v>251.26109299999999</v>
      </c>
      <c r="Z16" s="7">
        <v>252.040222</v>
      </c>
      <c r="AA16" s="7">
        <v>251.85218800000001</v>
      </c>
      <c r="AB16" s="7">
        <v>252.57856799999999</v>
      </c>
      <c r="AC16" s="7">
        <v>251.41810599999999</v>
      </c>
      <c r="AD16" s="7">
        <v>253.44586200000001</v>
      </c>
    </row>
    <row r="17" spans="1:30" x14ac:dyDescent="0.25">
      <c r="A17" s="7" t="s">
        <v>145</v>
      </c>
      <c r="B17" s="7" t="s">
        <v>146</v>
      </c>
      <c r="C17" s="7" t="s">
        <v>147</v>
      </c>
      <c r="D17" s="7" t="s">
        <v>135</v>
      </c>
      <c r="E17" s="7">
        <v>219.88385</v>
      </c>
      <c r="F17" s="7">
        <v>217.60307299999999</v>
      </c>
      <c r="G17" s="7">
        <v>214.26692199999999</v>
      </c>
      <c r="H17" s="7">
        <v>216.82740799999999</v>
      </c>
      <c r="I17" s="7">
        <v>214.77856399999999</v>
      </c>
      <c r="J17" s="7">
        <v>214.99250799999999</v>
      </c>
      <c r="K17" s="7">
        <v>215.609253</v>
      </c>
      <c r="L17" s="7">
        <v>215.98512299999999</v>
      </c>
      <c r="M17" s="7">
        <v>218.20442199999999</v>
      </c>
      <c r="N17" s="7">
        <v>218.652817</v>
      </c>
      <c r="O17" s="7">
        <v>217.86325099999999</v>
      </c>
      <c r="P17" s="7">
        <v>219.52731299999999</v>
      </c>
      <c r="Q17" s="7">
        <v>220.95335399999999</v>
      </c>
      <c r="R17" s="7">
        <v>217.078766</v>
      </c>
      <c r="S17" s="7">
        <v>216.98992899999999</v>
      </c>
      <c r="T17" s="7">
        <v>219.43345600000001</v>
      </c>
      <c r="U17" s="7">
        <v>220.836319</v>
      </c>
      <c r="V17" s="7">
        <v>222.45306400000001</v>
      </c>
      <c r="W17" s="7">
        <v>224.66091900000001</v>
      </c>
      <c r="X17" s="7">
        <v>228.31358299999999</v>
      </c>
      <c r="Y17" s="7">
        <v>229.22869900000001</v>
      </c>
      <c r="Z17" s="7">
        <v>231.07298299999999</v>
      </c>
      <c r="AA17" s="7">
        <v>230.335205</v>
      </c>
      <c r="AB17" s="7">
        <v>229.47848500000001</v>
      </c>
      <c r="AC17" s="7">
        <v>231.19683800000001</v>
      </c>
      <c r="AD17" s="7">
        <v>234.82363900000001</v>
      </c>
    </row>
    <row r="18" spans="1:30" ht="9.6" customHeight="1" x14ac:dyDescent="0.25">
      <c r="A18" s="7"/>
      <c r="B18" s="7"/>
      <c r="C18" s="7"/>
      <c r="D18" s="7"/>
      <c r="E18" s="7"/>
      <c r="F18" s="7"/>
      <c r="G18" s="7"/>
      <c r="H18" s="7"/>
      <c r="I18" s="7"/>
      <c r="J18" s="7"/>
      <c r="K18" s="7"/>
      <c r="L18" s="7"/>
      <c r="M18" s="7"/>
      <c r="N18" s="7"/>
      <c r="O18" s="7"/>
      <c r="P18" s="7"/>
      <c r="Q18" s="7"/>
      <c r="R18" s="7"/>
      <c r="S18" s="7"/>
      <c r="T18" s="7"/>
      <c r="U18" s="7"/>
      <c r="V18" s="7"/>
      <c r="W18" s="7"/>
      <c r="X18" s="7"/>
      <c r="Y18" s="7"/>
      <c r="Z18" s="7"/>
      <c r="AA18" s="7"/>
      <c r="AB18" s="7"/>
      <c r="AC18" s="7"/>
      <c r="AD18" s="7"/>
    </row>
    <row r="19" spans="1:30" x14ac:dyDescent="0.25">
      <c r="A19" s="369" t="s">
        <v>148</v>
      </c>
      <c r="B19" s="369" t="s">
        <v>149</v>
      </c>
      <c r="C19" s="7"/>
      <c r="D19" s="7" t="s">
        <v>150</v>
      </c>
      <c r="E19" s="7"/>
      <c r="F19" s="7"/>
      <c r="G19" s="7"/>
      <c r="H19" s="7"/>
      <c r="I19" s="7"/>
      <c r="J19" s="7"/>
      <c r="K19" s="7"/>
      <c r="L19" s="7"/>
      <c r="M19" s="7"/>
      <c r="N19" s="7"/>
      <c r="O19" s="7"/>
      <c r="P19" s="7"/>
      <c r="Q19" s="7"/>
      <c r="R19" s="7"/>
      <c r="S19" s="7"/>
      <c r="T19" s="7"/>
      <c r="U19" s="7"/>
      <c r="V19" s="7"/>
      <c r="W19" s="7"/>
      <c r="X19" s="7"/>
      <c r="Y19" s="7"/>
      <c r="Z19" s="7"/>
      <c r="AA19" s="7"/>
      <c r="AB19" s="7"/>
      <c r="AC19" s="7"/>
      <c r="AD19" s="7"/>
    </row>
    <row r="20" spans="1:30" x14ac:dyDescent="0.25">
      <c r="A20" s="7" t="s">
        <v>136</v>
      </c>
      <c r="B20" s="7" t="s">
        <v>151</v>
      </c>
      <c r="C20" s="7" t="s">
        <v>152</v>
      </c>
      <c r="D20" s="7" t="s">
        <v>150</v>
      </c>
      <c r="E20" s="7">
        <v>90.560355999999999</v>
      </c>
      <c r="F20" s="7">
        <v>80.934151</v>
      </c>
      <c r="G20" s="7">
        <v>70.530045000000001</v>
      </c>
      <c r="H20" s="7">
        <v>49.583064999999998</v>
      </c>
      <c r="I20" s="7">
        <v>40.185054999999998</v>
      </c>
      <c r="J20" s="7">
        <v>37.888961999999999</v>
      </c>
      <c r="K20" s="7">
        <v>39.593223999999999</v>
      </c>
      <c r="L20" s="7">
        <v>40.361148999999997</v>
      </c>
      <c r="M20" s="7">
        <v>43.044826999999998</v>
      </c>
      <c r="N20" s="7">
        <v>43.900387000000002</v>
      </c>
      <c r="O20" s="7">
        <v>42.691017000000002</v>
      </c>
      <c r="P20" s="7">
        <v>42.478839999999998</v>
      </c>
      <c r="Q20" s="7">
        <v>44.311073</v>
      </c>
      <c r="R20" s="7">
        <v>36.086261999999998</v>
      </c>
      <c r="S20" s="7">
        <v>35.847450000000002</v>
      </c>
      <c r="T20" s="7">
        <v>36.728358999999998</v>
      </c>
      <c r="U20" s="7">
        <v>36.813006999999999</v>
      </c>
      <c r="V20" s="7">
        <v>38.162219999999998</v>
      </c>
      <c r="W20" s="7">
        <v>37.842350000000003</v>
      </c>
      <c r="X20" s="7">
        <v>38.689354000000002</v>
      </c>
      <c r="Y20" s="7">
        <v>39.175697</v>
      </c>
      <c r="Z20" s="7">
        <v>39.253444999999999</v>
      </c>
      <c r="AA20" s="7">
        <v>38.802891000000002</v>
      </c>
      <c r="AB20" s="7">
        <v>38.638733000000002</v>
      </c>
      <c r="AC20" s="7">
        <v>38.956600000000002</v>
      </c>
      <c r="AD20" s="7">
        <v>38.430236999999998</v>
      </c>
    </row>
    <row r="21" spans="1:30" x14ac:dyDescent="0.25">
      <c r="A21" s="7" t="s">
        <v>139</v>
      </c>
      <c r="B21" s="7" t="s">
        <v>153</v>
      </c>
      <c r="C21" s="7" t="s">
        <v>154</v>
      </c>
      <c r="D21" s="7" t="s">
        <v>150</v>
      </c>
      <c r="E21" s="7">
        <v>88.513771000000006</v>
      </c>
      <c r="F21" s="7">
        <v>82.494941999999995</v>
      </c>
      <c r="G21" s="7">
        <v>78.040260000000004</v>
      </c>
      <c r="H21" s="7">
        <v>79.248108000000002</v>
      </c>
      <c r="I21" s="7">
        <v>83.431693999999993</v>
      </c>
      <c r="J21" s="7">
        <v>84.070656</v>
      </c>
      <c r="K21" s="7">
        <v>85.895736999999997</v>
      </c>
      <c r="L21" s="7">
        <v>86.995827000000006</v>
      </c>
      <c r="M21" s="7">
        <v>89.602035999999998</v>
      </c>
      <c r="N21" s="7">
        <v>90.441513</v>
      </c>
      <c r="O21" s="7">
        <v>86.882164000000003</v>
      </c>
      <c r="P21" s="7">
        <v>86.398528999999996</v>
      </c>
      <c r="Q21" s="7">
        <v>86.494124999999997</v>
      </c>
      <c r="R21" s="7">
        <v>81.069771000000003</v>
      </c>
      <c r="S21" s="7">
        <v>80.477492999999996</v>
      </c>
      <c r="T21" s="7">
        <v>81.541336000000001</v>
      </c>
      <c r="U21" s="7">
        <v>81.798737000000003</v>
      </c>
      <c r="V21" s="7">
        <v>82.072486999999995</v>
      </c>
      <c r="W21" s="7">
        <v>82.153296999999995</v>
      </c>
      <c r="X21" s="7">
        <v>82.501198000000002</v>
      </c>
      <c r="Y21" s="7">
        <v>82.801033000000004</v>
      </c>
      <c r="Z21" s="7">
        <v>83.068832</v>
      </c>
      <c r="AA21" s="7">
        <v>83.725723000000002</v>
      </c>
      <c r="AB21" s="7">
        <v>78.753235000000004</v>
      </c>
      <c r="AC21" s="7">
        <v>77.047500999999997</v>
      </c>
      <c r="AD21" s="7">
        <v>76.264792999999997</v>
      </c>
    </row>
    <row r="22" spans="1:30" x14ac:dyDescent="0.25">
      <c r="A22" s="7" t="s">
        <v>142</v>
      </c>
      <c r="B22" s="7" t="s">
        <v>155</v>
      </c>
      <c r="C22" s="7" t="s">
        <v>156</v>
      </c>
      <c r="D22" s="7" t="s">
        <v>150</v>
      </c>
      <c r="E22" s="7">
        <v>89.797684000000004</v>
      </c>
      <c r="F22" s="7">
        <v>82.157318000000004</v>
      </c>
      <c r="G22" s="7">
        <v>73.019553999999999</v>
      </c>
      <c r="H22" s="7">
        <v>47.933211999999997</v>
      </c>
      <c r="I22" s="7">
        <v>35.144680000000001</v>
      </c>
      <c r="J22" s="7">
        <v>32.570919000000004</v>
      </c>
      <c r="K22" s="7">
        <v>32.702354</v>
      </c>
      <c r="L22" s="7">
        <v>33.978656999999998</v>
      </c>
      <c r="M22" s="7">
        <v>34.844002000000003</v>
      </c>
      <c r="N22" s="7">
        <v>34.926785000000002</v>
      </c>
      <c r="O22" s="7">
        <v>34.801197000000002</v>
      </c>
      <c r="P22" s="7">
        <v>36.355426999999999</v>
      </c>
      <c r="Q22" s="7">
        <v>37.249366999999999</v>
      </c>
      <c r="R22" s="7">
        <v>28.965807000000002</v>
      </c>
      <c r="S22" s="7">
        <v>30.406286000000001</v>
      </c>
      <c r="T22" s="7">
        <v>31.015238</v>
      </c>
      <c r="U22" s="7">
        <v>31.761704999999999</v>
      </c>
      <c r="V22" s="7">
        <v>32.133254999999998</v>
      </c>
      <c r="W22" s="7">
        <v>32.588734000000002</v>
      </c>
      <c r="X22" s="7">
        <v>33.240532000000002</v>
      </c>
      <c r="Y22" s="7">
        <v>33.248497</v>
      </c>
      <c r="Z22" s="7">
        <v>33.589450999999997</v>
      </c>
      <c r="AA22" s="7">
        <v>33.250503999999999</v>
      </c>
      <c r="AB22" s="7">
        <v>33.733150000000002</v>
      </c>
      <c r="AC22" s="7">
        <v>34.763817000000003</v>
      </c>
      <c r="AD22" s="7">
        <v>35.240025000000003</v>
      </c>
    </row>
    <row r="23" spans="1:30" x14ac:dyDescent="0.25">
      <c r="A23" s="7" t="s">
        <v>145</v>
      </c>
      <c r="B23" s="7" t="s">
        <v>157</v>
      </c>
      <c r="C23" s="7" t="s">
        <v>158</v>
      </c>
      <c r="D23" s="7" t="s">
        <v>150</v>
      </c>
      <c r="E23" s="7">
        <v>88.563072000000005</v>
      </c>
      <c r="F23" s="7">
        <v>84.229339999999993</v>
      </c>
      <c r="G23" s="7">
        <v>79.088431999999997</v>
      </c>
      <c r="H23" s="7">
        <v>81.110641000000001</v>
      </c>
      <c r="I23" s="7">
        <v>80.43486</v>
      </c>
      <c r="J23" s="7">
        <v>80.401741000000001</v>
      </c>
      <c r="K23" s="7">
        <v>81.603438999999995</v>
      </c>
      <c r="L23" s="7">
        <v>82.903098999999997</v>
      </c>
      <c r="M23" s="7">
        <v>85.607108999999994</v>
      </c>
      <c r="N23" s="7">
        <v>86.212494000000007</v>
      </c>
      <c r="O23" s="7">
        <v>83.756743999999998</v>
      </c>
      <c r="P23" s="7">
        <v>84.510468000000003</v>
      </c>
      <c r="Q23" s="7">
        <v>85.694412</v>
      </c>
      <c r="R23" s="7">
        <v>78.639358999999999</v>
      </c>
      <c r="S23" s="7">
        <v>78.131484999999998</v>
      </c>
      <c r="T23" s="7">
        <v>79.764899999999997</v>
      </c>
      <c r="U23" s="7">
        <v>80.300514000000007</v>
      </c>
      <c r="V23" s="7">
        <v>80.967651000000004</v>
      </c>
      <c r="W23" s="7">
        <v>80.994179000000003</v>
      </c>
      <c r="X23" s="7">
        <v>81.126816000000005</v>
      </c>
      <c r="Y23" s="7">
        <v>80.398666000000006</v>
      </c>
      <c r="Z23" s="7">
        <v>79.255447000000004</v>
      </c>
      <c r="AA23" s="7">
        <v>77.716064000000003</v>
      </c>
      <c r="AB23" s="7">
        <v>70.527054000000007</v>
      </c>
      <c r="AC23" s="7">
        <v>68.785483999999997</v>
      </c>
      <c r="AD23" s="7">
        <v>66.487601999999995</v>
      </c>
    </row>
    <row r="24" spans="1:30" ht="9.6" customHeight="1" x14ac:dyDescent="0.25">
      <c r="A24" s="7"/>
      <c r="B24" s="7"/>
      <c r="C24" s="7"/>
      <c r="D24" s="7"/>
      <c r="E24" s="7"/>
      <c r="F24" s="7"/>
      <c r="G24" s="7"/>
      <c r="H24" s="7"/>
      <c r="I24" s="7"/>
      <c r="J24" s="7"/>
      <c r="K24" s="7"/>
      <c r="L24" s="7"/>
      <c r="M24" s="7"/>
      <c r="N24" s="7"/>
      <c r="O24" s="7"/>
      <c r="P24" s="7"/>
      <c r="Q24" s="7"/>
      <c r="R24" s="7"/>
      <c r="S24" s="7"/>
      <c r="T24" s="7"/>
      <c r="U24" s="7"/>
      <c r="V24" s="7"/>
      <c r="W24" s="7"/>
      <c r="X24" s="7"/>
      <c r="Y24" s="7"/>
      <c r="Z24" s="7"/>
      <c r="AA24" s="7"/>
      <c r="AB24" s="7"/>
      <c r="AC24" s="7"/>
      <c r="AD24" s="7"/>
    </row>
    <row r="25" spans="1:30" x14ac:dyDescent="0.25">
      <c r="A25" s="7" t="s">
        <v>159</v>
      </c>
      <c r="B25" s="7"/>
      <c r="C25" s="7"/>
      <c r="D25" s="7"/>
      <c r="E25" s="7"/>
      <c r="F25" s="7"/>
      <c r="G25" s="7"/>
      <c r="H25" s="7"/>
      <c r="I25" s="7"/>
      <c r="J25" s="7"/>
      <c r="K25" s="7"/>
      <c r="L25" s="7"/>
      <c r="M25" s="7"/>
      <c r="N25" s="7"/>
      <c r="O25" s="7"/>
      <c r="P25" s="7"/>
      <c r="Q25" s="7"/>
      <c r="R25" s="7"/>
      <c r="S25" s="7"/>
      <c r="T25" s="7"/>
      <c r="U25" s="7"/>
      <c r="V25" s="7"/>
      <c r="W25" s="7"/>
      <c r="X25" s="7"/>
      <c r="Y25" s="7"/>
      <c r="Z25" s="7"/>
      <c r="AA25" s="7"/>
      <c r="AB25" s="7"/>
      <c r="AC25" s="7"/>
      <c r="AD25" s="7"/>
    </row>
    <row r="26" spans="1:30" x14ac:dyDescent="0.25">
      <c r="A26" s="7" t="s">
        <v>136</v>
      </c>
      <c r="B26" s="7">
        <v>430</v>
      </c>
      <c r="C26" s="7"/>
      <c r="D26" s="7"/>
      <c r="E26" s="7">
        <f>E20/E14</f>
        <v>0.40897590744413026</v>
      </c>
      <c r="F26" s="7">
        <f t="shared" ref="F26:AD26" si="0">F20/F14</f>
        <v>0.37251658718442782</v>
      </c>
      <c r="G26" s="7">
        <f t="shared" si="0"/>
        <v>0.33304277459274251</v>
      </c>
      <c r="H26" s="7">
        <f t="shared" si="0"/>
        <v>0.21405410597570346</v>
      </c>
      <c r="I26" s="7">
        <f t="shared" si="0"/>
        <v>0.16674668297275619</v>
      </c>
      <c r="J26" s="7">
        <f t="shared" si="0"/>
        <v>0.15665093274625014</v>
      </c>
      <c r="K26" s="7">
        <f t="shared" si="0"/>
        <v>0.16368771159275597</v>
      </c>
      <c r="L26" s="7">
        <f t="shared" si="0"/>
        <v>0.16638631206317209</v>
      </c>
      <c r="M26" s="7">
        <f t="shared" si="0"/>
        <v>0.17959078178611801</v>
      </c>
      <c r="N26" s="7">
        <f t="shared" si="0"/>
        <v>0.18289939480415315</v>
      </c>
      <c r="O26" s="7">
        <f t="shared" si="0"/>
        <v>0.17918249524840876</v>
      </c>
      <c r="P26" s="7">
        <f t="shared" si="0"/>
        <v>0.1786091699190499</v>
      </c>
      <c r="Q26" s="7">
        <f t="shared" si="0"/>
        <v>0.18728552369649948</v>
      </c>
      <c r="R26" s="7">
        <f t="shared" si="0"/>
        <v>0.15475497438469113</v>
      </c>
      <c r="S26" s="7">
        <f t="shared" si="0"/>
        <v>0.15301050373381792</v>
      </c>
      <c r="T26" s="7">
        <f t="shared" si="0"/>
        <v>0.15554453439622978</v>
      </c>
      <c r="U26" s="7">
        <f t="shared" si="0"/>
        <v>0.1555411046391692</v>
      </c>
      <c r="V26" s="7">
        <f t="shared" si="0"/>
        <v>0.15911467142555299</v>
      </c>
      <c r="W26" s="7">
        <f t="shared" si="0"/>
        <v>0.1568669132930654</v>
      </c>
      <c r="X26" s="7">
        <f t="shared" si="0"/>
        <v>0.15863189144431361</v>
      </c>
      <c r="Y26" s="7">
        <f t="shared" si="0"/>
        <v>0.15957942544836073</v>
      </c>
      <c r="Z26" s="7">
        <f t="shared" si="0"/>
        <v>0.15850417766412456</v>
      </c>
      <c r="AA26" s="7">
        <f t="shared" si="0"/>
        <v>0.15356025684917751</v>
      </c>
      <c r="AB26" s="7">
        <f t="shared" si="0"/>
        <v>0.15159873781437619</v>
      </c>
      <c r="AC26" s="7">
        <f t="shared" si="0"/>
        <v>0.15137012762369262</v>
      </c>
      <c r="AD26" s="7">
        <f t="shared" si="0"/>
        <v>0.14906711326996644</v>
      </c>
    </row>
    <row r="27" spans="1:30" x14ac:dyDescent="0.25">
      <c r="A27" s="7" t="s">
        <v>139</v>
      </c>
      <c r="B27" s="7">
        <v>591</v>
      </c>
      <c r="C27" s="7"/>
      <c r="D27" s="7"/>
      <c r="E27" s="7">
        <f t="shared" ref="E27:T27" si="1">E21/E15</f>
        <v>0.3970618450970772</v>
      </c>
      <c r="F27" s="7">
        <f t="shared" si="1"/>
        <v>0.37448709316013856</v>
      </c>
      <c r="G27" s="7">
        <f t="shared" si="1"/>
        <v>0.35874632038586596</v>
      </c>
      <c r="H27" s="7">
        <f t="shared" si="1"/>
        <v>0.36303917856139301</v>
      </c>
      <c r="I27" s="7">
        <f t="shared" si="1"/>
        <v>0.37977358143040574</v>
      </c>
      <c r="J27" s="7">
        <f t="shared" si="1"/>
        <v>0.38314033091691113</v>
      </c>
      <c r="K27" s="7">
        <f t="shared" si="1"/>
        <v>0.39044383426019408</v>
      </c>
      <c r="L27" s="7">
        <f t="shared" si="1"/>
        <v>0.39309227915181366</v>
      </c>
      <c r="M27" s="7">
        <f t="shared" si="1"/>
        <v>0.39978988663260517</v>
      </c>
      <c r="N27" s="7">
        <f t="shared" si="1"/>
        <v>0.39985027794036837</v>
      </c>
      <c r="O27" s="7">
        <f t="shared" si="1"/>
        <v>0.38835266569684324</v>
      </c>
      <c r="P27" s="7">
        <f t="shared" si="1"/>
        <v>0.38684606337422794</v>
      </c>
      <c r="Q27" s="7">
        <f t="shared" si="1"/>
        <v>0.38645236092634228</v>
      </c>
      <c r="R27" s="7">
        <f t="shared" si="1"/>
        <v>0.36383788160393765</v>
      </c>
      <c r="S27" s="7">
        <f t="shared" si="1"/>
        <v>0.36323752971521567</v>
      </c>
      <c r="T27" s="7">
        <f t="shared" si="1"/>
        <v>0.36453046181260634</v>
      </c>
      <c r="U27" s="7">
        <f t="shared" ref="U27:AD27" si="2">U21/U15</f>
        <v>0.36419840963051636</v>
      </c>
      <c r="V27" s="7">
        <f t="shared" si="2"/>
        <v>0.36443488729678647</v>
      </c>
      <c r="W27" s="7">
        <f t="shared" si="2"/>
        <v>0.36361838201766766</v>
      </c>
      <c r="X27" s="7">
        <f t="shared" si="2"/>
        <v>0.36215694188653785</v>
      </c>
      <c r="Y27" s="7">
        <f t="shared" si="2"/>
        <v>0.36269739647142241</v>
      </c>
      <c r="Z27" s="7">
        <f t="shared" si="2"/>
        <v>0.36234657774134088</v>
      </c>
      <c r="AA27" s="7">
        <f t="shared" si="2"/>
        <v>0.35889731510733408</v>
      </c>
      <c r="AB27" s="7">
        <f t="shared" si="2"/>
        <v>0.33210125665537843</v>
      </c>
      <c r="AC27" s="7">
        <f t="shared" si="2"/>
        <v>0.32488526792712857</v>
      </c>
      <c r="AD27" s="7">
        <f t="shared" si="2"/>
        <v>0.32085083401670067</v>
      </c>
    </row>
    <row r="28" spans="1:30" x14ac:dyDescent="0.25">
      <c r="A28" s="7" t="s">
        <v>142</v>
      </c>
      <c r="B28" s="7"/>
      <c r="C28" s="7"/>
      <c r="D28" s="7"/>
      <c r="E28" s="7">
        <f t="shared" ref="E28:T28" si="3">E22/E16</f>
        <v>0.4073617889686304</v>
      </c>
      <c r="F28" s="7">
        <f t="shared" si="3"/>
        <v>0.3792429250755987</v>
      </c>
      <c r="G28" s="7">
        <f t="shared" si="3"/>
        <v>0.3433594432934795</v>
      </c>
      <c r="H28" s="7">
        <f t="shared" si="3"/>
        <v>0.21246951767615962</v>
      </c>
      <c r="I28" s="7">
        <f t="shared" si="3"/>
        <v>0.15149060199913292</v>
      </c>
      <c r="J28" s="7">
        <f t="shared" si="3"/>
        <v>0.13263424232503704</v>
      </c>
      <c r="K28" s="7">
        <f t="shared" si="3"/>
        <v>0.13220103709139652</v>
      </c>
      <c r="L28" s="7">
        <f t="shared" si="3"/>
        <v>0.13586764985791452</v>
      </c>
      <c r="M28" s="7">
        <f t="shared" si="3"/>
        <v>0.14096303810914318</v>
      </c>
      <c r="N28" s="7">
        <f t="shared" si="3"/>
        <v>0.14246389094078302</v>
      </c>
      <c r="O28" s="7">
        <f t="shared" si="3"/>
        <v>0.14355139682213386</v>
      </c>
      <c r="P28" s="7">
        <f t="shared" si="3"/>
        <v>0.14844050272179848</v>
      </c>
      <c r="Q28" s="7">
        <f t="shared" si="3"/>
        <v>0.15067107224773182</v>
      </c>
      <c r="R28" s="7">
        <f t="shared" si="3"/>
        <v>0.11856144898167928</v>
      </c>
      <c r="S28" s="7">
        <f t="shared" si="3"/>
        <v>0.1236228788432943</v>
      </c>
      <c r="T28" s="7">
        <f t="shared" si="3"/>
        <v>0.12600831269017601</v>
      </c>
      <c r="U28" s="7">
        <f t="shared" ref="U28:AD28" si="4">U22/U16</f>
        <v>0.12802294786502602</v>
      </c>
      <c r="V28" s="7">
        <f t="shared" si="4"/>
        <v>0.12935641185092905</v>
      </c>
      <c r="W28" s="7">
        <f t="shared" si="4"/>
        <v>0.13062374974957966</v>
      </c>
      <c r="X28" s="7">
        <f t="shared" si="4"/>
        <v>0.13255678790055042</v>
      </c>
      <c r="Y28" s="7">
        <f t="shared" si="4"/>
        <v>0.13232648398930591</v>
      </c>
      <c r="Z28" s="7">
        <f t="shared" si="4"/>
        <v>0.13327020081739174</v>
      </c>
      <c r="AA28" s="7">
        <f t="shared" si="4"/>
        <v>0.13202388378694568</v>
      </c>
      <c r="AB28" s="7">
        <f t="shared" si="4"/>
        <v>0.13355507661283439</v>
      </c>
      <c r="AC28" s="7">
        <f t="shared" si="4"/>
        <v>0.1382709366206108</v>
      </c>
      <c r="AD28" s="7">
        <f t="shared" si="4"/>
        <v>0.13904359977279881</v>
      </c>
    </row>
    <row r="29" spans="1:30" x14ac:dyDescent="0.25">
      <c r="A29" s="7" t="s">
        <v>145</v>
      </c>
      <c r="B29" s="7"/>
      <c r="C29" s="7"/>
      <c r="D29" s="7"/>
      <c r="E29" s="7">
        <f t="shared" ref="E29:T29" si="5">E23/E17</f>
        <v>0.40277206352353756</v>
      </c>
      <c r="F29" s="7">
        <f t="shared" si="5"/>
        <v>0.38707789756259553</v>
      </c>
      <c r="G29" s="7">
        <f t="shared" si="5"/>
        <v>0.36911171944683091</v>
      </c>
      <c r="H29" s="7">
        <f t="shared" si="5"/>
        <v>0.37407928152699221</v>
      </c>
      <c r="I29" s="7">
        <f t="shared" si="5"/>
        <v>0.37450133990094098</v>
      </c>
      <c r="J29" s="7">
        <f t="shared" si="5"/>
        <v>0.37397461775737789</v>
      </c>
      <c r="K29" s="7">
        <f t="shared" si="5"/>
        <v>0.37847837170513271</v>
      </c>
      <c r="L29" s="7">
        <f t="shared" si="5"/>
        <v>0.38383708029742403</v>
      </c>
      <c r="M29" s="7">
        <f t="shared" si="5"/>
        <v>0.39232527102498405</v>
      </c>
      <c r="N29" s="7">
        <f t="shared" si="5"/>
        <v>0.39428942733447614</v>
      </c>
      <c r="O29" s="7">
        <f t="shared" si="5"/>
        <v>0.38444640670491048</v>
      </c>
      <c r="P29" s="7">
        <f t="shared" si="5"/>
        <v>0.3849656192894777</v>
      </c>
      <c r="Q29" s="7">
        <f t="shared" si="5"/>
        <v>0.38783938079527863</v>
      </c>
      <c r="R29" s="7">
        <f t="shared" si="5"/>
        <v>0.36226186673642691</v>
      </c>
      <c r="S29" s="7">
        <f t="shared" si="5"/>
        <v>0.36006963714892043</v>
      </c>
      <c r="T29" s="7">
        <f t="shared" si="5"/>
        <v>0.36350382231595529</v>
      </c>
      <c r="U29" s="7">
        <f t="shared" ref="U29:AD29" si="6">U23/U17</f>
        <v>0.36362005291348842</v>
      </c>
      <c r="V29" s="7">
        <f t="shared" si="6"/>
        <v>0.36397633525065765</v>
      </c>
      <c r="W29" s="7">
        <f t="shared" si="6"/>
        <v>0.36051743828217847</v>
      </c>
      <c r="X29" s="7">
        <f t="shared" si="6"/>
        <v>0.35533065941153402</v>
      </c>
      <c r="Y29" s="7">
        <f t="shared" si="6"/>
        <v>0.35073560313667357</v>
      </c>
      <c r="Z29" s="7">
        <f t="shared" si="6"/>
        <v>0.34298880799924586</v>
      </c>
      <c r="AA29" s="7">
        <f t="shared" si="6"/>
        <v>0.337404193162743</v>
      </c>
      <c r="AB29" s="7">
        <f t="shared" si="6"/>
        <v>0.30733623677182637</v>
      </c>
      <c r="AC29" s="7">
        <f t="shared" si="6"/>
        <v>0.29751913821589548</v>
      </c>
      <c r="AD29" s="7">
        <f t="shared" si="6"/>
        <v>0.2831384535353359</v>
      </c>
    </row>
    <row r="30" spans="1:30" ht="9.6" customHeight="1" x14ac:dyDescent="0.25">
      <c r="A30" s="7"/>
      <c r="B30" s="7"/>
      <c r="C30" s="7"/>
      <c r="D30" s="7"/>
      <c r="E30" s="7"/>
      <c r="F30" s="7"/>
      <c r="G30" s="7"/>
      <c r="H30" s="7"/>
      <c r="I30" s="7"/>
      <c r="J30" s="7"/>
      <c r="K30" s="7"/>
      <c r="L30" s="7"/>
      <c r="M30" s="7"/>
      <c r="N30" s="7"/>
      <c r="O30" s="7"/>
      <c r="P30" s="7"/>
      <c r="Q30" s="7"/>
      <c r="R30" s="7"/>
      <c r="S30" s="7"/>
      <c r="T30" s="7"/>
      <c r="U30" s="7"/>
      <c r="V30" s="7"/>
      <c r="W30" s="7"/>
      <c r="X30" s="7"/>
      <c r="Y30" s="7"/>
      <c r="Z30" s="7"/>
      <c r="AA30" s="7"/>
      <c r="AB30" s="7"/>
      <c r="AC30" s="7"/>
      <c r="AD30" s="7"/>
    </row>
    <row r="31" spans="1:30" x14ac:dyDescent="0.25">
      <c r="A31" s="7" t="s">
        <v>160</v>
      </c>
      <c r="B31" s="7"/>
      <c r="C31" s="7"/>
      <c r="D31" s="7"/>
      <c r="E31" s="7"/>
      <c r="F31" s="7"/>
      <c r="G31" s="7"/>
      <c r="H31" s="7"/>
      <c r="I31" s="7"/>
      <c r="J31" s="7"/>
      <c r="K31" s="7"/>
      <c r="L31" s="7"/>
      <c r="M31" s="7"/>
      <c r="N31" s="7"/>
      <c r="O31" s="7"/>
      <c r="P31" s="7"/>
      <c r="Q31" s="7"/>
      <c r="R31" s="7"/>
      <c r="S31" s="7"/>
      <c r="T31" s="7"/>
      <c r="U31" s="7"/>
      <c r="V31" s="7"/>
      <c r="W31" s="7"/>
      <c r="X31" s="7"/>
      <c r="Y31" s="7"/>
      <c r="Z31" s="7"/>
      <c r="AA31" s="7"/>
      <c r="AB31" s="7"/>
      <c r="AC31" s="7"/>
      <c r="AD31" s="7"/>
    </row>
    <row r="32" spans="1:30" x14ac:dyDescent="0.25">
      <c r="A32" s="7" t="s">
        <v>136</v>
      </c>
      <c r="B32" s="7"/>
      <c r="C32" s="7"/>
      <c r="D32" s="7"/>
      <c r="E32" s="66">
        <f>E26/$E26</f>
        <v>1</v>
      </c>
      <c r="F32" s="66">
        <f t="shared" ref="F32:H32" si="7">F26/$E26</f>
        <v>0.91085215633470262</v>
      </c>
      <c r="G32" s="66">
        <f t="shared" si="7"/>
        <v>0.81433348158348207</v>
      </c>
      <c r="H32" s="66">
        <f t="shared" si="7"/>
        <v>0.52339050315560498</v>
      </c>
      <c r="I32" s="66">
        <f>I26/$E26</f>
        <v>0.40771761841627618</v>
      </c>
      <c r="J32" s="66">
        <f t="shared" ref="J32:AD32" si="8">J26/$E26</f>
        <v>0.38303217841175657</v>
      </c>
      <c r="K32" s="66">
        <f t="shared" si="8"/>
        <v>0.40023803019525583</v>
      </c>
      <c r="L32" s="66">
        <f t="shared" si="8"/>
        <v>0.40683646404257184</v>
      </c>
      <c r="M32" s="66">
        <f t="shared" si="8"/>
        <v>0.43912313297000682</v>
      </c>
      <c r="N32" s="66">
        <f t="shared" si="8"/>
        <v>0.44721312790078921</v>
      </c>
      <c r="O32" s="66">
        <f t="shared" si="8"/>
        <v>0.43812481856987306</v>
      </c>
      <c r="P32" s="66">
        <f t="shared" si="8"/>
        <v>0.43672296257072185</v>
      </c>
      <c r="Q32" s="66">
        <f t="shared" si="8"/>
        <v>0.45793779116948191</v>
      </c>
      <c r="R32" s="66">
        <f t="shared" si="8"/>
        <v>0.37839631031525256</v>
      </c>
      <c r="S32" s="66">
        <f t="shared" si="8"/>
        <v>0.37413084963866855</v>
      </c>
      <c r="T32" s="66">
        <f t="shared" si="8"/>
        <v>0.38032688861379577</v>
      </c>
      <c r="U32" s="66">
        <f t="shared" si="8"/>
        <v>0.38031850240571324</v>
      </c>
      <c r="V32" s="66">
        <f t="shared" si="8"/>
        <v>0.38905634422313612</v>
      </c>
      <c r="W32" s="66">
        <f t="shared" si="8"/>
        <v>0.38356027931668524</v>
      </c>
      <c r="X32" s="66">
        <f t="shared" si="8"/>
        <v>0.38787588353473884</v>
      </c>
      <c r="Y32" s="66">
        <f t="shared" si="8"/>
        <v>0.39019272906720232</v>
      </c>
      <c r="Z32" s="66">
        <f t="shared" si="8"/>
        <v>0.38756360650847788</v>
      </c>
      <c r="AA32" s="66">
        <f t="shared" si="8"/>
        <v>0.37547506846758499</v>
      </c>
      <c r="AB32" s="66">
        <f t="shared" si="8"/>
        <v>0.37067889588358188</v>
      </c>
      <c r="AC32" s="66">
        <f t="shared" si="8"/>
        <v>0.37011991383470705</v>
      </c>
      <c r="AD32" s="66">
        <f t="shared" si="8"/>
        <v>0.36448874018411542</v>
      </c>
    </row>
    <row r="33" spans="1:30" x14ac:dyDescent="0.25">
      <c r="A33" s="7" t="s">
        <v>139</v>
      </c>
      <c r="B33" s="7"/>
      <c r="C33" s="7"/>
      <c r="D33" s="7"/>
      <c r="E33" s="66">
        <f t="shared" ref="E33:I33" si="9">E27/$E27</f>
        <v>1</v>
      </c>
      <c r="F33" s="66">
        <f t="shared" si="9"/>
        <v>0.94314550185143231</v>
      </c>
      <c r="G33" s="66">
        <f t="shared" si="9"/>
        <v>0.90350237580283366</v>
      </c>
      <c r="H33" s="66">
        <f t="shared" si="9"/>
        <v>0.91431393634065738</v>
      </c>
      <c r="I33" s="66">
        <f t="shared" si="9"/>
        <v>0.95645951914003557</v>
      </c>
      <c r="J33" s="66">
        <f t="shared" ref="J33:AD33" si="10">J27/$E27</f>
        <v>0.96493867554369916</v>
      </c>
      <c r="K33" s="66">
        <f t="shared" si="10"/>
        <v>0.98333254398879577</v>
      </c>
      <c r="L33" s="66">
        <f t="shared" si="10"/>
        <v>0.99000265073494276</v>
      </c>
      <c r="M33" s="66">
        <f t="shared" si="10"/>
        <v>1.0068705708423356</v>
      </c>
      <c r="N33" s="66">
        <f t="shared" si="10"/>
        <v>1.0070226663118673</v>
      </c>
      <c r="O33" s="66">
        <f t="shared" si="10"/>
        <v>0.97806593731486668</v>
      </c>
      <c r="P33" s="66">
        <f t="shared" si="10"/>
        <v>0.97427156034004825</v>
      </c>
      <c r="Q33" s="66">
        <f t="shared" si="10"/>
        <v>0.97328002097975186</v>
      </c>
      <c r="R33" s="66">
        <f t="shared" si="10"/>
        <v>0.91632546943658955</v>
      </c>
      <c r="S33" s="66">
        <f t="shared" si="10"/>
        <v>0.91481348359323755</v>
      </c>
      <c r="T33" s="66">
        <f t="shared" si="10"/>
        <v>0.91806973224406063</v>
      </c>
      <c r="U33" s="66">
        <f t="shared" si="10"/>
        <v>0.91723345903828635</v>
      </c>
      <c r="V33" s="66">
        <f t="shared" si="10"/>
        <v>0.91782902788779963</v>
      </c>
      <c r="W33" s="66">
        <f t="shared" si="10"/>
        <v>0.91577265987057255</v>
      </c>
      <c r="X33" s="66">
        <f t="shared" si="10"/>
        <v>0.91209202384579291</v>
      </c>
      <c r="Y33" s="66">
        <f t="shared" si="10"/>
        <v>0.91345315836818042</v>
      </c>
      <c r="Z33" s="66">
        <f t="shared" si="10"/>
        <v>0.91256962162343036</v>
      </c>
      <c r="AA33" s="66">
        <f t="shared" si="10"/>
        <v>0.9038826559111659</v>
      </c>
      <c r="AB33" s="66">
        <f t="shared" si="10"/>
        <v>0.836396800035479</v>
      </c>
      <c r="AC33" s="66">
        <f t="shared" si="10"/>
        <v>0.81822333709172623</v>
      </c>
      <c r="AD33" s="66">
        <f t="shared" si="10"/>
        <v>0.80806261789836853</v>
      </c>
    </row>
    <row r="34" spans="1:30" x14ac:dyDescent="0.25">
      <c r="A34" s="7" t="s">
        <v>142</v>
      </c>
      <c r="B34" s="7"/>
      <c r="C34" s="7"/>
      <c r="D34" s="7"/>
      <c r="E34" s="66">
        <f t="shared" ref="E34:H34" si="11">E28/$E28</f>
        <v>1</v>
      </c>
      <c r="F34" s="66">
        <f t="shared" si="11"/>
        <v>0.93097324134346571</v>
      </c>
      <c r="G34" s="66">
        <f t="shared" si="11"/>
        <v>0.84288574086147405</v>
      </c>
      <c r="H34" s="66">
        <f t="shared" si="11"/>
        <v>0.52157449085761254</v>
      </c>
      <c r="I34" s="66">
        <f>I28/$E28</f>
        <v>0.37188220913571918</v>
      </c>
      <c r="J34" s="66">
        <f t="shared" ref="J34:AD34" si="12">J28/$E28</f>
        <v>0.32559323411467728</v>
      </c>
      <c r="K34" s="66">
        <f t="shared" si="12"/>
        <v>0.32452979310137725</v>
      </c>
      <c r="L34" s="66">
        <f t="shared" si="12"/>
        <v>0.33353066865183384</v>
      </c>
      <c r="M34" s="66">
        <f t="shared" si="12"/>
        <v>0.3460389313048659</v>
      </c>
      <c r="N34" s="66">
        <f t="shared" si="12"/>
        <v>0.34972325534379883</v>
      </c>
      <c r="O34" s="66">
        <f t="shared" si="12"/>
        <v>0.35239288688706216</v>
      </c>
      <c r="P34" s="66">
        <f t="shared" si="12"/>
        <v>0.36439476343037513</v>
      </c>
      <c r="Q34" s="66">
        <f t="shared" si="12"/>
        <v>0.36987041084340511</v>
      </c>
      <c r="R34" s="66">
        <f t="shared" si="12"/>
        <v>0.29104705495784561</v>
      </c>
      <c r="S34" s="66">
        <f t="shared" si="12"/>
        <v>0.30347195586578224</v>
      </c>
      <c r="T34" s="66">
        <f t="shared" si="12"/>
        <v>0.30932776736180206</v>
      </c>
      <c r="U34" s="66">
        <f t="shared" si="12"/>
        <v>0.31427333474049685</v>
      </c>
      <c r="V34" s="66">
        <f t="shared" si="12"/>
        <v>0.31754674923840331</v>
      </c>
      <c r="W34" s="66">
        <f t="shared" si="12"/>
        <v>0.3206578360731781</v>
      </c>
      <c r="X34" s="66">
        <f t="shared" si="12"/>
        <v>0.32540309741903206</v>
      </c>
      <c r="Y34" s="66">
        <f t="shared" si="12"/>
        <v>0.32483774269632332</v>
      </c>
      <c r="Z34" s="66">
        <f t="shared" si="12"/>
        <v>0.32715439794883278</v>
      </c>
      <c r="AA34" s="66">
        <f t="shared" si="12"/>
        <v>0.32409491356861753</v>
      </c>
      <c r="AB34" s="66">
        <f t="shared" si="12"/>
        <v>0.32785371684215336</v>
      </c>
      <c r="AC34" s="66">
        <f t="shared" si="12"/>
        <v>0.33943030584849132</v>
      </c>
      <c r="AD34" s="66">
        <f t="shared" si="12"/>
        <v>0.34132705506040018</v>
      </c>
    </row>
    <row r="35" spans="1:30" x14ac:dyDescent="0.25">
      <c r="A35" s="7" t="s">
        <v>145</v>
      </c>
      <c r="B35" s="7"/>
      <c r="C35" s="7"/>
      <c r="D35" s="7"/>
      <c r="E35" s="66">
        <f t="shared" ref="E35:I35" si="13">E29/$E29</f>
        <v>1</v>
      </c>
      <c r="F35" s="66">
        <f t="shared" si="13"/>
        <v>0.96103462135966911</v>
      </c>
      <c r="G35" s="66">
        <f t="shared" si="13"/>
        <v>0.91642830492701344</v>
      </c>
      <c r="H35" s="66">
        <f t="shared" si="13"/>
        <v>0.92876173748115831</v>
      </c>
      <c r="I35" s="66">
        <f t="shared" si="13"/>
        <v>0.92980962141396262</v>
      </c>
      <c r="J35" s="66">
        <f t="shared" ref="J35:AD35" si="14">J29/$E29</f>
        <v>0.92850187891823144</v>
      </c>
      <c r="K35" s="66">
        <f t="shared" si="14"/>
        <v>0.93968377149626925</v>
      </c>
      <c r="L35" s="66">
        <f t="shared" si="14"/>
        <v>0.95298834020297685</v>
      </c>
      <c r="M35" s="66">
        <f t="shared" si="14"/>
        <v>0.97406276789119206</v>
      </c>
      <c r="N35" s="66">
        <f t="shared" si="14"/>
        <v>0.97893936308577745</v>
      </c>
      <c r="O35" s="66">
        <f t="shared" si="14"/>
        <v>0.95450117205669571</v>
      </c>
      <c r="P35" s="66">
        <f t="shared" si="14"/>
        <v>0.95579026986557802</v>
      </c>
      <c r="Q35" s="66">
        <f t="shared" si="14"/>
        <v>0.96292522724236485</v>
      </c>
      <c r="R35" s="66">
        <f t="shared" si="14"/>
        <v>0.89942153278278869</v>
      </c>
      <c r="S35" s="66">
        <f t="shared" si="14"/>
        <v>0.89397867865748426</v>
      </c>
      <c r="T35" s="66">
        <f t="shared" si="14"/>
        <v>0.9025050524506214</v>
      </c>
      <c r="U35" s="66">
        <f t="shared" si="14"/>
        <v>0.902793629062704</v>
      </c>
      <c r="V35" s="66">
        <f t="shared" si="14"/>
        <v>0.90367820465628512</v>
      </c>
      <c r="W35" s="66">
        <f t="shared" si="14"/>
        <v>0.8950904765546388</v>
      </c>
      <c r="X35" s="66">
        <f t="shared" si="14"/>
        <v>0.88221277390250008</v>
      </c>
      <c r="Y35" s="66">
        <f t="shared" si="14"/>
        <v>0.87080419646874785</v>
      </c>
      <c r="Z35" s="66">
        <f t="shared" si="14"/>
        <v>0.8515705011879553</v>
      </c>
      <c r="AA35" s="66">
        <f t="shared" si="14"/>
        <v>0.83770505384871474</v>
      </c>
      <c r="AB35" s="66">
        <f t="shared" si="14"/>
        <v>0.76305251680859432</v>
      </c>
      <c r="AC35" s="66">
        <f t="shared" si="14"/>
        <v>0.73867868494436628</v>
      </c>
      <c r="AD35" s="66">
        <f t="shared" si="14"/>
        <v>0.70297440954166279</v>
      </c>
    </row>
    <row r="36" spans="1:30" x14ac:dyDescent="0.25">
      <c r="A36" s="7"/>
      <c r="B36" s="7"/>
      <c r="C36" s="7"/>
      <c r="D36" s="7"/>
      <c r="E36" s="7"/>
      <c r="F36" s="7"/>
      <c r="G36" s="7"/>
      <c r="H36" s="7"/>
      <c r="I36" s="7"/>
      <c r="J36" s="7"/>
      <c r="K36" s="7"/>
      <c r="L36" s="7"/>
      <c r="M36" s="7"/>
      <c r="N36" s="7"/>
      <c r="O36" s="7"/>
      <c r="P36" s="7"/>
      <c r="Q36" s="7"/>
      <c r="R36" s="7"/>
      <c r="S36" s="7"/>
      <c r="T36" s="7"/>
      <c r="U36" s="7"/>
      <c r="V36" s="7"/>
      <c r="W36" s="7"/>
      <c r="X36" s="7"/>
      <c r="Y36" s="7"/>
      <c r="Z36" s="7"/>
      <c r="AA36" s="7"/>
      <c r="AB36" s="7"/>
      <c r="AC36" s="7"/>
      <c r="AD36" s="7"/>
    </row>
    <row r="37" spans="1:30" x14ac:dyDescent="0.25">
      <c r="A37" s="368" t="s">
        <v>17</v>
      </c>
      <c r="B37" s="368"/>
      <c r="C37" s="7"/>
      <c r="D37" s="7"/>
      <c r="E37" s="7"/>
      <c r="F37" s="7"/>
      <c r="G37" s="7"/>
      <c r="H37" s="7"/>
      <c r="I37" s="7"/>
      <c r="J37" s="7"/>
      <c r="K37" s="7"/>
      <c r="L37" s="7"/>
      <c r="M37" s="7"/>
      <c r="N37" s="7"/>
      <c r="O37" s="7"/>
      <c r="P37" s="7"/>
      <c r="Q37" s="7"/>
      <c r="R37" s="7"/>
      <c r="S37" s="7"/>
      <c r="T37" s="7"/>
      <c r="U37" s="7"/>
      <c r="V37" s="7"/>
      <c r="W37" s="7"/>
      <c r="X37" s="7"/>
      <c r="Y37" s="7"/>
      <c r="Z37" s="7"/>
      <c r="AA37" s="7"/>
      <c r="AB37" s="7"/>
      <c r="AC37" s="7"/>
      <c r="AD37" s="7"/>
    </row>
    <row r="38" spans="1:30" x14ac:dyDescent="0.25">
      <c r="A38" s="369" t="s">
        <v>133</v>
      </c>
      <c r="B38" s="369" t="s">
        <v>134</v>
      </c>
      <c r="C38" s="7"/>
      <c r="D38" s="7" t="s">
        <v>135</v>
      </c>
      <c r="E38" s="7"/>
      <c r="F38" s="7"/>
      <c r="G38" s="7"/>
      <c r="H38" s="7"/>
      <c r="I38" s="7"/>
      <c r="J38" s="7"/>
      <c r="K38" s="7"/>
      <c r="L38" s="7"/>
      <c r="M38" s="7"/>
      <c r="N38" s="7"/>
      <c r="O38" s="7"/>
      <c r="P38" s="7"/>
      <c r="Q38" s="7"/>
      <c r="R38" s="7"/>
      <c r="S38" s="7"/>
      <c r="T38" s="7"/>
      <c r="U38" s="7"/>
      <c r="V38" s="7"/>
      <c r="W38" s="7"/>
      <c r="X38" s="7"/>
      <c r="Y38" s="7"/>
      <c r="Z38" s="7"/>
      <c r="AA38" s="7"/>
      <c r="AB38" s="7"/>
      <c r="AC38" s="7"/>
      <c r="AD38" s="7"/>
    </row>
    <row r="39" spans="1:30" x14ac:dyDescent="0.25">
      <c r="A39" s="7" t="s">
        <v>136</v>
      </c>
      <c r="B39" s="7" t="s">
        <v>137</v>
      </c>
      <c r="C39" s="7" t="s">
        <v>161</v>
      </c>
      <c r="D39" s="7" t="s">
        <v>135</v>
      </c>
      <c r="E39" s="7">
        <v>223.80358899999999</v>
      </c>
      <c r="F39" s="7">
        <v>226.342072</v>
      </c>
      <c r="G39" s="7">
        <v>231.53872699999999</v>
      </c>
      <c r="H39" s="7">
        <v>240.08363299999999</v>
      </c>
      <c r="I39" s="7">
        <v>249.767639</v>
      </c>
      <c r="J39" s="7">
        <v>254.192871</v>
      </c>
      <c r="K39" s="7">
        <v>255.15566999999999</v>
      </c>
      <c r="L39" s="7">
        <v>257.12274200000002</v>
      </c>
      <c r="M39" s="7">
        <v>258.54684400000002</v>
      </c>
      <c r="N39" s="7">
        <v>258.90704299999999</v>
      </c>
      <c r="O39" s="7">
        <v>259.15423600000003</v>
      </c>
      <c r="P39" s="7">
        <v>261.39672899999999</v>
      </c>
      <c r="Q39" s="7">
        <v>264.10528599999998</v>
      </c>
      <c r="R39" s="7">
        <v>265.68975799999998</v>
      </c>
      <c r="S39" s="7">
        <v>270.06140099999999</v>
      </c>
      <c r="T39" s="7">
        <v>279.09457400000002</v>
      </c>
      <c r="U39" s="7">
        <v>284.663971</v>
      </c>
      <c r="V39" s="7">
        <v>286.085083</v>
      </c>
      <c r="W39" s="7">
        <v>288.361786</v>
      </c>
      <c r="X39" s="7">
        <v>289.87188700000002</v>
      </c>
      <c r="Y39" s="7">
        <v>292.36068699999998</v>
      </c>
      <c r="Z39" s="7">
        <v>292.003784</v>
      </c>
      <c r="AA39" s="7">
        <v>294.34039300000001</v>
      </c>
      <c r="AB39" s="7">
        <v>298.42877199999998</v>
      </c>
      <c r="AC39" s="7">
        <v>299.599335</v>
      </c>
      <c r="AD39" s="7">
        <v>301.53781099999998</v>
      </c>
    </row>
    <row r="40" spans="1:30" x14ac:dyDescent="0.25">
      <c r="A40" s="7" t="s">
        <v>139</v>
      </c>
      <c r="B40" s="7" t="s">
        <v>140</v>
      </c>
      <c r="C40" s="7" t="s">
        <v>162</v>
      </c>
      <c r="D40" s="7" t="s">
        <v>135</v>
      </c>
      <c r="E40" s="7">
        <v>219.410751</v>
      </c>
      <c r="F40" s="7">
        <v>221.921921</v>
      </c>
      <c r="G40" s="7">
        <v>226.820831</v>
      </c>
      <c r="H40" s="7">
        <v>231.65754699999999</v>
      </c>
      <c r="I40" s="7">
        <v>232.54399100000001</v>
      </c>
      <c r="J40" s="7">
        <v>243.72584499999999</v>
      </c>
      <c r="K40" s="7">
        <v>246.840149</v>
      </c>
      <c r="L40" s="7">
        <v>247.15683000000001</v>
      </c>
      <c r="M40" s="7">
        <v>249.35791</v>
      </c>
      <c r="N40" s="7">
        <v>249.441925</v>
      </c>
      <c r="O40" s="7">
        <v>256.88668799999999</v>
      </c>
      <c r="P40" s="7">
        <v>256.93447900000001</v>
      </c>
      <c r="Q40" s="7">
        <v>256.99395800000002</v>
      </c>
      <c r="R40" s="7">
        <v>265.15148900000003</v>
      </c>
      <c r="S40" s="7">
        <v>269.826843</v>
      </c>
      <c r="T40" s="7">
        <v>270.04126000000002</v>
      </c>
      <c r="U40" s="7">
        <v>268.99432400000001</v>
      </c>
      <c r="V40" s="7">
        <v>269.27355999999997</v>
      </c>
      <c r="W40" s="7">
        <v>272.26135299999999</v>
      </c>
      <c r="X40" s="7">
        <v>274.33270299999998</v>
      </c>
      <c r="Y40" s="7">
        <v>277.13095099999998</v>
      </c>
      <c r="Z40" s="7">
        <v>276.01776100000001</v>
      </c>
      <c r="AA40" s="7">
        <v>276.96835299999998</v>
      </c>
      <c r="AB40" s="7">
        <v>278.160889</v>
      </c>
      <c r="AC40" s="7">
        <v>278.307526</v>
      </c>
      <c r="AD40" s="7">
        <v>281.693939</v>
      </c>
    </row>
    <row r="41" spans="1:30" x14ac:dyDescent="0.25">
      <c r="A41" s="7" t="s">
        <v>142</v>
      </c>
      <c r="B41" s="7" t="s">
        <v>143</v>
      </c>
      <c r="C41" s="7" t="s">
        <v>163</v>
      </c>
      <c r="D41" s="7" t="s">
        <v>135</v>
      </c>
      <c r="E41" s="7">
        <v>221.22807299999999</v>
      </c>
      <c r="F41" s="7">
        <v>226.950851</v>
      </c>
      <c r="G41" s="7">
        <v>232.02271999999999</v>
      </c>
      <c r="H41" s="7">
        <v>240.572327</v>
      </c>
      <c r="I41" s="7">
        <v>250.75959800000001</v>
      </c>
      <c r="J41" s="7">
        <v>253.62146000000001</v>
      </c>
      <c r="K41" s="7">
        <v>256.28411899999998</v>
      </c>
      <c r="L41" s="7">
        <v>254.50749200000001</v>
      </c>
      <c r="M41" s="7">
        <v>255.48095699999999</v>
      </c>
      <c r="N41" s="7">
        <v>253.65428199999999</v>
      </c>
      <c r="O41" s="7">
        <v>257.08874500000002</v>
      </c>
      <c r="P41" s="7">
        <v>270.57659899999999</v>
      </c>
      <c r="Q41" s="7">
        <v>282.57989500000002</v>
      </c>
      <c r="R41" s="7">
        <v>286.70431500000001</v>
      </c>
      <c r="S41" s="7">
        <v>287.70242300000001</v>
      </c>
      <c r="T41" s="7">
        <v>290.08963</v>
      </c>
      <c r="U41" s="7">
        <v>291.09991500000001</v>
      </c>
      <c r="V41" s="7">
        <v>293.338684</v>
      </c>
      <c r="W41" s="7">
        <v>293.77459700000003</v>
      </c>
      <c r="X41" s="7">
        <v>296.855255</v>
      </c>
      <c r="Y41" s="7">
        <v>300.39639299999999</v>
      </c>
      <c r="Z41" s="7">
        <v>301.94134500000001</v>
      </c>
      <c r="AA41" s="7">
        <v>302.925568</v>
      </c>
      <c r="AB41" s="7">
        <v>305.958618</v>
      </c>
      <c r="AC41" s="7">
        <v>307.99499500000002</v>
      </c>
      <c r="AD41" s="7">
        <v>313.25988799999999</v>
      </c>
    </row>
    <row r="42" spans="1:30" x14ac:dyDescent="0.25">
      <c r="A42" s="7" t="s">
        <v>145</v>
      </c>
      <c r="B42" s="7" t="s">
        <v>146</v>
      </c>
      <c r="C42" s="7" t="s">
        <v>164</v>
      </c>
      <c r="D42" s="7" t="s">
        <v>135</v>
      </c>
      <c r="E42" s="7">
        <v>218.09356700000001</v>
      </c>
      <c r="F42" s="7">
        <v>221.73684700000001</v>
      </c>
      <c r="G42" s="7">
        <v>224.94371000000001</v>
      </c>
      <c r="H42" s="7">
        <v>236.50521900000001</v>
      </c>
      <c r="I42" s="7">
        <v>240.061249</v>
      </c>
      <c r="J42" s="7">
        <v>242.17520099999999</v>
      </c>
      <c r="K42" s="7">
        <v>244.25256300000001</v>
      </c>
      <c r="L42" s="7">
        <v>245.83665500000001</v>
      </c>
      <c r="M42" s="7">
        <v>247.42285200000001</v>
      </c>
      <c r="N42" s="7">
        <v>250.61462399999999</v>
      </c>
      <c r="O42" s="7">
        <v>250.33663899999999</v>
      </c>
      <c r="P42" s="7">
        <v>252.24046300000001</v>
      </c>
      <c r="Q42" s="7">
        <v>256.69079599999998</v>
      </c>
      <c r="R42" s="7">
        <v>257.99069200000002</v>
      </c>
      <c r="S42" s="7">
        <v>263.69284099999999</v>
      </c>
      <c r="T42" s="7">
        <v>268.04284699999999</v>
      </c>
      <c r="U42" s="7">
        <v>270.42291299999999</v>
      </c>
      <c r="V42" s="7">
        <v>275.85211199999998</v>
      </c>
      <c r="W42" s="7">
        <v>281.13464399999998</v>
      </c>
      <c r="X42" s="7">
        <v>283.360229</v>
      </c>
      <c r="Y42" s="7">
        <v>284.19253500000002</v>
      </c>
      <c r="Z42" s="7">
        <v>285.49383499999999</v>
      </c>
      <c r="AA42" s="7">
        <v>285.67944299999999</v>
      </c>
      <c r="AB42" s="7">
        <v>286.06768799999998</v>
      </c>
      <c r="AC42" s="7">
        <v>285.81115699999998</v>
      </c>
      <c r="AD42" s="7">
        <v>287.94503800000001</v>
      </c>
    </row>
    <row r="43" spans="1:30" x14ac:dyDescent="0.25">
      <c r="A43" s="7"/>
      <c r="B43" s="7"/>
      <c r="C43" s="7"/>
      <c r="D43" s="7"/>
      <c r="E43" s="7"/>
      <c r="F43" s="7"/>
      <c r="G43" s="7"/>
      <c r="H43" s="7"/>
      <c r="I43" s="7"/>
      <c r="J43" s="7"/>
      <c r="K43" s="7"/>
      <c r="L43" s="7"/>
      <c r="M43" s="7"/>
      <c r="N43" s="7"/>
      <c r="O43" s="7"/>
      <c r="P43" s="7"/>
      <c r="Q43" s="7"/>
      <c r="R43" s="7"/>
      <c r="S43" s="7"/>
      <c r="T43" s="7"/>
      <c r="U43" s="7"/>
      <c r="V43" s="7"/>
      <c r="W43" s="7"/>
      <c r="X43" s="7"/>
      <c r="Y43" s="7"/>
      <c r="Z43" s="7"/>
      <c r="AA43" s="7"/>
      <c r="AB43" s="7"/>
      <c r="AC43" s="7"/>
      <c r="AD43" s="7"/>
    </row>
    <row r="44" spans="1:30" x14ac:dyDescent="0.25">
      <c r="A44" s="369" t="s">
        <v>148</v>
      </c>
      <c r="B44" s="369" t="s">
        <v>149</v>
      </c>
      <c r="C44" s="7"/>
      <c r="D44" s="7" t="s">
        <v>150</v>
      </c>
      <c r="E44" s="7"/>
      <c r="F44" s="7"/>
      <c r="G44" s="7"/>
      <c r="H44" s="7"/>
      <c r="I44" s="7"/>
      <c r="J44" s="7"/>
      <c r="K44" s="7"/>
      <c r="L44" s="7"/>
      <c r="M44" s="7"/>
      <c r="N44" s="7"/>
      <c r="O44" s="7"/>
      <c r="P44" s="7"/>
      <c r="Q44" s="7"/>
      <c r="R44" s="7"/>
      <c r="S44" s="7"/>
      <c r="T44" s="7"/>
      <c r="U44" s="7"/>
      <c r="V44" s="7"/>
      <c r="W44" s="7"/>
      <c r="X44" s="7"/>
      <c r="Y44" s="7"/>
      <c r="Z44" s="7"/>
      <c r="AA44" s="7"/>
      <c r="AB44" s="7"/>
      <c r="AC44" s="7"/>
      <c r="AD44" s="7"/>
    </row>
    <row r="45" spans="1:30" x14ac:dyDescent="0.25">
      <c r="A45" s="7" t="s">
        <v>136</v>
      </c>
      <c r="B45" s="7" t="s">
        <v>151</v>
      </c>
      <c r="C45" s="7" t="s">
        <v>165</v>
      </c>
      <c r="D45" s="7" t="s">
        <v>150</v>
      </c>
      <c r="E45" s="7">
        <v>20.740497999999999</v>
      </c>
      <c r="F45" s="7">
        <v>17.842728000000001</v>
      </c>
      <c r="G45" s="7">
        <v>17.047920000000001</v>
      </c>
      <c r="H45" s="7">
        <v>17.102287</v>
      </c>
      <c r="I45" s="7">
        <v>16.348645999999999</v>
      </c>
      <c r="J45" s="7">
        <v>16.514686999999999</v>
      </c>
      <c r="K45" s="7">
        <v>16.378391000000001</v>
      </c>
      <c r="L45" s="7">
        <v>16.462081999999999</v>
      </c>
      <c r="M45" s="7">
        <v>16.548874000000001</v>
      </c>
      <c r="N45" s="7">
        <v>16.289674999999999</v>
      </c>
      <c r="O45" s="7">
        <v>16.085272</v>
      </c>
      <c r="P45" s="7">
        <v>16.272894000000001</v>
      </c>
      <c r="Q45" s="7">
        <v>15.915794</v>
      </c>
      <c r="R45" s="7">
        <v>15.26275</v>
      </c>
      <c r="S45" s="7">
        <v>15.075533999999999</v>
      </c>
      <c r="T45" s="7">
        <v>15.206835</v>
      </c>
      <c r="U45" s="7">
        <v>16.027598999999999</v>
      </c>
      <c r="V45" s="7">
        <v>15.93083</v>
      </c>
      <c r="W45" s="7">
        <v>16.503782000000001</v>
      </c>
      <c r="X45" s="7">
        <v>16.632204000000002</v>
      </c>
      <c r="Y45" s="7">
        <v>17.280128000000001</v>
      </c>
      <c r="Z45" s="7">
        <v>16.576046000000002</v>
      </c>
      <c r="AA45" s="7">
        <v>17.249289999999998</v>
      </c>
      <c r="AB45" s="7">
        <v>18.708469000000001</v>
      </c>
      <c r="AC45" s="7">
        <v>18.807455000000001</v>
      </c>
      <c r="AD45" s="7">
        <v>18.384260000000001</v>
      </c>
    </row>
    <row r="46" spans="1:30" x14ac:dyDescent="0.25">
      <c r="A46" s="7" t="s">
        <v>139</v>
      </c>
      <c r="B46" s="7" t="s">
        <v>153</v>
      </c>
      <c r="C46" s="7" t="s">
        <v>166</v>
      </c>
      <c r="D46" s="7" t="s">
        <v>150</v>
      </c>
      <c r="E46" s="7">
        <v>19.933889000000001</v>
      </c>
      <c r="F46" s="7">
        <v>18.400679</v>
      </c>
      <c r="G46" s="7">
        <v>20.253579999999999</v>
      </c>
      <c r="H46" s="7">
        <v>21.494665000000001</v>
      </c>
      <c r="I46" s="7">
        <v>20.643250999999999</v>
      </c>
      <c r="J46" s="7">
        <v>22.44256</v>
      </c>
      <c r="K46" s="7">
        <v>22.822455999999999</v>
      </c>
      <c r="L46" s="7">
        <v>22.446728</v>
      </c>
      <c r="M46" s="7">
        <v>22.537008</v>
      </c>
      <c r="N46" s="7">
        <v>21.457687</v>
      </c>
      <c r="O46" s="7">
        <v>23.483484000000001</v>
      </c>
      <c r="P46" s="7">
        <v>22.873842</v>
      </c>
      <c r="Q46" s="7">
        <v>22.418317999999999</v>
      </c>
      <c r="R46" s="7">
        <v>25.706142</v>
      </c>
      <c r="S46" s="7">
        <v>27.367547999999999</v>
      </c>
      <c r="T46" s="7">
        <v>26.287811000000001</v>
      </c>
      <c r="U46" s="7">
        <v>24.379307000000001</v>
      </c>
      <c r="V46" s="7">
        <v>23.704542</v>
      </c>
      <c r="W46" s="7">
        <v>23.295045999999999</v>
      </c>
      <c r="X46" s="7">
        <v>23.293308</v>
      </c>
      <c r="Y46" s="7">
        <v>22.997026000000002</v>
      </c>
      <c r="Z46" s="7">
        <v>21.809388999999999</v>
      </c>
      <c r="AA46" s="7">
        <v>21.687785999999999</v>
      </c>
      <c r="AB46" s="7">
        <v>21.591932</v>
      </c>
      <c r="AC46" s="7">
        <v>20.955193999999999</v>
      </c>
      <c r="AD46" s="7">
        <v>21.900682</v>
      </c>
    </row>
    <row r="47" spans="1:30" x14ac:dyDescent="0.25">
      <c r="A47" s="7" t="s">
        <v>142</v>
      </c>
      <c r="B47" s="7" t="s">
        <v>155</v>
      </c>
      <c r="C47" s="7" t="s">
        <v>167</v>
      </c>
      <c r="D47" s="7" t="s">
        <v>150</v>
      </c>
      <c r="E47" s="7">
        <v>19.511154000000001</v>
      </c>
      <c r="F47" s="7">
        <v>17.619097</v>
      </c>
      <c r="G47" s="7">
        <v>16.258402</v>
      </c>
      <c r="H47" s="7">
        <v>16.411670999999998</v>
      </c>
      <c r="I47" s="7">
        <v>16.714886</v>
      </c>
      <c r="J47" s="7">
        <v>16.685089000000001</v>
      </c>
      <c r="K47" s="7">
        <v>16.304867000000002</v>
      </c>
      <c r="L47" s="7">
        <v>14.729876000000001</v>
      </c>
      <c r="M47" s="7">
        <v>14.895296</v>
      </c>
      <c r="N47" s="7">
        <v>13.713789999999999</v>
      </c>
      <c r="O47" s="7">
        <v>13.921796000000001</v>
      </c>
      <c r="P47" s="7">
        <v>13.302978</v>
      </c>
      <c r="Q47" s="7">
        <v>13.565542000000001</v>
      </c>
      <c r="R47" s="7">
        <v>13.851398</v>
      </c>
      <c r="S47" s="7">
        <v>14.031732999999999</v>
      </c>
      <c r="T47" s="7">
        <v>14.514341</v>
      </c>
      <c r="U47" s="7">
        <v>14.608755</v>
      </c>
      <c r="V47" s="7">
        <v>15.452075000000001</v>
      </c>
      <c r="W47" s="7">
        <v>15.110912000000001</v>
      </c>
      <c r="X47" s="7">
        <v>16.13796</v>
      </c>
      <c r="Y47" s="7">
        <v>17.176624</v>
      </c>
      <c r="Z47" s="7">
        <v>17.621338000000002</v>
      </c>
      <c r="AA47" s="7">
        <v>17.578764</v>
      </c>
      <c r="AB47" s="7">
        <v>18.474791</v>
      </c>
      <c r="AC47" s="7">
        <v>18.169709999999998</v>
      </c>
      <c r="AD47" s="7">
        <v>18.657838999999999</v>
      </c>
    </row>
    <row r="48" spans="1:30" x14ac:dyDescent="0.25">
      <c r="A48" s="7" t="s">
        <v>145</v>
      </c>
      <c r="B48" s="7" t="s">
        <v>157</v>
      </c>
      <c r="C48" s="7" t="s">
        <v>168</v>
      </c>
      <c r="D48" s="7" t="s">
        <v>150</v>
      </c>
      <c r="E48" s="7">
        <v>19.442077999999999</v>
      </c>
      <c r="F48" s="7">
        <v>18.172806000000001</v>
      </c>
      <c r="G48" s="7">
        <v>19.078389999999999</v>
      </c>
      <c r="H48" s="7">
        <v>21.798598999999999</v>
      </c>
      <c r="I48" s="7">
        <v>22.432867000000002</v>
      </c>
      <c r="J48" s="7">
        <v>21.552063</v>
      </c>
      <c r="K48" s="7">
        <v>21.696923999999999</v>
      </c>
      <c r="L48" s="7">
        <v>21.826141</v>
      </c>
      <c r="M48" s="7">
        <v>21.437169999999998</v>
      </c>
      <c r="N48" s="7">
        <v>21.587183</v>
      </c>
      <c r="O48" s="7">
        <v>20.897635999999999</v>
      </c>
      <c r="P48" s="7">
        <v>21.324244</v>
      </c>
      <c r="Q48" s="7">
        <v>21.730581000000001</v>
      </c>
      <c r="R48" s="7">
        <v>21.552879000000001</v>
      </c>
      <c r="S48" s="7">
        <v>23.587617999999999</v>
      </c>
      <c r="T48" s="7">
        <v>25.279859999999999</v>
      </c>
      <c r="U48" s="7">
        <v>23.908396</v>
      </c>
      <c r="V48" s="7">
        <v>23.508375000000001</v>
      </c>
      <c r="W48" s="7">
        <v>23.344936000000001</v>
      </c>
      <c r="X48" s="7">
        <v>23.485662000000001</v>
      </c>
      <c r="Y48" s="7">
        <v>23.234266000000002</v>
      </c>
      <c r="Z48" s="7">
        <v>23.289442000000001</v>
      </c>
      <c r="AA48" s="7">
        <v>22.873584999999999</v>
      </c>
      <c r="AB48" s="7">
        <v>22.579101999999999</v>
      </c>
      <c r="AC48" s="7">
        <v>21.819593000000001</v>
      </c>
      <c r="AD48" s="7">
        <v>22.274645</v>
      </c>
    </row>
    <row r="49" spans="1:30" x14ac:dyDescent="0.25">
      <c r="A49" s="7"/>
      <c r="B49" s="7"/>
      <c r="C49" s="7"/>
      <c r="D49" s="7"/>
      <c r="E49" s="7"/>
      <c r="F49" s="7"/>
      <c r="G49" s="7"/>
      <c r="H49" s="7"/>
      <c r="I49" s="7"/>
      <c r="J49" s="7"/>
      <c r="K49" s="7"/>
      <c r="L49" s="7"/>
      <c r="M49" s="7"/>
      <c r="N49" s="7"/>
      <c r="O49" s="7"/>
      <c r="P49" s="7"/>
      <c r="Q49" s="7"/>
      <c r="R49" s="7"/>
      <c r="S49" s="7"/>
      <c r="T49" s="7"/>
      <c r="U49" s="7"/>
      <c r="V49" s="7"/>
      <c r="W49" s="7"/>
      <c r="X49" s="7"/>
      <c r="Y49" s="7"/>
      <c r="Z49" s="7"/>
      <c r="AA49" s="7"/>
      <c r="AB49" s="7"/>
      <c r="AC49" s="7"/>
      <c r="AD49" s="7"/>
    </row>
    <row r="50" spans="1:30" x14ac:dyDescent="0.25">
      <c r="A50" s="7" t="s">
        <v>159</v>
      </c>
      <c r="B50" s="7"/>
      <c r="C50" s="7"/>
      <c r="D50" s="7"/>
      <c r="E50" s="7"/>
      <c r="F50" s="7"/>
      <c r="G50" s="7"/>
      <c r="H50" s="7"/>
      <c r="I50" s="7"/>
      <c r="J50" s="7"/>
      <c r="K50" s="7"/>
      <c r="L50" s="7"/>
      <c r="M50" s="7"/>
      <c r="N50" s="7"/>
      <c r="O50" s="7"/>
      <c r="P50" s="7"/>
      <c r="Q50" s="7"/>
      <c r="R50" s="7"/>
      <c r="S50" s="7"/>
      <c r="T50" s="7"/>
      <c r="U50" s="7"/>
      <c r="V50" s="7"/>
      <c r="W50" s="7"/>
      <c r="X50" s="7"/>
      <c r="Y50" s="7"/>
      <c r="Z50" s="7"/>
      <c r="AA50" s="7"/>
      <c r="AB50" s="7"/>
      <c r="AC50" s="7"/>
      <c r="AD50" s="7"/>
    </row>
    <row r="51" spans="1:30" x14ac:dyDescent="0.25">
      <c r="A51" s="7" t="s">
        <v>136</v>
      </c>
      <c r="B51" s="7"/>
      <c r="C51" s="7"/>
      <c r="D51" s="7"/>
      <c r="E51" s="7">
        <f>E45/E39</f>
        <v>9.2672767638234788E-2</v>
      </c>
      <c r="F51" s="7">
        <f t="shared" ref="F51:AD51" si="15">F45/F39</f>
        <v>7.8830806143720386E-2</v>
      </c>
      <c r="G51" s="7">
        <f t="shared" si="15"/>
        <v>7.3628805949166348E-2</v>
      </c>
      <c r="H51" s="7">
        <f t="shared" si="15"/>
        <v>7.1234705949322255E-2</v>
      </c>
      <c r="I51" s="7">
        <f t="shared" si="15"/>
        <v>6.5455421148453902E-2</v>
      </c>
      <c r="J51" s="7">
        <f t="shared" si="15"/>
        <v>6.4969119452606514E-2</v>
      </c>
      <c r="K51" s="7">
        <f t="shared" si="15"/>
        <v>6.4189798329780404E-2</v>
      </c>
      <c r="L51" s="7">
        <f t="shared" si="15"/>
        <v>6.4024216107651799E-2</v>
      </c>
      <c r="M51" s="7">
        <f t="shared" si="15"/>
        <v>6.4007255876617861E-2</v>
      </c>
      <c r="N51" s="7">
        <f t="shared" si="15"/>
        <v>6.2917079470874035E-2</v>
      </c>
      <c r="O51" s="7">
        <f t="shared" si="15"/>
        <v>6.2068335244190254E-2</v>
      </c>
      <c r="P51" s="7">
        <f t="shared" si="15"/>
        <v>6.2253625216557328E-2</v>
      </c>
      <c r="Q51" s="7">
        <f t="shared" si="15"/>
        <v>6.0263064935398535E-2</v>
      </c>
      <c r="R51" s="7">
        <f t="shared" si="15"/>
        <v>5.7445759727027194E-2</v>
      </c>
      <c r="S51" s="7">
        <f t="shared" si="15"/>
        <v>5.5822616427884116E-2</v>
      </c>
      <c r="T51" s="7">
        <f t="shared" si="15"/>
        <v>5.4486315452338382E-2</v>
      </c>
      <c r="U51" s="7">
        <f t="shared" si="15"/>
        <v>5.6303574153400669E-2</v>
      </c>
      <c r="V51" s="7">
        <f t="shared" si="15"/>
        <v>5.5685636709691712E-2</v>
      </c>
      <c r="W51" s="7">
        <f t="shared" si="15"/>
        <v>5.723290255942582E-2</v>
      </c>
      <c r="X51" s="7">
        <f t="shared" si="15"/>
        <v>5.7377775306647796E-2</v>
      </c>
      <c r="Y51" s="7">
        <f t="shared" si="15"/>
        <v>5.9105511679140368E-2</v>
      </c>
      <c r="Z51" s="7">
        <f t="shared" si="15"/>
        <v>5.6766545189702068E-2</v>
      </c>
      <c r="AA51" s="7">
        <f t="shared" si="15"/>
        <v>5.8603203672422895E-2</v>
      </c>
      <c r="AB51" s="7">
        <f t="shared" si="15"/>
        <v>6.2689897071988757E-2</v>
      </c>
      <c r="AC51" s="7">
        <f t="shared" si="15"/>
        <v>6.2775356293764809E-2</v>
      </c>
      <c r="AD51" s="7">
        <f t="shared" si="15"/>
        <v>6.0968340716647314E-2</v>
      </c>
    </row>
    <row r="52" spans="1:30" x14ac:dyDescent="0.25">
      <c r="A52" s="7" t="s">
        <v>139</v>
      </c>
      <c r="B52" s="7"/>
      <c r="C52" s="7"/>
      <c r="D52" s="7"/>
      <c r="E52" s="7">
        <f t="shared" ref="E52:AD52" si="16">E46/E40</f>
        <v>9.0851924571371617E-2</v>
      </c>
      <c r="F52" s="7">
        <f t="shared" si="16"/>
        <v>8.2915103280851651E-2</v>
      </c>
      <c r="G52" s="7">
        <f t="shared" si="16"/>
        <v>8.9293297757118265E-2</v>
      </c>
      <c r="H52" s="7">
        <f t="shared" si="16"/>
        <v>9.2786379197911481E-2</v>
      </c>
      <c r="I52" s="7">
        <f t="shared" si="16"/>
        <v>8.8771380035358546E-2</v>
      </c>
      <c r="J52" s="7">
        <f t="shared" si="16"/>
        <v>9.2081166033089357E-2</v>
      </c>
      <c r="K52" s="7">
        <f t="shared" si="16"/>
        <v>9.2458443622151595E-2</v>
      </c>
      <c r="L52" s="7">
        <f t="shared" si="16"/>
        <v>9.0819776252996934E-2</v>
      </c>
      <c r="M52" s="7">
        <f t="shared" si="16"/>
        <v>9.0380160789766004E-2</v>
      </c>
      <c r="N52" s="7">
        <f t="shared" si="16"/>
        <v>8.6022776644303078E-2</v>
      </c>
      <c r="O52" s="7">
        <f t="shared" si="16"/>
        <v>9.1415729568672707E-2</v>
      </c>
      <c r="P52" s="7">
        <f t="shared" si="16"/>
        <v>8.9025973038052236E-2</v>
      </c>
      <c r="Q52" s="7">
        <f t="shared" si="16"/>
        <v>8.7232860159303816E-2</v>
      </c>
      <c r="R52" s="7">
        <f t="shared" si="16"/>
        <v>9.6948887961930311E-2</v>
      </c>
      <c r="S52" s="7">
        <f t="shared" si="16"/>
        <v>0.10142633585198935</v>
      </c>
      <c r="T52" s="7">
        <f t="shared" si="16"/>
        <v>9.7347386840070285E-2</v>
      </c>
      <c r="U52" s="7">
        <f t="shared" si="16"/>
        <v>9.0631306406301723E-2</v>
      </c>
      <c r="V52" s="7">
        <f t="shared" si="16"/>
        <v>8.8031450247101878E-2</v>
      </c>
      <c r="W52" s="7">
        <f t="shared" si="16"/>
        <v>8.5561339291515243E-2</v>
      </c>
      <c r="X52" s="7">
        <f t="shared" si="16"/>
        <v>8.4908972737384514E-2</v>
      </c>
      <c r="Y52" s="7">
        <f t="shared" si="16"/>
        <v>8.2982524748742348E-2</v>
      </c>
      <c r="Z52" s="7">
        <f t="shared" si="16"/>
        <v>7.9014440668548139E-2</v>
      </c>
      <c r="AA52" s="7">
        <f t="shared" si="16"/>
        <v>7.8304202502153739E-2</v>
      </c>
      <c r="AB52" s="7">
        <f t="shared" si="16"/>
        <v>7.7623896291185643E-2</v>
      </c>
      <c r="AC52" s="7">
        <f t="shared" si="16"/>
        <v>7.5295103589832491E-2</v>
      </c>
      <c r="AD52" s="7">
        <f t="shared" si="16"/>
        <v>7.7746372810669526E-2</v>
      </c>
    </row>
    <row r="53" spans="1:30" x14ac:dyDescent="0.25">
      <c r="A53" s="7" t="s">
        <v>142</v>
      </c>
      <c r="B53" s="7"/>
      <c r="C53" s="7"/>
      <c r="D53" s="7"/>
      <c r="E53" s="7">
        <f>E47/E41</f>
        <v>8.8194747327569059E-2</v>
      </c>
      <c r="F53" s="7">
        <f t="shared" ref="F53:AD53" si="17">F47/F41</f>
        <v>7.7633976353761278E-2</v>
      </c>
      <c r="G53" s="7">
        <f t="shared" si="17"/>
        <v>7.0072456697344132E-2</v>
      </c>
      <c r="H53" s="7">
        <f t="shared" si="17"/>
        <v>6.8219280266595239E-2</v>
      </c>
      <c r="I53" s="7">
        <f t="shared" si="17"/>
        <v>6.6657013862336786E-2</v>
      </c>
      <c r="J53" s="7">
        <f t="shared" si="17"/>
        <v>6.5787370674390097E-2</v>
      </c>
      <c r="K53" s="7">
        <f t="shared" si="17"/>
        <v>6.3620278398912433E-2</v>
      </c>
      <c r="L53" s="7">
        <f t="shared" si="17"/>
        <v>5.78760015441903E-2</v>
      </c>
      <c r="M53" s="7">
        <f t="shared" si="17"/>
        <v>5.8302959934505023E-2</v>
      </c>
      <c r="N53" s="7">
        <f t="shared" si="17"/>
        <v>5.4064886631797524E-2</v>
      </c>
      <c r="O53" s="7">
        <f t="shared" si="17"/>
        <v>5.4151713253724892E-2</v>
      </c>
      <c r="P53" s="7">
        <f t="shared" si="17"/>
        <v>4.9165293854550964E-2</v>
      </c>
      <c r="Q53" s="7">
        <f t="shared" si="17"/>
        <v>4.8006040911013854E-2</v>
      </c>
      <c r="R53" s="7">
        <f t="shared" si="17"/>
        <v>4.8312485286452697E-2</v>
      </c>
      <c r="S53" s="7">
        <f t="shared" si="17"/>
        <v>4.877168865553836E-2</v>
      </c>
      <c r="T53" s="7">
        <f t="shared" si="17"/>
        <v>5.0033987771296751E-2</v>
      </c>
      <c r="U53" s="7">
        <f t="shared" si="17"/>
        <v>5.0184676282025019E-2</v>
      </c>
      <c r="V53" s="7">
        <f t="shared" si="17"/>
        <v>5.2676567540611181E-2</v>
      </c>
      <c r="W53" s="7">
        <f t="shared" si="17"/>
        <v>5.1437095495360338E-2</v>
      </c>
      <c r="X53" s="7">
        <f t="shared" si="17"/>
        <v>5.4363059869026065E-2</v>
      </c>
      <c r="Y53" s="7">
        <f t="shared" si="17"/>
        <v>5.7179861011180652E-2</v>
      </c>
      <c r="Z53" s="7">
        <f t="shared" si="17"/>
        <v>5.8360136138361579E-2</v>
      </c>
      <c r="AA53" s="7">
        <f t="shared" si="17"/>
        <v>5.8029977845910977E-2</v>
      </c>
      <c r="AB53" s="7">
        <f t="shared" si="17"/>
        <v>6.0383299940255319E-2</v>
      </c>
      <c r="AC53" s="7">
        <f t="shared" si="17"/>
        <v>5.8993523579823098E-2</v>
      </c>
      <c r="AD53" s="7">
        <f t="shared" si="17"/>
        <v>5.9560255604764821E-2</v>
      </c>
    </row>
    <row r="54" spans="1:30" x14ac:dyDescent="0.25">
      <c r="A54" s="7" t="s">
        <v>145</v>
      </c>
      <c r="B54" s="7"/>
      <c r="C54" s="7"/>
      <c r="D54" s="7"/>
      <c r="E54" s="7">
        <f>E48/E42</f>
        <v>8.9145582180330876E-2</v>
      </c>
      <c r="F54" s="7">
        <f t="shared" ref="F54:AD54" si="18">F48/F42</f>
        <v>8.1956635741284811E-2</v>
      </c>
      <c r="G54" s="7">
        <f t="shared" si="18"/>
        <v>8.4814063038259654E-2</v>
      </c>
      <c r="H54" s="7">
        <f t="shared" si="18"/>
        <v>9.21696319944635E-2</v>
      </c>
      <c r="I54" s="7">
        <f t="shared" si="18"/>
        <v>9.3446431248052034E-2</v>
      </c>
      <c r="J54" s="7">
        <f t="shared" si="18"/>
        <v>8.8993682718157427E-2</v>
      </c>
      <c r="K54" s="7">
        <f t="shared" si="18"/>
        <v>8.8829872380909253E-2</v>
      </c>
      <c r="L54" s="7">
        <f t="shared" si="18"/>
        <v>8.8783102747635415E-2</v>
      </c>
      <c r="M54" s="7">
        <f t="shared" si="18"/>
        <v>8.6641835330553862E-2</v>
      </c>
      <c r="N54" s="7">
        <f t="shared" si="18"/>
        <v>8.6136964617036876E-2</v>
      </c>
      <c r="O54" s="7">
        <f t="shared" si="18"/>
        <v>8.3478136015080071E-2</v>
      </c>
      <c r="P54" s="7">
        <f t="shared" si="18"/>
        <v>8.4539346885039612E-2</v>
      </c>
      <c r="Q54" s="7">
        <f t="shared" si="18"/>
        <v>8.4656642694738465E-2</v>
      </c>
      <c r="R54" s="7">
        <f t="shared" si="18"/>
        <v>8.3541304660712329E-2</v>
      </c>
      <c r="S54" s="7">
        <f t="shared" si="18"/>
        <v>8.9451112554094714E-2</v>
      </c>
      <c r="T54" s="7">
        <f t="shared" si="18"/>
        <v>9.4312757392850707E-2</v>
      </c>
      <c r="U54" s="7">
        <f t="shared" si="18"/>
        <v>8.8411132528551678E-2</v>
      </c>
      <c r="V54" s="7">
        <f t="shared" si="18"/>
        <v>8.5220935339440154E-2</v>
      </c>
      <c r="W54" s="7">
        <f t="shared" si="18"/>
        <v>8.3038275425066435E-2</v>
      </c>
      <c r="X54" s="7">
        <f t="shared" si="18"/>
        <v>8.2882704050892056E-2</v>
      </c>
      <c r="Y54" s="7">
        <f t="shared" si="18"/>
        <v>8.1755370527237817E-2</v>
      </c>
      <c r="Z54" s="7">
        <f t="shared" si="18"/>
        <v>8.1575989197805274E-2</v>
      </c>
      <c r="AA54" s="7">
        <f t="shared" si="18"/>
        <v>8.0067311668624325E-2</v>
      </c>
      <c r="AB54" s="7">
        <f t="shared" si="18"/>
        <v>7.8929228805456705E-2</v>
      </c>
      <c r="AC54" s="7">
        <f t="shared" si="18"/>
        <v>7.6342691548601807E-2</v>
      </c>
      <c r="AD54" s="7">
        <f t="shared" si="18"/>
        <v>7.7357280245961377E-2</v>
      </c>
    </row>
    <row r="55" spans="1:30" x14ac:dyDescent="0.25">
      <c r="A55" s="7"/>
      <c r="B55" s="7"/>
      <c r="C55" s="7"/>
      <c r="D55" s="7"/>
      <c r="E55" s="7"/>
      <c r="F55" s="7"/>
      <c r="G55" s="7"/>
      <c r="H55" s="7"/>
      <c r="I55" s="7"/>
      <c r="J55" s="7"/>
      <c r="K55" s="7"/>
      <c r="L55" s="7"/>
      <c r="M55" s="7"/>
      <c r="N55" s="7"/>
      <c r="O55" s="7"/>
      <c r="P55" s="7"/>
      <c r="Q55" s="7"/>
      <c r="R55" s="7"/>
      <c r="S55" s="7"/>
      <c r="T55" s="7"/>
      <c r="U55" s="7"/>
      <c r="V55" s="7"/>
      <c r="W55" s="7"/>
      <c r="X55" s="7"/>
      <c r="Y55" s="7"/>
      <c r="Z55" s="7"/>
      <c r="AA55" s="7"/>
      <c r="AB55" s="7"/>
      <c r="AC55" s="7"/>
      <c r="AD55" s="7"/>
    </row>
    <row r="56" spans="1:30" x14ac:dyDescent="0.25">
      <c r="A56" s="7" t="s">
        <v>160</v>
      </c>
      <c r="B56" s="7"/>
      <c r="C56" s="7"/>
      <c r="D56" s="7"/>
      <c r="E56" s="7"/>
      <c r="F56" s="7"/>
      <c r="G56" s="7"/>
      <c r="H56" s="7"/>
      <c r="I56" s="7"/>
      <c r="J56" s="7"/>
      <c r="K56" s="7"/>
      <c r="L56" s="7"/>
      <c r="M56" s="7"/>
      <c r="N56" s="7"/>
      <c r="O56" s="7"/>
      <c r="P56" s="7"/>
      <c r="Q56" s="7"/>
      <c r="R56" s="7"/>
      <c r="S56" s="7"/>
      <c r="T56" s="7"/>
      <c r="U56" s="7"/>
      <c r="V56" s="7"/>
      <c r="W56" s="7"/>
      <c r="X56" s="7"/>
      <c r="Y56" s="7"/>
      <c r="Z56" s="7"/>
      <c r="AA56" s="7"/>
      <c r="AB56" s="7"/>
      <c r="AC56" s="7"/>
      <c r="AD56" s="7"/>
    </row>
    <row r="57" spans="1:30" x14ac:dyDescent="0.25">
      <c r="A57" s="7" t="s">
        <v>136</v>
      </c>
      <c r="B57" s="7"/>
      <c r="C57" s="7"/>
      <c r="D57" s="7"/>
      <c r="E57" s="66">
        <f>E51/$E51</f>
        <v>1</v>
      </c>
      <c r="F57" s="66">
        <f t="shared" ref="F57:AD57" si="19">F51/$E51</f>
        <v>0.85063614859816161</v>
      </c>
      <c r="G57" s="66">
        <f t="shared" si="19"/>
        <v>0.79450315152548323</v>
      </c>
      <c r="H57" s="66">
        <f t="shared" si="19"/>
        <v>0.76866924086480337</v>
      </c>
      <c r="I57" s="66">
        <f t="shared" si="19"/>
        <v>0.70630696391815118</v>
      </c>
      <c r="J57" s="66">
        <f t="shared" si="19"/>
        <v>0.70105944937595299</v>
      </c>
      <c r="K57" s="66">
        <f t="shared" si="19"/>
        <v>0.69265006285726893</v>
      </c>
      <c r="L57" s="66">
        <f t="shared" si="19"/>
        <v>0.69086332198021883</v>
      </c>
      <c r="M57" s="66">
        <f t="shared" si="19"/>
        <v>0.69068030995342633</v>
      </c>
      <c r="N57" s="66">
        <f t="shared" si="19"/>
        <v>0.6789165908639142</v>
      </c>
      <c r="O57" s="66">
        <f t="shared" si="19"/>
        <v>0.66975808348020238</v>
      </c>
      <c r="P57" s="66">
        <f t="shared" si="19"/>
        <v>0.67175748391993451</v>
      </c>
      <c r="Q57" s="66">
        <f t="shared" si="19"/>
        <v>0.65027803173685828</v>
      </c>
      <c r="R57" s="66">
        <f t="shared" si="19"/>
        <v>0.61987745905331426</v>
      </c>
      <c r="S57" s="66">
        <f t="shared" si="19"/>
        <v>0.60236267730557025</v>
      </c>
      <c r="T57" s="66">
        <f t="shared" si="19"/>
        <v>0.58794311253372455</v>
      </c>
      <c r="U57" s="66">
        <f t="shared" si="19"/>
        <v>0.60755252689972572</v>
      </c>
      <c r="V57" s="66">
        <f t="shared" si="19"/>
        <v>0.60088457622276747</v>
      </c>
      <c r="W57" s="66">
        <f t="shared" si="19"/>
        <v>0.61758059047988068</v>
      </c>
      <c r="X57" s="66">
        <f t="shared" si="19"/>
        <v>0.61914386252747422</v>
      </c>
      <c r="Y57" s="66">
        <f t="shared" si="19"/>
        <v>0.63778727219920328</v>
      </c>
      <c r="Z57" s="66">
        <f t="shared" si="19"/>
        <v>0.61254828830947117</v>
      </c>
      <c r="AA57" s="66">
        <f t="shared" si="19"/>
        <v>0.63236703905500369</v>
      </c>
      <c r="AB57" s="66">
        <f t="shared" si="19"/>
        <v>0.67646514364079757</v>
      </c>
      <c r="AC57" s="66">
        <f t="shared" si="19"/>
        <v>0.67738730474544551</v>
      </c>
      <c r="AD57" s="66">
        <f t="shared" si="19"/>
        <v>0.65788842041114448</v>
      </c>
    </row>
    <row r="58" spans="1:30" x14ac:dyDescent="0.25">
      <c r="A58" s="7" t="s">
        <v>139</v>
      </c>
      <c r="B58" s="7"/>
      <c r="C58" s="7"/>
      <c r="D58" s="7"/>
      <c r="E58" s="66">
        <f>E52/$E52</f>
        <v>1</v>
      </c>
      <c r="F58" s="66">
        <f t="shared" ref="F58:AD58" si="20">F52/$E52</f>
        <v>0.91264003126004289</v>
      </c>
      <c r="G58" s="66">
        <f t="shared" si="20"/>
        <v>0.9828443170399882</v>
      </c>
      <c r="H58" s="66">
        <f t="shared" si="20"/>
        <v>1.021292390179585</v>
      </c>
      <c r="I58" s="66">
        <f t="shared" si="20"/>
        <v>0.97709960965792608</v>
      </c>
      <c r="J58" s="66">
        <f t="shared" si="20"/>
        <v>1.013530164248222</v>
      </c>
      <c r="K58" s="66">
        <f t="shared" si="20"/>
        <v>1.0176828290469282</v>
      </c>
      <c r="L58" s="66">
        <f t="shared" si="20"/>
        <v>0.9996461459839584</v>
      </c>
      <c r="M58" s="66">
        <f t="shared" si="20"/>
        <v>0.99480733309909131</v>
      </c>
      <c r="N58" s="66">
        <f t="shared" si="20"/>
        <v>0.94684594795485211</v>
      </c>
      <c r="O58" s="66">
        <f t="shared" si="20"/>
        <v>1.0062057573349277</v>
      </c>
      <c r="P58" s="66">
        <f t="shared" si="20"/>
        <v>0.9799018948477537</v>
      </c>
      <c r="Q58" s="66">
        <f t="shared" si="20"/>
        <v>0.96016524218785559</v>
      </c>
      <c r="R58" s="66">
        <f t="shared" si="20"/>
        <v>1.0671087973020212</v>
      </c>
      <c r="S58" s="66">
        <f t="shared" si="20"/>
        <v>1.11639171465554</v>
      </c>
      <c r="T58" s="66">
        <f t="shared" si="20"/>
        <v>1.0714950431632955</v>
      </c>
      <c r="U58" s="66">
        <f t="shared" si="20"/>
        <v>0.99757167318016937</v>
      </c>
      <c r="V58" s="66">
        <f t="shared" si="20"/>
        <v>0.96895526057839287</v>
      </c>
      <c r="W58" s="66">
        <f t="shared" si="20"/>
        <v>0.94176694324510224</v>
      </c>
      <c r="X58" s="66">
        <f t="shared" si="20"/>
        <v>0.93458639580806646</v>
      </c>
      <c r="Y58" s="66">
        <f t="shared" si="20"/>
        <v>0.91338213406313462</v>
      </c>
      <c r="Z58" s="66">
        <f t="shared" si="20"/>
        <v>0.869705744169193</v>
      </c>
      <c r="AA58" s="66">
        <f t="shared" si="20"/>
        <v>0.86188820844009073</v>
      </c>
      <c r="AB58" s="66">
        <f t="shared" si="20"/>
        <v>0.85440013139408755</v>
      </c>
      <c r="AC58" s="66">
        <f t="shared" si="20"/>
        <v>0.82876729298873608</v>
      </c>
      <c r="AD58" s="66">
        <f t="shared" si="20"/>
        <v>0.85574822082710411</v>
      </c>
    </row>
    <row r="59" spans="1:30" x14ac:dyDescent="0.25">
      <c r="A59" s="7" t="s">
        <v>142</v>
      </c>
      <c r="B59" s="7"/>
      <c r="C59" s="7"/>
      <c r="D59" s="7"/>
      <c r="E59" s="66">
        <f>E53/$E53</f>
        <v>1</v>
      </c>
      <c r="F59" s="66">
        <f t="shared" ref="F59:AD59" si="21">F53/$E53</f>
        <v>0.88025623641073059</v>
      </c>
      <c r="G59" s="66">
        <f t="shared" si="21"/>
        <v>0.79451961506374169</v>
      </c>
      <c r="H59" s="66">
        <f t="shared" si="21"/>
        <v>0.7735072930502106</v>
      </c>
      <c r="I59" s="66">
        <f t="shared" si="21"/>
        <v>0.75579346709574702</v>
      </c>
      <c r="J59" s="66">
        <f t="shared" si="21"/>
        <v>0.74593297977310979</v>
      </c>
      <c r="K59" s="66">
        <f t="shared" si="21"/>
        <v>0.72136130922419661</v>
      </c>
      <c r="L59" s="66">
        <f t="shared" si="21"/>
        <v>0.65622957486606082</v>
      </c>
      <c r="M59" s="66">
        <f t="shared" si="21"/>
        <v>0.66107066124877856</v>
      </c>
      <c r="N59" s="66">
        <f t="shared" si="21"/>
        <v>0.61301708174288538</v>
      </c>
      <c r="O59" s="66">
        <f t="shared" si="21"/>
        <v>0.61400156919319671</v>
      </c>
      <c r="P59" s="66">
        <f t="shared" si="21"/>
        <v>0.55746283474165859</v>
      </c>
      <c r="Q59" s="66">
        <f t="shared" si="21"/>
        <v>0.54431859453842446</v>
      </c>
      <c r="R59" s="66">
        <f t="shared" si="21"/>
        <v>0.5477932274924785</v>
      </c>
      <c r="S59" s="66">
        <f t="shared" si="21"/>
        <v>0.55299992497730843</v>
      </c>
      <c r="T59" s="66">
        <f t="shared" si="21"/>
        <v>0.56731255871126551</v>
      </c>
      <c r="U59" s="66">
        <f t="shared" si="21"/>
        <v>0.56902114698091144</v>
      </c>
      <c r="V59" s="66">
        <f t="shared" si="21"/>
        <v>0.59727556500572743</v>
      </c>
      <c r="W59" s="66">
        <f t="shared" si="21"/>
        <v>0.58322175700912138</v>
      </c>
      <c r="X59" s="66">
        <f t="shared" si="21"/>
        <v>0.61639793203458226</v>
      </c>
      <c r="Y59" s="66">
        <f t="shared" si="21"/>
        <v>0.64833635498501652</v>
      </c>
      <c r="Z59" s="66">
        <f t="shared" si="21"/>
        <v>0.66171895613695586</v>
      </c>
      <c r="AA59" s="66">
        <f t="shared" si="21"/>
        <v>0.65797544189767421</v>
      </c>
      <c r="AB59" s="66">
        <f t="shared" si="21"/>
        <v>0.68465868739305202</v>
      </c>
      <c r="AC59" s="66">
        <f t="shared" si="21"/>
        <v>0.66890064734481225</v>
      </c>
      <c r="AD59" s="66">
        <f t="shared" si="21"/>
        <v>0.67532656319711126</v>
      </c>
    </row>
    <row r="60" spans="1:30" x14ac:dyDescent="0.25">
      <c r="A60" s="7" t="s">
        <v>145</v>
      </c>
      <c r="B60" s="7"/>
      <c r="C60" s="7"/>
      <c r="D60" s="7"/>
      <c r="E60" s="66">
        <f>E54/$E54</f>
        <v>1</v>
      </c>
      <c r="F60" s="66">
        <f t="shared" ref="F60:AD60" si="22">F54/$E54</f>
        <v>0.91935723270611791</v>
      </c>
      <c r="G60" s="66">
        <f t="shared" si="22"/>
        <v>0.95141072573502217</v>
      </c>
      <c r="H60" s="66">
        <f t="shared" si="22"/>
        <v>1.033922598744325</v>
      </c>
      <c r="I60" s="66">
        <f t="shared" si="22"/>
        <v>1.0482452294609625</v>
      </c>
      <c r="J60" s="66">
        <f t="shared" si="22"/>
        <v>0.99829605171161284</v>
      </c>
      <c r="K60" s="66">
        <f t="shared" si="22"/>
        <v>0.99645849192186575</v>
      </c>
      <c r="L60" s="66">
        <f t="shared" si="22"/>
        <v>0.99593384861223733</v>
      </c>
      <c r="M60" s="66">
        <f t="shared" si="22"/>
        <v>0.97191395480807752</v>
      </c>
      <c r="N60" s="66">
        <f t="shared" si="22"/>
        <v>0.96625051416223939</v>
      </c>
      <c r="O60" s="66">
        <f t="shared" si="22"/>
        <v>0.93642482300708696</v>
      </c>
      <c r="P60" s="66">
        <f t="shared" si="22"/>
        <v>0.94832906822041496</v>
      </c>
      <c r="Q60" s="66">
        <f t="shared" si="22"/>
        <v>0.94964484637598956</v>
      </c>
      <c r="R60" s="66">
        <f t="shared" si="22"/>
        <v>0.93713342397291477</v>
      </c>
      <c r="S60" s="66">
        <f t="shared" si="22"/>
        <v>1.0034273192938017</v>
      </c>
      <c r="T60" s="66">
        <f t="shared" si="22"/>
        <v>1.0579633346503616</v>
      </c>
      <c r="U60" s="66">
        <f t="shared" si="22"/>
        <v>0.99176123332400823</v>
      </c>
      <c r="V60" s="66">
        <f t="shared" si="22"/>
        <v>0.95597485882192534</v>
      </c>
      <c r="W60" s="66">
        <f t="shared" si="22"/>
        <v>0.93149064029993001</v>
      </c>
      <c r="X60" s="66">
        <f t="shared" si="22"/>
        <v>0.92974550195017214</v>
      </c>
      <c r="Y60" s="66">
        <f t="shared" si="22"/>
        <v>0.91709951887303243</v>
      </c>
      <c r="Z60" s="66">
        <f t="shared" si="22"/>
        <v>0.91508728983099552</v>
      </c>
      <c r="AA60" s="66">
        <f t="shared" si="22"/>
        <v>0.89816354002442556</v>
      </c>
      <c r="AB60" s="66">
        <f t="shared" si="22"/>
        <v>0.8853969750939793</v>
      </c>
      <c r="AC60" s="66">
        <f t="shared" si="22"/>
        <v>0.85638221975116668</v>
      </c>
      <c r="AD60" s="66">
        <f t="shared" si="22"/>
        <v>0.86776347581057722</v>
      </c>
    </row>
    <row r="61" spans="1:30" x14ac:dyDescent="0.25">
      <c r="A61" s="7"/>
      <c r="B61" s="7"/>
      <c r="C61" s="7"/>
      <c r="D61" s="7"/>
      <c r="E61" s="7"/>
      <c r="F61" s="7"/>
      <c r="G61" s="7"/>
      <c r="H61" s="7"/>
      <c r="I61" s="7"/>
      <c r="J61" s="7"/>
      <c r="K61" s="7"/>
      <c r="L61" s="7"/>
      <c r="M61" s="7"/>
      <c r="N61" s="7"/>
      <c r="O61" s="7"/>
      <c r="P61" s="7"/>
      <c r="Q61" s="7"/>
      <c r="R61" s="7"/>
      <c r="S61" s="7"/>
      <c r="T61" s="7"/>
      <c r="U61" s="7"/>
      <c r="V61" s="7"/>
      <c r="W61" s="7"/>
      <c r="X61" s="7"/>
      <c r="Y61" s="7"/>
      <c r="Z61" s="7"/>
      <c r="AA61" s="7"/>
      <c r="AB61" s="7"/>
      <c r="AC61" s="7"/>
      <c r="AD61" s="7"/>
    </row>
    <row r="62" spans="1:30" x14ac:dyDescent="0.25">
      <c r="A62" s="368" t="s">
        <v>169</v>
      </c>
      <c r="B62" s="368"/>
      <c r="C62" s="7"/>
      <c r="D62" s="7"/>
      <c r="E62" s="7"/>
      <c r="F62" s="7"/>
      <c r="G62" s="7"/>
      <c r="H62" s="7"/>
      <c r="I62" s="7"/>
      <c r="J62" s="7"/>
      <c r="K62" s="7"/>
      <c r="L62" s="7"/>
      <c r="M62" s="7"/>
      <c r="N62" s="7"/>
      <c r="O62" s="7"/>
      <c r="P62" s="7"/>
      <c r="Q62" s="7"/>
      <c r="R62" s="7"/>
      <c r="S62" s="7"/>
      <c r="T62" s="7"/>
      <c r="U62" s="7"/>
      <c r="V62" s="7"/>
      <c r="W62" s="7"/>
      <c r="X62" s="7"/>
      <c r="Y62" s="7"/>
      <c r="Z62" s="7"/>
      <c r="AA62" s="7"/>
      <c r="AB62" s="7"/>
      <c r="AC62" s="7"/>
      <c r="AD62" s="7"/>
    </row>
    <row r="63" spans="1:30" x14ac:dyDescent="0.25">
      <c r="A63" s="369" t="s">
        <v>133</v>
      </c>
      <c r="B63" s="369" t="s">
        <v>134</v>
      </c>
      <c r="C63" s="7"/>
      <c r="D63" s="7" t="s">
        <v>135</v>
      </c>
      <c r="E63" s="7"/>
      <c r="F63" s="7"/>
      <c r="G63" s="7"/>
      <c r="H63" s="7"/>
      <c r="I63" s="7"/>
      <c r="J63" s="7"/>
      <c r="K63" s="7"/>
      <c r="L63" s="7"/>
      <c r="M63" s="7"/>
      <c r="N63" s="7"/>
      <c r="O63" s="7"/>
      <c r="P63" s="7"/>
      <c r="Q63" s="7"/>
      <c r="R63" s="7"/>
      <c r="S63" s="7"/>
      <c r="T63" s="7"/>
      <c r="U63" s="7"/>
      <c r="V63" s="7"/>
      <c r="W63" s="7"/>
      <c r="X63" s="7"/>
      <c r="Y63" s="7"/>
      <c r="Z63" s="7"/>
      <c r="AA63" s="7"/>
      <c r="AB63" s="7"/>
      <c r="AC63" s="7"/>
      <c r="AD63" s="7"/>
    </row>
    <row r="64" spans="1:30" x14ac:dyDescent="0.25">
      <c r="A64" s="7" t="s">
        <v>136</v>
      </c>
      <c r="B64" s="7" t="s">
        <v>137</v>
      </c>
      <c r="C64" s="7" t="s">
        <v>170</v>
      </c>
      <c r="D64" s="7" t="s">
        <v>135</v>
      </c>
      <c r="E64" s="7">
        <v>61.541671999999998</v>
      </c>
      <c r="F64" s="7">
        <v>64.405868999999996</v>
      </c>
      <c r="G64" s="7">
        <v>64.420340999999993</v>
      </c>
      <c r="H64" s="7">
        <v>66.555237000000005</v>
      </c>
      <c r="I64" s="7">
        <v>68.175201000000001</v>
      </c>
      <c r="J64" s="7">
        <v>73.557616999999993</v>
      </c>
      <c r="K64" s="7">
        <v>76.420531999999994</v>
      </c>
      <c r="L64" s="7">
        <v>77.469314999999995</v>
      </c>
      <c r="M64" s="7">
        <v>80.365448000000001</v>
      </c>
      <c r="N64" s="7">
        <v>81.897994999999995</v>
      </c>
      <c r="O64" s="7">
        <v>82.882178999999994</v>
      </c>
      <c r="P64" s="7">
        <v>83.787566999999996</v>
      </c>
      <c r="Q64" s="7">
        <v>84.092658999999998</v>
      </c>
      <c r="R64" s="7">
        <v>81.287291999999994</v>
      </c>
      <c r="S64" s="7">
        <v>82.193961999999999</v>
      </c>
      <c r="T64" s="7">
        <v>81.727806000000001</v>
      </c>
      <c r="U64" s="7">
        <v>81.741791000000006</v>
      </c>
      <c r="V64" s="7">
        <v>81.815535999999994</v>
      </c>
      <c r="W64" s="7">
        <v>81.569526999999994</v>
      </c>
      <c r="X64" s="7">
        <v>81.521240000000006</v>
      </c>
      <c r="Y64" s="7">
        <v>81.729209999999995</v>
      </c>
      <c r="Z64" s="7">
        <v>81.720641999999998</v>
      </c>
      <c r="AA64" s="7">
        <v>81.809341000000003</v>
      </c>
      <c r="AB64" s="7">
        <v>81.856978999999995</v>
      </c>
      <c r="AC64" s="7">
        <v>81.985100000000003</v>
      </c>
      <c r="AD64" s="7">
        <v>82.540520000000001</v>
      </c>
    </row>
    <row r="65" spans="1:30" x14ac:dyDescent="0.25">
      <c r="A65" s="7" t="s">
        <v>139</v>
      </c>
      <c r="B65" s="7" t="s">
        <v>140</v>
      </c>
      <c r="C65" s="7" t="s">
        <v>171</v>
      </c>
      <c r="D65" s="7" t="s">
        <v>135</v>
      </c>
      <c r="E65" s="7">
        <v>66.059044</v>
      </c>
      <c r="F65" s="7">
        <v>64.069427000000005</v>
      </c>
      <c r="G65" s="7">
        <v>63.976215000000003</v>
      </c>
      <c r="H65" s="7">
        <v>64.195412000000005</v>
      </c>
      <c r="I65" s="7">
        <v>61.515942000000003</v>
      </c>
      <c r="J65" s="7">
        <v>62.383887999999999</v>
      </c>
      <c r="K65" s="7">
        <v>61.682383999999999</v>
      </c>
      <c r="L65" s="7">
        <v>63.138840000000002</v>
      </c>
      <c r="M65" s="7">
        <v>64.320960999999997</v>
      </c>
      <c r="N65" s="7">
        <v>65.026047000000005</v>
      </c>
      <c r="O65" s="7">
        <v>66.303055000000001</v>
      </c>
      <c r="P65" s="7">
        <v>67.013748000000007</v>
      </c>
      <c r="Q65" s="7">
        <v>67.080871999999999</v>
      </c>
      <c r="R65" s="7">
        <v>67.330665999999994</v>
      </c>
      <c r="S65" s="7">
        <v>68.434319000000002</v>
      </c>
      <c r="T65" s="7">
        <v>66.724327000000002</v>
      </c>
      <c r="U65" s="7">
        <v>67.639633000000003</v>
      </c>
      <c r="V65" s="7">
        <v>67.587569999999999</v>
      </c>
      <c r="W65" s="7">
        <v>67.870956000000007</v>
      </c>
      <c r="X65" s="7">
        <v>68.252562999999995</v>
      </c>
      <c r="Y65" s="7">
        <v>67.819266999999996</v>
      </c>
      <c r="Z65" s="7">
        <v>67.653046000000003</v>
      </c>
      <c r="AA65" s="7">
        <v>67.160881000000003</v>
      </c>
      <c r="AB65" s="7">
        <v>66.842917999999997</v>
      </c>
      <c r="AC65" s="7">
        <v>66.544319000000002</v>
      </c>
      <c r="AD65" s="7">
        <v>67.254188999999997</v>
      </c>
    </row>
    <row r="66" spans="1:30" x14ac:dyDescent="0.25">
      <c r="A66" s="7" t="s">
        <v>142</v>
      </c>
      <c r="B66" s="7" t="s">
        <v>143</v>
      </c>
      <c r="C66" s="7" t="s">
        <v>172</v>
      </c>
      <c r="D66" s="7" t="s">
        <v>135</v>
      </c>
      <c r="E66" s="7">
        <v>62.628391000000001</v>
      </c>
      <c r="F66" s="7">
        <v>61.716701999999998</v>
      </c>
      <c r="G66" s="7">
        <v>62.322338000000002</v>
      </c>
      <c r="H66" s="7">
        <v>66.681847000000005</v>
      </c>
      <c r="I66" s="7">
        <v>70.269538999999995</v>
      </c>
      <c r="J66" s="7">
        <v>72.822670000000002</v>
      </c>
      <c r="K66" s="7">
        <v>73.234511999999995</v>
      </c>
      <c r="L66" s="7">
        <v>69.631432000000004</v>
      </c>
      <c r="M66" s="7">
        <v>74.652671999999995</v>
      </c>
      <c r="N66" s="7">
        <v>77.486694</v>
      </c>
      <c r="O66" s="7">
        <v>79.788100999999997</v>
      </c>
      <c r="P66" s="7">
        <v>81.024062999999998</v>
      </c>
      <c r="Q66" s="7">
        <v>81.062079999999995</v>
      </c>
      <c r="R66" s="7">
        <v>79.941978000000006</v>
      </c>
      <c r="S66" s="7">
        <v>80.571686</v>
      </c>
      <c r="T66" s="7">
        <v>80.652641000000003</v>
      </c>
      <c r="U66" s="7">
        <v>80.731796000000003</v>
      </c>
      <c r="V66" s="7">
        <v>81.192070000000001</v>
      </c>
      <c r="W66" s="7">
        <v>81.720580999999996</v>
      </c>
      <c r="X66" s="7">
        <v>82.137580999999997</v>
      </c>
      <c r="Y66" s="7">
        <v>82.204109000000003</v>
      </c>
      <c r="Z66" s="7">
        <v>84.477715000000003</v>
      </c>
      <c r="AA66" s="7">
        <v>86.382476999999994</v>
      </c>
      <c r="AB66" s="7">
        <v>86.025429000000003</v>
      </c>
      <c r="AC66" s="7">
        <v>86.235641000000001</v>
      </c>
      <c r="AD66" s="7">
        <v>86.514313000000001</v>
      </c>
    </row>
    <row r="67" spans="1:30" x14ac:dyDescent="0.25">
      <c r="A67" s="7" t="s">
        <v>145</v>
      </c>
      <c r="B67" s="7" t="s">
        <v>146</v>
      </c>
      <c r="C67" s="7" t="s">
        <v>173</v>
      </c>
      <c r="D67" s="7" t="s">
        <v>135</v>
      </c>
      <c r="E67" s="7">
        <v>62.611728999999997</v>
      </c>
      <c r="F67" s="7">
        <v>60.313952999999998</v>
      </c>
      <c r="G67" s="7">
        <v>61.322398999999997</v>
      </c>
      <c r="H67" s="7">
        <v>60.164864000000001</v>
      </c>
      <c r="I67" s="7">
        <v>59.652839999999998</v>
      </c>
      <c r="J67" s="7">
        <v>60.316764999999997</v>
      </c>
      <c r="K67" s="7">
        <v>61.113705000000003</v>
      </c>
      <c r="L67" s="7">
        <v>61.561664999999998</v>
      </c>
      <c r="M67" s="7">
        <v>62.971367000000001</v>
      </c>
      <c r="N67" s="7">
        <v>63.013756000000001</v>
      </c>
      <c r="O67" s="7">
        <v>63.518532</v>
      </c>
      <c r="P67" s="7">
        <v>63.928547000000002</v>
      </c>
      <c r="Q67" s="7">
        <v>65.008324000000002</v>
      </c>
      <c r="R67" s="7">
        <v>64.592147999999995</v>
      </c>
      <c r="S67" s="7">
        <v>66.989058999999997</v>
      </c>
      <c r="T67" s="7">
        <v>65.757407999999998</v>
      </c>
      <c r="U67" s="7">
        <v>67.680588</v>
      </c>
      <c r="V67" s="7">
        <v>68.813514999999995</v>
      </c>
      <c r="W67" s="7">
        <v>69.440513999999993</v>
      </c>
      <c r="X67" s="7">
        <v>70.58287</v>
      </c>
      <c r="Y67" s="7">
        <v>72.465941999999998</v>
      </c>
      <c r="Z67" s="7">
        <v>73.478774999999999</v>
      </c>
      <c r="AA67" s="7">
        <v>76.444526999999994</v>
      </c>
      <c r="AB67" s="7">
        <v>78.694564999999997</v>
      </c>
      <c r="AC67" s="7">
        <v>79.115279999999998</v>
      </c>
      <c r="AD67" s="7">
        <v>78.655311999999995</v>
      </c>
    </row>
    <row r="68" spans="1:30" x14ac:dyDescent="0.25">
      <c r="A68" s="7"/>
      <c r="B68" s="7"/>
      <c r="C68" s="7"/>
      <c r="D68" s="7"/>
      <c r="E68" s="7"/>
      <c r="F68" s="7"/>
      <c r="G68" s="7"/>
      <c r="H68" s="7"/>
      <c r="I68" s="7"/>
      <c r="J68" s="7"/>
      <c r="K68" s="7"/>
      <c r="L68" s="7"/>
      <c r="M68" s="7"/>
      <c r="N68" s="7"/>
      <c r="O68" s="7"/>
      <c r="P68" s="7"/>
      <c r="Q68" s="7"/>
      <c r="R68" s="7"/>
      <c r="S68" s="7"/>
      <c r="T68" s="7"/>
      <c r="U68" s="7"/>
      <c r="V68" s="7"/>
      <c r="W68" s="7"/>
      <c r="X68" s="7"/>
      <c r="Y68" s="7"/>
      <c r="Z68" s="7"/>
      <c r="AA68" s="7"/>
      <c r="AB68" s="7"/>
      <c r="AC68" s="7"/>
      <c r="AD68" s="7"/>
    </row>
    <row r="69" spans="1:30" x14ac:dyDescent="0.25">
      <c r="A69" s="7" t="s">
        <v>148</v>
      </c>
      <c r="B69" s="7" t="s">
        <v>149</v>
      </c>
      <c r="C69" s="7"/>
      <c r="D69" s="7" t="s">
        <v>150</v>
      </c>
      <c r="E69" s="7"/>
      <c r="F69" s="7"/>
      <c r="G69" s="7"/>
      <c r="H69" s="7"/>
      <c r="I69" s="7"/>
      <c r="J69" s="7"/>
      <c r="K69" s="7"/>
      <c r="L69" s="7"/>
      <c r="M69" s="7"/>
      <c r="N69" s="7"/>
      <c r="O69" s="7"/>
      <c r="P69" s="7"/>
      <c r="Q69" s="7"/>
      <c r="R69" s="7"/>
      <c r="S69" s="7"/>
      <c r="T69" s="7"/>
      <c r="U69" s="7"/>
      <c r="V69" s="7"/>
      <c r="W69" s="7"/>
      <c r="X69" s="7"/>
      <c r="Y69" s="7"/>
      <c r="Z69" s="7"/>
      <c r="AA69" s="7"/>
      <c r="AB69" s="7"/>
      <c r="AC69" s="7"/>
      <c r="AD69" s="7"/>
    </row>
    <row r="70" spans="1:30" x14ac:dyDescent="0.25">
      <c r="A70" s="7" t="s">
        <v>136</v>
      </c>
      <c r="B70" s="7" t="s">
        <v>151</v>
      </c>
      <c r="C70" s="7" t="s">
        <v>174</v>
      </c>
      <c r="D70" s="7" t="s">
        <v>150</v>
      </c>
      <c r="E70" s="7">
        <v>22.899263000000001</v>
      </c>
      <c r="F70" s="7">
        <v>19.763884999999998</v>
      </c>
      <c r="G70" s="7">
        <v>17.766407000000001</v>
      </c>
      <c r="H70" s="7">
        <v>15.726172999999999</v>
      </c>
      <c r="I70" s="7">
        <v>11.178679000000001</v>
      </c>
      <c r="J70" s="7">
        <v>12.006347999999999</v>
      </c>
      <c r="K70" s="7">
        <v>11.871461999999999</v>
      </c>
      <c r="L70" s="7">
        <v>12.315035999999999</v>
      </c>
      <c r="M70" s="7">
        <v>13.462638</v>
      </c>
      <c r="N70" s="7">
        <v>13.77209</v>
      </c>
      <c r="O70" s="7">
        <v>15.555128</v>
      </c>
      <c r="P70" s="7">
        <v>15.815747</v>
      </c>
      <c r="Q70" s="7">
        <v>15.517393999999999</v>
      </c>
      <c r="R70" s="7">
        <v>11.605539</v>
      </c>
      <c r="S70" s="7">
        <v>12.39373</v>
      </c>
      <c r="T70" s="7">
        <v>11.561563</v>
      </c>
      <c r="U70" s="7">
        <v>11.4701</v>
      </c>
      <c r="V70" s="7">
        <v>11.456181000000001</v>
      </c>
      <c r="W70" s="7">
        <v>11.068671999999999</v>
      </c>
      <c r="X70" s="7">
        <v>10.886806</v>
      </c>
      <c r="Y70" s="7">
        <v>10.99159</v>
      </c>
      <c r="Z70" s="7">
        <v>10.831647999999999</v>
      </c>
      <c r="AA70" s="7">
        <v>10.880159000000001</v>
      </c>
      <c r="AB70" s="7">
        <v>10.876946999999999</v>
      </c>
      <c r="AC70" s="7">
        <v>10.976303</v>
      </c>
      <c r="AD70" s="7">
        <v>10.914467</v>
      </c>
    </row>
    <row r="71" spans="1:30" x14ac:dyDescent="0.25">
      <c r="A71" s="7" t="s">
        <v>139</v>
      </c>
      <c r="B71" s="7" t="s">
        <v>153</v>
      </c>
      <c r="C71" s="7" t="s">
        <v>175</v>
      </c>
      <c r="D71" s="7" t="s">
        <v>150</v>
      </c>
      <c r="E71" s="7">
        <v>24.547720000000002</v>
      </c>
      <c r="F71" s="7">
        <v>21.073601</v>
      </c>
      <c r="G71" s="7">
        <v>20.555085999999999</v>
      </c>
      <c r="H71" s="7">
        <v>20.477674</v>
      </c>
      <c r="I71" s="7">
        <v>17.215489999999999</v>
      </c>
      <c r="J71" s="7">
        <v>17.995923999999999</v>
      </c>
      <c r="K71" s="7">
        <v>16.890301000000001</v>
      </c>
      <c r="L71" s="7">
        <v>18.242139999999999</v>
      </c>
      <c r="M71" s="7">
        <v>19.004826999999999</v>
      </c>
      <c r="N71" s="7">
        <v>19.664762</v>
      </c>
      <c r="O71" s="7">
        <v>19.990126</v>
      </c>
      <c r="P71" s="7">
        <v>20.440428000000001</v>
      </c>
      <c r="Q71" s="7">
        <v>20.460798</v>
      </c>
      <c r="R71" s="7">
        <v>18.523917999999998</v>
      </c>
      <c r="S71" s="7">
        <v>19.509647000000001</v>
      </c>
      <c r="T71" s="7">
        <v>17.356332999999999</v>
      </c>
      <c r="U71" s="7">
        <v>18.214161000000001</v>
      </c>
      <c r="V71" s="7">
        <v>18.088722000000001</v>
      </c>
      <c r="W71" s="7">
        <v>18.323568000000002</v>
      </c>
      <c r="X71" s="7">
        <v>18.693632000000001</v>
      </c>
      <c r="Y71" s="7">
        <v>18.122404</v>
      </c>
      <c r="Z71" s="7">
        <v>17.845773999999999</v>
      </c>
      <c r="AA71" s="7">
        <v>17.233550999999999</v>
      </c>
      <c r="AB71" s="7">
        <v>16.674088999999999</v>
      </c>
      <c r="AC71" s="7">
        <v>16.096943</v>
      </c>
      <c r="AD71" s="7">
        <v>16.424557</v>
      </c>
    </row>
    <row r="72" spans="1:30" x14ac:dyDescent="0.25">
      <c r="A72" s="7" t="s">
        <v>142</v>
      </c>
      <c r="B72" s="7" t="s">
        <v>155</v>
      </c>
      <c r="C72" s="7" t="s">
        <v>176</v>
      </c>
      <c r="D72" s="7" t="s">
        <v>150</v>
      </c>
      <c r="E72" s="7">
        <v>24.034625999999999</v>
      </c>
      <c r="F72" s="7">
        <v>20.446144</v>
      </c>
      <c r="G72" s="7">
        <v>18.942132999999998</v>
      </c>
      <c r="H72" s="7">
        <v>15.421543</v>
      </c>
      <c r="I72" s="7">
        <v>10.894691</v>
      </c>
      <c r="J72" s="7">
        <v>11.337087</v>
      </c>
      <c r="K72" s="7">
        <v>12.274851999999999</v>
      </c>
      <c r="L72" s="7">
        <v>11.324925</v>
      </c>
      <c r="M72" s="7">
        <v>13.458648</v>
      </c>
      <c r="N72" s="7">
        <v>14.513329000000001</v>
      </c>
      <c r="O72" s="7">
        <v>15.16724</v>
      </c>
      <c r="P72" s="7">
        <v>15.078203</v>
      </c>
      <c r="Q72" s="7">
        <v>15.256598</v>
      </c>
      <c r="R72" s="7">
        <v>10.844243000000001</v>
      </c>
      <c r="S72" s="7">
        <v>11.050039999999999</v>
      </c>
      <c r="T72" s="7">
        <v>11.141527</v>
      </c>
      <c r="U72" s="7">
        <v>11.117101999999999</v>
      </c>
      <c r="V72" s="7">
        <v>11.568953</v>
      </c>
      <c r="W72" s="7">
        <v>12.143298</v>
      </c>
      <c r="X72" s="7">
        <v>12.565419</v>
      </c>
      <c r="Y72" s="7">
        <v>12.585379</v>
      </c>
      <c r="Z72" s="7">
        <v>12.474805</v>
      </c>
      <c r="AA72" s="7">
        <v>12.614868</v>
      </c>
      <c r="AB72" s="7">
        <v>11.838259000000001</v>
      </c>
      <c r="AC72" s="7">
        <v>12.035257</v>
      </c>
      <c r="AD72" s="7">
        <v>12.053734</v>
      </c>
    </row>
    <row r="73" spans="1:30" x14ac:dyDescent="0.25">
      <c r="A73" s="7" t="s">
        <v>145</v>
      </c>
      <c r="B73" s="7" t="s">
        <v>157</v>
      </c>
      <c r="C73" s="7" t="s">
        <v>177</v>
      </c>
      <c r="D73" s="7" t="s">
        <v>150</v>
      </c>
      <c r="E73" s="7">
        <v>23.969747999999999</v>
      </c>
      <c r="F73" s="7">
        <v>20.800104000000001</v>
      </c>
      <c r="G73" s="7">
        <v>20.212357000000001</v>
      </c>
      <c r="H73" s="7">
        <v>18.792916999999999</v>
      </c>
      <c r="I73" s="7">
        <v>16.859064</v>
      </c>
      <c r="J73" s="7">
        <v>16.411228000000001</v>
      </c>
      <c r="K73" s="7">
        <v>16.489677</v>
      </c>
      <c r="L73" s="7">
        <v>16.811577</v>
      </c>
      <c r="M73" s="7">
        <v>18.298829999999999</v>
      </c>
      <c r="N73" s="7">
        <v>18.202148000000001</v>
      </c>
      <c r="O73" s="7">
        <v>18.076000000000001</v>
      </c>
      <c r="P73" s="7">
        <v>18.255096000000002</v>
      </c>
      <c r="Q73" s="7">
        <v>19.552783999999999</v>
      </c>
      <c r="R73" s="7">
        <v>15.390881</v>
      </c>
      <c r="S73" s="7">
        <v>17.54233</v>
      </c>
      <c r="T73" s="7">
        <v>15.750958000000001</v>
      </c>
      <c r="U73" s="7">
        <v>16.473746999999999</v>
      </c>
      <c r="V73" s="7">
        <v>16.402645</v>
      </c>
      <c r="W73" s="7">
        <v>15.886094999999999</v>
      </c>
      <c r="X73" s="7">
        <v>15.600709</v>
      </c>
      <c r="Y73" s="7">
        <v>15.208788</v>
      </c>
      <c r="Z73" s="7">
        <v>15.753662</v>
      </c>
      <c r="AA73" s="7">
        <v>15.093302</v>
      </c>
      <c r="AB73" s="7">
        <v>14.737852</v>
      </c>
      <c r="AC73" s="7">
        <v>14.772738</v>
      </c>
      <c r="AD73" s="7">
        <v>14.339880000000001</v>
      </c>
    </row>
    <row r="74" spans="1:30" x14ac:dyDescent="0.25">
      <c r="A74" s="7"/>
      <c r="B74" s="7"/>
      <c r="C74" s="7"/>
      <c r="D74" s="7"/>
      <c r="E74" s="7"/>
      <c r="F74" s="7"/>
      <c r="G74" s="7"/>
      <c r="H74" s="7"/>
      <c r="I74" s="7"/>
      <c r="J74" s="7"/>
      <c r="K74" s="7"/>
      <c r="L74" s="7"/>
      <c r="M74" s="7"/>
      <c r="N74" s="7"/>
      <c r="O74" s="7"/>
      <c r="P74" s="7"/>
      <c r="Q74" s="7"/>
      <c r="R74" s="7"/>
      <c r="S74" s="7"/>
      <c r="T74" s="7"/>
      <c r="U74" s="7"/>
      <c r="V74" s="7"/>
      <c r="W74" s="7"/>
      <c r="X74" s="7"/>
      <c r="Y74" s="7"/>
      <c r="Z74" s="7"/>
      <c r="AA74" s="7"/>
      <c r="AB74" s="7"/>
      <c r="AC74" s="7"/>
      <c r="AD74" s="7"/>
    </row>
    <row r="75" spans="1:30" x14ac:dyDescent="0.25">
      <c r="A75" s="7" t="s">
        <v>159</v>
      </c>
      <c r="B75" s="7"/>
      <c r="C75" s="7"/>
      <c r="D75" s="7"/>
      <c r="E75" s="7"/>
      <c r="F75" s="7"/>
      <c r="G75" s="7"/>
      <c r="H75" s="7"/>
      <c r="I75" s="7"/>
      <c r="J75" s="7"/>
      <c r="K75" s="7"/>
      <c r="L75" s="7"/>
      <c r="M75" s="7"/>
      <c r="N75" s="7"/>
      <c r="O75" s="7"/>
      <c r="P75" s="7"/>
      <c r="Q75" s="7"/>
      <c r="R75" s="7"/>
      <c r="S75" s="7"/>
      <c r="T75" s="7"/>
      <c r="U75" s="7"/>
      <c r="V75" s="7"/>
      <c r="W75" s="7"/>
      <c r="X75" s="7"/>
      <c r="Y75" s="7"/>
      <c r="Z75" s="7"/>
      <c r="AA75" s="7"/>
      <c r="AB75" s="7"/>
      <c r="AC75" s="7"/>
      <c r="AD75" s="7"/>
    </row>
    <row r="76" spans="1:30" x14ac:dyDescent="0.25">
      <c r="A76" s="7" t="s">
        <v>136</v>
      </c>
      <c r="B76" s="7"/>
      <c r="C76" s="7"/>
      <c r="D76" s="7"/>
      <c r="E76" s="7">
        <f>E70/E64</f>
        <v>0.37209361162628146</v>
      </c>
      <c r="F76" s="7">
        <f t="shared" ref="F76:AD76" si="23">F70/F64</f>
        <v>0.3068646585608526</v>
      </c>
      <c r="G76" s="7">
        <f t="shared" si="23"/>
        <v>0.27578877609480523</v>
      </c>
      <c r="H76" s="7">
        <f t="shared" si="23"/>
        <v>0.23628753662164853</v>
      </c>
      <c r="I76" s="7">
        <f t="shared" si="23"/>
        <v>0.1639698722707103</v>
      </c>
      <c r="J76" s="7">
        <f t="shared" si="23"/>
        <v>0.16322372161675658</v>
      </c>
      <c r="K76" s="7">
        <f t="shared" si="23"/>
        <v>0.15534388062098287</v>
      </c>
      <c r="L76" s="7">
        <f t="shared" si="23"/>
        <v>0.15896663085248655</v>
      </c>
      <c r="M76" s="7">
        <f t="shared" si="23"/>
        <v>0.16751773722458438</v>
      </c>
      <c r="N76" s="7">
        <f t="shared" si="23"/>
        <v>0.16816150383168724</v>
      </c>
      <c r="O76" s="7">
        <f t="shared" si="23"/>
        <v>0.18767759472153842</v>
      </c>
      <c r="P76" s="7">
        <f t="shared" si="23"/>
        <v>0.18876006985618762</v>
      </c>
      <c r="Q76" s="7">
        <f t="shared" si="23"/>
        <v>0.18452733192798673</v>
      </c>
      <c r="R76" s="7">
        <f t="shared" si="23"/>
        <v>0.14277187386190698</v>
      </c>
      <c r="S76" s="7">
        <f t="shared" si="23"/>
        <v>0.15078638014797244</v>
      </c>
      <c r="T76" s="7">
        <f t="shared" si="23"/>
        <v>0.1414642526926515</v>
      </c>
      <c r="U76" s="7">
        <f t="shared" si="23"/>
        <v>0.14032112411141076</v>
      </c>
      <c r="V76" s="7">
        <f t="shared" si="23"/>
        <v>0.14002451808174918</v>
      </c>
      <c r="W76" s="7">
        <f t="shared" si="23"/>
        <v>0.13569616506419119</v>
      </c>
      <c r="X76" s="7">
        <f t="shared" si="23"/>
        <v>0.13354563792209245</v>
      </c>
      <c r="Y76" s="7">
        <f t="shared" si="23"/>
        <v>0.1344879021833198</v>
      </c>
      <c r="Z76" s="7">
        <f t="shared" si="23"/>
        <v>0.13254482264101644</v>
      </c>
      <c r="AA76" s="7">
        <f t="shared" si="23"/>
        <v>0.13299409171380563</v>
      </c>
      <c r="AB76" s="7">
        <f t="shared" si="23"/>
        <v>0.13287745446848215</v>
      </c>
      <c r="AC76" s="7">
        <f t="shared" si="23"/>
        <v>0.13388168093958536</v>
      </c>
      <c r="AD76" s="7">
        <f t="shared" si="23"/>
        <v>0.13223162393452331</v>
      </c>
    </row>
    <row r="77" spans="1:30" x14ac:dyDescent="0.25">
      <c r="A77" s="7" t="s">
        <v>139</v>
      </c>
      <c r="B77" s="7"/>
      <c r="C77" s="7"/>
      <c r="D77" s="7"/>
      <c r="E77" s="7">
        <f t="shared" ref="E77:AD77" si="24">E71/E65</f>
        <v>0.37160271347553869</v>
      </c>
      <c r="F77" s="7">
        <f t="shared" si="24"/>
        <v>0.32891820618280226</v>
      </c>
      <c r="G77" s="7">
        <f t="shared" si="24"/>
        <v>0.32129262414164389</v>
      </c>
      <c r="H77" s="7">
        <f t="shared" si="24"/>
        <v>0.31898968106941972</v>
      </c>
      <c r="I77" s="7">
        <f t="shared" si="24"/>
        <v>0.27985412301741225</v>
      </c>
      <c r="J77" s="7">
        <f t="shared" si="24"/>
        <v>0.28847070256345675</v>
      </c>
      <c r="K77" s="7">
        <f t="shared" si="24"/>
        <v>0.27382698113613768</v>
      </c>
      <c r="L77" s="7">
        <f t="shared" si="24"/>
        <v>0.28892105081436398</v>
      </c>
      <c r="M77" s="7">
        <f t="shared" si="24"/>
        <v>0.29546864201857931</v>
      </c>
      <c r="N77" s="7">
        <f t="shared" si="24"/>
        <v>0.30241361588533894</v>
      </c>
      <c r="O77" s="7">
        <f t="shared" si="24"/>
        <v>0.30149630360169677</v>
      </c>
      <c r="P77" s="7">
        <f t="shared" si="24"/>
        <v>0.3050184269651654</v>
      </c>
      <c r="Q77" s="7">
        <f t="shared" si="24"/>
        <v>0.30501687574961756</v>
      </c>
      <c r="R77" s="7">
        <f t="shared" si="24"/>
        <v>0.27511859157905849</v>
      </c>
      <c r="S77" s="7">
        <f t="shared" si="24"/>
        <v>0.28508571846824399</v>
      </c>
      <c r="T77" s="7">
        <f t="shared" si="24"/>
        <v>0.26012001589765005</v>
      </c>
      <c r="U77" s="7">
        <f t="shared" si="24"/>
        <v>0.26928237472843769</v>
      </c>
      <c r="V77" s="7">
        <f t="shared" si="24"/>
        <v>0.26763385634370346</v>
      </c>
      <c r="W77" s="7">
        <f t="shared" si="24"/>
        <v>0.26997657142180226</v>
      </c>
      <c r="X77" s="7">
        <f t="shared" si="24"/>
        <v>0.27388908457547595</v>
      </c>
      <c r="Y77" s="7">
        <f t="shared" si="24"/>
        <v>0.26721615849961927</v>
      </c>
      <c r="Z77" s="7">
        <f t="shared" si="24"/>
        <v>0.26378374744575428</v>
      </c>
      <c r="AA77" s="7">
        <f t="shared" si="24"/>
        <v>0.25660102642191362</v>
      </c>
      <c r="AB77" s="7">
        <f t="shared" si="24"/>
        <v>0.249451841704457</v>
      </c>
      <c r="AC77" s="7">
        <f t="shared" si="24"/>
        <v>0.2418980799848594</v>
      </c>
      <c r="AD77" s="7">
        <f t="shared" si="24"/>
        <v>0.24421611864206705</v>
      </c>
    </row>
    <row r="78" spans="1:30" x14ac:dyDescent="0.25">
      <c r="A78" s="7" t="s">
        <v>142</v>
      </c>
      <c r="B78" s="7"/>
      <c r="C78" s="7"/>
      <c r="D78" s="7"/>
      <c r="E78" s="7">
        <f>E72/E66</f>
        <v>0.38376566308401566</v>
      </c>
      <c r="F78" s="7">
        <f t="shared" ref="F78:AD78" si="25">F72/F66</f>
        <v>0.33129028832422058</v>
      </c>
      <c r="G78" s="7">
        <f t="shared" si="25"/>
        <v>0.30393810001158811</v>
      </c>
      <c r="H78" s="7">
        <f t="shared" si="25"/>
        <v>0.23127048355454219</v>
      </c>
      <c r="I78" s="7">
        <f t="shared" si="25"/>
        <v>0.15504144690631882</v>
      </c>
      <c r="J78" s="7">
        <f t="shared" si="25"/>
        <v>0.15568073788011344</v>
      </c>
      <c r="K78" s="7">
        <f t="shared" si="25"/>
        <v>0.16761021087981032</v>
      </c>
      <c r="L78" s="7">
        <f t="shared" si="25"/>
        <v>0.16264098948876995</v>
      </c>
      <c r="M78" s="7">
        <f t="shared" si="25"/>
        <v>0.18028354028640797</v>
      </c>
      <c r="N78" s="7">
        <f t="shared" si="25"/>
        <v>0.18730091904553317</v>
      </c>
      <c r="O78" s="7">
        <f t="shared" si="25"/>
        <v>0.19009400913050933</v>
      </c>
      <c r="P78" s="7">
        <f t="shared" si="25"/>
        <v>0.18609537021119271</v>
      </c>
      <c r="Q78" s="7">
        <f t="shared" si="25"/>
        <v>0.1882088147750465</v>
      </c>
      <c r="R78" s="7">
        <f t="shared" si="25"/>
        <v>0.1356514220851528</v>
      </c>
      <c r="S78" s="7">
        <f t="shared" si="25"/>
        <v>0.13714544834025191</v>
      </c>
      <c r="T78" s="7">
        <f t="shared" si="25"/>
        <v>0.13814212233918044</v>
      </c>
      <c r="U78" s="7">
        <f t="shared" si="25"/>
        <v>0.13770413332561063</v>
      </c>
      <c r="V78" s="7">
        <f t="shared" si="25"/>
        <v>0.14248870610147027</v>
      </c>
      <c r="W78" s="7">
        <f t="shared" si="25"/>
        <v>0.14859534588967252</v>
      </c>
      <c r="X78" s="7">
        <f t="shared" si="25"/>
        <v>0.15298014437508212</v>
      </c>
      <c r="Y78" s="7">
        <f t="shared" si="25"/>
        <v>0.15309914739176844</v>
      </c>
      <c r="Z78" s="7">
        <f t="shared" si="25"/>
        <v>0.14766977302830692</v>
      </c>
      <c r="AA78" s="7">
        <f t="shared" si="25"/>
        <v>0.14603503439708032</v>
      </c>
      <c r="AB78" s="7">
        <f t="shared" si="25"/>
        <v>0.13761348403156468</v>
      </c>
      <c r="AC78" s="7">
        <f t="shared" si="25"/>
        <v>0.13956244611204316</v>
      </c>
      <c r="AD78" s="7">
        <f t="shared" si="25"/>
        <v>0.1393264719099139</v>
      </c>
    </row>
    <row r="79" spans="1:30" x14ac:dyDescent="0.25">
      <c r="A79" s="7" t="s">
        <v>145</v>
      </c>
      <c r="B79" s="7"/>
      <c r="C79" s="7"/>
      <c r="D79" s="7"/>
      <c r="E79" s="7">
        <f>E73/E67</f>
        <v>0.38283159374180514</v>
      </c>
      <c r="F79" s="7">
        <f t="shared" ref="F79:AD79" si="26">F73/F67</f>
        <v>0.34486388249166827</v>
      </c>
      <c r="G79" s="7">
        <f t="shared" si="26"/>
        <v>0.3296080605065696</v>
      </c>
      <c r="H79" s="7">
        <f t="shared" si="26"/>
        <v>0.31235700956624779</v>
      </c>
      <c r="I79" s="7">
        <f t="shared" si="26"/>
        <v>0.28261963722096051</v>
      </c>
      <c r="J79" s="7">
        <f t="shared" si="26"/>
        <v>0.27208402174751917</v>
      </c>
      <c r="K79" s="7">
        <f t="shared" si="26"/>
        <v>0.26981962556516575</v>
      </c>
      <c r="L79" s="7">
        <f t="shared" si="26"/>
        <v>0.27308515778447512</v>
      </c>
      <c r="M79" s="7">
        <f t="shared" si="26"/>
        <v>0.29058968975534544</v>
      </c>
      <c r="N79" s="7">
        <f t="shared" si="26"/>
        <v>0.28885991179449771</v>
      </c>
      <c r="O79" s="7">
        <f t="shared" si="26"/>
        <v>0.2845783652556706</v>
      </c>
      <c r="P79" s="7">
        <f t="shared" si="26"/>
        <v>0.28555468341866119</v>
      </c>
      <c r="Q79" s="7">
        <f t="shared" si="26"/>
        <v>0.30077354401568634</v>
      </c>
      <c r="R79" s="7">
        <f t="shared" si="26"/>
        <v>0.2382778940870646</v>
      </c>
      <c r="S79" s="7">
        <f t="shared" si="26"/>
        <v>0.26186858364438287</v>
      </c>
      <c r="T79" s="7">
        <f t="shared" si="26"/>
        <v>0.23953130877664766</v>
      </c>
      <c r="U79" s="7">
        <f t="shared" si="26"/>
        <v>0.24340431262210666</v>
      </c>
      <c r="V79" s="7">
        <f t="shared" si="26"/>
        <v>0.23836371387219504</v>
      </c>
      <c r="W79" s="7">
        <f t="shared" si="26"/>
        <v>0.22877271616969888</v>
      </c>
      <c r="X79" s="7">
        <f t="shared" si="26"/>
        <v>0.22102684404870473</v>
      </c>
      <c r="Y79" s="7">
        <f t="shared" si="26"/>
        <v>0.20987497823460297</v>
      </c>
      <c r="Z79" s="7">
        <f t="shared" si="26"/>
        <v>0.21439745014801895</v>
      </c>
      <c r="AA79" s="7">
        <f t="shared" si="26"/>
        <v>0.19744123735633815</v>
      </c>
      <c r="AB79" s="7">
        <f t="shared" si="26"/>
        <v>0.18727915962176042</v>
      </c>
      <c r="AC79" s="7">
        <f t="shared" si="26"/>
        <v>0.18672420801645398</v>
      </c>
      <c r="AD79" s="7">
        <f t="shared" si="26"/>
        <v>0.18231292503168764</v>
      </c>
    </row>
    <row r="80" spans="1:30" x14ac:dyDescent="0.25">
      <c r="A80" s="7"/>
      <c r="B80" s="7"/>
      <c r="C80" s="7"/>
      <c r="D80" s="7"/>
      <c r="E80" s="7"/>
      <c r="F80" s="7"/>
      <c r="G80" s="7"/>
      <c r="H80" s="7"/>
      <c r="I80" s="7"/>
      <c r="J80" s="7"/>
      <c r="K80" s="7"/>
      <c r="L80" s="7"/>
      <c r="M80" s="7"/>
      <c r="N80" s="7"/>
      <c r="O80" s="7"/>
      <c r="P80" s="7"/>
      <c r="Q80" s="7"/>
      <c r="R80" s="7"/>
      <c r="S80" s="7"/>
      <c r="T80" s="7"/>
      <c r="U80" s="7"/>
      <c r="V80" s="7"/>
      <c r="W80" s="7"/>
      <c r="X80" s="7"/>
      <c r="Y80" s="7"/>
      <c r="Z80" s="7"/>
      <c r="AA80" s="7"/>
      <c r="AB80" s="7"/>
      <c r="AC80" s="7"/>
      <c r="AD80" s="7"/>
    </row>
    <row r="81" spans="1:30" x14ac:dyDescent="0.25">
      <c r="A81" s="7" t="s">
        <v>160</v>
      </c>
      <c r="B81" s="7"/>
      <c r="C81" s="7"/>
      <c r="D81" s="7"/>
      <c r="E81" s="7"/>
      <c r="F81" s="7"/>
      <c r="G81" s="7"/>
      <c r="H81" s="7"/>
      <c r="I81" s="7"/>
      <c r="J81" s="7"/>
      <c r="K81" s="7"/>
      <c r="L81" s="7"/>
      <c r="M81" s="7"/>
      <c r="N81" s="7"/>
      <c r="O81" s="7"/>
      <c r="P81" s="7"/>
      <c r="Q81" s="7"/>
      <c r="R81" s="7"/>
      <c r="S81" s="7"/>
      <c r="T81" s="7"/>
      <c r="U81" s="7"/>
      <c r="V81" s="7"/>
      <c r="W81" s="7"/>
      <c r="X81" s="7"/>
      <c r="Y81" s="7"/>
      <c r="Z81" s="7"/>
      <c r="AA81" s="7"/>
      <c r="AB81" s="7"/>
      <c r="AC81" s="7"/>
      <c r="AD81" s="7"/>
    </row>
    <row r="82" spans="1:30" x14ac:dyDescent="0.25">
      <c r="A82" s="7" t="s">
        <v>136</v>
      </c>
      <c r="B82" s="7"/>
      <c r="C82" s="7"/>
      <c r="D82" s="7"/>
      <c r="E82" s="66">
        <f>E76/$E76</f>
        <v>1</v>
      </c>
      <c r="F82" s="66">
        <f t="shared" ref="F82:AD82" si="27">F76/$E76</f>
        <v>0.82469746583302628</v>
      </c>
      <c r="G82" s="66">
        <f t="shared" si="27"/>
        <v>0.74118116376531173</v>
      </c>
      <c r="H82" s="66">
        <f t="shared" si="27"/>
        <v>0.63502175054531151</v>
      </c>
      <c r="I82" s="66">
        <f t="shared" si="27"/>
        <v>0.44066833492265445</v>
      </c>
      <c r="J82" s="66">
        <f t="shared" si="27"/>
        <v>0.43866305821098883</v>
      </c>
      <c r="K82" s="66">
        <f t="shared" si="27"/>
        <v>0.41748601902094767</v>
      </c>
      <c r="L82" s="66">
        <f t="shared" si="27"/>
        <v>0.42722214487290738</v>
      </c>
      <c r="M82" s="66">
        <f t="shared" si="27"/>
        <v>0.45020320690921634</v>
      </c>
      <c r="N82" s="66">
        <f t="shared" si="27"/>
        <v>0.45193332693006055</v>
      </c>
      <c r="O82" s="66">
        <f t="shared" si="27"/>
        <v>0.504382738261133</v>
      </c>
      <c r="P82" s="66">
        <f t="shared" si="27"/>
        <v>0.50729188558542626</v>
      </c>
      <c r="Q82" s="66">
        <f t="shared" si="27"/>
        <v>0.49591642039079104</v>
      </c>
      <c r="R82" s="66">
        <f t="shared" si="27"/>
        <v>0.38369880428181696</v>
      </c>
      <c r="S82" s="66">
        <f t="shared" si="27"/>
        <v>0.40523775586724475</v>
      </c>
      <c r="T82" s="66">
        <f t="shared" si="27"/>
        <v>0.3801845779462979</v>
      </c>
      <c r="U82" s="66">
        <f t="shared" si="27"/>
        <v>0.37711242474204226</v>
      </c>
      <c r="V82" s="66">
        <f t="shared" si="27"/>
        <v>0.37631529729778102</v>
      </c>
      <c r="W82" s="66">
        <f t="shared" si="27"/>
        <v>0.36468286695682356</v>
      </c>
      <c r="X82" s="66">
        <f t="shared" si="27"/>
        <v>0.35890333440129385</v>
      </c>
      <c r="Y82" s="66">
        <f t="shared" si="27"/>
        <v>0.36143566559910467</v>
      </c>
      <c r="Z82" s="66">
        <f t="shared" si="27"/>
        <v>0.35621364758645757</v>
      </c>
      <c r="AA82" s="66">
        <f t="shared" si="27"/>
        <v>0.35742105631036875</v>
      </c>
      <c r="AB82" s="66">
        <f t="shared" si="27"/>
        <v>0.3571075942092225</v>
      </c>
      <c r="AC82" s="66">
        <f t="shared" si="27"/>
        <v>0.35980644858276067</v>
      </c>
      <c r="AD82" s="66">
        <f t="shared" si="27"/>
        <v>0.3553719273937237</v>
      </c>
    </row>
    <row r="83" spans="1:30" x14ac:dyDescent="0.25">
      <c r="A83" s="7" t="s">
        <v>139</v>
      </c>
      <c r="B83" s="7"/>
      <c r="C83" s="7"/>
      <c r="D83" s="7"/>
      <c r="E83" s="66">
        <f>E77/$E77</f>
        <v>1</v>
      </c>
      <c r="F83" s="66">
        <f t="shared" ref="F83:AD83" si="28">F77/$E77</f>
        <v>0.88513402689255072</v>
      </c>
      <c r="G83" s="66">
        <f t="shared" si="28"/>
        <v>0.86461323475452356</v>
      </c>
      <c r="H83" s="66">
        <f t="shared" si="28"/>
        <v>0.85841590898506104</v>
      </c>
      <c r="I83" s="66">
        <f t="shared" si="28"/>
        <v>0.75310032157726448</v>
      </c>
      <c r="J83" s="66">
        <f t="shared" si="28"/>
        <v>0.77628793359832604</v>
      </c>
      <c r="K83" s="66">
        <f t="shared" si="28"/>
        <v>0.7368810054562821</v>
      </c>
      <c r="L83" s="66">
        <f t="shared" si="28"/>
        <v>0.7774998414627633</v>
      </c>
      <c r="M83" s="66">
        <f t="shared" si="28"/>
        <v>0.79511971065848785</v>
      </c>
      <c r="N83" s="66">
        <f t="shared" si="28"/>
        <v>0.81380895488333338</v>
      </c>
      <c r="O83" s="66">
        <f t="shared" si="28"/>
        <v>0.81134042532104178</v>
      </c>
      <c r="P83" s="66">
        <f t="shared" si="28"/>
        <v>0.82081862135068528</v>
      </c>
      <c r="Q83" s="66">
        <f t="shared" si="28"/>
        <v>0.8208144469582721</v>
      </c>
      <c r="R83" s="66">
        <f t="shared" si="28"/>
        <v>0.74035678858725174</v>
      </c>
      <c r="S83" s="66">
        <f t="shared" si="28"/>
        <v>0.76717878564955688</v>
      </c>
      <c r="T83" s="66">
        <f t="shared" si="28"/>
        <v>0.69999493132003954</v>
      </c>
      <c r="U83" s="66">
        <f t="shared" si="28"/>
        <v>0.72465126050852591</v>
      </c>
      <c r="V83" s="66">
        <f t="shared" si="28"/>
        <v>0.72021502168422902</v>
      </c>
      <c r="W83" s="66">
        <f t="shared" si="28"/>
        <v>0.72651937575147407</v>
      </c>
      <c r="X83" s="66">
        <f t="shared" si="28"/>
        <v>0.73704812866902036</v>
      </c>
      <c r="Y83" s="66">
        <f t="shared" si="28"/>
        <v>0.71909097756685025</v>
      </c>
      <c r="Z83" s="66">
        <f t="shared" si="28"/>
        <v>0.70985420149015743</v>
      </c>
      <c r="AA83" s="66">
        <f t="shared" si="28"/>
        <v>0.69052516872647851</v>
      </c>
      <c r="AB83" s="66">
        <f t="shared" si="28"/>
        <v>0.67128638370633842</v>
      </c>
      <c r="AC83" s="66">
        <f t="shared" si="28"/>
        <v>0.65095886335819964</v>
      </c>
      <c r="AD83" s="66">
        <f t="shared" si="28"/>
        <v>0.65719681204142488</v>
      </c>
    </row>
    <row r="84" spans="1:30" x14ac:dyDescent="0.25">
      <c r="A84" s="7" t="s">
        <v>142</v>
      </c>
      <c r="B84" s="7"/>
      <c r="C84" s="7"/>
      <c r="D84" s="7"/>
      <c r="E84" s="66">
        <f>E78/$E78</f>
        <v>1</v>
      </c>
      <c r="F84" s="66">
        <f t="shared" ref="F84:AD84" si="29">F78/$E78</f>
        <v>0.86326193349844604</v>
      </c>
      <c r="G84" s="66">
        <f>G78/$E78</f>
        <v>0.7919887818234761</v>
      </c>
      <c r="H84" s="66">
        <f t="shared" si="29"/>
        <v>0.60263464348531737</v>
      </c>
      <c r="I84" s="66">
        <f t="shared" si="29"/>
        <v>0.40400031013815968</v>
      </c>
      <c r="J84" s="66">
        <f t="shared" si="29"/>
        <v>0.40566614696331271</v>
      </c>
      <c r="K84" s="66">
        <f t="shared" si="29"/>
        <v>0.43675145278204935</v>
      </c>
      <c r="L84" s="66">
        <f t="shared" si="29"/>
        <v>0.4238028701727905</v>
      </c>
      <c r="M84" s="66">
        <f t="shared" si="29"/>
        <v>0.46977506751806375</v>
      </c>
      <c r="N84" s="66">
        <f t="shared" si="29"/>
        <v>0.48806065019039607</v>
      </c>
      <c r="O84" s="66">
        <f t="shared" si="29"/>
        <v>0.4953387637728629</v>
      </c>
      <c r="P84" s="66">
        <f t="shared" si="29"/>
        <v>0.4849192830741918</v>
      </c>
      <c r="Q84" s="66">
        <f t="shared" si="29"/>
        <v>0.49042640569394297</v>
      </c>
      <c r="R84" s="66">
        <f t="shared" si="29"/>
        <v>0.35347462041036065</v>
      </c>
      <c r="S84" s="66">
        <f t="shared" si="29"/>
        <v>0.35736768953773601</v>
      </c>
      <c r="T84" s="66">
        <f t="shared" si="29"/>
        <v>0.35996477962369905</v>
      </c>
      <c r="U84" s="66">
        <f t="shared" si="29"/>
        <v>0.35882348675750031</v>
      </c>
      <c r="V84" s="66">
        <f t="shared" si="29"/>
        <v>0.37129091997549563</v>
      </c>
      <c r="W84" s="66">
        <f t="shared" si="29"/>
        <v>0.38720333834854154</v>
      </c>
      <c r="X84" s="66">
        <f t="shared" si="29"/>
        <v>0.39862905697634299</v>
      </c>
      <c r="Y84" s="66">
        <f t="shared" si="29"/>
        <v>0.39893914990057699</v>
      </c>
      <c r="Z84" s="66">
        <f t="shared" si="29"/>
        <v>0.38479152053782989</v>
      </c>
      <c r="AA84" s="66">
        <f t="shared" si="29"/>
        <v>0.38053178917445174</v>
      </c>
      <c r="AB84" s="66">
        <f t="shared" si="29"/>
        <v>0.35858727673986229</v>
      </c>
      <c r="AC84" s="66">
        <f t="shared" si="29"/>
        <v>0.36366579800415738</v>
      </c>
      <c r="AD84" s="66">
        <f t="shared" si="29"/>
        <v>0.36305090661384143</v>
      </c>
    </row>
    <row r="85" spans="1:30" x14ac:dyDescent="0.25">
      <c r="A85" s="7" t="s">
        <v>145</v>
      </c>
      <c r="B85" s="7"/>
      <c r="C85" s="7"/>
      <c r="D85" s="7"/>
      <c r="E85" s="66">
        <f>E79/$E79</f>
        <v>1</v>
      </c>
      <c r="F85" s="66">
        <f t="shared" ref="F85:AD85" si="30">F79/$E79</f>
        <v>0.90082398665418506</v>
      </c>
      <c r="G85" s="66">
        <f t="shared" si="30"/>
        <v>0.8609740311267744</v>
      </c>
      <c r="H85" s="66">
        <f t="shared" si="30"/>
        <v>0.81591230889087007</v>
      </c>
      <c r="I85" s="66">
        <f t="shared" si="30"/>
        <v>0.73823488406123805</v>
      </c>
      <c r="J85" s="66">
        <f t="shared" si="30"/>
        <v>0.71071464893522351</v>
      </c>
      <c r="K85" s="66">
        <f t="shared" si="30"/>
        <v>0.70479978657963493</v>
      </c>
      <c r="L85" s="66">
        <f t="shared" si="30"/>
        <v>0.71332973100609143</v>
      </c>
      <c r="M85" s="66">
        <f t="shared" si="30"/>
        <v>0.7590535747457906</v>
      </c>
      <c r="N85" s="66">
        <f t="shared" si="30"/>
        <v>0.75453519645851075</v>
      </c>
      <c r="O85" s="66">
        <f t="shared" si="30"/>
        <v>0.74335130618190326</v>
      </c>
      <c r="P85" s="66">
        <f t="shared" si="30"/>
        <v>0.74590156112154404</v>
      </c>
      <c r="Q85" s="66">
        <f t="shared" si="30"/>
        <v>0.785654969267083</v>
      </c>
      <c r="R85" s="66">
        <f t="shared" si="30"/>
        <v>0.62240916889364006</v>
      </c>
      <c r="S85" s="66">
        <f t="shared" si="30"/>
        <v>0.6840307537966579</v>
      </c>
      <c r="T85" s="66">
        <f t="shared" si="30"/>
        <v>0.62568323171936502</v>
      </c>
      <c r="U85" s="66">
        <f t="shared" si="30"/>
        <v>0.63579996165694452</v>
      </c>
      <c r="V85" s="66">
        <f t="shared" si="30"/>
        <v>0.62263334000838966</v>
      </c>
      <c r="W85" s="66">
        <f t="shared" si="30"/>
        <v>0.5975805547647437</v>
      </c>
      <c r="X85" s="66">
        <f t="shared" si="30"/>
        <v>0.57734744901376367</v>
      </c>
      <c r="Y85" s="66">
        <f t="shared" si="30"/>
        <v>0.54821749736817671</v>
      </c>
      <c r="Z85" s="66">
        <f t="shared" si="30"/>
        <v>0.56003071233618196</v>
      </c>
      <c r="AA85" s="66">
        <f t="shared" si="30"/>
        <v>0.51573914113655761</v>
      </c>
      <c r="AB85" s="66">
        <f t="shared" si="30"/>
        <v>0.48919462939641278</v>
      </c>
      <c r="AC85" s="66">
        <f t="shared" si="30"/>
        <v>0.48774503219916387</v>
      </c>
      <c r="AD85" s="66">
        <f t="shared" si="30"/>
        <v>0.47622225545639207</v>
      </c>
    </row>
    <row r="86" spans="1:30" x14ac:dyDescent="0.25">
      <c r="A86" s="7"/>
      <c r="B86" s="7"/>
      <c r="C86" s="7"/>
      <c r="D86" s="7"/>
      <c r="E86" s="7"/>
      <c r="F86" s="7"/>
      <c r="G86" s="7"/>
      <c r="H86" s="7"/>
      <c r="I86" s="7"/>
      <c r="J86" s="7"/>
      <c r="K86" s="7"/>
      <c r="L86" s="7"/>
      <c r="M86" s="7"/>
      <c r="N86" s="7"/>
      <c r="O86" s="7"/>
      <c r="P86" s="7"/>
      <c r="Q86" s="7"/>
      <c r="R86" s="7"/>
      <c r="S86" s="7"/>
      <c r="T86" s="7"/>
      <c r="U86" s="7"/>
      <c r="V86" s="7"/>
      <c r="W86" s="7"/>
      <c r="X86" s="7"/>
      <c r="Y86" s="7"/>
      <c r="Z86" s="7"/>
      <c r="AA86" s="7"/>
      <c r="AB86" s="7"/>
      <c r="AC86" s="7"/>
      <c r="AD86" s="7"/>
    </row>
    <row r="87" spans="1:30" x14ac:dyDescent="0.25">
      <c r="A87" s="368" t="s">
        <v>178</v>
      </c>
      <c r="B87" s="368"/>
      <c r="C87" s="7"/>
      <c r="D87" s="7"/>
      <c r="E87" s="7"/>
      <c r="F87" s="7"/>
      <c r="G87" s="7"/>
      <c r="H87" s="7"/>
      <c r="I87" s="7"/>
      <c r="J87" s="7"/>
      <c r="K87" s="7"/>
      <c r="L87" s="7"/>
      <c r="M87" s="7"/>
      <c r="N87" s="7"/>
      <c r="O87" s="7"/>
      <c r="P87" s="7"/>
      <c r="Q87" s="7"/>
      <c r="R87" s="7"/>
      <c r="S87" s="7"/>
      <c r="T87" s="7"/>
      <c r="U87" s="7"/>
      <c r="V87" s="7"/>
      <c r="W87" s="7"/>
      <c r="X87" s="7"/>
      <c r="Y87" s="7"/>
      <c r="Z87" s="7"/>
      <c r="AA87" s="7"/>
      <c r="AB87" s="7"/>
      <c r="AC87" s="7"/>
      <c r="AD87" s="7"/>
    </row>
    <row r="88" spans="1:30" x14ac:dyDescent="0.25">
      <c r="A88" s="369" t="s">
        <v>133</v>
      </c>
      <c r="B88" s="369" t="s">
        <v>134</v>
      </c>
      <c r="C88" s="7"/>
      <c r="D88" s="7" t="s">
        <v>135</v>
      </c>
      <c r="E88" s="7"/>
      <c r="F88" s="7"/>
      <c r="G88" s="7"/>
      <c r="H88" s="7"/>
      <c r="I88" s="7"/>
      <c r="J88" s="7"/>
      <c r="K88" s="7"/>
      <c r="L88" s="7"/>
      <c r="M88" s="7"/>
      <c r="N88" s="7"/>
      <c r="O88" s="7"/>
      <c r="P88" s="7"/>
      <c r="Q88" s="7"/>
      <c r="R88" s="7"/>
      <c r="S88" s="7"/>
      <c r="T88" s="7"/>
      <c r="U88" s="7"/>
      <c r="V88" s="7"/>
      <c r="W88" s="7"/>
      <c r="X88" s="7"/>
      <c r="Y88" s="7"/>
      <c r="Z88" s="7"/>
      <c r="AA88" s="7"/>
      <c r="AB88" s="7"/>
      <c r="AC88" s="7"/>
      <c r="AD88" s="7"/>
    </row>
    <row r="89" spans="1:30" x14ac:dyDescent="0.25">
      <c r="A89" s="7" t="s">
        <v>136</v>
      </c>
      <c r="B89" s="7" t="s">
        <v>137</v>
      </c>
      <c r="C89" s="7" t="s">
        <v>170</v>
      </c>
      <c r="D89" s="7" t="s">
        <v>135</v>
      </c>
      <c r="E89" s="7">
        <f>E14+E39+E64</f>
        <v>506.77726799999999</v>
      </c>
      <c r="F89" s="7">
        <f t="shared" ref="F89:AD98" si="31">F14+F39+F64</f>
        <v>508.01115499999997</v>
      </c>
      <c r="G89" s="7">
        <f t="shared" si="31"/>
        <v>507.73380199999997</v>
      </c>
      <c r="H89" s="7">
        <f t="shared" si="31"/>
        <v>538.27687000000003</v>
      </c>
      <c r="I89" s="7">
        <f t="shared" si="31"/>
        <v>558.93746899999996</v>
      </c>
      <c r="J89" s="7">
        <f t="shared" si="31"/>
        <v>569.61921699999994</v>
      </c>
      <c r="K89" s="7">
        <f t="shared" si="31"/>
        <v>573.45889199999999</v>
      </c>
      <c r="L89" s="7">
        <f t="shared" si="31"/>
        <v>577.16699300000005</v>
      </c>
      <c r="M89" s="7">
        <f t="shared" si="31"/>
        <v>578.59512300000006</v>
      </c>
      <c r="N89" s="7">
        <f t="shared" si="31"/>
        <v>580.82981800000005</v>
      </c>
      <c r="O89" s="7">
        <f t="shared" si="31"/>
        <v>580.29080999999996</v>
      </c>
      <c r="P89" s="7">
        <f t="shared" si="31"/>
        <v>583.015534</v>
      </c>
      <c r="Q89" s="7">
        <f t="shared" si="31"/>
        <v>584.79430400000001</v>
      </c>
      <c r="R89" s="7">
        <f t="shared" si="31"/>
        <v>580.16026199999999</v>
      </c>
      <c r="S89" s="7">
        <f t="shared" si="31"/>
        <v>586.536338</v>
      </c>
      <c r="T89" s="7">
        <f t="shared" si="31"/>
        <v>596.94998900000007</v>
      </c>
      <c r="U89" s="7">
        <f t="shared" si="31"/>
        <v>603.08279400000004</v>
      </c>
      <c r="V89" s="7">
        <f t="shared" si="31"/>
        <v>607.74160699999993</v>
      </c>
      <c r="W89" s="7">
        <f t="shared" si="31"/>
        <v>611.16988400000002</v>
      </c>
      <c r="X89" s="7">
        <f t="shared" si="31"/>
        <v>615.28704800000003</v>
      </c>
      <c r="Y89" s="7">
        <f t="shared" si="31"/>
        <v>619.58330499999988</v>
      </c>
      <c r="Z89" s="7">
        <f t="shared" si="31"/>
        <v>621.37370299999998</v>
      </c>
      <c r="AA89" s="7">
        <f t="shared" si="31"/>
        <v>628.83810400000004</v>
      </c>
      <c r="AB89" s="7">
        <f t="shared" si="31"/>
        <v>635.16078200000004</v>
      </c>
      <c r="AC89" s="7">
        <f t="shared" si="31"/>
        <v>638.94432900000004</v>
      </c>
      <c r="AD89" s="7">
        <f t="shared" si="31"/>
        <v>641.88326299999994</v>
      </c>
    </row>
    <row r="90" spans="1:30" x14ac:dyDescent="0.25">
      <c r="A90" s="7" t="s">
        <v>139</v>
      </c>
      <c r="B90" s="7" t="s">
        <v>140</v>
      </c>
      <c r="C90" s="7" t="s">
        <v>171</v>
      </c>
      <c r="D90" s="7" t="s">
        <v>135</v>
      </c>
      <c r="E90" s="7">
        <f t="shared" ref="E90:T98" si="32">E15+E40+E65</f>
        <v>508.39166999999998</v>
      </c>
      <c r="F90" s="7">
        <f t="shared" si="32"/>
        <v>506.27915900000005</v>
      </c>
      <c r="G90" s="7">
        <f t="shared" si="32"/>
        <v>508.33310300000005</v>
      </c>
      <c r="H90" s="7">
        <f t="shared" si="32"/>
        <v>514.14374599999996</v>
      </c>
      <c r="I90" s="7">
        <f t="shared" si="32"/>
        <v>513.74792100000002</v>
      </c>
      <c r="J90" s="7">
        <f t="shared" si="32"/>
        <v>525.53496499999994</v>
      </c>
      <c r="K90" s="7">
        <f t="shared" si="32"/>
        <v>528.51765</v>
      </c>
      <c r="L90" s="7">
        <f t="shared" si="32"/>
        <v>531.60713199999998</v>
      </c>
      <c r="M90" s="7">
        <f t="shared" si="32"/>
        <v>537.80168900000001</v>
      </c>
      <c r="N90" s="7">
        <f t="shared" si="32"/>
        <v>540.65641800000003</v>
      </c>
      <c r="O90" s="7">
        <f t="shared" si="32"/>
        <v>546.90949999999998</v>
      </c>
      <c r="P90" s="7">
        <f t="shared" si="32"/>
        <v>547.28907800000002</v>
      </c>
      <c r="Q90" s="7">
        <f t="shared" si="32"/>
        <v>547.89058</v>
      </c>
      <c r="R90" s="7">
        <f t="shared" si="32"/>
        <v>555.30054499999994</v>
      </c>
      <c r="S90" s="7">
        <f t="shared" si="32"/>
        <v>559.81726900000001</v>
      </c>
      <c r="T90" s="7">
        <f t="shared" si="32"/>
        <v>560.45426199999997</v>
      </c>
      <c r="U90" s="7">
        <f t="shared" si="31"/>
        <v>561.23333700000001</v>
      </c>
      <c r="V90" s="7">
        <f t="shared" si="31"/>
        <v>562.06593299999997</v>
      </c>
      <c r="W90" s="7">
        <f t="shared" si="31"/>
        <v>566.06504799999993</v>
      </c>
      <c r="X90" s="7">
        <f t="shared" si="31"/>
        <v>570.39036499999997</v>
      </c>
      <c r="Y90" s="7">
        <f t="shared" si="31"/>
        <v>573.24254599999995</v>
      </c>
      <c r="Z90" s="7">
        <f t="shared" si="31"/>
        <v>572.92323299999998</v>
      </c>
      <c r="AA90" s="7">
        <f t="shared" si="31"/>
        <v>577.41524500000003</v>
      </c>
      <c r="AB90" s="7">
        <f t="shared" si="31"/>
        <v>582.14002200000004</v>
      </c>
      <c r="AC90" s="7">
        <f t="shared" si="31"/>
        <v>582.00479899999993</v>
      </c>
      <c r="AD90" s="7">
        <f t="shared" si="31"/>
        <v>586.64360799999997</v>
      </c>
    </row>
    <row r="91" spans="1:30" x14ac:dyDescent="0.25">
      <c r="A91" s="7" t="s">
        <v>142</v>
      </c>
      <c r="B91" s="7" t="s">
        <v>143</v>
      </c>
      <c r="C91" s="7" t="s">
        <v>172</v>
      </c>
      <c r="D91" s="7" t="s">
        <v>135</v>
      </c>
      <c r="E91" s="7">
        <f t="shared" si="32"/>
        <v>504.29364400000003</v>
      </c>
      <c r="F91" s="7">
        <f t="shared" si="31"/>
        <v>505.30262399999998</v>
      </c>
      <c r="G91" s="7">
        <f t="shared" si="31"/>
        <v>507.00719799999996</v>
      </c>
      <c r="H91" s="7">
        <f t="shared" si="31"/>
        <v>532.85459199999991</v>
      </c>
      <c r="I91" s="7">
        <f t="shared" si="31"/>
        <v>553.021614</v>
      </c>
      <c r="J91" s="7">
        <f t="shared" si="31"/>
        <v>572.01358800000003</v>
      </c>
      <c r="K91" s="7">
        <f t="shared" si="31"/>
        <v>576.88699299999996</v>
      </c>
      <c r="L91" s="7">
        <f t="shared" si="31"/>
        <v>574.22536500000001</v>
      </c>
      <c r="M91" s="7">
        <f t="shared" si="31"/>
        <v>577.31900799999994</v>
      </c>
      <c r="N91" s="7">
        <f t="shared" si="31"/>
        <v>576.30334500000004</v>
      </c>
      <c r="O91" s="7">
        <f t="shared" si="31"/>
        <v>579.30706799999996</v>
      </c>
      <c r="P91" s="7">
        <f t="shared" si="31"/>
        <v>596.516479</v>
      </c>
      <c r="Q91" s="7">
        <f t="shared" si="31"/>
        <v>610.86505800000009</v>
      </c>
      <c r="R91" s="7">
        <f t="shared" si="31"/>
        <v>610.95679399999995</v>
      </c>
      <c r="S91" s="7">
        <f t="shared" si="31"/>
        <v>614.23413100000005</v>
      </c>
      <c r="T91" s="7">
        <f t="shared" si="31"/>
        <v>616.87871500000006</v>
      </c>
      <c r="U91" s="7">
        <f t="shared" si="31"/>
        <v>619.92555300000004</v>
      </c>
      <c r="V91" s="7">
        <f t="shared" si="31"/>
        <v>622.93943000000013</v>
      </c>
      <c r="W91" s="7">
        <f t="shared" si="31"/>
        <v>624.98069700000008</v>
      </c>
      <c r="X91" s="7">
        <f t="shared" si="31"/>
        <v>629.75730099999998</v>
      </c>
      <c r="Y91" s="7">
        <f t="shared" si="31"/>
        <v>633.86159499999997</v>
      </c>
      <c r="Z91" s="7">
        <f t="shared" si="31"/>
        <v>638.45928200000003</v>
      </c>
      <c r="AA91" s="7">
        <f t="shared" si="31"/>
        <v>641.16023299999995</v>
      </c>
      <c r="AB91" s="7">
        <f t="shared" si="31"/>
        <v>644.56261500000005</v>
      </c>
      <c r="AC91" s="7">
        <f t="shared" si="31"/>
        <v>645.64874199999997</v>
      </c>
      <c r="AD91" s="7">
        <f t="shared" si="31"/>
        <v>653.22006299999998</v>
      </c>
    </row>
    <row r="92" spans="1:30" x14ac:dyDescent="0.25">
      <c r="A92" s="7" t="s">
        <v>145</v>
      </c>
      <c r="B92" s="7" t="s">
        <v>146</v>
      </c>
      <c r="C92" s="7" t="s">
        <v>173</v>
      </c>
      <c r="D92" s="7" t="s">
        <v>135</v>
      </c>
      <c r="E92" s="7">
        <f t="shared" si="32"/>
        <v>500.58914600000003</v>
      </c>
      <c r="F92" s="7">
        <f t="shared" si="31"/>
        <v>499.65387299999998</v>
      </c>
      <c r="G92" s="7">
        <f t="shared" si="31"/>
        <v>500.53303100000005</v>
      </c>
      <c r="H92" s="7">
        <f t="shared" si="31"/>
        <v>513.49749099999997</v>
      </c>
      <c r="I92" s="7">
        <f t="shared" si="31"/>
        <v>514.49265300000002</v>
      </c>
      <c r="J92" s="7">
        <f t="shared" si="31"/>
        <v>517.48447399999998</v>
      </c>
      <c r="K92" s="7">
        <f t="shared" si="31"/>
        <v>520.97552099999996</v>
      </c>
      <c r="L92" s="7">
        <f t="shared" si="31"/>
        <v>523.38344299999994</v>
      </c>
      <c r="M92" s="7">
        <f t="shared" si="31"/>
        <v>528.59864100000004</v>
      </c>
      <c r="N92" s="7">
        <f t="shared" si="31"/>
        <v>532.28119700000002</v>
      </c>
      <c r="O92" s="7">
        <f t="shared" si="31"/>
        <v>531.71842200000003</v>
      </c>
      <c r="P92" s="7">
        <f t="shared" si="31"/>
        <v>535.69632300000001</v>
      </c>
      <c r="Q92" s="7">
        <f t="shared" si="31"/>
        <v>542.65247399999998</v>
      </c>
      <c r="R92" s="7">
        <f t="shared" si="31"/>
        <v>539.66160600000001</v>
      </c>
      <c r="S92" s="7">
        <f t="shared" si="31"/>
        <v>547.671829</v>
      </c>
      <c r="T92" s="7">
        <f t="shared" si="31"/>
        <v>553.23371100000008</v>
      </c>
      <c r="U92" s="7">
        <f t="shared" si="31"/>
        <v>558.93982000000005</v>
      </c>
      <c r="V92" s="7">
        <f t="shared" si="31"/>
        <v>567.1186909999999</v>
      </c>
      <c r="W92" s="7">
        <f t="shared" si="31"/>
        <v>575.23607700000002</v>
      </c>
      <c r="X92" s="7">
        <f t="shared" si="31"/>
        <v>582.25668199999996</v>
      </c>
      <c r="Y92" s="7">
        <f t="shared" si="31"/>
        <v>585.88717600000007</v>
      </c>
      <c r="Z92" s="7">
        <f t="shared" si="31"/>
        <v>590.04559300000005</v>
      </c>
      <c r="AA92" s="7">
        <f t="shared" si="31"/>
        <v>592.45917499999996</v>
      </c>
      <c r="AB92" s="7">
        <f t="shared" si="31"/>
        <v>594.24073799999996</v>
      </c>
      <c r="AC92" s="7">
        <f t="shared" si="31"/>
        <v>596.12327499999992</v>
      </c>
      <c r="AD92" s="7">
        <f t="shared" si="31"/>
        <v>601.42398900000001</v>
      </c>
    </row>
    <row r="93" spans="1:30" x14ac:dyDescent="0.25">
      <c r="A93" s="7"/>
      <c r="B93" s="7"/>
      <c r="C93" s="7"/>
      <c r="D93" s="7"/>
      <c r="E93" s="7"/>
      <c r="F93" s="7"/>
      <c r="G93" s="7"/>
      <c r="H93" s="7"/>
      <c r="I93" s="7"/>
      <c r="J93" s="7"/>
      <c r="K93" s="7"/>
      <c r="L93" s="7"/>
      <c r="M93" s="7"/>
      <c r="N93" s="7"/>
      <c r="O93" s="7"/>
      <c r="P93" s="7"/>
      <c r="Q93" s="7"/>
      <c r="R93" s="7"/>
      <c r="S93" s="7"/>
      <c r="T93" s="7"/>
      <c r="U93" s="7"/>
      <c r="V93" s="7"/>
      <c r="W93" s="7"/>
      <c r="X93" s="7"/>
      <c r="Y93" s="7"/>
      <c r="Z93" s="7"/>
      <c r="AA93" s="7"/>
      <c r="AB93" s="7"/>
      <c r="AC93" s="7"/>
      <c r="AD93" s="7"/>
    </row>
    <row r="94" spans="1:30" x14ac:dyDescent="0.25">
      <c r="A94" s="7" t="s">
        <v>148</v>
      </c>
      <c r="B94" s="7" t="s">
        <v>149</v>
      </c>
      <c r="C94" s="7"/>
      <c r="D94" s="7" t="s">
        <v>150</v>
      </c>
      <c r="E94" s="7"/>
      <c r="F94" s="7"/>
      <c r="G94" s="7"/>
      <c r="H94" s="7"/>
      <c r="I94" s="7"/>
      <c r="J94" s="7"/>
      <c r="K94" s="7"/>
      <c r="L94" s="7"/>
      <c r="M94" s="7"/>
      <c r="N94" s="7"/>
      <c r="O94" s="7"/>
      <c r="P94" s="7"/>
      <c r="Q94" s="7"/>
      <c r="R94" s="7"/>
      <c r="S94" s="7"/>
      <c r="T94" s="7"/>
      <c r="U94" s="7"/>
      <c r="V94" s="7"/>
      <c r="W94" s="7"/>
      <c r="X94" s="7"/>
      <c r="Y94" s="7"/>
      <c r="Z94" s="7"/>
      <c r="AA94" s="7"/>
      <c r="AB94" s="7"/>
      <c r="AC94" s="7"/>
      <c r="AD94" s="7"/>
    </row>
    <row r="95" spans="1:30" x14ac:dyDescent="0.25">
      <c r="A95" s="7" t="s">
        <v>136</v>
      </c>
      <c r="B95" s="7" t="s">
        <v>151</v>
      </c>
      <c r="C95" s="7" t="s">
        <v>174</v>
      </c>
      <c r="D95" s="7" t="s">
        <v>150</v>
      </c>
      <c r="E95" s="7">
        <f t="shared" si="32"/>
        <v>134.20011700000001</v>
      </c>
      <c r="F95" s="7">
        <f t="shared" si="31"/>
        <v>118.54076400000001</v>
      </c>
      <c r="G95" s="7">
        <f t="shared" si="31"/>
        <v>105.34437200000001</v>
      </c>
      <c r="H95" s="7">
        <f t="shared" si="31"/>
        <v>82.411524999999997</v>
      </c>
      <c r="I95" s="7">
        <f t="shared" si="31"/>
        <v>67.712379999999996</v>
      </c>
      <c r="J95" s="7">
        <f t="shared" si="31"/>
        <v>66.409997000000004</v>
      </c>
      <c r="K95" s="7">
        <f t="shared" si="31"/>
        <v>67.843076999999994</v>
      </c>
      <c r="L95" s="7">
        <f t="shared" si="31"/>
        <v>69.138266999999985</v>
      </c>
      <c r="M95" s="7">
        <f t="shared" si="31"/>
        <v>73.056338999999994</v>
      </c>
      <c r="N95" s="7">
        <f t="shared" si="31"/>
        <v>73.962152000000003</v>
      </c>
      <c r="O95" s="7">
        <f t="shared" si="31"/>
        <v>74.331417000000002</v>
      </c>
      <c r="P95" s="7">
        <f t="shared" si="31"/>
        <v>74.567481000000001</v>
      </c>
      <c r="Q95" s="7">
        <f t="shared" si="31"/>
        <v>75.744260999999995</v>
      </c>
      <c r="R95" s="7">
        <f t="shared" si="31"/>
        <v>62.954551000000002</v>
      </c>
      <c r="S95" s="7">
        <f t="shared" si="31"/>
        <v>63.316713999999997</v>
      </c>
      <c r="T95" s="7">
        <f t="shared" si="31"/>
        <v>63.496756999999995</v>
      </c>
      <c r="U95" s="7">
        <f t="shared" si="31"/>
        <v>64.310705999999996</v>
      </c>
      <c r="V95" s="7">
        <f t="shared" si="31"/>
        <v>65.549230999999992</v>
      </c>
      <c r="W95" s="7">
        <f t="shared" si="31"/>
        <v>65.414804000000004</v>
      </c>
      <c r="X95" s="7">
        <f t="shared" si="31"/>
        <v>66.208364000000003</v>
      </c>
      <c r="Y95" s="7">
        <f t="shared" si="31"/>
        <v>67.447415000000007</v>
      </c>
      <c r="Z95" s="7">
        <f t="shared" si="31"/>
        <v>66.661139000000006</v>
      </c>
      <c r="AA95" s="7">
        <f t="shared" si="31"/>
        <v>66.932340000000011</v>
      </c>
      <c r="AB95" s="7">
        <f t="shared" si="31"/>
        <v>68.224148999999997</v>
      </c>
      <c r="AC95" s="7">
        <f t="shared" si="31"/>
        <v>68.740358000000001</v>
      </c>
      <c r="AD95" s="7">
        <f t="shared" si="31"/>
        <v>67.728964000000005</v>
      </c>
    </row>
    <row r="96" spans="1:30" x14ac:dyDescent="0.25">
      <c r="A96" s="7" t="s">
        <v>139</v>
      </c>
      <c r="B96" s="7" t="s">
        <v>153</v>
      </c>
      <c r="C96" s="7" t="s">
        <v>175</v>
      </c>
      <c r="D96" s="7" t="s">
        <v>150</v>
      </c>
      <c r="E96" s="7">
        <f t="shared" si="32"/>
        <v>132.99538000000001</v>
      </c>
      <c r="F96" s="7">
        <f t="shared" si="31"/>
        <v>121.96922199999999</v>
      </c>
      <c r="G96" s="7">
        <f t="shared" si="31"/>
        <v>118.84892600000001</v>
      </c>
      <c r="H96" s="7">
        <f t="shared" si="31"/>
        <v>121.22044700000001</v>
      </c>
      <c r="I96" s="7">
        <f t="shared" si="31"/>
        <v>121.29043499999999</v>
      </c>
      <c r="J96" s="7">
        <f t="shared" si="31"/>
        <v>124.50914</v>
      </c>
      <c r="K96" s="7">
        <f t="shared" si="31"/>
        <v>125.60849400000001</v>
      </c>
      <c r="L96" s="7">
        <f t="shared" si="31"/>
        <v>127.684695</v>
      </c>
      <c r="M96" s="7">
        <f t="shared" si="31"/>
        <v>131.14387099999999</v>
      </c>
      <c r="N96" s="7">
        <f t="shared" si="31"/>
        <v>131.563962</v>
      </c>
      <c r="O96" s="7">
        <f t="shared" si="31"/>
        <v>130.355774</v>
      </c>
      <c r="P96" s="7">
        <f t="shared" si="31"/>
        <v>129.71279899999999</v>
      </c>
      <c r="Q96" s="7">
        <f t="shared" si="31"/>
        <v>129.37324100000001</v>
      </c>
      <c r="R96" s="7">
        <f t="shared" si="31"/>
        <v>125.299831</v>
      </c>
      <c r="S96" s="7">
        <f t="shared" si="31"/>
        <v>127.354688</v>
      </c>
      <c r="T96" s="7">
        <f t="shared" si="31"/>
        <v>125.18548000000001</v>
      </c>
      <c r="U96" s="7">
        <f t="shared" si="31"/>
        <v>124.392205</v>
      </c>
      <c r="V96" s="7">
        <f t="shared" si="31"/>
        <v>123.865751</v>
      </c>
      <c r="W96" s="7">
        <f t="shared" si="31"/>
        <v>123.77191099999999</v>
      </c>
      <c r="X96" s="7">
        <f t="shared" si="31"/>
        <v>124.48813799999999</v>
      </c>
      <c r="Y96" s="7">
        <f t="shared" si="31"/>
        <v>123.92046300000001</v>
      </c>
      <c r="Z96" s="7">
        <f t="shared" si="31"/>
        <v>122.723995</v>
      </c>
      <c r="AA96" s="7">
        <f t="shared" si="31"/>
        <v>122.64706000000001</v>
      </c>
      <c r="AB96" s="7">
        <f t="shared" si="31"/>
        <v>117.019256</v>
      </c>
      <c r="AC96" s="7">
        <f t="shared" si="31"/>
        <v>114.09963799999998</v>
      </c>
      <c r="AD96" s="7">
        <f t="shared" si="31"/>
        <v>114.59003200000001</v>
      </c>
    </row>
    <row r="97" spans="1:30" x14ac:dyDescent="0.25">
      <c r="A97" s="7" t="s">
        <v>142</v>
      </c>
      <c r="B97" s="7" t="s">
        <v>155</v>
      </c>
      <c r="C97" s="7" t="s">
        <v>176</v>
      </c>
      <c r="D97" s="7" t="s">
        <v>150</v>
      </c>
      <c r="E97" s="7">
        <f t="shared" si="32"/>
        <v>133.34346400000001</v>
      </c>
      <c r="F97" s="7">
        <f t="shared" si="31"/>
        <v>120.222559</v>
      </c>
      <c r="G97" s="7">
        <f t="shared" si="31"/>
        <v>108.220089</v>
      </c>
      <c r="H97" s="7">
        <f t="shared" si="31"/>
        <v>79.766425999999996</v>
      </c>
      <c r="I97" s="7">
        <f t="shared" si="31"/>
        <v>62.754257000000003</v>
      </c>
      <c r="J97" s="7">
        <f t="shared" si="31"/>
        <v>60.593095000000005</v>
      </c>
      <c r="K97" s="7">
        <f t="shared" si="31"/>
        <v>61.282072999999997</v>
      </c>
      <c r="L97" s="7">
        <f t="shared" si="31"/>
        <v>60.033458000000003</v>
      </c>
      <c r="M97" s="7">
        <f t="shared" si="31"/>
        <v>63.197946000000002</v>
      </c>
      <c r="N97" s="7">
        <f t="shared" si="31"/>
        <v>63.153903999999997</v>
      </c>
      <c r="O97" s="7">
        <f t="shared" si="31"/>
        <v>63.890233000000002</v>
      </c>
      <c r="P97" s="7">
        <f t="shared" si="31"/>
        <v>64.736608000000004</v>
      </c>
      <c r="Q97" s="7">
        <f t="shared" si="31"/>
        <v>66.071506999999997</v>
      </c>
      <c r="R97" s="7">
        <f t="shared" si="31"/>
        <v>53.661448</v>
      </c>
      <c r="S97" s="7">
        <f t="shared" si="31"/>
        <v>55.488058999999993</v>
      </c>
      <c r="T97" s="7">
        <f t="shared" si="31"/>
        <v>56.671105999999995</v>
      </c>
      <c r="U97" s="7">
        <f t="shared" si="31"/>
        <v>57.487561999999997</v>
      </c>
      <c r="V97" s="7">
        <f t="shared" si="31"/>
        <v>59.154283</v>
      </c>
      <c r="W97" s="7">
        <f t="shared" si="31"/>
        <v>59.842944000000003</v>
      </c>
      <c r="X97" s="7">
        <f t="shared" si="31"/>
        <v>61.943911</v>
      </c>
      <c r="Y97" s="7">
        <f t="shared" si="31"/>
        <v>63.010500000000008</v>
      </c>
      <c r="Z97" s="7">
        <f t="shared" si="31"/>
        <v>63.685593999999995</v>
      </c>
      <c r="AA97" s="7">
        <f t="shared" si="31"/>
        <v>63.444136</v>
      </c>
      <c r="AB97" s="7">
        <f t="shared" si="31"/>
        <v>64.046199999999999</v>
      </c>
      <c r="AC97" s="7">
        <f t="shared" si="31"/>
        <v>64.968783999999999</v>
      </c>
      <c r="AD97" s="7">
        <f t="shared" si="31"/>
        <v>65.951598000000004</v>
      </c>
    </row>
    <row r="98" spans="1:30" x14ac:dyDescent="0.25">
      <c r="A98" s="7" t="s">
        <v>145</v>
      </c>
      <c r="B98" s="7" t="s">
        <v>157</v>
      </c>
      <c r="C98" s="7" t="s">
        <v>177</v>
      </c>
      <c r="D98" s="7" t="s">
        <v>150</v>
      </c>
      <c r="E98" s="7">
        <f t="shared" si="32"/>
        <v>131.974898</v>
      </c>
      <c r="F98" s="7">
        <f t="shared" si="31"/>
        <v>123.20224999999999</v>
      </c>
      <c r="G98" s="7">
        <f t="shared" si="31"/>
        <v>118.37917899999999</v>
      </c>
      <c r="H98" s="7">
        <f t="shared" si="31"/>
        <v>121.702157</v>
      </c>
      <c r="I98" s="7">
        <f t="shared" si="31"/>
        <v>119.72679100000001</v>
      </c>
      <c r="J98" s="7">
        <f t="shared" si="31"/>
        <v>118.36503200000001</v>
      </c>
      <c r="K98" s="7">
        <f t="shared" si="31"/>
        <v>119.79003999999999</v>
      </c>
      <c r="L98" s="7">
        <f t="shared" si="31"/>
        <v>121.540817</v>
      </c>
      <c r="M98" s="7">
        <f t="shared" si="31"/>
        <v>125.34310899999998</v>
      </c>
      <c r="N98" s="7">
        <f t="shared" si="31"/>
        <v>126.001825</v>
      </c>
      <c r="O98" s="7">
        <f t="shared" si="31"/>
        <v>122.73038</v>
      </c>
      <c r="P98" s="7">
        <f t="shared" si="31"/>
        <v>124.089808</v>
      </c>
      <c r="Q98" s="7">
        <f t="shared" si="31"/>
        <v>126.977777</v>
      </c>
      <c r="R98" s="7">
        <f t="shared" si="31"/>
        <v>115.58311900000001</v>
      </c>
      <c r="S98" s="7">
        <f t="shared" si="31"/>
        <v>119.26143299999998</v>
      </c>
      <c r="T98" s="7">
        <f t="shared" si="31"/>
        <v>120.79571799999999</v>
      </c>
      <c r="U98" s="7">
        <f t="shared" si="31"/>
        <v>120.68265700000001</v>
      </c>
      <c r="V98" s="7">
        <f t="shared" si="31"/>
        <v>120.878671</v>
      </c>
      <c r="W98" s="7">
        <f t="shared" si="31"/>
        <v>120.22521</v>
      </c>
      <c r="X98" s="7">
        <f t="shared" si="31"/>
        <v>120.213187</v>
      </c>
      <c r="Y98" s="7">
        <f t="shared" si="31"/>
        <v>118.84172000000001</v>
      </c>
      <c r="Z98" s="7">
        <f t="shared" si="31"/>
        <v>118.29855100000002</v>
      </c>
      <c r="AA98" s="7">
        <f t="shared" si="31"/>
        <v>115.682951</v>
      </c>
      <c r="AB98" s="7">
        <f t="shared" si="31"/>
        <v>107.844008</v>
      </c>
      <c r="AC98" s="7">
        <f t="shared" si="31"/>
        <v>105.377815</v>
      </c>
      <c r="AD98" s="7">
        <f t="shared" si="31"/>
        <v>103.102127</v>
      </c>
    </row>
    <row r="99" spans="1:30" x14ac:dyDescent="0.25">
      <c r="A99" s="7"/>
      <c r="B99" s="7"/>
      <c r="C99" s="7"/>
      <c r="D99" s="7"/>
      <c r="E99" s="7"/>
      <c r="F99" s="7"/>
      <c r="G99" s="7"/>
      <c r="H99" s="7"/>
      <c r="I99" s="7"/>
      <c r="J99" s="7"/>
      <c r="K99" s="7"/>
      <c r="L99" s="7"/>
      <c r="M99" s="7"/>
      <c r="N99" s="7"/>
      <c r="O99" s="7"/>
      <c r="P99" s="7"/>
      <c r="Q99" s="7"/>
      <c r="R99" s="7"/>
      <c r="S99" s="7"/>
      <c r="T99" s="7"/>
      <c r="U99" s="7"/>
      <c r="V99" s="7"/>
      <c r="W99" s="7"/>
      <c r="X99" s="7"/>
      <c r="Y99" s="7"/>
      <c r="Z99" s="7"/>
      <c r="AA99" s="7"/>
      <c r="AB99" s="7"/>
      <c r="AC99" s="7"/>
      <c r="AD99" s="7"/>
    </row>
    <row r="100" spans="1:30" x14ac:dyDescent="0.25">
      <c r="A100" s="7" t="s">
        <v>159</v>
      </c>
      <c r="B100" s="7"/>
      <c r="C100" s="7"/>
      <c r="D100" s="7"/>
      <c r="E100" s="7"/>
      <c r="F100" s="7"/>
      <c r="G100" s="7"/>
      <c r="H100" s="7"/>
      <c r="I100" s="7"/>
      <c r="J100" s="7"/>
      <c r="K100" s="7"/>
      <c r="L100" s="7"/>
      <c r="M100" s="7"/>
      <c r="N100" s="7"/>
      <c r="O100" s="7"/>
      <c r="P100" s="7"/>
      <c r="Q100" s="7"/>
      <c r="R100" s="7"/>
      <c r="S100" s="7"/>
      <c r="T100" s="7"/>
      <c r="U100" s="7"/>
      <c r="V100" s="7"/>
      <c r="W100" s="7"/>
      <c r="X100" s="7"/>
      <c r="Y100" s="7"/>
      <c r="Z100" s="7"/>
      <c r="AA100" s="7"/>
      <c r="AB100" s="7"/>
      <c r="AC100" s="7"/>
      <c r="AD100" s="7"/>
    </row>
    <row r="101" spans="1:30" x14ac:dyDescent="0.25">
      <c r="A101" s="7" t="s">
        <v>136</v>
      </c>
      <c r="B101" s="7"/>
      <c r="C101" s="7"/>
      <c r="D101" s="7"/>
      <c r="E101" s="7">
        <f>E95/E89</f>
        <v>0.26481084585664566</v>
      </c>
      <c r="F101" s="7">
        <f t="shared" ref="F101:AD101" si="33">F95/F89</f>
        <v>0.23334283673357531</v>
      </c>
      <c r="G101" s="7">
        <f t="shared" si="33"/>
        <v>0.20747953274932837</v>
      </c>
      <c r="H101" s="7">
        <f t="shared" si="33"/>
        <v>0.15310248237120053</v>
      </c>
      <c r="I101" s="7">
        <f t="shared" si="33"/>
        <v>0.12114482165803775</v>
      </c>
      <c r="J101" s="7">
        <f t="shared" si="33"/>
        <v>0.11658665125407806</v>
      </c>
      <c r="K101" s="7">
        <f t="shared" si="33"/>
        <v>0.11830503972724168</v>
      </c>
      <c r="L101" s="7">
        <f t="shared" si="33"/>
        <v>0.11978901745685928</v>
      </c>
      <c r="M101" s="7">
        <f t="shared" si="33"/>
        <v>0.12626504458109644</v>
      </c>
      <c r="N101" s="7">
        <f t="shared" si="33"/>
        <v>0.12733876551771658</v>
      </c>
      <c r="O101" s="7">
        <f t="shared" si="33"/>
        <v>0.12809338993323022</v>
      </c>
      <c r="P101" s="7">
        <f t="shared" si="33"/>
        <v>0.12789964701009149</v>
      </c>
      <c r="Q101" s="7">
        <f t="shared" si="33"/>
        <v>0.12952291170059002</v>
      </c>
      <c r="R101" s="7">
        <f t="shared" si="33"/>
        <v>0.10851234585246379</v>
      </c>
      <c r="S101" s="7">
        <f t="shared" si="33"/>
        <v>0.1079501983046786</v>
      </c>
      <c r="T101" s="7">
        <f t="shared" si="33"/>
        <v>0.10636863752417287</v>
      </c>
      <c r="U101" s="7">
        <f t="shared" si="33"/>
        <v>0.10663661215312337</v>
      </c>
      <c r="V101" s="7">
        <f t="shared" si="33"/>
        <v>0.10785707321170789</v>
      </c>
      <c r="W101" s="7">
        <f t="shared" si="33"/>
        <v>0.10703211285849287</v>
      </c>
      <c r="X101" s="7">
        <f t="shared" si="33"/>
        <v>0.1076056520533161</v>
      </c>
      <c r="Y101" s="7">
        <f t="shared" si="33"/>
        <v>0.108859316343264</v>
      </c>
      <c r="Z101" s="7">
        <f t="shared" si="33"/>
        <v>0.10728027059748296</v>
      </c>
      <c r="AA101" s="7">
        <f t="shared" si="33"/>
        <v>0.10643811113583537</v>
      </c>
      <c r="AB101" s="7">
        <f t="shared" si="33"/>
        <v>0.10741240790272846</v>
      </c>
      <c r="AC101" s="7">
        <f t="shared" si="33"/>
        <v>0.10758426811234754</v>
      </c>
      <c r="AD101" s="7">
        <f t="shared" si="33"/>
        <v>0.10551601498916169</v>
      </c>
    </row>
    <row r="102" spans="1:30" x14ac:dyDescent="0.25">
      <c r="A102" s="7" t="s">
        <v>139</v>
      </c>
      <c r="B102" s="7"/>
      <c r="C102" s="7"/>
      <c r="D102" s="7"/>
      <c r="E102" s="7">
        <f t="shared" ref="E102:AD102" si="34">E96/E90</f>
        <v>0.2616002343232729</v>
      </c>
      <c r="F102" s="7">
        <f t="shared" si="34"/>
        <v>0.24091298215970999</v>
      </c>
      <c r="G102" s="7">
        <f t="shared" si="34"/>
        <v>0.23380127184044514</v>
      </c>
      <c r="H102" s="7">
        <f t="shared" si="34"/>
        <v>0.23577150931638488</v>
      </c>
      <c r="I102" s="7">
        <f t="shared" si="34"/>
        <v>0.23608939334277126</v>
      </c>
      <c r="J102" s="7">
        <f t="shared" si="34"/>
        <v>0.23691885087036982</v>
      </c>
      <c r="K102" s="7">
        <f t="shared" si="34"/>
        <v>0.23766187184098772</v>
      </c>
      <c r="L102" s="7">
        <f t="shared" si="34"/>
        <v>0.24018619637330224</v>
      </c>
      <c r="M102" s="7">
        <f t="shared" si="34"/>
        <v>0.24385172765792482</v>
      </c>
      <c r="N102" s="7">
        <f t="shared" si="34"/>
        <v>0.24334116385167925</v>
      </c>
      <c r="O102" s="7">
        <f t="shared" si="34"/>
        <v>0.23834980741786346</v>
      </c>
      <c r="P102" s="7">
        <f t="shared" si="34"/>
        <v>0.23700966128178422</v>
      </c>
      <c r="Q102" s="7">
        <f t="shared" si="34"/>
        <v>0.23612970494948099</v>
      </c>
      <c r="R102" s="7">
        <f t="shared" si="34"/>
        <v>0.22564327034831203</v>
      </c>
      <c r="S102" s="7">
        <f t="shared" si="34"/>
        <v>0.22749331800266417</v>
      </c>
      <c r="T102" s="7">
        <f t="shared" si="34"/>
        <v>0.22336431085967906</v>
      </c>
      <c r="U102" s="7">
        <f t="shared" si="34"/>
        <v>0.2216407985757268</v>
      </c>
      <c r="V102" s="7">
        <f t="shared" si="34"/>
        <v>0.22037583800689092</v>
      </c>
      <c r="W102" s="7">
        <f t="shared" si="34"/>
        <v>0.21865315909771557</v>
      </c>
      <c r="X102" s="7">
        <f t="shared" si="34"/>
        <v>0.21825077287201372</v>
      </c>
      <c r="Y102" s="7">
        <f t="shared" si="34"/>
        <v>0.21617457368560361</v>
      </c>
      <c r="Z102" s="7">
        <f t="shared" si="34"/>
        <v>0.21420669983547344</v>
      </c>
      <c r="AA102" s="7">
        <f t="shared" si="34"/>
        <v>0.21240703473286371</v>
      </c>
      <c r="AB102" s="7">
        <f t="shared" si="34"/>
        <v>0.2010156518666569</v>
      </c>
      <c r="AC102" s="7">
        <f t="shared" si="34"/>
        <v>0.19604587143619068</v>
      </c>
      <c r="AD102" s="7">
        <f t="shared" si="34"/>
        <v>0.19533159560139624</v>
      </c>
    </row>
    <row r="103" spans="1:30" x14ac:dyDescent="0.25">
      <c r="A103" s="7" t="s">
        <v>142</v>
      </c>
      <c r="B103" s="7"/>
      <c r="C103" s="7"/>
      <c r="D103" s="7"/>
      <c r="E103" s="7">
        <f>E97/E91</f>
        <v>0.26441630900269686</v>
      </c>
      <c r="F103" s="7">
        <f t="shared" ref="F103:AD103" si="35">F97/F91</f>
        <v>0.23792189727477056</v>
      </c>
      <c r="G103" s="7">
        <f t="shared" si="35"/>
        <v>0.21344882168714302</v>
      </c>
      <c r="H103" s="7">
        <f t="shared" si="35"/>
        <v>0.14969642224646534</v>
      </c>
      <c r="I103" s="7">
        <f t="shared" si="35"/>
        <v>0.11347523389926674</v>
      </c>
      <c r="J103" s="7">
        <f t="shared" si="35"/>
        <v>0.10592946788529786</v>
      </c>
      <c r="K103" s="7">
        <f t="shared" si="35"/>
        <v>0.10622890400304102</v>
      </c>
      <c r="L103" s="7">
        <f t="shared" si="35"/>
        <v>0.10454685853175434</v>
      </c>
      <c r="M103" s="7">
        <f t="shared" si="35"/>
        <v>0.10946798065585259</v>
      </c>
      <c r="N103" s="7">
        <f t="shared" si="35"/>
        <v>0.10958448280393027</v>
      </c>
      <c r="O103" s="7">
        <f t="shared" si="35"/>
        <v>0.11028733555862641</v>
      </c>
      <c r="P103" s="7">
        <f t="shared" si="35"/>
        <v>0.10852442519027207</v>
      </c>
      <c r="Q103" s="7">
        <f t="shared" si="35"/>
        <v>0.10816056039663016</v>
      </c>
      <c r="R103" s="7">
        <f t="shared" si="35"/>
        <v>8.783182137753591E-2</v>
      </c>
      <c r="S103" s="7">
        <f t="shared" si="35"/>
        <v>9.0336984220761238E-2</v>
      </c>
      <c r="T103" s="7">
        <f t="shared" si="35"/>
        <v>9.1867501053266187E-2</v>
      </c>
      <c r="U103" s="7">
        <f t="shared" si="35"/>
        <v>9.2733009184410881E-2</v>
      </c>
      <c r="V103" s="7">
        <f t="shared" si="35"/>
        <v>9.4959927323913312E-2</v>
      </c>
      <c r="W103" s="7">
        <f t="shared" si="35"/>
        <v>9.5751667671105684E-2</v>
      </c>
      <c r="X103" s="7">
        <f t="shared" si="35"/>
        <v>9.8361560718134497E-2</v>
      </c>
      <c r="Y103" s="7">
        <f t="shared" si="35"/>
        <v>9.9407347750734149E-2</v>
      </c>
      <c r="Z103" s="7">
        <f t="shared" si="35"/>
        <v>9.9748873257041931E-2</v>
      </c>
      <c r="AA103" s="7">
        <f t="shared" si="35"/>
        <v>9.8952075837803882E-2</v>
      </c>
      <c r="AB103" s="7">
        <f t="shared" si="35"/>
        <v>9.9363814328573788E-2</v>
      </c>
      <c r="AC103" s="7">
        <f t="shared" si="35"/>
        <v>0.10062558752728121</v>
      </c>
      <c r="AD103" s="7">
        <f t="shared" si="35"/>
        <v>0.10096382786699558</v>
      </c>
    </row>
    <row r="104" spans="1:30" x14ac:dyDescent="0.25">
      <c r="A104" s="7" t="s">
        <v>145</v>
      </c>
      <c r="B104" s="7"/>
      <c r="C104" s="7"/>
      <c r="D104" s="7"/>
      <c r="E104" s="7">
        <f>E98/E92</f>
        <v>0.26363915209619826</v>
      </c>
      <c r="F104" s="7">
        <f t="shared" ref="F104:AD104" si="36">F98/F92</f>
        <v>0.24657519266342201</v>
      </c>
      <c r="G104" s="7">
        <f t="shared" si="36"/>
        <v>0.2365062276978879</v>
      </c>
      <c r="H104" s="7">
        <f t="shared" si="36"/>
        <v>0.2370063323250006</v>
      </c>
      <c r="I104" s="7">
        <f t="shared" si="36"/>
        <v>0.23270845618858624</v>
      </c>
      <c r="J104" s="7">
        <f t="shared" si="36"/>
        <v>0.22873156190575877</v>
      </c>
      <c r="K104" s="7">
        <f t="shared" si="36"/>
        <v>0.22993410471583367</v>
      </c>
      <c r="L104" s="7">
        <f t="shared" si="36"/>
        <v>0.23222136394559204</v>
      </c>
      <c r="M104" s="7">
        <f t="shared" si="36"/>
        <v>0.23712340380383229</v>
      </c>
      <c r="N104" s="7">
        <f t="shared" si="36"/>
        <v>0.2367204134020913</v>
      </c>
      <c r="O104" s="7">
        <f t="shared" si="36"/>
        <v>0.2308183710061488</v>
      </c>
      <c r="P104" s="7">
        <f t="shared" si="36"/>
        <v>0.23164207531810893</v>
      </c>
      <c r="Q104" s="7">
        <f t="shared" si="36"/>
        <v>0.23399465234908337</v>
      </c>
      <c r="R104" s="7">
        <f t="shared" si="36"/>
        <v>0.21417702818754908</v>
      </c>
      <c r="S104" s="7">
        <f t="shared" si="36"/>
        <v>0.21776075869697506</v>
      </c>
      <c r="T104" s="7">
        <f t="shared" si="36"/>
        <v>0.21834482533910515</v>
      </c>
      <c r="U104" s="7">
        <f t="shared" si="36"/>
        <v>0.21591350746847843</v>
      </c>
      <c r="V104" s="7">
        <f t="shared" si="36"/>
        <v>0.2131452779079715</v>
      </c>
      <c r="W104" s="7">
        <f t="shared" si="36"/>
        <v>0.20900151226085217</v>
      </c>
      <c r="X104" s="7">
        <f t="shared" si="36"/>
        <v>0.20646081138490055</v>
      </c>
      <c r="Y104" s="7">
        <f t="shared" si="36"/>
        <v>0.20284062336261136</v>
      </c>
      <c r="Z104" s="7">
        <f t="shared" si="36"/>
        <v>0.20049052548385021</v>
      </c>
      <c r="AA104" s="7">
        <f t="shared" si="36"/>
        <v>0.19525894083756912</v>
      </c>
      <c r="AB104" s="7">
        <f t="shared" si="36"/>
        <v>0.18148201747824297</v>
      </c>
      <c r="AC104" s="7">
        <f t="shared" si="36"/>
        <v>0.17677185142620042</v>
      </c>
      <c r="AD104" s="7">
        <f t="shared" si="36"/>
        <v>0.17143002089329695</v>
      </c>
    </row>
    <row r="105" spans="1:30" x14ac:dyDescent="0.25">
      <c r="A105" s="7"/>
      <c r="B105" s="7"/>
      <c r="C105" s="7"/>
      <c r="D105" s="7"/>
      <c r="E105" s="7"/>
      <c r="F105" s="7"/>
      <c r="G105" s="7"/>
      <c r="H105" s="7"/>
      <c r="I105" s="7"/>
      <c r="J105" s="7"/>
      <c r="K105" s="7"/>
      <c r="L105" s="7"/>
      <c r="M105" s="7"/>
      <c r="N105" s="7"/>
      <c r="O105" s="7"/>
      <c r="P105" s="7"/>
      <c r="Q105" s="7"/>
      <c r="R105" s="7"/>
      <c r="S105" s="7"/>
      <c r="T105" s="7"/>
      <c r="U105" s="7"/>
      <c r="V105" s="7"/>
      <c r="W105" s="7"/>
      <c r="X105" s="7"/>
      <c r="Y105" s="7"/>
      <c r="Z105" s="7"/>
      <c r="AA105" s="7"/>
      <c r="AB105" s="7"/>
      <c r="AC105" s="7"/>
      <c r="AD105" s="7"/>
    </row>
    <row r="106" spans="1:30" x14ac:dyDescent="0.25">
      <c r="A106" s="7" t="s">
        <v>160</v>
      </c>
      <c r="B106" s="7"/>
      <c r="C106" s="7"/>
      <c r="D106" s="7"/>
      <c r="E106" s="7"/>
      <c r="F106" s="7"/>
      <c r="G106" s="7"/>
      <c r="H106" s="7"/>
      <c r="I106" s="7"/>
      <c r="J106" s="7"/>
      <c r="K106" s="7"/>
      <c r="L106" s="7"/>
      <c r="M106" s="7"/>
      <c r="N106" s="7"/>
      <c r="O106" s="7"/>
      <c r="P106" s="7"/>
      <c r="Q106" s="7"/>
      <c r="R106" s="7"/>
      <c r="S106" s="7"/>
      <c r="T106" s="7"/>
      <c r="U106" s="7"/>
      <c r="V106" s="7"/>
      <c r="W106" s="7"/>
      <c r="X106" s="7"/>
      <c r="Y106" s="7"/>
      <c r="Z106" s="7"/>
      <c r="AA106" s="7"/>
      <c r="AB106" s="7"/>
      <c r="AC106" s="7"/>
      <c r="AD106" s="7"/>
    </row>
    <row r="107" spans="1:30" x14ac:dyDescent="0.25">
      <c r="A107" s="370" t="s">
        <v>136</v>
      </c>
      <c r="B107" s="370"/>
      <c r="C107" s="370"/>
      <c r="D107" s="370" t="s">
        <v>136</v>
      </c>
      <c r="E107" s="371">
        <f>E101/$E101</f>
        <v>1</v>
      </c>
      <c r="F107" s="371">
        <f t="shared" ref="F107:AD107" si="37">F101/$E101</f>
        <v>0.8811679747433554</v>
      </c>
      <c r="G107" s="371">
        <f t="shared" si="37"/>
        <v>0.78350088750385483</v>
      </c>
      <c r="H107" s="371">
        <f t="shared" si="37"/>
        <v>0.57815789937124396</v>
      </c>
      <c r="I107" s="371">
        <f t="shared" si="37"/>
        <v>0.4574768124248923</v>
      </c>
      <c r="J107" s="371">
        <f t="shared" si="37"/>
        <v>0.44026388298760166</v>
      </c>
      <c r="K107" s="371">
        <f t="shared" si="37"/>
        <v>0.44675299965351745</v>
      </c>
      <c r="L107" s="371">
        <f t="shared" si="37"/>
        <v>0.45235691562915292</v>
      </c>
      <c r="M107" s="371">
        <f t="shared" si="37"/>
        <v>0.4768122097591484</v>
      </c>
      <c r="N107" s="371">
        <f t="shared" si="37"/>
        <v>0.48086688105913511</v>
      </c>
      <c r="O107" s="371">
        <f t="shared" si="37"/>
        <v>0.48371655442909267</v>
      </c>
      <c r="P107" s="371">
        <f t="shared" si="37"/>
        <v>0.48298492683086508</v>
      </c>
      <c r="Q107" s="371">
        <f t="shared" si="37"/>
        <v>0.4891148294232131</v>
      </c>
      <c r="R107" s="371">
        <f t="shared" si="37"/>
        <v>0.4097730419667423</v>
      </c>
      <c r="S107" s="371">
        <f t="shared" si="37"/>
        <v>0.4076502152148142</v>
      </c>
      <c r="T107" s="371">
        <f t="shared" si="37"/>
        <v>0.40167779827928624</v>
      </c>
      <c r="U107" s="371">
        <f t="shared" si="37"/>
        <v>0.40268974561129073</v>
      </c>
      <c r="V107" s="371">
        <f t="shared" si="37"/>
        <v>0.4072985487539128</v>
      </c>
      <c r="W107" s="371">
        <f t="shared" si="37"/>
        <v>0.40418326716283476</v>
      </c>
      <c r="X107" s="371">
        <f t="shared" si="37"/>
        <v>0.4063491119678988</v>
      </c>
      <c r="Y107" s="371">
        <f t="shared" si="37"/>
        <v>0.41108329982146796</v>
      </c>
      <c r="Z107" s="371">
        <f t="shared" si="37"/>
        <v>0.40512038036221043</v>
      </c>
      <c r="AA107" s="371">
        <f t="shared" si="37"/>
        <v>0.40194015011551015</v>
      </c>
      <c r="AB107" s="371">
        <f t="shared" si="37"/>
        <v>0.4056193678746669</v>
      </c>
      <c r="AC107" s="371">
        <f t="shared" si="37"/>
        <v>0.40626836021130297</v>
      </c>
      <c r="AD107" s="371">
        <f t="shared" si="37"/>
        <v>0.39845805653399247</v>
      </c>
    </row>
    <row r="108" spans="1:30" x14ac:dyDescent="0.25">
      <c r="A108" s="7" t="s">
        <v>139</v>
      </c>
      <c r="B108" s="7"/>
      <c r="C108" s="7"/>
      <c r="D108" s="7" t="s">
        <v>139</v>
      </c>
      <c r="E108" s="66">
        <f>E102/$E102</f>
        <v>1</v>
      </c>
      <c r="F108" s="66">
        <f t="shared" ref="F108:AD108" si="38">F102/$E102</f>
        <v>0.92092036072873462</v>
      </c>
      <c r="G108" s="66">
        <f t="shared" si="38"/>
        <v>0.89373494807930809</v>
      </c>
      <c r="H108" s="66">
        <f t="shared" si="38"/>
        <v>0.90126643015552454</v>
      </c>
      <c r="I108" s="66">
        <f t="shared" si="38"/>
        <v>0.90248158207313922</v>
      </c>
      <c r="J108" s="66">
        <f t="shared" si="38"/>
        <v>0.90565228843639711</v>
      </c>
      <c r="K108" s="66">
        <f t="shared" si="38"/>
        <v>0.90849258012245004</v>
      </c>
      <c r="L108" s="66">
        <f t="shared" si="38"/>
        <v>0.9181421300888124</v>
      </c>
      <c r="M108" s="66">
        <f t="shared" si="38"/>
        <v>0.93215408728030669</v>
      </c>
      <c r="N108" s="66">
        <f t="shared" si="38"/>
        <v>0.93020239252144565</v>
      </c>
      <c r="O108" s="66">
        <f t="shared" si="38"/>
        <v>0.91112230092012192</v>
      </c>
      <c r="P108" s="66">
        <f t="shared" si="38"/>
        <v>0.90599942272566603</v>
      </c>
      <c r="Q108" s="66">
        <f t="shared" si="38"/>
        <v>0.90263567829103453</v>
      </c>
      <c r="R108" s="66">
        <f t="shared" si="38"/>
        <v>0.86254995501828569</v>
      </c>
      <c r="S108" s="66">
        <f t="shared" si="38"/>
        <v>0.86962199629201764</v>
      </c>
      <c r="T108" s="66">
        <f t="shared" si="38"/>
        <v>0.85383834398120706</v>
      </c>
      <c r="U108" s="66">
        <f t="shared" si="38"/>
        <v>0.84725000017329433</v>
      </c>
      <c r="V108" s="66">
        <f t="shared" si="38"/>
        <v>0.84241452832401187</v>
      </c>
      <c r="W108" s="66">
        <f t="shared" si="38"/>
        <v>0.83582937019664361</v>
      </c>
      <c r="X108" s="66">
        <f t="shared" si="38"/>
        <v>0.83429119792878315</v>
      </c>
      <c r="Y108" s="66">
        <f t="shared" si="38"/>
        <v>0.82635466380532951</v>
      </c>
      <c r="Z108" s="66">
        <f t="shared" si="38"/>
        <v>0.81883221698787612</v>
      </c>
      <c r="AA108" s="66">
        <f t="shared" si="38"/>
        <v>0.81195276939385841</v>
      </c>
      <c r="AB108" s="66">
        <f t="shared" si="38"/>
        <v>0.76840776686098644</v>
      </c>
      <c r="AC108" s="66">
        <f t="shared" si="38"/>
        <v>0.74941015226280983</v>
      </c>
      <c r="AD108" s="66">
        <f t="shared" si="38"/>
        <v>0.74667974249600599</v>
      </c>
    </row>
    <row r="109" spans="1:30" x14ac:dyDescent="0.25">
      <c r="A109" s="7" t="s">
        <v>142</v>
      </c>
      <c r="B109" s="7"/>
      <c r="C109" s="7"/>
      <c r="D109" s="7" t="s">
        <v>142</v>
      </c>
      <c r="E109" s="66">
        <f>E103/$E103</f>
        <v>1</v>
      </c>
      <c r="F109" s="66">
        <f t="shared" ref="F109" si="39">F103/$E103</f>
        <v>0.89980038739722334</v>
      </c>
      <c r="G109" s="66">
        <f>G103/$E103</f>
        <v>0.8072452962232598</v>
      </c>
      <c r="H109" s="66">
        <f t="shared" ref="H109:AD109" si="40">H103/$E103</f>
        <v>0.56613914176125402</v>
      </c>
      <c r="I109" s="66">
        <f t="shared" si="40"/>
        <v>0.42915368695396688</v>
      </c>
      <c r="J109" s="66">
        <f t="shared" si="40"/>
        <v>0.40061624142940994</v>
      </c>
      <c r="K109" s="66">
        <f t="shared" si="40"/>
        <v>0.40174868336868574</v>
      </c>
      <c r="L109" s="66">
        <f t="shared" si="40"/>
        <v>0.39538733040361757</v>
      </c>
      <c r="M109" s="66">
        <f t="shared" si="40"/>
        <v>0.41399859588364535</v>
      </c>
      <c r="N109" s="66">
        <f t="shared" si="40"/>
        <v>0.41443919710267413</v>
      </c>
      <c r="O109" s="66">
        <f t="shared" si="40"/>
        <v>0.41709732646446385</v>
      </c>
      <c r="P109" s="66">
        <f t="shared" si="40"/>
        <v>0.41043014933381133</v>
      </c>
      <c r="Q109" s="66">
        <f t="shared" si="40"/>
        <v>0.40905404362000608</v>
      </c>
      <c r="R109" s="66">
        <f t="shared" si="40"/>
        <v>0.33217248099715396</v>
      </c>
      <c r="S109" s="66">
        <f t="shared" si="40"/>
        <v>0.34164679388153724</v>
      </c>
      <c r="T109" s="66">
        <f t="shared" si="40"/>
        <v>0.34743507841768262</v>
      </c>
      <c r="U109" s="66">
        <f t="shared" si="40"/>
        <v>0.35070835658425698</v>
      </c>
      <c r="V109" s="66">
        <f t="shared" si="40"/>
        <v>0.35913037165549722</v>
      </c>
      <c r="W109" s="66">
        <f t="shared" si="40"/>
        <v>0.36212466633489343</v>
      </c>
      <c r="X109" s="66">
        <f t="shared" si="40"/>
        <v>0.37199505994591009</v>
      </c>
      <c r="Y109" s="66">
        <f t="shared" si="40"/>
        <v>0.37595013759049284</v>
      </c>
      <c r="Z109" s="66">
        <f t="shared" si="40"/>
        <v>0.37724175801888438</v>
      </c>
      <c r="AA109" s="66">
        <f t="shared" si="40"/>
        <v>0.37422833792296317</v>
      </c>
      <c r="AB109" s="66">
        <f t="shared" si="40"/>
        <v>0.37578549788908955</v>
      </c>
      <c r="AC109" s="66">
        <f t="shared" si="40"/>
        <v>0.3805574168507696</v>
      </c>
      <c r="AD109" s="66">
        <f t="shared" si="40"/>
        <v>0.38183661305840944</v>
      </c>
    </row>
    <row r="110" spans="1:30" x14ac:dyDescent="0.25">
      <c r="A110" s="7" t="s">
        <v>145</v>
      </c>
      <c r="B110" s="7"/>
      <c r="C110" s="7"/>
      <c r="D110" s="7" t="s">
        <v>145</v>
      </c>
      <c r="E110" s="66">
        <f>E104/$E104</f>
        <v>1</v>
      </c>
      <c r="F110" s="66">
        <f t="shared" ref="F110:AD110" si="41">F104/$E104</f>
        <v>0.93527532122182733</v>
      </c>
      <c r="G110" s="66">
        <f t="shared" si="41"/>
        <v>0.89708309944643605</v>
      </c>
      <c r="H110" s="66">
        <f t="shared" si="41"/>
        <v>0.89898002796838117</v>
      </c>
      <c r="I110" s="66">
        <f t="shared" si="41"/>
        <v>0.88267791160121079</v>
      </c>
      <c r="J110" s="66">
        <f t="shared" si="41"/>
        <v>0.86759329973227117</v>
      </c>
      <c r="K110" s="66">
        <f t="shared" si="41"/>
        <v>0.87215462076715344</v>
      </c>
      <c r="L110" s="66">
        <f t="shared" si="41"/>
        <v>0.88083033987629311</v>
      </c>
      <c r="M110" s="66">
        <f t="shared" si="41"/>
        <v>0.8994240875016517</v>
      </c>
      <c r="N110" s="66">
        <f t="shared" si="41"/>
        <v>0.89789551938672341</v>
      </c>
      <c r="O110" s="66">
        <f t="shared" si="41"/>
        <v>0.87550869880633808</v>
      </c>
      <c r="P110" s="66">
        <f t="shared" si="41"/>
        <v>0.87863306142627084</v>
      </c>
      <c r="Q110" s="66">
        <f t="shared" si="41"/>
        <v>0.88755653509195775</v>
      </c>
      <c r="R110" s="66">
        <f t="shared" si="41"/>
        <v>0.81238703160977721</v>
      </c>
      <c r="S110" s="66">
        <f t="shared" si="41"/>
        <v>0.8259803483873942</v>
      </c>
      <c r="T110" s="66">
        <f t="shared" si="41"/>
        <v>0.82819575014956115</v>
      </c>
      <c r="U110" s="66">
        <f t="shared" si="41"/>
        <v>0.81897360749246606</v>
      </c>
      <c r="V110" s="66">
        <f t="shared" si="41"/>
        <v>0.80847353745925321</v>
      </c>
      <c r="W110" s="66">
        <f t="shared" si="41"/>
        <v>0.79275597193769776</v>
      </c>
      <c r="X110" s="66">
        <f t="shared" si="41"/>
        <v>0.78311893261424947</v>
      </c>
      <c r="Y110" s="66">
        <f t="shared" si="41"/>
        <v>0.76938733018151129</v>
      </c>
      <c r="Z110" s="66">
        <f t="shared" si="41"/>
        <v>0.76047326009717253</v>
      </c>
      <c r="AA110" s="66">
        <f t="shared" si="41"/>
        <v>0.74062952822091399</v>
      </c>
      <c r="AB110" s="66">
        <f t="shared" si="41"/>
        <v>0.68837278543523273</v>
      </c>
      <c r="AC110" s="66">
        <f t="shared" si="41"/>
        <v>0.67050682730802758</v>
      </c>
      <c r="AD110" s="66">
        <f t="shared" si="41"/>
        <v>0.65024492580200877</v>
      </c>
    </row>
    <row r="111" spans="1:30" ht="15.75" x14ac:dyDescent="0.25">
      <c r="A111" s="7"/>
      <c r="B111" s="7"/>
      <c r="C111" s="7"/>
      <c r="D111" s="7" t="s">
        <v>122</v>
      </c>
      <c r="E111" s="367">
        <v>2025</v>
      </c>
      <c r="F111" s="367">
        <v>2026</v>
      </c>
      <c r="G111" s="367">
        <v>2027</v>
      </c>
      <c r="H111" s="367">
        <v>2028</v>
      </c>
      <c r="I111" s="367">
        <v>2029</v>
      </c>
      <c r="J111" s="367">
        <v>2030</v>
      </c>
      <c r="K111" s="367">
        <v>2031</v>
      </c>
      <c r="L111" s="367">
        <v>2032</v>
      </c>
      <c r="M111" s="367">
        <v>2033</v>
      </c>
      <c r="N111" s="367">
        <v>2034</v>
      </c>
      <c r="O111" s="367">
        <v>2035</v>
      </c>
      <c r="P111" s="367">
        <v>2036</v>
      </c>
      <c r="Q111" s="367">
        <v>2037</v>
      </c>
      <c r="R111" s="367">
        <v>2038</v>
      </c>
      <c r="S111" s="367">
        <v>2039</v>
      </c>
      <c r="T111" s="367">
        <v>2040</v>
      </c>
      <c r="U111" s="367">
        <v>2041</v>
      </c>
      <c r="V111" s="367">
        <v>2042</v>
      </c>
      <c r="W111" s="367">
        <v>2043</v>
      </c>
      <c r="X111" s="367">
        <v>2044</v>
      </c>
      <c r="Y111" s="367">
        <v>2045</v>
      </c>
      <c r="Z111" s="367">
        <v>2046</v>
      </c>
      <c r="AA111" s="367">
        <v>2047</v>
      </c>
      <c r="AB111" s="367">
        <v>2048</v>
      </c>
      <c r="AC111" s="367">
        <v>2049</v>
      </c>
      <c r="AD111" s="367">
        <v>2050</v>
      </c>
    </row>
  </sheetData>
  <pageMargins left="0.7" right="0.7" top="0.75" bottom="0.75" header="0.3" footer="0.3"/>
  <pageSetup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_activity xmlns="17e2fb66-dd11-4f43-9e1c-43f0053b936b"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2E6941D53526584EBA720D8A4E059481" ma:contentTypeVersion="16" ma:contentTypeDescription="Create a new document." ma:contentTypeScope="" ma:versionID="75cb197a5d1f11c039ed84e27b90f4b9">
  <xsd:schema xmlns:xsd="http://www.w3.org/2001/XMLSchema" xmlns:xs="http://www.w3.org/2001/XMLSchema" xmlns:p="http://schemas.microsoft.com/office/2006/metadata/properties" xmlns:ns3="17e2fb66-dd11-4f43-9e1c-43f0053b936b" xmlns:ns4="e8830cc8-e8a1-4db7-a4f7-2c205ab45717" targetNamespace="http://schemas.microsoft.com/office/2006/metadata/properties" ma:root="true" ma:fieldsID="d377d8bf4b0872e76abd546153f8753c" ns3:_="" ns4:_="">
    <xsd:import namespace="17e2fb66-dd11-4f43-9e1c-43f0053b936b"/>
    <xsd:import namespace="e8830cc8-e8a1-4db7-a4f7-2c205ab45717"/>
    <xsd:element name="properties">
      <xsd:complexType>
        <xsd:sequence>
          <xsd:element name="documentManagement">
            <xsd:complexType>
              <xsd:all>
                <xsd:element ref="ns3:_activity" minOccurs="0"/>
                <xsd:element ref="ns4:SharedWithUsers" minOccurs="0"/>
                <xsd:element ref="ns4:SharedWithDetails" minOccurs="0"/>
                <xsd:element ref="ns4:SharingHintHash" minOccurs="0"/>
                <xsd:element ref="ns3:MediaServiceMetadata" minOccurs="0"/>
                <xsd:element ref="ns3:MediaServiceFastMetadata" minOccurs="0"/>
                <xsd:element ref="ns3:MediaServiceSearchProperties" minOccurs="0"/>
                <xsd:element ref="ns3:MediaServiceObjectDetectorVersions" minOccurs="0"/>
                <xsd:element ref="ns3:MediaServiceAutoTags" minOccurs="0"/>
                <xsd:element ref="ns3:MediaServiceOCR" minOccurs="0"/>
                <xsd:element ref="ns3:MediaServiceGenerationTime" minOccurs="0"/>
                <xsd:element ref="ns3:MediaServiceEventHashCode" minOccurs="0"/>
                <xsd:element ref="ns3:MediaServiceDateTaken" minOccurs="0"/>
                <xsd:element ref="ns3:MediaServiceLocation" minOccurs="0"/>
                <xsd:element ref="ns3:MediaServiceSystemTags" minOccurs="0"/>
                <xsd:element ref="ns3: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7e2fb66-dd11-4f43-9e1c-43f0053b936b" elementFormDefault="qualified">
    <xsd:import namespace="http://schemas.microsoft.com/office/2006/documentManagement/types"/>
    <xsd:import namespace="http://schemas.microsoft.com/office/infopath/2007/PartnerControls"/>
    <xsd:element name="_activity" ma:index="8" nillable="true" ma:displayName="_activity" ma:hidden="true" ma:internalName="_activity">
      <xsd:simpleType>
        <xsd:restriction base="dms:Note"/>
      </xsd:simpleType>
    </xsd:element>
    <xsd:element name="MediaServiceMetadata" ma:index="12" nillable="true" ma:displayName="MediaServiceMetadata" ma:hidden="true" ma:internalName="MediaServiceMetadata" ma:readOnly="true">
      <xsd:simpleType>
        <xsd:restriction base="dms:Note"/>
      </xsd:simpleType>
    </xsd:element>
    <xsd:element name="MediaServiceFastMetadata" ma:index="13" nillable="true" ma:displayName="MediaServiceFastMetadata" ma:hidden="true" ma:internalName="MediaServiceFastMetadata" ma:readOnly="true">
      <xsd:simpleType>
        <xsd:restriction base="dms:Note"/>
      </xsd:simpleType>
    </xsd:element>
    <xsd:element name="MediaServiceSearchProperties" ma:index="14" nillable="true" ma:displayName="MediaServiceSearchProperties" ma:hidden="true" ma:internalName="MediaServiceSearchProperties" ma:readOnly="true">
      <xsd:simpleType>
        <xsd:restriction base="dms:Note"/>
      </xsd:simpleType>
    </xsd:element>
    <xsd:element name="MediaServiceObjectDetectorVersions" ma:index="15" nillable="true" ma:displayName="MediaServiceObjectDetectorVersions" ma:hidden="true" ma:indexed="true" ma:internalName="MediaServiceObjectDetectorVersions" ma:readOnly="true">
      <xsd:simpleType>
        <xsd:restriction base="dms:Text"/>
      </xsd:simpleType>
    </xsd:element>
    <xsd:element name="MediaServiceAutoTags" ma:index="16" nillable="true" ma:displayName="Tags" ma:internalName="MediaServiceAutoTags"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DateTaken" ma:index="20" nillable="true" ma:displayName="MediaServiceDateTaken" ma:hidden="true" ma:indexed="true" ma:internalName="MediaServiceDateTaken" ma:readOnly="true">
      <xsd:simpleType>
        <xsd:restriction base="dms:Text"/>
      </xsd:simpleType>
    </xsd:element>
    <xsd:element name="MediaServiceLocation" ma:index="21" nillable="true" ma:displayName="Location" ma:indexed="true" ma:internalName="MediaServiceLocation" ma:readOnly="true">
      <xsd:simpleType>
        <xsd:restriction base="dms:Text"/>
      </xsd:simpleType>
    </xsd:element>
    <xsd:element name="MediaServiceSystemTags" ma:index="22" nillable="true" ma:displayName="MediaServiceSystemTags" ma:hidden="true" ma:internalName="MediaServiceSystemTags" ma:readOnly="true">
      <xsd:simpleType>
        <xsd:restriction base="dms:Note"/>
      </xsd:simpleType>
    </xsd:element>
    <xsd:element name="MediaLengthInSeconds" ma:index="23"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e8830cc8-e8a1-4db7-a4f7-2c205ab45717" elementFormDefault="qualified">
    <xsd:import namespace="http://schemas.microsoft.com/office/2006/documentManagement/types"/>
    <xsd:import namespace="http://schemas.microsoft.com/office/infopath/2007/PartnerControls"/>
    <xsd:element name="SharedWithUsers" ma:index="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0" nillable="true" ma:displayName="Shared With Details" ma:internalName="SharedWithDetails" ma:readOnly="true">
      <xsd:simpleType>
        <xsd:restriction base="dms:Note">
          <xsd:maxLength value="255"/>
        </xsd:restriction>
      </xsd:simpleType>
    </xsd:element>
    <xsd:element name="SharingHintHash" ma:index="11" nillable="true" ma:displayName="Sharing Hint Hash"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7B91CA53-99FA-4B5F-AFDD-CA06BBB6C17A}">
  <ds:schemaRefs>
    <ds:schemaRef ds:uri="http://schemas.microsoft.com/sharepoint/v3/contenttype/forms"/>
  </ds:schemaRefs>
</ds:datastoreItem>
</file>

<file path=customXml/itemProps2.xml><?xml version="1.0" encoding="utf-8"?>
<ds:datastoreItem xmlns:ds="http://schemas.openxmlformats.org/officeDocument/2006/customXml" ds:itemID="{70387A19-B64C-48EE-A08C-FFB51ED470C5}">
  <ds:schemaRefs>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e8830cc8-e8a1-4db7-a4f7-2c205ab45717"/>
    <ds:schemaRef ds:uri="http://purl.org/dc/elements/1.1/"/>
    <ds:schemaRef ds:uri="http://schemas.microsoft.com/office/2006/metadata/properties"/>
    <ds:schemaRef ds:uri="17e2fb66-dd11-4f43-9e1c-43f0053b936b"/>
    <ds:schemaRef ds:uri="http://www.w3.org/XML/1998/namespace"/>
    <ds:schemaRef ds:uri="http://purl.org/dc/dcmitype/"/>
  </ds:schemaRefs>
</ds:datastoreItem>
</file>

<file path=customXml/itemProps3.xml><?xml version="1.0" encoding="utf-8"?>
<ds:datastoreItem xmlns:ds="http://schemas.openxmlformats.org/officeDocument/2006/customXml" ds:itemID="{C342B29B-7A12-4200-B824-9695D32735C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17e2fb66-dd11-4f43-9e1c-43f0053b936b"/>
    <ds:schemaRef ds:uri="e8830cc8-e8a1-4db7-a4f7-2c205ab4571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1</vt:i4>
      </vt:variant>
    </vt:vector>
  </HeadingPairs>
  <TitlesOfParts>
    <vt:vector size="8" baseType="lpstr">
      <vt:lpstr>Summary</vt:lpstr>
      <vt:lpstr>2 Sustainable Schools</vt:lpstr>
      <vt:lpstr>2. Schools CoPol</vt:lpstr>
      <vt:lpstr>3 Clean Transport</vt:lpstr>
      <vt:lpstr>5 Transmission</vt:lpstr>
      <vt:lpstr>Grid Projections</vt:lpstr>
      <vt:lpstr>AEO Data </vt:lpstr>
      <vt:lpstr>'Grid Projections'!Print_Area</vt:lpstr>
    </vt:vector>
  </TitlesOfParts>
  <Company>Tetra Tech Inc.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Murphy, Brian1</dc:creator>
  <cp:lastModifiedBy>Roth Barber, Denise</cp:lastModifiedBy>
  <cp:lastPrinted>2024-04-01T15:57:58Z</cp:lastPrinted>
  <dcterms:created xsi:type="dcterms:W3CDTF">2024-02-21T23:01:22Z</dcterms:created>
  <dcterms:modified xsi:type="dcterms:W3CDTF">2024-04-01T18:14:50Z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0x0101002E6941D53526584EBA720D8A4E059481</vt:lpwstr>
  </property>
</Properties>
</file>