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1" documentId="8_{12C8F04A-A9E8-4D10-9FFD-326CFC8D1CC1}" xr6:coauthVersionLast="47" xr6:coauthVersionMax="47" xr10:uidLastSave="{0CE5A117-D264-46F2-A4DD-CBE044D39ADE}"/>
  <bookViews>
    <workbookView xWindow="-108" yWindow="-108" windowWidth="30936" windowHeight="16896" tabRatio="931" firstSheet="3" activeTab="1" xr2:uid="{AAC398A2-E95D-4231-A920-55B8B1C73F3F}"/>
  </bookViews>
  <sheets>
    <sheet name="Overview" sheetId="26" r:id="rId1"/>
    <sheet name="Consolidated Budget" sheetId="30" r:id="rId2"/>
    <sheet name="Measure 1 Forest Mgmt" sheetId="16" r:id="rId3"/>
    <sheet name="Measure 2 Urban Forest" sheetId="27" r:id="rId4"/>
    <sheet name="Measure 3 CoalSeam" sheetId="28" r:id="rId5"/>
    <sheet name="Measure 4 NP Source Poll'n" sheetId="29" r:id="rId6"/>
    <sheet name="Measure 5 N Fertilizer" sheetId="31" r:id="rId7"/>
    <sheet name="Measure 6 Ranchland" sheetId="35" r:id="rId8"/>
    <sheet name="Measure 7 CattleBeef" sheetId="36" r:id="rId9"/>
  </sheets>
  <definedNames>
    <definedName name="_xlnm._FilterDatabase" localSheetId="1" hidden="1">'Consolidated Budget'!#REF!</definedName>
    <definedName name="_xlnm._FilterDatabase" localSheetId="2" hidden="1">'Measure 1 Forest Mgmt'!#REF!</definedName>
    <definedName name="_xlnm._FilterDatabase" localSheetId="3" hidden="1">'Measure 2 Urban Forest'!#REF!</definedName>
    <definedName name="_xlnm._FilterDatabase" localSheetId="4" hidden="1">'Measure 3 CoalSeam'!#REF!</definedName>
    <definedName name="_xlnm._FilterDatabase" localSheetId="5" hidden="1">'Measure 4 NP Source Poll''n'!#REF!</definedName>
    <definedName name="_xlnm._FilterDatabase" localSheetId="6" hidden="1">'Measure 5 N Fertilizer'!#REF!</definedName>
    <definedName name="_xlnm._FilterDatabase" localSheetId="7" hidden="1">'Measure 6 Ranchland'!#REF!</definedName>
    <definedName name="_xlnm._FilterDatabase" localSheetId="8" hidden="1">'Measure 7 CattleBeef'!#REF!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" i="27" l="1"/>
  <c r="J37" i="27"/>
  <c r="J32" i="27"/>
  <c r="J31" i="27"/>
  <c r="J30" i="27"/>
  <c r="D54" i="28"/>
  <c r="E50" i="28"/>
  <c r="F50" i="28"/>
  <c r="G50" i="28"/>
  <c r="H50" i="28"/>
  <c r="D50" i="28"/>
  <c r="J50" i="28" s="1"/>
  <c r="J42" i="28"/>
  <c r="E42" i="28"/>
  <c r="F42" i="28"/>
  <c r="G42" i="28"/>
  <c r="H42" i="28"/>
  <c r="D42" i="28"/>
  <c r="J35" i="28"/>
  <c r="E35" i="28"/>
  <c r="F35" i="28"/>
  <c r="G35" i="28"/>
  <c r="H35" i="28"/>
  <c r="D35" i="28"/>
  <c r="J27" i="28"/>
  <c r="E27" i="28"/>
  <c r="F27" i="28"/>
  <c r="G27" i="28"/>
  <c r="H27" i="28"/>
  <c r="D27" i="28"/>
  <c r="J16" i="28"/>
  <c r="E16" i="28"/>
  <c r="F16" i="28"/>
  <c r="G16" i="28"/>
  <c r="H16" i="28"/>
  <c r="D16" i="28"/>
  <c r="J11" i="28"/>
  <c r="E11" i="28"/>
  <c r="F11" i="28"/>
  <c r="G11" i="28"/>
  <c r="H11" i="28"/>
  <c r="D11" i="28"/>
  <c r="D50" i="16"/>
  <c r="J38" i="27"/>
  <c r="J36" i="27"/>
  <c r="J39" i="27"/>
  <c r="E39" i="27"/>
  <c r="F39" i="27"/>
  <c r="G39" i="27"/>
  <c r="H39" i="27"/>
  <c r="D39" i="27"/>
  <c r="J33" i="27"/>
  <c r="J34" i="27"/>
  <c r="E34" i="27"/>
  <c r="F34" i="27"/>
  <c r="G34" i="27"/>
  <c r="H34" i="27"/>
  <c r="D34" i="27"/>
  <c r="D24" i="27"/>
  <c r="D27" i="27"/>
  <c r="E24" i="27"/>
  <c r="F24" i="27"/>
  <c r="G24" i="27"/>
  <c r="H24" i="27"/>
  <c r="D18" i="27"/>
  <c r="D52" i="16"/>
  <c r="D46" i="16"/>
  <c r="E47" i="16"/>
  <c r="F47" i="16"/>
  <c r="G47" i="16"/>
  <c r="H47" i="16"/>
  <c r="D47" i="16"/>
  <c r="J47" i="16" s="1"/>
  <c r="E41" i="16"/>
  <c r="F41" i="16"/>
  <c r="G41" i="16"/>
  <c r="H41" i="16"/>
  <c r="D41" i="16"/>
  <c r="J35" i="16"/>
  <c r="E35" i="16"/>
  <c r="F35" i="16"/>
  <c r="G35" i="16"/>
  <c r="H35" i="16"/>
  <c r="D35" i="16"/>
  <c r="J31" i="16"/>
  <c r="E31" i="16"/>
  <c r="F31" i="16"/>
  <c r="G31" i="16"/>
  <c r="H31" i="16"/>
  <c r="D31" i="16"/>
  <c r="J27" i="16"/>
  <c r="E27" i="16"/>
  <c r="F27" i="16"/>
  <c r="G27" i="16"/>
  <c r="H27" i="16"/>
  <c r="D27" i="16"/>
  <c r="J16" i="16"/>
  <c r="E16" i="16"/>
  <c r="F16" i="16"/>
  <c r="G16" i="16"/>
  <c r="H16" i="16"/>
  <c r="D16" i="16"/>
  <c r="J11" i="16"/>
  <c r="E11" i="16"/>
  <c r="F11" i="16"/>
  <c r="G11" i="16"/>
  <c r="H11" i="16"/>
  <c r="D11" i="16"/>
  <c r="J21" i="28"/>
  <c r="J20" i="28"/>
  <c r="J19" i="28"/>
  <c r="J21" i="27"/>
  <c r="J22" i="27"/>
  <c r="D10" i="27"/>
  <c r="H10" i="27"/>
  <c r="H16" i="27" s="1"/>
  <c r="G10" i="27"/>
  <c r="G16" i="27" s="1"/>
  <c r="F10" i="27"/>
  <c r="F16" i="27" s="1"/>
  <c r="E10" i="27"/>
  <c r="E16" i="27" s="1"/>
  <c r="J16" i="27" s="1"/>
  <c r="E11" i="27"/>
  <c r="N11" i="27"/>
  <c r="D9" i="27"/>
  <c r="N9" i="27"/>
  <c r="D8" i="27"/>
  <c r="N8" i="27"/>
  <c r="J40" i="16"/>
  <c r="D12" i="16"/>
  <c r="Q8" i="16"/>
  <c r="O8" i="16"/>
  <c r="P8" i="16"/>
  <c r="N8" i="16"/>
  <c r="E40" i="30"/>
  <c r="F40" i="30"/>
  <c r="G40" i="30"/>
  <c r="H40" i="30"/>
  <c r="D40" i="30"/>
  <c r="H9" i="30"/>
  <c r="G9" i="30"/>
  <c r="F9" i="30"/>
  <c r="E9" i="30"/>
  <c r="D9" i="30"/>
  <c r="J9" i="30" s="1"/>
  <c r="D53" i="31"/>
  <c r="D33" i="28"/>
  <c r="D34" i="28"/>
  <c r="J9" i="36"/>
  <c r="J8" i="36"/>
  <c r="J41" i="35"/>
  <c r="J57" i="35"/>
  <c r="J54" i="35"/>
  <c r="J53" i="35"/>
  <c r="J44" i="35"/>
  <c r="J43" i="35"/>
  <c r="J20" i="35"/>
  <c r="J19" i="35"/>
  <c r="J18" i="35"/>
  <c r="J15" i="35"/>
  <c r="J14" i="35"/>
  <c r="J13" i="35"/>
  <c r="J11" i="35"/>
  <c r="J9" i="35"/>
  <c r="J10" i="35"/>
  <c r="J8" i="35"/>
  <c r="H13" i="35"/>
  <c r="G13" i="35"/>
  <c r="F13" i="35"/>
  <c r="E13" i="35"/>
  <c r="D13" i="35"/>
  <c r="E13" i="31"/>
  <c r="F13" i="31"/>
  <c r="G13" i="31"/>
  <c r="H13" i="31"/>
  <c r="D13" i="31"/>
  <c r="F11" i="35"/>
  <c r="F16" i="35" s="1"/>
  <c r="H9" i="35"/>
  <c r="G9" i="35"/>
  <c r="F9" i="35"/>
  <c r="E9" i="35"/>
  <c r="D9" i="35"/>
  <c r="H8" i="35"/>
  <c r="G8" i="35"/>
  <c r="F8" i="35"/>
  <c r="E8" i="35"/>
  <c r="D8" i="35"/>
  <c r="N9" i="35"/>
  <c r="O9" i="35" s="1"/>
  <c r="P9" i="35" s="1"/>
  <c r="Q9" i="35" s="1"/>
  <c r="N8" i="35"/>
  <c r="O8" i="35" s="1"/>
  <c r="P8" i="35" s="1"/>
  <c r="Q8" i="35" s="1"/>
  <c r="H9" i="31"/>
  <c r="G9" i="31"/>
  <c r="F9" i="31"/>
  <c r="E9" i="31"/>
  <c r="D9" i="31"/>
  <c r="O9" i="31"/>
  <c r="P9" i="31" s="1"/>
  <c r="Q9" i="31" s="1"/>
  <c r="N9" i="31"/>
  <c r="Q8" i="31"/>
  <c r="H8" i="31"/>
  <c r="G8" i="31"/>
  <c r="F8" i="31"/>
  <c r="J8" i="31" s="1"/>
  <c r="E8" i="31"/>
  <c r="D8" i="31"/>
  <c r="P8" i="31"/>
  <c r="N8" i="31"/>
  <c r="O8" i="31"/>
  <c r="H15" i="28"/>
  <c r="H14" i="28"/>
  <c r="H13" i="28"/>
  <c r="G15" i="28"/>
  <c r="G14" i="28"/>
  <c r="G13" i="28"/>
  <c r="F15" i="28"/>
  <c r="F14" i="28"/>
  <c r="F13" i="28"/>
  <c r="E15" i="28"/>
  <c r="E14" i="28"/>
  <c r="E13" i="28"/>
  <c r="D15" i="28"/>
  <c r="D14" i="28"/>
  <c r="D13" i="28"/>
  <c r="E20" i="36"/>
  <c r="F20" i="36"/>
  <c r="G20" i="36"/>
  <c r="H20" i="36"/>
  <c r="H27" i="36" s="1"/>
  <c r="D20" i="36"/>
  <c r="E20" i="35"/>
  <c r="F20" i="35"/>
  <c r="G20" i="35"/>
  <c r="H20" i="35"/>
  <c r="D20" i="35"/>
  <c r="E20" i="31"/>
  <c r="F20" i="31"/>
  <c r="G20" i="31"/>
  <c r="H20" i="31"/>
  <c r="D20" i="31"/>
  <c r="J18" i="31"/>
  <c r="J33" i="28"/>
  <c r="G27" i="36"/>
  <c r="F27" i="36"/>
  <c r="E27" i="36"/>
  <c r="D27" i="36"/>
  <c r="G44" i="36"/>
  <c r="E44" i="36"/>
  <c r="H19" i="36"/>
  <c r="G19" i="36"/>
  <c r="F19" i="36"/>
  <c r="E19" i="36"/>
  <c r="D19" i="36"/>
  <c r="H18" i="36"/>
  <c r="G18" i="36"/>
  <c r="F18" i="36"/>
  <c r="E18" i="36"/>
  <c r="D18" i="36"/>
  <c r="H27" i="35"/>
  <c r="G27" i="35"/>
  <c r="F27" i="35"/>
  <c r="E27" i="35"/>
  <c r="D27" i="35"/>
  <c r="H31" i="35"/>
  <c r="G31" i="35"/>
  <c r="F31" i="35"/>
  <c r="E31" i="35"/>
  <c r="D31" i="35"/>
  <c r="J31" i="35" s="1"/>
  <c r="J37" i="35"/>
  <c r="J33" i="35"/>
  <c r="H19" i="35"/>
  <c r="G19" i="35"/>
  <c r="F19" i="35"/>
  <c r="E19" i="35"/>
  <c r="D19" i="35"/>
  <c r="H18" i="35"/>
  <c r="G18" i="35"/>
  <c r="F18" i="35"/>
  <c r="E18" i="35"/>
  <c r="D18" i="35"/>
  <c r="H27" i="31"/>
  <c r="G27" i="31"/>
  <c r="F27" i="31"/>
  <c r="H18" i="31"/>
  <c r="G18" i="31"/>
  <c r="F18" i="31"/>
  <c r="E18" i="31"/>
  <c r="E27" i="31"/>
  <c r="D27" i="31"/>
  <c r="J27" i="31" s="1"/>
  <c r="J20" i="31"/>
  <c r="J19" i="31"/>
  <c r="H19" i="31"/>
  <c r="G19" i="31"/>
  <c r="F19" i="31"/>
  <c r="E19" i="31"/>
  <c r="D19" i="31"/>
  <c r="D12" i="27" l="1"/>
  <c r="E17" i="27"/>
  <c r="J10" i="27"/>
  <c r="O8" i="27"/>
  <c r="E8" i="27"/>
  <c r="O9" i="27"/>
  <c r="E9" i="27"/>
  <c r="O11" i="27"/>
  <c r="F11" i="27"/>
  <c r="J40" i="30"/>
  <c r="J8" i="16"/>
  <c r="J9" i="31"/>
  <c r="J11" i="31" s="1"/>
  <c r="F9" i="28"/>
  <c r="G9" i="28"/>
  <c r="H9" i="28"/>
  <c r="F10" i="28"/>
  <c r="G10" i="28"/>
  <c r="H10" i="28"/>
  <c r="F8" i="28"/>
  <c r="E9" i="28"/>
  <c r="E10" i="28"/>
  <c r="G8" i="28"/>
  <c r="H8" i="28"/>
  <c r="E8" i="28"/>
  <c r="J9" i="28"/>
  <c r="J8" i="28"/>
  <c r="K41" i="36"/>
  <c r="K41" i="31"/>
  <c r="K41" i="29"/>
  <c r="K41" i="28"/>
  <c r="F17" i="27" l="1"/>
  <c r="E15" i="27"/>
  <c r="E14" i="27"/>
  <c r="E12" i="27"/>
  <c r="D46" i="27"/>
  <c r="D38" i="30"/>
  <c r="P11" i="27"/>
  <c r="G11" i="27"/>
  <c r="P9" i="27"/>
  <c r="F9" i="27"/>
  <c r="P8" i="27"/>
  <c r="F8" i="27"/>
  <c r="J54" i="36"/>
  <c r="H49" i="36"/>
  <c r="G49" i="36"/>
  <c r="F49" i="36"/>
  <c r="E49" i="36"/>
  <c r="D49" i="36"/>
  <c r="J48" i="36"/>
  <c r="J47" i="36"/>
  <c r="J46" i="36"/>
  <c r="J45" i="36"/>
  <c r="J44" i="36"/>
  <c r="J43" i="36"/>
  <c r="H41" i="36"/>
  <c r="G41" i="36"/>
  <c r="F41" i="36"/>
  <c r="E41" i="36"/>
  <c r="D41" i="36"/>
  <c r="J41" i="36" s="1"/>
  <c r="J40" i="36"/>
  <c r="J39" i="36"/>
  <c r="J38" i="36"/>
  <c r="J37" i="36"/>
  <c r="H35" i="36"/>
  <c r="G35" i="36"/>
  <c r="F35" i="36"/>
  <c r="E35" i="36"/>
  <c r="D35" i="36"/>
  <c r="J34" i="36"/>
  <c r="J33" i="36"/>
  <c r="H31" i="36"/>
  <c r="G31" i="36"/>
  <c r="F31" i="36"/>
  <c r="E31" i="36"/>
  <c r="D31" i="36"/>
  <c r="J31" i="36" s="1"/>
  <c r="J20" i="36"/>
  <c r="J19" i="36"/>
  <c r="J18" i="36"/>
  <c r="H11" i="36"/>
  <c r="G11" i="36"/>
  <c r="F11" i="36"/>
  <c r="E11" i="36"/>
  <c r="D11" i="36"/>
  <c r="H49" i="35"/>
  <c r="G49" i="35"/>
  <c r="F49" i="35"/>
  <c r="E49" i="35"/>
  <c r="D49" i="35"/>
  <c r="J49" i="35" s="1"/>
  <c r="H41" i="35"/>
  <c r="G41" i="35"/>
  <c r="F41" i="35"/>
  <c r="E41" i="35"/>
  <c r="D41" i="35"/>
  <c r="H35" i="35"/>
  <c r="G35" i="35"/>
  <c r="F35" i="35"/>
  <c r="E35" i="35"/>
  <c r="D35" i="35"/>
  <c r="J34" i="35"/>
  <c r="J27" i="35"/>
  <c r="J16" i="35"/>
  <c r="H11" i="35"/>
  <c r="G11" i="35"/>
  <c r="E11" i="35"/>
  <c r="D11" i="35"/>
  <c r="J18" i="29"/>
  <c r="J19" i="29"/>
  <c r="J18" i="28"/>
  <c r="J23" i="27"/>
  <c r="J24" i="27" s="1"/>
  <c r="J10" i="16"/>
  <c r="J18" i="16"/>
  <c r="J9" i="16"/>
  <c r="J40" i="28"/>
  <c r="H54" i="28"/>
  <c r="I57" i="31"/>
  <c r="J54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4" i="31"/>
  <c r="J33" i="31"/>
  <c r="H31" i="31"/>
  <c r="G31" i="31"/>
  <c r="F31" i="31"/>
  <c r="E31" i="31"/>
  <c r="D31" i="31"/>
  <c r="J31" i="31" s="1"/>
  <c r="J30" i="31"/>
  <c r="J29" i="31"/>
  <c r="J26" i="31"/>
  <c r="J25" i="31"/>
  <c r="J24" i="31"/>
  <c r="J23" i="31"/>
  <c r="J22" i="31"/>
  <c r="J21" i="31"/>
  <c r="I16" i="31"/>
  <c r="J15" i="31"/>
  <c r="J14" i="31"/>
  <c r="I11" i="31"/>
  <c r="H11" i="31"/>
  <c r="G11" i="31"/>
  <c r="F11" i="31"/>
  <c r="F16" i="31" s="1"/>
  <c r="E11" i="31"/>
  <c r="E16" i="31" s="1"/>
  <c r="D11" i="31"/>
  <c r="D16" i="31" s="1"/>
  <c r="J10" i="31"/>
  <c r="I57" i="29"/>
  <c r="J54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F16" i="29"/>
  <c r="F53" i="29" s="1"/>
  <c r="F55" i="29" s="1"/>
  <c r="E16" i="29"/>
  <c r="E53" i="29" s="1"/>
  <c r="E55" i="29" s="1"/>
  <c r="J15" i="29"/>
  <c r="J14" i="29"/>
  <c r="I11" i="29"/>
  <c r="H11" i="29"/>
  <c r="G11" i="29"/>
  <c r="F11" i="29"/>
  <c r="F13" i="29" s="1"/>
  <c r="E11" i="29"/>
  <c r="E13" i="29" s="1"/>
  <c r="D11" i="29"/>
  <c r="D13" i="29" s="1"/>
  <c r="D16" i="29" s="1"/>
  <c r="D53" i="29" s="1"/>
  <c r="J11" i="29"/>
  <c r="J55" i="28"/>
  <c r="J49" i="28"/>
  <c r="J48" i="28"/>
  <c r="J47" i="28"/>
  <c r="J46" i="28"/>
  <c r="J45" i="28"/>
  <c r="J44" i="28"/>
  <c r="J41" i="28"/>
  <c r="J39" i="28"/>
  <c r="J38" i="28"/>
  <c r="J37" i="28"/>
  <c r="J34" i="28"/>
  <c r="H31" i="28"/>
  <c r="G31" i="28"/>
  <c r="F31" i="28"/>
  <c r="E31" i="28"/>
  <c r="D31" i="28"/>
  <c r="J30" i="28"/>
  <c r="J29" i="28"/>
  <c r="J26" i="28"/>
  <c r="J25" i="28"/>
  <c r="J24" i="28"/>
  <c r="J23" i="28"/>
  <c r="J22" i="28"/>
  <c r="J15" i="28"/>
  <c r="J14" i="28"/>
  <c r="J10" i="28"/>
  <c r="I49" i="27"/>
  <c r="H42" i="27"/>
  <c r="G42" i="27"/>
  <c r="F42" i="27"/>
  <c r="E42" i="27"/>
  <c r="D42" i="27"/>
  <c r="D43" i="27" s="1"/>
  <c r="J41" i="27"/>
  <c r="J42" i="27" s="1"/>
  <c r="H27" i="27"/>
  <c r="G27" i="27"/>
  <c r="F27" i="27"/>
  <c r="E27" i="27"/>
  <c r="J26" i="27"/>
  <c r="J27" i="27" s="1"/>
  <c r="I18" i="27"/>
  <c r="I12" i="27"/>
  <c r="J51" i="16"/>
  <c r="E46" i="16"/>
  <c r="F46" i="16"/>
  <c r="G46" i="16"/>
  <c r="H46" i="16"/>
  <c r="J33" i="16"/>
  <c r="J34" i="16"/>
  <c r="J37" i="16"/>
  <c r="J38" i="16"/>
  <c r="J39" i="16"/>
  <c r="J43" i="16"/>
  <c r="J46" i="16" s="1"/>
  <c r="J44" i="16"/>
  <c r="J45" i="16"/>
  <c r="J30" i="16"/>
  <c r="J29" i="16"/>
  <c r="J20" i="16"/>
  <c r="J21" i="16"/>
  <c r="J22" i="16"/>
  <c r="J23" i="16"/>
  <c r="J24" i="16"/>
  <c r="J26" i="16"/>
  <c r="J19" i="16"/>
  <c r="E12" i="16"/>
  <c r="F12" i="16"/>
  <c r="G12" i="16"/>
  <c r="H12" i="16"/>
  <c r="J14" i="16"/>
  <c r="J15" i="16"/>
  <c r="F14" i="27" l="1"/>
  <c r="F12" i="27"/>
  <c r="F15" i="27"/>
  <c r="G17" i="27"/>
  <c r="D47" i="27"/>
  <c r="E18" i="27"/>
  <c r="H56" i="28"/>
  <c r="D8" i="30"/>
  <c r="D39" i="30"/>
  <c r="D42" i="30"/>
  <c r="D11" i="30"/>
  <c r="E42" i="30"/>
  <c r="E11" i="30"/>
  <c r="F42" i="30"/>
  <c r="F11" i="30"/>
  <c r="G42" i="30"/>
  <c r="G11" i="30"/>
  <c r="H42" i="30"/>
  <c r="H11" i="30"/>
  <c r="D43" i="30"/>
  <c r="D12" i="30"/>
  <c r="E43" i="30"/>
  <c r="E12" i="30"/>
  <c r="F43" i="30"/>
  <c r="F12" i="30"/>
  <c r="G43" i="30"/>
  <c r="G12" i="30"/>
  <c r="H43" i="30"/>
  <c r="H12" i="30"/>
  <c r="D44" i="30"/>
  <c r="D13" i="30"/>
  <c r="E44" i="30"/>
  <c r="E13" i="30"/>
  <c r="F44" i="30"/>
  <c r="F13" i="30"/>
  <c r="G44" i="30"/>
  <c r="G13" i="30"/>
  <c r="H44" i="30"/>
  <c r="H13" i="30"/>
  <c r="Q8" i="27"/>
  <c r="H8" i="27" s="1"/>
  <c r="G8" i="27"/>
  <c r="Q9" i="27"/>
  <c r="H9" i="27" s="1"/>
  <c r="H15" i="27" s="1"/>
  <c r="G9" i="27"/>
  <c r="J9" i="27" s="1"/>
  <c r="Q11" i="27"/>
  <c r="H11" i="27"/>
  <c r="J11" i="27" s="1"/>
  <c r="G41" i="30"/>
  <c r="G10" i="30"/>
  <c r="H41" i="30"/>
  <c r="H10" i="30"/>
  <c r="D41" i="30"/>
  <c r="D10" i="30"/>
  <c r="E41" i="30"/>
  <c r="E10" i="30"/>
  <c r="F41" i="30"/>
  <c r="F10" i="30"/>
  <c r="J10" i="30" s="1"/>
  <c r="J12" i="16"/>
  <c r="F38" i="30"/>
  <c r="F7" i="30"/>
  <c r="E7" i="30"/>
  <c r="E38" i="30"/>
  <c r="D7" i="30"/>
  <c r="H16" i="31"/>
  <c r="H53" i="31" s="1"/>
  <c r="H55" i="31" s="1"/>
  <c r="G16" i="31"/>
  <c r="G53" i="31" s="1"/>
  <c r="G55" i="31" s="1"/>
  <c r="J13" i="31"/>
  <c r="J16" i="31" s="1"/>
  <c r="D56" i="28"/>
  <c r="J35" i="36"/>
  <c r="E16" i="36"/>
  <c r="E53" i="36" s="1"/>
  <c r="E55" i="36" s="1"/>
  <c r="F16" i="36"/>
  <c r="F53" i="36" s="1"/>
  <c r="F55" i="36" s="1"/>
  <c r="G16" i="36"/>
  <c r="G53" i="36" s="1"/>
  <c r="G55" i="36" s="1"/>
  <c r="H16" i="36"/>
  <c r="H50" i="36" s="1"/>
  <c r="H53" i="36"/>
  <c r="H55" i="36" s="1"/>
  <c r="H16" i="35"/>
  <c r="H53" i="35" s="1"/>
  <c r="H55" i="35" s="1"/>
  <c r="E16" i="35"/>
  <c r="E53" i="35" s="1"/>
  <c r="E55" i="35" s="1"/>
  <c r="D16" i="35"/>
  <c r="D53" i="35" s="1"/>
  <c r="D55" i="35" s="1"/>
  <c r="F53" i="31"/>
  <c r="F55" i="31" s="1"/>
  <c r="E53" i="31"/>
  <c r="E55" i="31" s="1"/>
  <c r="E50" i="36"/>
  <c r="J27" i="36"/>
  <c r="J11" i="36"/>
  <c r="F50" i="36"/>
  <c r="G50" i="36"/>
  <c r="G16" i="35"/>
  <c r="G53" i="35" s="1"/>
  <c r="G55" i="35" s="1"/>
  <c r="F53" i="35"/>
  <c r="J35" i="35"/>
  <c r="J35" i="31"/>
  <c r="H50" i="35"/>
  <c r="J41" i="16"/>
  <c r="F54" i="28"/>
  <c r="F56" i="28" s="1"/>
  <c r="G54" i="28"/>
  <c r="G56" i="28" s="1"/>
  <c r="E54" i="28"/>
  <c r="E56" i="28" s="1"/>
  <c r="D55" i="29"/>
  <c r="J13" i="29"/>
  <c r="J16" i="29" s="1"/>
  <c r="G13" i="29"/>
  <c r="G16" i="29" s="1"/>
  <c r="H13" i="29"/>
  <c r="H16" i="29" s="1"/>
  <c r="J49" i="36"/>
  <c r="D49" i="27"/>
  <c r="J31" i="28"/>
  <c r="J13" i="28"/>
  <c r="D51" i="28"/>
  <c r="H51" i="28"/>
  <c r="H58" i="28" s="1"/>
  <c r="H50" i="31"/>
  <c r="J41" i="31"/>
  <c r="F50" i="31"/>
  <c r="G50" i="31"/>
  <c r="D50" i="31"/>
  <c r="E50" i="31"/>
  <c r="J41" i="29"/>
  <c r="J27" i="29"/>
  <c r="E50" i="29"/>
  <c r="E57" i="29" s="1"/>
  <c r="G50" i="29"/>
  <c r="H50" i="29"/>
  <c r="D50" i="29"/>
  <c r="D57" i="29" s="1"/>
  <c r="F50" i="29"/>
  <c r="F57" i="29" s="1"/>
  <c r="J49" i="31"/>
  <c r="J13" i="16"/>
  <c r="J49" i="29"/>
  <c r="G12" i="27" l="1"/>
  <c r="J8" i="27"/>
  <c r="J12" i="27" s="1"/>
  <c r="H12" i="27"/>
  <c r="E43" i="27"/>
  <c r="E46" i="27"/>
  <c r="F18" i="27"/>
  <c r="H17" i="27"/>
  <c r="J17" i="27" s="1"/>
  <c r="G15" i="27"/>
  <c r="J15" i="27" s="1"/>
  <c r="G14" i="27"/>
  <c r="H14" i="27"/>
  <c r="H18" i="27" s="1"/>
  <c r="H43" i="27" s="1"/>
  <c r="J13" i="30"/>
  <c r="J44" i="30"/>
  <c r="J12" i="30"/>
  <c r="J43" i="30"/>
  <c r="J11" i="30"/>
  <c r="J42" i="30"/>
  <c r="J41" i="30"/>
  <c r="F8" i="30"/>
  <c r="F14" i="30"/>
  <c r="E39" i="30"/>
  <c r="E8" i="30"/>
  <c r="D14" i="30"/>
  <c r="D45" i="30"/>
  <c r="E50" i="35"/>
  <c r="D50" i="35"/>
  <c r="H57" i="31"/>
  <c r="G57" i="31"/>
  <c r="F57" i="31"/>
  <c r="J53" i="31"/>
  <c r="E57" i="31"/>
  <c r="J54" i="28"/>
  <c r="G51" i="28"/>
  <c r="G58" i="28" s="1"/>
  <c r="F51" i="28"/>
  <c r="F58" i="28" s="1"/>
  <c r="E51" i="28"/>
  <c r="J56" i="28"/>
  <c r="D58" i="28"/>
  <c r="H57" i="36"/>
  <c r="G57" i="36"/>
  <c r="E57" i="36"/>
  <c r="F57" i="36"/>
  <c r="D16" i="36"/>
  <c r="J13" i="36"/>
  <c r="J16" i="36" s="1"/>
  <c r="H57" i="35"/>
  <c r="G50" i="35"/>
  <c r="G57" i="35" s="1"/>
  <c r="F50" i="35"/>
  <c r="E57" i="35"/>
  <c r="D57" i="35"/>
  <c r="D55" i="31"/>
  <c r="J55" i="31" s="1"/>
  <c r="F55" i="35"/>
  <c r="J55" i="35" s="1"/>
  <c r="F57" i="35"/>
  <c r="F50" i="16"/>
  <c r="F52" i="16" s="1"/>
  <c r="E50" i="16"/>
  <c r="E52" i="16" s="1"/>
  <c r="H50" i="16"/>
  <c r="H52" i="16" s="1"/>
  <c r="G50" i="16"/>
  <c r="G52" i="16" s="1"/>
  <c r="H57" i="29"/>
  <c r="H53" i="29"/>
  <c r="H55" i="29" s="1"/>
  <c r="G53" i="29"/>
  <c r="J50" i="31"/>
  <c r="J50" i="29"/>
  <c r="E58" i="28" l="1"/>
  <c r="J51" i="28"/>
  <c r="G18" i="27"/>
  <c r="G43" i="27" s="1"/>
  <c r="J14" i="27"/>
  <c r="J18" i="27" s="1"/>
  <c r="F43" i="27"/>
  <c r="F39" i="30"/>
  <c r="F45" i="30" s="1"/>
  <c r="F46" i="27"/>
  <c r="F47" i="27" s="1"/>
  <c r="F49" i="27" s="1"/>
  <c r="E47" i="27"/>
  <c r="J43" i="27"/>
  <c r="H46" i="27"/>
  <c r="H47" i="27" s="1"/>
  <c r="G46" i="27"/>
  <c r="H7" i="30"/>
  <c r="H38" i="30"/>
  <c r="G7" i="30"/>
  <c r="G38" i="30"/>
  <c r="E45" i="30"/>
  <c r="E14" i="30"/>
  <c r="H54" i="16"/>
  <c r="H16" i="30"/>
  <c r="H47" i="30"/>
  <c r="J50" i="16"/>
  <c r="J52" i="16" s="1"/>
  <c r="G54" i="16"/>
  <c r="F16" i="30"/>
  <c r="F18" i="30" s="1"/>
  <c r="F47" i="30"/>
  <c r="F49" i="30" s="1"/>
  <c r="E16" i="30"/>
  <c r="E18" i="30" s="1"/>
  <c r="E47" i="30"/>
  <c r="E49" i="30" s="1"/>
  <c r="D16" i="30"/>
  <c r="D47" i="30"/>
  <c r="J54" i="16"/>
  <c r="D23" i="30" s="1"/>
  <c r="D18" i="30"/>
  <c r="J50" i="35"/>
  <c r="D28" i="30" s="1"/>
  <c r="J57" i="31"/>
  <c r="D27" i="30" s="1"/>
  <c r="J58" i="28"/>
  <c r="D25" i="30" s="1"/>
  <c r="D53" i="36"/>
  <c r="D50" i="36"/>
  <c r="D57" i="31"/>
  <c r="F54" i="16"/>
  <c r="E54" i="16"/>
  <c r="D54" i="16"/>
  <c r="G55" i="29"/>
  <c r="J53" i="29"/>
  <c r="G47" i="27" l="1"/>
  <c r="J46" i="27"/>
  <c r="J47" i="27"/>
  <c r="E49" i="27"/>
  <c r="J38" i="30"/>
  <c r="J7" i="30"/>
  <c r="G8" i="30"/>
  <c r="G39" i="30"/>
  <c r="H39" i="30"/>
  <c r="H45" i="30" s="1"/>
  <c r="H49" i="30" s="1"/>
  <c r="H8" i="30"/>
  <c r="H14" i="30" s="1"/>
  <c r="H18" i="30" s="1"/>
  <c r="H49" i="27"/>
  <c r="D49" i="30"/>
  <c r="J50" i="36"/>
  <c r="J53" i="36"/>
  <c r="D55" i="36"/>
  <c r="J55" i="29"/>
  <c r="J57" i="29" s="1"/>
  <c r="D26" i="30" s="1"/>
  <c r="G57" i="29"/>
  <c r="G16" i="30" l="1"/>
  <c r="J16" i="30" s="1"/>
  <c r="G47" i="30"/>
  <c r="J47" i="30" s="1"/>
  <c r="G49" i="27"/>
  <c r="D24" i="30"/>
  <c r="J39" i="30"/>
  <c r="G45" i="30"/>
  <c r="J8" i="30"/>
  <c r="G14" i="30"/>
  <c r="J55" i="36"/>
  <c r="J57" i="36" s="1"/>
  <c r="D29" i="30" s="1"/>
  <c r="D30" i="30" s="1"/>
  <c r="E23" i="30" s="1"/>
  <c r="D57" i="36"/>
  <c r="J14" i="30" l="1"/>
  <c r="J18" i="30" s="1"/>
  <c r="G18" i="30"/>
  <c r="J45" i="30"/>
  <c r="J49" i="30" s="1"/>
  <c r="G49" i="30"/>
  <c r="E24" i="30"/>
  <c r="E28" i="30"/>
  <c r="E29" i="30"/>
  <c r="E26" i="30"/>
  <c r="E27" i="30"/>
  <c r="E25" i="30"/>
</calcChain>
</file>

<file path=xl/sharedStrings.xml><?xml version="1.0" encoding="utf-8"?>
<sst xmlns="http://schemas.openxmlformats.org/spreadsheetml/2006/main" count="521" uniqueCount="126">
  <si>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</si>
  <si>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</si>
  <si>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YEAR*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</si>
  <si>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</si>
  <si>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</si>
  <si>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</si>
  <si>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</si>
  <si>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</si>
  <si>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</si>
  <si>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</si>
  <si>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</si>
  <si>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</si>
  <si>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</si>
  <si>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</si>
  <si>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</si>
  <si>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</si>
  <si>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</si>
  <si>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</si>
  <si>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</si>
  <si>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</si>
  <si>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</si>
  <si>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</si>
  <si>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</si>
  <si>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* Budget Table reflects the sum of each measure - the CONSOLIDATED BUDGET BY YEAR below shows the Dept of Ag and DEQ as Subawards in Other.</t>
  </si>
  <si>
    <t>BUDGET BY PROJECT</t>
  </si>
  <si>
    <t>Project Number</t>
  </si>
  <si>
    <t>Project Name</t>
  </si>
  <si>
    <t>Total Cost</t>
  </si>
  <si>
    <t>% of Total</t>
  </si>
  <si>
    <t>Forest Mgmt and Wildfire Mitigation</t>
  </si>
  <si>
    <t>Urban &amp; Community Forestry</t>
  </si>
  <si>
    <t>Coal Seam Fire Mitigation</t>
  </si>
  <si>
    <t>NonPoint Source Pollution</t>
  </si>
  <si>
    <t>Nitrogen Fertilizer Innovation</t>
  </si>
  <si>
    <t>Ranchland Stewardship</t>
  </si>
  <si>
    <t>Cattle/Beef Industry</t>
  </si>
  <si>
    <t>Total</t>
  </si>
  <si>
    <t>CONSOLIDATED BUDGET BY YEAR</t>
  </si>
  <si>
    <t>Detailed Budget Table</t>
  </si>
  <si>
    <t xml:space="preserve">This Excel Workbook is provided to aid applicants in developing the required budget table(s) within the budget narrative.  </t>
  </si>
  <si>
    <t>BUDGET BY YEAR</t>
  </si>
  <si>
    <t>COMMENTS</t>
  </si>
  <si>
    <t>Personnel</t>
  </si>
  <si>
    <t> </t>
  </si>
  <si>
    <t>Staff Forester 30% 1 FTE @ $32/hour</t>
  </si>
  <si>
    <t xml:space="preserve">624 hrs/year </t>
  </si>
  <si>
    <t>Staff Forester 40% of annual salary</t>
  </si>
  <si>
    <t>Fringe benefits based on an expected benefit rate of 40% of personnel costs.</t>
  </si>
  <si>
    <t xml:space="preserve"> Travel </t>
  </si>
  <si>
    <t xml:space="preserve"> Equipment </t>
  </si>
  <si>
    <t xml:space="preserve"> </t>
  </si>
  <si>
    <t xml:space="preserve"> Supplies </t>
  </si>
  <si>
    <t>Tree Seedlings</t>
  </si>
  <si>
    <t>500,000 seedlings @$.66</t>
  </si>
  <si>
    <t xml:space="preserve"> Contractual </t>
  </si>
  <si>
    <t>Contracted Chip and Hauling Slash</t>
  </si>
  <si>
    <t>8800 tons/ year @ $30/ton</t>
  </si>
  <si>
    <t>Contracted Thinning small commercial</t>
  </si>
  <si>
    <t>260 acres/year@$1000 /acre</t>
  </si>
  <si>
    <t>Contracted Thinning pre-commercial</t>
  </si>
  <si>
    <t>1340 acres/year @$350/acre</t>
  </si>
  <si>
    <t>Contracted Tree Planting and Cone Collection</t>
  </si>
  <si>
    <t>Collect seed, grow and plant 500,000 seedlings/ year</t>
  </si>
  <si>
    <t>OTHER</t>
  </si>
  <si>
    <t>Indirect Costs</t>
  </si>
  <si>
    <t>DNRC Negotiated Rate 8.85%</t>
  </si>
  <si>
    <t>Grant Administrator</t>
  </si>
  <si>
    <t>1500hrs per year @ $30/hr   72% of one grant admin staffs time to manage this grant</t>
  </si>
  <si>
    <t>Project Manager</t>
  </si>
  <si>
    <t xml:space="preserve">1 FTE  per year @ $32/hr </t>
  </si>
  <si>
    <t>Interns</t>
  </si>
  <si>
    <t>2 full time seasonal employees, 6 months each year @$24/hour</t>
  </si>
  <si>
    <t>UCF Foresters (project implementation)</t>
  </si>
  <si>
    <t>2.7 FTE per year @ $32/hr  2 new foresters working regionally and 35% of time for 2 current regional UCF Forests to implement ths grant</t>
  </si>
  <si>
    <t xml:space="preserve"> Fringe Benefits </t>
  </si>
  <si>
    <t>40% for grant admin</t>
  </si>
  <si>
    <t>40% for project manager</t>
  </si>
  <si>
    <t>40% for interns</t>
  </si>
  <si>
    <t>40% for regional staff fringe</t>
  </si>
  <si>
    <t>Expenses:  4 staff at 40 each trips each per year</t>
  </si>
  <si>
    <t xml:space="preserve">Miles  10,000 miles/yr  @ $0.64 per mile </t>
  </si>
  <si>
    <t xml:space="preserve">Per Diem  160 days @ $33.5/day </t>
  </si>
  <si>
    <t>Motels 160 @ $107/night</t>
  </si>
  <si>
    <t>N/A</t>
  </si>
  <si>
    <t>Trees and Project Expenses</t>
  </si>
  <si>
    <t>150 trees/yr &amp; planting supplies @$200 each</t>
  </si>
  <si>
    <t>Watering supplies for tree establishment</t>
  </si>
  <si>
    <t xml:space="preserve">Education and outreach, workshops, training </t>
  </si>
  <si>
    <t>Project Manager operational supplies, materials</t>
  </si>
  <si>
    <t>UCF Canopy Assessment and Implementation</t>
  </si>
  <si>
    <t>UCF expanded support for technical, mapping, information tech projects</t>
  </si>
  <si>
    <t>UCF Workforce Capacity, field and project assistance</t>
  </si>
  <si>
    <t>UCF Subawards for community projects</t>
  </si>
  <si>
    <t xml:space="preserve">DNRC Negotiated Rate 8.85% </t>
  </si>
  <si>
    <t>Program Specialist 2</t>
  </si>
  <si>
    <t xml:space="preserve">CPRG Program Lead (1.0 FTE Program Specialist 2 @$79,040 with salary increases) </t>
  </si>
  <si>
    <t>Program Specialist 1</t>
  </si>
  <si>
    <t>DNRC grant and contract specialists Program Specialist 1 @ $70,720 with salary increases</t>
  </si>
  <si>
    <t>Expenses:  3 staff at 50 each trips each per year</t>
  </si>
  <si>
    <t xml:space="preserve">Miles  75000 miles per year @ $0.64 per mile </t>
  </si>
  <si>
    <t xml:space="preserve">Per Diem  150 days @ $33.5/day </t>
  </si>
  <si>
    <t>Motels 150 @ $107/night</t>
  </si>
  <si>
    <t>Cameras, Office, PPE, etc.</t>
  </si>
  <si>
    <t>Computers  3 @ $3,000 each</t>
  </si>
  <si>
    <t>Engineering services to survey, design and oversee coal seam fire projects</t>
  </si>
  <si>
    <t>Contractors procured to extinguish high-hazard fires</t>
  </si>
  <si>
    <t>Subawards to Counties and Tribes</t>
  </si>
  <si>
    <t>DNRC Negitiated Rate</t>
  </si>
  <si>
    <t>TOTAL CONTRACTUAL</t>
  </si>
  <si>
    <t>Other</t>
  </si>
  <si>
    <t>Passthrough funding distributed as subawards through the Nonpoint Source Pollution Reduction Grant Program. 4-8 contracts total.</t>
  </si>
  <si>
    <t>Ag Sciences Division Administrator, existing FTE for 180 hrs @ $58 with 3% annual salary increase</t>
  </si>
  <si>
    <t>180 hours/year</t>
  </si>
  <si>
    <t>Precision Ag Coordinator, new FTE for 2080 hrs @ $40 with 3% annual increase</t>
  </si>
  <si>
    <t>1.0 FTE</t>
  </si>
  <si>
    <t>35% of Total Personnel</t>
  </si>
  <si>
    <t>In-state lodging for 68 nights @ $107</t>
  </si>
  <si>
    <t>In-state meals for 100 days @ $33.50</t>
  </si>
  <si>
    <t>Mileage for 5,000 @ $0.655</t>
  </si>
  <si>
    <t>Office supplies</t>
  </si>
  <si>
    <t>Education, outreach, and training</t>
  </si>
  <si>
    <t>Dept of Ag approved rate of 29.99%</t>
  </si>
  <si>
    <t>Ag Development Division Administrator, existing FTE for 180 hrs @ $58 with 3% annual salary increase</t>
  </si>
  <si>
    <t>Grant Coordinator, new FTE for 2080 hrs @ $40 with 3% annual salary increase</t>
  </si>
  <si>
    <t>Data collection, monitoring, and reporting services</t>
  </si>
  <si>
    <t>Subawards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</si>
</sst>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[$$-409]* #,##0_);_([$$-409]* \(#,##0\);_([$$-409]* &quot;-&quot;??_);_(@_)"/>
    <numFmt numFmtId="166" formatCode="&quot;$&quot;#,##0.0_);[Red]\(&quot;$&quot;#,##0.0\)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2" tint="-0.249977111117893"/>
      <name val="Calibri"/>
      <family val="2"/>
      <scheme val="minor"/>
    </font>
    <font>
      <i/>
      <sz val="11"/>
      <color rgb="FFA6A6A6"/>
      <name val="Calibri"/>
      <family val="2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A6A6A6"/>
      <name val="Calibri"/>
    </font>
  </fonts>
  <fills count="1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3" borderId="20" xfId="0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wrapText="1" indent="2"/>
    </xf>
    <xf numFmtId="6" fontId="18" fillId="7" borderId="1" xfId="0" applyNumberFormat="1" applyFont="1" applyFill="1" applyBorder="1" applyAlignment="1">
      <alignment wrapText="1"/>
    </xf>
    <xf numFmtId="0" fontId="19" fillId="0" borderId="0" xfId="0" applyFont="1"/>
    <xf numFmtId="6" fontId="18" fillId="4" borderId="1" xfId="0" applyNumberFormat="1" applyFont="1" applyFill="1" applyBorder="1" applyAlignment="1">
      <alignment wrapText="1"/>
    </xf>
    <xf numFmtId="0" fontId="19" fillId="0" borderId="1" xfId="0" applyFont="1" applyBorder="1"/>
    <xf numFmtId="6" fontId="19" fillId="4" borderId="1" xfId="0" applyNumberFormat="1" applyFont="1" applyFill="1" applyBorder="1" applyAlignment="1">
      <alignment wrapText="1"/>
    </xf>
    <xf numFmtId="0" fontId="10" fillId="7" borderId="1" xfId="0" applyFont="1" applyFill="1" applyBorder="1" applyAlignment="1">
      <alignment wrapText="1"/>
    </xf>
    <xf numFmtId="0" fontId="10" fillId="8" borderId="1" xfId="0" applyFont="1" applyFill="1" applyBorder="1" applyAlignment="1">
      <alignment wrapText="1"/>
    </xf>
    <xf numFmtId="0" fontId="2" fillId="8" borderId="1" xfId="0" applyFont="1" applyFill="1" applyBorder="1"/>
    <xf numFmtId="0" fontId="9" fillId="8" borderId="1" xfId="0" applyFont="1" applyFill="1" applyBorder="1" applyAlignment="1">
      <alignment horizontal="left" wrapText="1" indent="2"/>
    </xf>
    <xf numFmtId="6" fontId="9" fillId="0" borderId="8" xfId="0" applyNumberFormat="1" applyFont="1" applyBorder="1" applyAlignment="1">
      <alignment wrapText="1"/>
    </xf>
    <xf numFmtId="6" fontId="9" fillId="4" borderId="8" xfId="0" applyNumberFormat="1" applyFont="1" applyFill="1" applyBorder="1" applyAlignment="1">
      <alignment wrapText="1"/>
    </xf>
    <xf numFmtId="6" fontId="11" fillId="0" borderId="22" xfId="0" applyNumberFormat="1" applyFont="1" applyBorder="1" applyAlignment="1">
      <alignment wrapText="1"/>
    </xf>
    <xf numFmtId="0" fontId="0" fillId="8" borderId="1" xfId="0" applyFill="1" applyBorder="1"/>
    <xf numFmtId="0" fontId="20" fillId="0" borderId="1" xfId="0" applyFont="1" applyBorder="1" applyAlignment="1">
      <alignment horizontal="left" wrapText="1" indent="2"/>
    </xf>
    <xf numFmtId="8" fontId="9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21" fillId="0" borderId="6" xfId="0" applyFont="1" applyBorder="1" applyAlignment="1">
      <alignment wrapText="1"/>
    </xf>
    <xf numFmtId="6" fontId="21" fillId="0" borderId="6" xfId="0" applyNumberFormat="1" applyFont="1" applyBorder="1" applyAlignment="1">
      <alignment wrapText="1"/>
    </xf>
    <xf numFmtId="0" fontId="21" fillId="0" borderId="3" xfId="0" applyFont="1" applyBorder="1" applyAlignment="1">
      <alignment wrapText="1"/>
    </xf>
    <xf numFmtId="6" fontId="21" fillId="0" borderId="23" xfId="0" applyNumberFormat="1" applyFont="1" applyBorder="1" applyAlignment="1">
      <alignment wrapText="1"/>
    </xf>
    <xf numFmtId="165" fontId="9" fillId="4" borderId="1" xfId="0" applyNumberFormat="1" applyFont="1" applyFill="1" applyBorder="1" applyAlignment="1">
      <alignment wrapText="1"/>
    </xf>
    <xf numFmtId="8" fontId="21" fillId="0" borderId="6" xfId="0" applyNumberFormat="1" applyFont="1" applyBorder="1" applyAlignment="1">
      <alignment wrapText="1"/>
    </xf>
    <xf numFmtId="6" fontId="9" fillId="9" borderId="1" xfId="0" applyNumberFormat="1" applyFont="1" applyFill="1" applyBorder="1" applyAlignment="1">
      <alignment wrapText="1"/>
    </xf>
    <xf numFmtId="6" fontId="0" fillId="0" borderId="1" xfId="0" applyNumberFormat="1" applyBorder="1"/>
    <xf numFmtId="6" fontId="9" fillId="9" borderId="4" xfId="0" applyNumberFormat="1" applyFont="1" applyFill="1" applyBorder="1" applyAlignment="1">
      <alignment wrapText="1"/>
    </xf>
    <xf numFmtId="6" fontId="22" fillId="7" borderId="1" xfId="0" applyNumberFormat="1" applyFont="1" applyFill="1" applyBorder="1" applyAlignment="1">
      <alignment wrapText="1"/>
    </xf>
    <xf numFmtId="6" fontId="22" fillId="7" borderId="8" xfId="0" applyNumberFormat="1" applyFont="1" applyFill="1" applyBorder="1" applyAlignment="1">
      <alignment wrapText="1"/>
    </xf>
    <xf numFmtId="9" fontId="22" fillId="7" borderId="1" xfId="2" applyFont="1" applyFill="1" applyBorder="1" applyAlignment="1">
      <alignment horizontal="center" wrapText="1"/>
    </xf>
    <xf numFmtId="0" fontId="19" fillId="8" borderId="0" xfId="0" applyFont="1" applyFill="1"/>
    <xf numFmtId="0" fontId="0" fillId="8" borderId="0" xfId="0" applyFill="1"/>
    <xf numFmtId="0" fontId="10" fillId="8" borderId="0" xfId="0" applyFont="1" applyFill="1"/>
    <xf numFmtId="0" fontId="1" fillId="8" borderId="7" xfId="0" applyFont="1" applyFill="1" applyBorder="1" applyAlignment="1">
      <alignment wrapText="1"/>
    </xf>
    <xf numFmtId="0" fontId="10" fillId="8" borderId="7" xfId="0" applyFont="1" applyFill="1" applyBorder="1" applyAlignment="1">
      <alignment wrapText="1"/>
    </xf>
    <xf numFmtId="6" fontId="19" fillId="7" borderId="1" xfId="0" applyNumberFormat="1" applyFont="1" applyFill="1" applyBorder="1" applyAlignment="1">
      <alignment horizontal="left" vertical="top" wrapText="1"/>
    </xf>
    <xf numFmtId="6" fontId="19" fillId="7" borderId="8" xfId="0" applyNumberFormat="1" applyFont="1" applyFill="1" applyBorder="1" applyAlignment="1">
      <alignment wrapText="1"/>
    </xf>
    <xf numFmtId="6" fontId="19" fillId="7" borderId="1" xfId="0" applyNumberFormat="1" applyFont="1" applyFill="1" applyBorder="1" applyAlignment="1">
      <alignment wrapText="1"/>
    </xf>
    <xf numFmtId="0" fontId="7" fillId="7" borderId="1" xfId="0" applyFont="1" applyFill="1" applyBorder="1" applyAlignment="1">
      <alignment horizontal="center" wrapText="1"/>
    </xf>
    <xf numFmtId="166" fontId="0" fillId="0" borderId="0" xfId="0" applyNumberFormat="1"/>
    <xf numFmtId="0" fontId="17" fillId="0" borderId="1" xfId="0" applyFont="1" applyBorder="1" applyAlignment="1">
      <alignment wrapText="1"/>
    </xf>
    <xf numFmtId="8" fontId="24" fillId="0" borderId="6" xfId="0" applyNumberFormat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7" fillId="0" borderId="6" xfId="0" applyFont="1" applyBorder="1" applyAlignment="1">
      <alignment wrapText="1"/>
    </xf>
    <xf numFmtId="9" fontId="19" fillId="7" borderId="8" xfId="2" applyFont="1" applyFill="1" applyBorder="1" applyAlignment="1">
      <alignment horizontal="center" wrapText="1"/>
    </xf>
    <xf numFmtId="9" fontId="19" fillId="7" borderId="6" xfId="2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1" fillId="2" borderId="8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0" fillId="10" borderId="0" xfId="0" applyFill="1"/>
    <xf numFmtId="0" fontId="13" fillId="10" borderId="8" xfId="0" applyFont="1" applyFill="1" applyBorder="1"/>
    <xf numFmtId="0" fontId="1" fillId="10" borderId="7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0" fillId="10" borderId="13" xfId="0" applyFont="1" applyFill="1" applyBorder="1" applyAlignment="1">
      <alignment wrapText="1"/>
    </xf>
    <xf numFmtId="0" fontId="10" fillId="10" borderId="14" xfId="0" applyFont="1" applyFill="1" applyBorder="1" applyAlignment="1">
      <alignment wrapText="1"/>
    </xf>
    <xf numFmtId="0" fontId="10" fillId="10" borderId="15" xfId="0" applyFont="1" applyFill="1" applyBorder="1" applyAlignment="1">
      <alignment wrapText="1"/>
    </xf>
    <xf numFmtId="0" fontId="10" fillId="10" borderId="7" xfId="0" applyFont="1" applyFill="1" applyBorder="1" applyAlignment="1">
      <alignment wrapText="1"/>
    </xf>
    <xf numFmtId="0" fontId="10" fillId="10" borderId="1" xfId="0" applyFont="1" applyFill="1" applyBorder="1"/>
    <xf numFmtId="0" fontId="3" fillId="10" borderId="0" xfId="0" applyFont="1" applyFill="1"/>
    <xf numFmtId="0" fontId="2" fillId="10" borderId="2" xfId="0" applyFont="1" applyFill="1" applyBorder="1" applyAlignment="1">
      <alignment vertical="top"/>
    </xf>
    <xf numFmtId="0" fontId="7" fillId="11" borderId="1" xfId="0" applyFont="1" applyFill="1" applyBorder="1" applyAlignment="1">
      <alignment wrapText="1"/>
    </xf>
    <xf numFmtId="6" fontId="18" fillId="11" borderId="1" xfId="0" applyNumberFormat="1" applyFont="1" applyFill="1" applyBorder="1" applyAlignment="1">
      <alignment wrapText="1"/>
    </xf>
    <xf numFmtId="0" fontId="19" fillId="10" borderId="0" xfId="0" applyFont="1" applyFill="1"/>
    <xf numFmtId="0" fontId="0" fillId="10" borderId="5" xfId="0" applyFill="1" applyBorder="1" applyAlignment="1">
      <alignment vertical="top"/>
    </xf>
    <xf numFmtId="0" fontId="0" fillId="10" borderId="3" xfId="0" applyFill="1" applyBorder="1" applyAlignment="1">
      <alignment vertical="top"/>
    </xf>
    <xf numFmtId="0" fontId="0" fillId="10" borderId="1" xfId="0" applyFill="1" applyBorder="1" applyAlignment="1">
      <alignment vertical="top"/>
    </xf>
    <xf numFmtId="0" fontId="19" fillId="10" borderId="1" xfId="0" applyFont="1" applyFill="1" applyBorder="1"/>
    <xf numFmtId="6" fontId="19" fillId="11" borderId="1" xfId="0" applyNumberFormat="1" applyFont="1" applyFill="1" applyBorder="1" applyAlignment="1">
      <alignment wrapText="1"/>
    </xf>
    <xf numFmtId="0" fontId="0" fillId="10" borderId="1" xfId="0" applyFill="1" applyBorder="1"/>
    <xf numFmtId="0" fontId="10" fillId="10" borderId="21" xfId="0" applyFont="1" applyFill="1" applyBorder="1" applyAlignment="1">
      <alignment wrapText="1"/>
    </xf>
    <xf numFmtId="0" fontId="10" fillId="10" borderId="11" xfId="0" applyFont="1" applyFill="1" applyBorder="1" applyAlignment="1">
      <alignment wrapText="1"/>
    </xf>
    <xf numFmtId="6" fontId="10" fillId="10" borderId="19" xfId="0" applyNumberFormat="1" applyFont="1" applyFill="1" applyBorder="1" applyAlignment="1">
      <alignment wrapText="1"/>
    </xf>
    <xf numFmtId="0" fontId="10" fillId="10" borderId="0" xfId="0" applyFont="1" applyFill="1"/>
    <xf numFmtId="6" fontId="10" fillId="10" borderId="1" xfId="0" applyNumberFormat="1" applyFont="1" applyFill="1" applyBorder="1" applyAlignment="1">
      <alignment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0E6F4"/>
      <color rgb="FFEDF1F9"/>
      <color rgb="FFED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88671875" customWidth="1"/>
    <col min="5" max="5" width="13.44140625" bestFit="1" customWidth="1"/>
    <col min="6" max="6" width="14.44140625" bestFit="1" customWidth="1"/>
    <col min="7" max="9" width="14.44140625" customWidth="1"/>
    <col min="10" max="10" width="10.886718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54"/>
      <c r="R28" s="5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A2:AM49"/>
  <sheetViews>
    <sheetView showGridLines="0" tabSelected="1" zoomScale="110" zoomScaleNormal="110" workbookViewId="0">
      <selection activeCell="L14" sqref="L14"/>
    </sheetView>
  </sheetViews>
  <sheetFormatPr defaultColWidth="9.109375" defaultRowHeight="15" customHeight="1" x14ac:dyDescent="0.3"/>
  <cols>
    <col min="1" max="1" width="3.109375" customWidth="1"/>
    <col min="2" max="2" width="12.109375" customWidth="1"/>
    <col min="3" max="3" width="29.109375" customWidth="1"/>
    <col min="4" max="4" width="12.88671875" style="6" bestFit="1" customWidth="1"/>
    <col min="5" max="5" width="12.6640625" style="2" bestFit="1" customWidth="1"/>
    <col min="6" max="6" width="12.109375" customWidth="1"/>
    <col min="7" max="7" width="12.6640625" bestFit="1" customWidth="1"/>
    <col min="8" max="8" width="12" style="2" customWidth="1"/>
    <col min="9" max="9" width="1.5546875" style="7" customWidth="1"/>
    <col min="10" max="10" width="12.6640625" bestFit="1" customWidth="1"/>
    <col min="11" max="11" width="10.109375" customWidth="1"/>
    <col min="12" max="12" width="83.33203125" customWidth="1"/>
  </cols>
  <sheetData>
    <row r="2" spans="1:39" ht="23.4" x14ac:dyDescent="0.45">
      <c r="B2" s="30" t="s">
        <v>0</v>
      </c>
    </row>
    <row r="3" spans="1:39" ht="26.4" customHeight="1" x14ac:dyDescent="0.3">
      <c r="B3" s="110" t="s">
        <v>1</v>
      </c>
      <c r="C3" s="110"/>
      <c r="D3" s="110"/>
      <c r="E3" s="110"/>
      <c r="F3" s="110"/>
      <c r="G3" s="110"/>
      <c r="H3" s="110"/>
      <c r="I3" s="110"/>
      <c r="J3" s="110"/>
    </row>
    <row r="4" spans="1:39" ht="15" customHeight="1" x14ac:dyDescent="0.3">
      <c r="B4" s="5"/>
    </row>
    <row r="5" spans="1:39" ht="18" x14ac:dyDescent="0.35">
      <c r="A5" s="114"/>
      <c r="B5" s="115" t="s">
        <v>2</v>
      </c>
      <c r="C5" s="116"/>
      <c r="D5" s="116"/>
      <c r="E5" s="116"/>
      <c r="F5" s="116"/>
      <c r="G5" s="116"/>
      <c r="H5" s="116"/>
      <c r="I5" s="116"/>
      <c r="J5" s="117"/>
    </row>
    <row r="6" spans="1:39" ht="17.100000000000001" customHeight="1" x14ac:dyDescent="0.3">
      <c r="A6" s="114"/>
      <c r="B6" s="118" t="s">
        <v>3</v>
      </c>
      <c r="C6" s="118" t="s">
        <v>4</v>
      </c>
      <c r="D6" s="118" t="s">
        <v>5</v>
      </c>
      <c r="E6" s="119" t="s">
        <v>6</v>
      </c>
      <c r="F6" s="119" t="s">
        <v>7</v>
      </c>
      <c r="G6" s="119" t="s">
        <v>8</v>
      </c>
      <c r="H6" s="120" t="s">
        <v>9</v>
      </c>
      <c r="I6" s="121"/>
      <c r="J6" s="122" t="s">
        <v>10</v>
      </c>
    </row>
    <row r="7" spans="1:39" s="5" customFormat="1" ht="14.4" x14ac:dyDescent="0.3">
      <c r="A7" s="123"/>
      <c r="B7" s="124" t="s">
        <v>11</v>
      </c>
      <c r="C7" s="125" t="s">
        <v>12</v>
      </c>
      <c r="D7" s="126">
        <f>'Measure 1 Forest Mgmt'!D11+'Measure 2 Urban Forest'!D12+'Measure 3 CoalSeam'!D11+'Measure 4 NP Source Poll''n'!D11+'Measure 5 N Fertilizer'!D11+'Measure 6 Ranchland'!D11+'Measure 7 CattleBeef'!D11</f>
        <v>862848</v>
      </c>
      <c r="E7" s="126">
        <f>'Measure 1 Forest Mgmt'!E11+'Measure 2 Urban Forest'!E12+'Measure 3 CoalSeam'!E11+'Measure 4 NP Source Poll''n'!E11+'Measure 5 N Fertilizer'!E11+'Measure 6 Ranchland'!E11+'Measure 7 CattleBeef'!E11</f>
        <v>875374.39999999991</v>
      </c>
      <c r="F7" s="126">
        <f>'Measure 1 Forest Mgmt'!F11+'Measure 2 Urban Forest'!F12+'Measure 3 CoalSeam'!F11+'Measure 4 NP Source Poll''n'!F11+'Measure 5 N Fertilizer'!F11+'Measure 6 Ranchland'!F11+'Measure 7 CattleBeef'!F11</f>
        <v>893952.24511999998</v>
      </c>
      <c r="G7" s="126">
        <f>'Measure 1 Forest Mgmt'!G11+'Measure 2 Urban Forest'!G12+'Measure 3 CoalSeam'!G11+'Measure 4 NP Source Poll''n'!G11+'Measure 5 N Fertilizer'!G11+'Measure 6 Ranchland'!G11+'Measure 7 CattleBeef'!G11</f>
        <v>913075.0540198402</v>
      </c>
      <c r="H7" s="126">
        <f>'Measure 1 Forest Mgmt'!H11+'Measure 2 Urban Forest'!H12+'Measure 3 CoalSeam'!H11+'Measure 4 NP Source Poll''n'!H11+'Measure 5 N Fertilizer'!H11+'Measure 6 Ranchland'!H11+'Measure 7 CattleBeef'!H11</f>
        <v>932759.15086976776</v>
      </c>
      <c r="I7" s="127"/>
      <c r="J7" s="126">
        <f>SUM(D7:I7)</f>
        <v>4478008.8500096081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ht="14.4" x14ac:dyDescent="0.3">
      <c r="A8" s="114"/>
      <c r="B8" s="128"/>
      <c r="C8" s="125" t="s">
        <v>13</v>
      </c>
      <c r="D8" s="126">
        <f>'Measure 1 Forest Mgmt'!D16+'Measure 2 Urban Forest'!D18+'Measure 3 CoalSeam'!D16+'Measure 4 NP Source Poll''n'!D16+'Measure 5 N Fertilizer'!D16+'Measure 6 Ranchland'!D16+'Measure 7 CattleBeef'!D16</f>
        <v>330501.2</v>
      </c>
      <c r="E8" s="126">
        <f>'Measure 1 Forest Mgmt'!E16+'Measure 2 Urban Forest'!E18+'Measure 3 CoalSeam'!E16+'Measure 4 NP Source Poll''n'!E16+'Measure 5 N Fertilizer'!E16+'Measure 6 Ranchland'!E16+'Measure 7 CattleBeef'!E16</f>
        <v>335682.16</v>
      </c>
      <c r="F8" s="126">
        <f>'Measure 1 Forest Mgmt'!F16+'Measure 2 Urban Forest'!F18+'Measure 3 CoalSeam'!F16+'Measure 4 NP Source Poll''n'!F16+'Measure 5 N Fertilizer'!F16+'Measure 6 Ranchland'!F16+'Measure 7 CattleBeef'!F16</f>
        <v>342679.56004800007</v>
      </c>
      <c r="G8" s="126">
        <f>'Measure 1 Forest Mgmt'!G16+'Measure 2 Urban Forest'!G18+'Measure 3 CoalSeam'!G16+'Measure 4 NP Source Poll''n'!G16+'Measure 5 N Fertilizer'!G16+'Measure 6 Ranchland'!G16+'Measure 7 CattleBeef'!G16</f>
        <v>349881.54346793599</v>
      </c>
      <c r="H8" s="126">
        <f>'Measure 1 Forest Mgmt'!H16+'Measure 2 Urban Forest'!H18+'Measure 3 CoalSeam'!H16+'Measure 4 NP Source Poll''n'!H16+'Measure 5 N Fertilizer'!H16+'Measure 6 Ranchland'!H16+'Measure 7 CattleBeef'!H16</f>
        <v>357294.3378637071</v>
      </c>
      <c r="I8" s="127"/>
      <c r="J8" s="126">
        <f t="shared" ref="J8:J14" si="0">SUM(D8:I8)</f>
        <v>1716038.8013796429</v>
      </c>
    </row>
    <row r="9" spans="1:39" ht="14.4" x14ac:dyDescent="0.3">
      <c r="A9" s="114"/>
      <c r="B9" s="128"/>
      <c r="C9" s="125" t="s">
        <v>14</v>
      </c>
      <c r="D9" s="126">
        <f>'Measure 1 Forest Mgmt'!D27+'Measure 2 Urban Forest'!D24+'Measure 3 CoalSeam'!D27+'Measure 4 NP Source Poll''n'!D27+'Measure 5 N Fertilizer'!D27+'Measure 6 Ranchland'!D27+'Measure 7 CattleBeef'!D27</f>
        <v>139658</v>
      </c>
      <c r="E9" s="126">
        <f>'Measure 1 Forest Mgmt'!E27+'Measure 2 Urban Forest'!E24+'Measure 3 CoalSeam'!E27+'Measure 4 NP Source Poll''n'!E27+'Measure 5 N Fertilizer'!E27+'Measure 6 Ranchland'!E27+'Measure 7 CattleBeef'!E27</f>
        <v>139658</v>
      </c>
      <c r="F9" s="126">
        <f>'Measure 1 Forest Mgmt'!F27+'Measure 2 Urban Forest'!F24+'Measure 3 CoalSeam'!F27+'Measure 4 NP Source Poll''n'!F27+'Measure 5 N Fertilizer'!F27+'Measure 6 Ranchland'!F27+'Measure 7 CattleBeef'!F27</f>
        <v>139658</v>
      </c>
      <c r="G9" s="126">
        <f>'Measure 1 Forest Mgmt'!G27+'Measure 2 Urban Forest'!G24+'Measure 3 CoalSeam'!G27+'Measure 4 NP Source Poll''n'!G27+'Measure 5 N Fertilizer'!G27+'Measure 6 Ranchland'!G27+'Measure 7 CattleBeef'!G27</f>
        <v>139658</v>
      </c>
      <c r="H9" s="126">
        <f>'Measure 1 Forest Mgmt'!H27+'Measure 2 Urban Forest'!H24+'Measure 3 CoalSeam'!H27+'Measure 4 NP Source Poll''n'!H27+'Measure 5 N Fertilizer'!H27+'Measure 6 Ranchland'!H27+'Measure 7 CattleBeef'!H27</f>
        <v>139658</v>
      </c>
      <c r="I9" s="127"/>
      <c r="J9" s="126">
        <f t="shared" si="0"/>
        <v>698290</v>
      </c>
    </row>
    <row r="10" spans="1:39" ht="14.4" x14ac:dyDescent="0.3">
      <c r="A10" s="114"/>
      <c r="B10" s="128"/>
      <c r="C10" s="125" t="s">
        <v>15</v>
      </c>
      <c r="D10" s="126">
        <f>'Measure 1 Forest Mgmt'!D31+'Measure 2 Urban Forest'!D27+'Measure 3 CoalSeam'!D31+'Measure 4 NP Source Poll''n'!D31+'Measure 5 N Fertilizer'!D31+'Measure 6 Ranchland'!D31+'Measure 7 CattleBeef'!D31</f>
        <v>0</v>
      </c>
      <c r="E10" s="126">
        <f>'Measure 1 Forest Mgmt'!E31+'Measure 2 Urban Forest'!E27+'Measure 3 CoalSeam'!E31+'Measure 4 NP Source Poll''n'!E31+'Measure 5 N Fertilizer'!E31+'Measure 6 Ranchland'!E31+'Measure 7 CattleBeef'!E31</f>
        <v>0</v>
      </c>
      <c r="F10" s="126">
        <f>'Measure 1 Forest Mgmt'!F31+'Measure 2 Urban Forest'!F27+'Measure 3 CoalSeam'!F31+'Measure 4 NP Source Poll''n'!F31+'Measure 5 N Fertilizer'!F31+'Measure 6 Ranchland'!F31+'Measure 7 CattleBeef'!F31</f>
        <v>0</v>
      </c>
      <c r="G10" s="126">
        <f>'Measure 1 Forest Mgmt'!G31+'Measure 2 Urban Forest'!G27+'Measure 3 CoalSeam'!G31+'Measure 4 NP Source Poll''n'!G31+'Measure 5 N Fertilizer'!G31+'Measure 6 Ranchland'!G31+'Measure 7 CattleBeef'!G31</f>
        <v>0</v>
      </c>
      <c r="H10" s="126">
        <f>'Measure 1 Forest Mgmt'!H31+'Measure 2 Urban Forest'!H27+'Measure 3 CoalSeam'!H31+'Measure 4 NP Source Poll''n'!H31+'Measure 5 N Fertilizer'!H31+'Measure 6 Ranchland'!H31+'Measure 7 CattleBeef'!H31</f>
        <v>0</v>
      </c>
      <c r="I10" s="127"/>
      <c r="J10" s="126">
        <f t="shared" si="0"/>
        <v>0</v>
      </c>
    </row>
    <row r="11" spans="1:39" ht="14.4" x14ac:dyDescent="0.3">
      <c r="A11" s="114"/>
      <c r="B11" s="128"/>
      <c r="C11" s="125" t="s">
        <v>16</v>
      </c>
      <c r="D11" s="126">
        <f>'Measure 1 Forest Mgmt'!D35+'Measure 2 Urban Forest'!D34+'Measure 3 CoalSeam'!D35+'Measure 4 NP Source Poll''n'!D35+'Measure 5 N Fertilizer'!D35+'Measure 6 Ranchland'!D35+'Measure 7 CattleBeef'!D35</f>
        <v>379700</v>
      </c>
      <c r="E11" s="126">
        <f>'Measure 1 Forest Mgmt'!E35+'Measure 2 Urban Forest'!E34+'Measure 3 CoalSeam'!E35+'Measure 4 NP Source Poll''n'!E35+'Measure 5 N Fertilizer'!E35+'Measure 6 Ranchland'!E35+'Measure 7 CattleBeef'!E35</f>
        <v>362427</v>
      </c>
      <c r="F11" s="126">
        <f>'Measure 1 Forest Mgmt'!F35+'Measure 2 Urban Forest'!F34+'Measure 3 CoalSeam'!F35+'Measure 4 NP Source Poll''n'!F35+'Measure 5 N Fertilizer'!F35+'Measure 6 Ranchland'!F35+'Measure 7 CattleBeef'!F35</f>
        <v>362426</v>
      </c>
      <c r="G11" s="126">
        <f>'Measure 1 Forest Mgmt'!G35+'Measure 2 Urban Forest'!G34+'Measure 3 CoalSeam'!G35+'Measure 4 NP Source Poll''n'!G35+'Measure 5 N Fertilizer'!G35+'Measure 6 Ranchland'!G35+'Measure 7 CattleBeef'!G35</f>
        <v>362426</v>
      </c>
      <c r="H11" s="126">
        <f>'Measure 1 Forest Mgmt'!H35+'Measure 2 Urban Forest'!H34+'Measure 3 CoalSeam'!H35+'Measure 4 NP Source Poll''n'!H35+'Measure 5 N Fertilizer'!H35+'Measure 6 Ranchland'!H35+'Measure 7 CattleBeef'!H35</f>
        <v>362426</v>
      </c>
      <c r="I11" s="127"/>
      <c r="J11" s="126">
        <f t="shared" si="0"/>
        <v>1829405</v>
      </c>
    </row>
    <row r="12" spans="1:39" ht="14.4" x14ac:dyDescent="0.3">
      <c r="A12" s="114"/>
      <c r="B12" s="128"/>
      <c r="C12" s="125" t="s">
        <v>17</v>
      </c>
      <c r="D12" s="126">
        <f>'Measure 1 Forest Mgmt'!D41+'Measure 2 Urban Forest'!D39+'Measure 3 CoalSeam'!D42+'Measure 4 NP Source Poll''n'!D41+'Measure 5 N Fertilizer'!D41+'Measure 6 Ranchland'!D41+'Measure 7 CattleBeef'!D41</f>
        <v>3039909</v>
      </c>
      <c r="E12" s="126">
        <f>'Measure 1 Forest Mgmt'!E41+'Measure 2 Urban Forest'!E39+'Measure 3 CoalSeam'!E42+'Measure 4 NP Source Poll''n'!E41+'Measure 5 N Fertilizer'!E41+'Measure 6 Ranchland'!E41+'Measure 7 CattleBeef'!E41</f>
        <v>2439909</v>
      </c>
      <c r="F12" s="126">
        <f>'Measure 1 Forest Mgmt'!F41+'Measure 2 Urban Forest'!F39+'Measure 3 CoalSeam'!F42+'Measure 4 NP Source Poll''n'!F41+'Measure 5 N Fertilizer'!F41+'Measure 6 Ranchland'!F41+'Measure 7 CattleBeef'!F41</f>
        <v>2289909</v>
      </c>
      <c r="G12" s="126">
        <f>'Measure 1 Forest Mgmt'!G41+'Measure 2 Urban Forest'!G39+'Measure 3 CoalSeam'!G42+'Measure 4 NP Source Poll''n'!G41+'Measure 5 N Fertilizer'!G41+'Measure 6 Ranchland'!G41+'Measure 7 CattleBeef'!G41</f>
        <v>2289909</v>
      </c>
      <c r="H12" s="126">
        <f>'Measure 1 Forest Mgmt'!H41+'Measure 2 Urban Forest'!H39+'Measure 3 CoalSeam'!H42+'Measure 4 NP Source Poll''n'!H41+'Measure 5 N Fertilizer'!H41+'Measure 6 Ranchland'!H41+'Measure 7 CattleBeef'!H41</f>
        <v>2289907</v>
      </c>
      <c r="I12" s="127"/>
      <c r="J12" s="126">
        <f t="shared" si="0"/>
        <v>12349543</v>
      </c>
    </row>
    <row r="13" spans="1:39" ht="17.25" customHeight="1" x14ac:dyDescent="0.3">
      <c r="A13" s="114"/>
      <c r="B13" s="128"/>
      <c r="C13" s="125" t="s">
        <v>18</v>
      </c>
      <c r="D13" s="126">
        <f>'Measure 1 Forest Mgmt'!D46+'Measure 2 Urban Forest'!D42+'Measure 3 CoalSeam'!D50+'Measure 4 NP Source Poll''n'!D49+'Measure 5 N Fertilizer'!D49+'Measure 6 Ranchland'!D49+'Measure 7 CattleBeef'!D49</f>
        <v>3330000</v>
      </c>
      <c r="E13" s="126">
        <f>'Measure 1 Forest Mgmt'!E46+'Measure 2 Urban Forest'!E42+'Measure 3 CoalSeam'!E50+'Measure 4 NP Source Poll''n'!E49+'Measure 5 N Fertilizer'!E49+'Measure 6 Ranchland'!E49+'Measure 7 CattleBeef'!E49</f>
        <v>9330000</v>
      </c>
      <c r="F13" s="126">
        <f>'Measure 1 Forest Mgmt'!F46+'Measure 2 Urban Forest'!F42+'Measure 3 CoalSeam'!F50+'Measure 4 NP Source Poll''n'!JF49+'Measure 5 N Fertilizer'!F49+'Measure 6 Ranchland'!F49+'Measure 7 CattleBeef'!F49</f>
        <v>4830000</v>
      </c>
      <c r="G13" s="126">
        <f>'Measure 1 Forest Mgmt'!G46+'Measure 2 Urban Forest'!G42+'Measure 3 CoalSeam'!G50+'Measure 4 NP Source Poll''n'!G49+'Measure 5 N Fertilizer'!G49+'Measure 6 Ranchland'!G49+'Measure 7 CattleBeef'!G49</f>
        <v>6830000</v>
      </c>
      <c r="H13" s="126">
        <f>'Measure 1 Forest Mgmt'!H46+'Measure 2 Urban Forest'!H42+'Measure 3 CoalSeam'!H50+'Measure 4 NP Source Poll''n'!H49+'Measure 5 N Fertilizer'!H49+'Measure 6 Ranchland'!H49+'Measure 7 CattleBeef'!H49</f>
        <v>2330000</v>
      </c>
      <c r="I13" s="127"/>
      <c r="J13" s="126">
        <f t="shared" si="0"/>
        <v>26650000</v>
      </c>
      <c r="L13" s="65"/>
    </row>
    <row r="14" spans="1:39" ht="14.4" x14ac:dyDescent="0.3">
      <c r="A14" s="114"/>
      <c r="B14" s="129"/>
      <c r="C14" s="125" t="s">
        <v>19</v>
      </c>
      <c r="D14" s="126">
        <f>D13+D12+D11+D10+D9+D8+D7</f>
        <v>8082616.2000000002</v>
      </c>
      <c r="E14" s="126">
        <f>E13+E12+E11+E10+E9+E8+E7</f>
        <v>13483050.560000001</v>
      </c>
      <c r="F14" s="126">
        <f>F13+F12+F11+F10+F9+F8+F7</f>
        <v>8858624.8051679991</v>
      </c>
      <c r="G14" s="126">
        <f>G13+G12+G11+G10+G9+G8+G7</f>
        <v>10884949.597487776</v>
      </c>
      <c r="H14" s="126">
        <f>H13+H12+H11+H10+H9+H8+H7</f>
        <v>6412044.4887334751</v>
      </c>
      <c r="I14" s="127"/>
      <c r="J14" s="126">
        <f t="shared" si="0"/>
        <v>47721285.651389256</v>
      </c>
    </row>
    <row r="15" spans="1:39" ht="9" customHeight="1" x14ac:dyDescent="0.3">
      <c r="A15" s="114"/>
      <c r="B15" s="130"/>
      <c r="C15" s="114"/>
      <c r="D15" s="127"/>
      <c r="E15" s="127"/>
      <c r="F15" s="127"/>
      <c r="G15" s="127"/>
      <c r="H15" s="127"/>
      <c r="I15" s="127"/>
      <c r="J15" s="131" t="s">
        <v>20</v>
      </c>
    </row>
    <row r="16" spans="1:39" ht="20.100000000000001" customHeight="1" x14ac:dyDescent="0.3">
      <c r="A16" s="114"/>
      <c r="B16" s="130"/>
      <c r="C16" s="125" t="s">
        <v>21</v>
      </c>
      <c r="D16" s="132">
        <f>'Measure 1 Forest Mgmt'!D52+'Measure 2 Urban Forest'!D47+'Measure 3 CoalSeam'!D56+'Measure 4 NP Source Poll''n'!D55+'Measure 5 N Fertilizer'!D55+'Measure 6 Ranchland'!D55+'Measure 7 CattleBeef'!D55</f>
        <v>451908.32699999993</v>
      </c>
      <c r="E16" s="132">
        <f>'Measure 1 Forest Mgmt'!E52+'Measure 2 Urban Forest'!E47+'Measure 3 CoalSeam'!E56+'Measure 4 NP Source Poll''n'!E55+'Measure 5 N Fertilizer'!E55+'Measure 6 Ranchland'!E55+'Measure 7 CattleBeef'!E55</f>
        <v>401877.83461600007</v>
      </c>
      <c r="F16" s="132">
        <f>'Measure 1 Forest Mgmt'!F52+'Measure 2 Urban Forest'!F47+'Measure 3 CoalSeam'!F56+'Measure 4 NP Source Poll''n'!F55+'Measure 5 N Fertilizer'!F55+'Measure 6 Ranchland'!F55+'Measure 7 CattleBeef'!F55</f>
        <v>393343.61107104801</v>
      </c>
      <c r="G16" s="132">
        <f>'Measure 1 Forest Mgmt'!G52+'Measure 2 Urban Forest'!G47+'Measure 3 CoalSeam'!G56+'Measure 4 NP Source Poll''n'!G55+'Measure 5 N Fertilizer'!G55+'Measure 6 Ranchland'!G55+'Measure 7 CattleBeef'!G55</f>
        <v>398224.96102075855</v>
      </c>
      <c r="H16" s="132">
        <f>'Measure 1 Forest Mgmt'!H52+'Measure 2 Urban Forest'!H47+'Measure 3 CoalSeam'!H56+'Measure 4 NP Source Poll''n'!H55+'Measure 5 N Fertilizer'!H55+'Measure 6 Ranchland'!H55+'Measure 7 CattleBeef'!H55</f>
        <v>403250.95159429556</v>
      </c>
      <c r="I16" s="127"/>
      <c r="J16" s="132">
        <f>SUM(D16:I16)</f>
        <v>2048605.685302102</v>
      </c>
    </row>
    <row r="17" spans="1:10" thickBot="1" x14ac:dyDescent="0.35">
      <c r="A17" s="114"/>
      <c r="B17" s="130"/>
      <c r="C17" s="114"/>
      <c r="D17" s="114"/>
      <c r="E17" s="114"/>
      <c r="F17" s="114"/>
      <c r="G17" s="114"/>
      <c r="H17" s="114"/>
      <c r="I17" s="114"/>
      <c r="J17" s="133" t="s">
        <v>20</v>
      </c>
    </row>
    <row r="18" spans="1:10" ht="30.9" customHeight="1" thickBot="1" x14ac:dyDescent="0.35">
      <c r="A18" s="114"/>
      <c r="B18" s="134" t="s">
        <v>22</v>
      </c>
      <c r="C18" s="135"/>
      <c r="D18" s="136">
        <f>D14+D16</f>
        <v>8534524.5270000007</v>
      </c>
      <c r="E18" s="136">
        <f>E14+E16</f>
        <v>13884928.394616</v>
      </c>
      <c r="F18" s="136">
        <f>F14+F16</f>
        <v>9251968.4162390474</v>
      </c>
      <c r="G18" s="136">
        <f>G14+G16</f>
        <v>11283174.558508534</v>
      </c>
      <c r="H18" s="136">
        <f>H14+H16</f>
        <v>6815295.440327771</v>
      </c>
      <c r="I18" s="137"/>
      <c r="J18" s="138">
        <f>J14+J16</f>
        <v>49769891.336691357</v>
      </c>
    </row>
    <row r="19" spans="1:10" s="1" customFormat="1" ht="14.4" x14ac:dyDescent="0.3">
      <c r="B19" s="6" t="s">
        <v>23</v>
      </c>
      <c r="C19"/>
      <c r="D19" s="6"/>
      <c r="E19" s="2"/>
      <c r="F19"/>
      <c r="G19"/>
      <c r="H19" s="2"/>
      <c r="I19" s="7"/>
      <c r="J19"/>
    </row>
    <row r="21" spans="1:10" ht="15" customHeight="1" x14ac:dyDescent="0.35">
      <c r="B21" s="45" t="s">
        <v>24</v>
      </c>
      <c r="C21" s="46"/>
      <c r="D21" s="46"/>
      <c r="E21" s="111"/>
      <c r="F21" s="112"/>
      <c r="H21"/>
      <c r="I21"/>
    </row>
    <row r="22" spans="1:10" ht="29.1" customHeight="1" x14ac:dyDescent="0.3">
      <c r="B22" s="47" t="s">
        <v>25</v>
      </c>
      <c r="C22" s="47" t="s">
        <v>26</v>
      </c>
      <c r="D22" s="52" t="s">
        <v>27</v>
      </c>
      <c r="E22" s="113" t="s">
        <v>28</v>
      </c>
      <c r="F22" s="113"/>
      <c r="H22"/>
      <c r="I22"/>
    </row>
    <row r="23" spans="1:10" ht="15" customHeight="1" x14ac:dyDescent="0.3">
      <c r="B23" s="102">
        <v>1</v>
      </c>
      <c r="C23" s="99" t="s">
        <v>29</v>
      </c>
      <c r="D23" s="100">
        <f>'Measure 1 Forest Mgmt'!J54</f>
        <v>8215955.4977712315</v>
      </c>
      <c r="E23" s="108">
        <f>D23/D$30</f>
        <v>0.16507883133982787</v>
      </c>
      <c r="F23" s="109"/>
      <c r="H23"/>
      <c r="I23"/>
    </row>
    <row r="24" spans="1:10" ht="14.4" x14ac:dyDescent="0.3">
      <c r="B24" s="102">
        <v>2</v>
      </c>
      <c r="C24" s="101" t="s">
        <v>30</v>
      </c>
      <c r="D24" s="100">
        <f>'Measure 2 Urban Forest'!J49</f>
        <v>9737192.5280580651</v>
      </c>
      <c r="E24" s="108">
        <f t="shared" ref="E24:E29" si="1">D24/D$30</f>
        <v>0.19564423924871249</v>
      </c>
      <c r="F24" s="109"/>
      <c r="H24"/>
      <c r="I24"/>
    </row>
    <row r="25" spans="1:10" ht="14.4" x14ac:dyDescent="0.3">
      <c r="B25" s="102">
        <v>3</v>
      </c>
      <c r="C25" s="101" t="s">
        <v>31</v>
      </c>
      <c r="D25" s="100">
        <f>'Measure 3 CoalSeam'!J58</f>
        <v>9816743.9899638351</v>
      </c>
      <c r="E25" s="108">
        <f t="shared" si="1"/>
        <v>0.1972426245328516</v>
      </c>
      <c r="F25" s="109"/>
      <c r="H25"/>
      <c r="I25"/>
    </row>
    <row r="26" spans="1:10" ht="14.4" x14ac:dyDescent="0.3">
      <c r="B26" s="102">
        <v>4</v>
      </c>
      <c r="C26" s="65" t="s">
        <v>32</v>
      </c>
      <c r="D26" s="100">
        <f>'Measure 4 NP Source Poll''n'!J57</f>
        <v>1000000</v>
      </c>
      <c r="E26" s="108">
        <f t="shared" si="1"/>
        <v>2.0092469023792709E-2</v>
      </c>
      <c r="F26" s="109"/>
      <c r="H26"/>
      <c r="I26"/>
    </row>
    <row r="27" spans="1:10" ht="14.4" x14ac:dyDescent="0.3">
      <c r="B27" s="102">
        <v>5</v>
      </c>
      <c r="C27" s="101" t="s">
        <v>33</v>
      </c>
      <c r="D27" s="100">
        <f>'Measure 5 N Fertilizer'!J57</f>
        <v>999999.70766151347</v>
      </c>
      <c r="E27" s="108">
        <f t="shared" si="1"/>
        <v>2.0092463149990723E-2</v>
      </c>
      <c r="F27" s="109"/>
      <c r="H27"/>
      <c r="I27"/>
    </row>
    <row r="28" spans="1:10" ht="14.4" customHeight="1" x14ac:dyDescent="0.3">
      <c r="B28" s="102">
        <v>6</v>
      </c>
      <c r="C28" s="101" t="s">
        <v>34</v>
      </c>
      <c r="D28" s="100">
        <f>'Measure 6 Ranchland'!J57</f>
        <v>9999999.7076615132</v>
      </c>
      <c r="E28" s="108">
        <f t="shared" si="1"/>
        <v>0.20092468436412508</v>
      </c>
      <c r="F28" s="109"/>
      <c r="H28"/>
      <c r="I28"/>
    </row>
    <row r="29" spans="1:10" ht="14.4" x14ac:dyDescent="0.3">
      <c r="B29" s="102">
        <v>7</v>
      </c>
      <c r="C29" s="101" t="s">
        <v>35</v>
      </c>
      <c r="D29" s="100">
        <f>'Measure 7 CattleBeef'!J57</f>
        <v>9999999.9055751935</v>
      </c>
      <c r="E29" s="108">
        <f t="shared" si="1"/>
        <v>0.20092468834069957</v>
      </c>
      <c r="F29" s="109"/>
      <c r="H29"/>
      <c r="I29"/>
    </row>
    <row r="30" spans="1:10" ht="15" customHeight="1" x14ac:dyDescent="0.3">
      <c r="B30" s="69" t="s">
        <v>36</v>
      </c>
      <c r="C30" s="91"/>
      <c r="D30" s="92">
        <f>SUM(D23:D29)</f>
        <v>49769891.33669135</v>
      </c>
      <c r="E30" s="93"/>
      <c r="F30" s="93"/>
      <c r="H30"/>
      <c r="I30"/>
    </row>
    <row r="31" spans="1:10" ht="15" customHeight="1" x14ac:dyDescent="0.3">
      <c r="H31"/>
      <c r="I31"/>
    </row>
    <row r="36" spans="2:10" ht="15" customHeight="1" x14ac:dyDescent="0.35">
      <c r="B36" s="45" t="s">
        <v>37</v>
      </c>
      <c r="C36" s="46"/>
      <c r="D36" s="46"/>
      <c r="E36" s="46"/>
      <c r="F36" s="46"/>
      <c r="G36" s="46"/>
      <c r="H36" s="46"/>
      <c r="I36" s="97"/>
      <c r="J36" s="59"/>
    </row>
    <row r="37" spans="2:10" ht="15" customHeight="1" x14ac:dyDescent="0.3">
      <c r="B37" s="47" t="s">
        <v>3</v>
      </c>
      <c r="C37" s="47" t="s">
        <v>4</v>
      </c>
      <c r="D37" s="47" t="s">
        <v>5</v>
      </c>
      <c r="E37" s="48" t="s">
        <v>6</v>
      </c>
      <c r="F37" s="48" t="s">
        <v>7</v>
      </c>
      <c r="G37" s="48" t="s">
        <v>8</v>
      </c>
      <c r="H37" s="49" t="s">
        <v>9</v>
      </c>
      <c r="I37" s="98"/>
      <c r="J37" s="60" t="s">
        <v>10</v>
      </c>
    </row>
    <row r="38" spans="2:10" ht="15" customHeight="1" x14ac:dyDescent="0.3">
      <c r="B38" s="22" t="s">
        <v>11</v>
      </c>
      <c r="C38" s="50" t="s">
        <v>12</v>
      </c>
      <c r="D38" s="64">
        <f>'Measure 1 Forest Mgmt'!D11+'Measure 2 Urban Forest'!D12+'Measure 3 CoalSeam'!D11</f>
        <v>581928</v>
      </c>
      <c r="E38" s="64">
        <f>'Measure 1 Forest Mgmt'!E11+'Measure 2 Urban Forest'!E12+'Measure 3 CoalSeam'!E11</f>
        <v>586026.80000000005</v>
      </c>
      <c r="F38" s="64">
        <f>'Measure 1 Forest Mgmt'!F11+'Measure 2 Urban Forest'!F12+'Measure 3 CoalSeam'!F11</f>
        <v>595924.21712000004</v>
      </c>
      <c r="G38" s="64">
        <f>'Measure 1 Forest Mgmt'!G11+'Measure 2 Urban Forest'!G12+'Measure 3 CoalSeam'!G11</f>
        <v>606106.18517984007</v>
      </c>
      <c r="H38" s="64">
        <f>'Measure 1 Forest Mgmt'!H11+'Measure 2 Urban Forest'!H12+'Measure 3 CoalSeam'!H11</f>
        <v>616581.21596456773</v>
      </c>
      <c r="I38" s="94"/>
      <c r="J38" s="64">
        <f>SUM(D38:I38)</f>
        <v>2986566.4182644077</v>
      </c>
    </row>
    <row r="39" spans="2:10" ht="15" customHeight="1" x14ac:dyDescent="0.3">
      <c r="B39" s="23"/>
      <c r="C39" s="50" t="s">
        <v>13</v>
      </c>
      <c r="D39" s="64">
        <f>'Measure 1 Forest Mgmt'!D16+'Measure 2 Urban Forest'!D18+'Measure 3 CoalSeam'!D16</f>
        <v>232179.20000000001</v>
      </c>
      <c r="E39" s="64">
        <f>'Measure 1 Forest Mgmt'!E16+'Measure 2 Urban Forest'!E18+'Measure 3 CoalSeam'!E16</f>
        <v>234410.72000000003</v>
      </c>
      <c r="F39" s="64">
        <f>'Measure 1 Forest Mgmt'!F16+'Measure 2 Urban Forest'!F18+'Measure 3 CoalSeam'!F16</f>
        <v>238369.68684800004</v>
      </c>
      <c r="G39" s="64">
        <f>'Measure 1 Forest Mgmt'!G16+'Measure 2 Urban Forest'!G18+'Measure 3 CoalSeam'!G16</f>
        <v>242442.47407193598</v>
      </c>
      <c r="H39" s="64">
        <f>'Measure 1 Forest Mgmt'!H16+'Measure 2 Urban Forest'!H18+'Measure 3 CoalSeam'!H16</f>
        <v>246632.48638582707</v>
      </c>
      <c r="I39" s="94"/>
      <c r="J39" s="64">
        <f t="shared" ref="J39:J45" si="2">SUM(D39:I39)</f>
        <v>1194034.5673057633</v>
      </c>
    </row>
    <row r="40" spans="2:10" ht="15" customHeight="1" x14ac:dyDescent="0.3">
      <c r="B40" s="23"/>
      <c r="C40" s="50" t="s">
        <v>14</v>
      </c>
      <c r="D40" s="64">
        <f>'Measure 1 Forest Mgmt'!D27+'Measure 2 Urban Forest'!D24+'Measure 3 CoalSeam'!D27</f>
        <v>97955</v>
      </c>
      <c r="E40" s="64">
        <f>'Measure 1 Forest Mgmt'!E27+'Measure 2 Urban Forest'!E24+'Measure 3 CoalSeam'!E27</f>
        <v>97955</v>
      </c>
      <c r="F40" s="64">
        <f>'Measure 1 Forest Mgmt'!F27+'Measure 2 Urban Forest'!F24+'Measure 3 CoalSeam'!F27</f>
        <v>97955</v>
      </c>
      <c r="G40" s="64">
        <f>'Measure 1 Forest Mgmt'!G27+'Measure 2 Urban Forest'!G24+'Measure 3 CoalSeam'!G27</f>
        <v>97955</v>
      </c>
      <c r="H40" s="64">
        <f>'Measure 1 Forest Mgmt'!H27+'Measure 2 Urban Forest'!H24+'Measure 3 CoalSeam'!H27</f>
        <v>97955</v>
      </c>
      <c r="I40" s="94"/>
      <c r="J40" s="64">
        <f t="shared" si="2"/>
        <v>489775</v>
      </c>
    </row>
    <row r="41" spans="2:10" ht="15" customHeight="1" x14ac:dyDescent="0.3">
      <c r="B41" s="23"/>
      <c r="C41" s="50" t="s">
        <v>15</v>
      </c>
      <c r="D41" s="64">
        <f>'Measure 1 Forest Mgmt'!D31+'Measure 2 Urban Forest'!D27+'Measure 3 CoalSeam'!D31</f>
        <v>0</v>
      </c>
      <c r="E41" s="64">
        <f>'Measure 1 Forest Mgmt'!E31+'Measure 2 Urban Forest'!E27+'Measure 3 CoalSeam'!E31</f>
        <v>0</v>
      </c>
      <c r="F41" s="64">
        <f>'Measure 1 Forest Mgmt'!F31+'Measure 2 Urban Forest'!F27+'Measure 3 CoalSeam'!F31</f>
        <v>0</v>
      </c>
      <c r="G41" s="64">
        <f>'Measure 1 Forest Mgmt'!G31+'Measure 2 Urban Forest'!G27+'Measure 3 CoalSeam'!G31</f>
        <v>0</v>
      </c>
      <c r="H41" s="64">
        <f>'Measure 1 Forest Mgmt'!H31+'Measure 2 Urban Forest'!H27+'Measure 3 CoalSeam'!H31</f>
        <v>0</v>
      </c>
      <c r="I41" s="94"/>
      <c r="J41" s="64">
        <f t="shared" si="2"/>
        <v>0</v>
      </c>
    </row>
    <row r="42" spans="2:10" ht="15" customHeight="1" x14ac:dyDescent="0.3">
      <c r="B42" s="23"/>
      <c r="C42" s="50" t="s">
        <v>16</v>
      </c>
      <c r="D42" s="64">
        <f>'Measure 1 Forest Mgmt'!D35+'Measure 2 Urban Forest'!D34+'Measure 3 CoalSeam'!D35</f>
        <v>369200</v>
      </c>
      <c r="E42" s="64">
        <f>'Measure 1 Forest Mgmt'!E35+'Measure 2 Urban Forest'!E34+'Measure 3 CoalSeam'!E35</f>
        <v>359000</v>
      </c>
      <c r="F42" s="64">
        <f>'Measure 1 Forest Mgmt'!F35+'Measure 2 Urban Forest'!F34+'Measure 3 CoalSeam'!F35</f>
        <v>359000</v>
      </c>
      <c r="G42" s="64">
        <f>'Measure 1 Forest Mgmt'!G35+'Measure 2 Urban Forest'!G34+'Measure 3 CoalSeam'!G35</f>
        <v>359000</v>
      </c>
      <c r="H42" s="64">
        <f>'Measure 1 Forest Mgmt'!H35+'Measure 2 Urban Forest'!H34+'Measure 3 CoalSeam'!H35</f>
        <v>359000</v>
      </c>
      <c r="I42" s="94"/>
      <c r="J42" s="64">
        <f t="shared" si="2"/>
        <v>1805200</v>
      </c>
    </row>
    <row r="43" spans="2:10" ht="15" customHeight="1" x14ac:dyDescent="0.3">
      <c r="B43" s="23"/>
      <c r="C43" s="50" t="s">
        <v>17</v>
      </c>
      <c r="D43" s="64">
        <f>'Measure 1 Forest Mgmt'!D41+'Measure 2 Urban Forest'!D39+'Measure 3 CoalSeam'!D42</f>
        <v>2539909</v>
      </c>
      <c r="E43" s="64">
        <f>'Measure 1 Forest Mgmt'!E41+'Measure 2 Urban Forest'!E39+'Measure 3 CoalSeam'!E42</f>
        <v>1939909</v>
      </c>
      <c r="F43" s="64">
        <f>'Measure 1 Forest Mgmt'!F41+'Measure 2 Urban Forest'!F39+'Measure 3 CoalSeam'!F42</f>
        <v>1789909</v>
      </c>
      <c r="G43" s="64">
        <f>'Measure 1 Forest Mgmt'!G41+'Measure 2 Urban Forest'!G39+'Measure 3 CoalSeam'!G42</f>
        <v>1789909</v>
      </c>
      <c r="H43" s="64">
        <f>'Measure 1 Forest Mgmt'!H41+'Measure 2 Urban Forest'!H39+'Measure 3 CoalSeam'!H42</f>
        <v>1789907</v>
      </c>
      <c r="I43" s="94"/>
      <c r="J43" s="64">
        <f t="shared" si="2"/>
        <v>9849543</v>
      </c>
    </row>
    <row r="44" spans="2:10" ht="15" customHeight="1" x14ac:dyDescent="0.3">
      <c r="B44" s="23"/>
      <c r="C44" s="50" t="s">
        <v>18</v>
      </c>
      <c r="D44" s="64">
        <f>'Measure 1 Forest Mgmt'!D46+'Measure 2 Urban Forest'!D42+'Measure 3 CoalSeam'!D50+'Measure 4 NP Source Poll''n'!D57+'Measure 5 N Fertilizer'!D57+'Measure 6 Ranchland'!D57+'Measure 7 CattleBeef'!D57</f>
        <v>4375179.6758000003</v>
      </c>
      <c r="E44" s="64">
        <f>'Measure 1 Forest Mgmt'!E46+'Measure 2 Urban Forest'!E42+'Measure 3 CoalSeam'!E50+'Measure 4 NP Source Poll''n'!E57+'Measure 5 N Fertilizer'!E57+'Measure 6 Ranchland'!E57+'Measure 7 CattleBeef'!E57</f>
        <v>10382895.690096</v>
      </c>
      <c r="F44" s="64">
        <f>'Measure 1 Forest Mgmt'!F46+'Measure 2 Urban Forest'!F42+'Measure 3 CoalSeam'!F50+'Measure 4 NP Source Poll''n'!F57+'Measure 5 N Fertilizer'!F57+'Measure 6 Ranchland'!F57+'Measure 7 CattleBeef'!F57</f>
        <v>5898128.0377698801</v>
      </c>
      <c r="G44" s="64">
        <f>'Measure 1 Forest Mgmt'!G46+'Measure 2 Urban Forest'!G42+'Measure 3 CoalSeam'!G50+'Measure 4 NP Source Poll''n'!G57+'Measure 5 N Fertilizer'!G57+'Measure 6 Ranchland'!G57+'Measure 7 CattleBeef'!G57</f>
        <v>7913817.878912976</v>
      </c>
      <c r="H44" s="64">
        <f>'Measure 1 Forest Mgmt'!H46+'Measure 2 Urban Forest'!H42+'Measure 3 CoalSeam'!H50+'Measure 4 NP Source Poll''n'!H57+'Measure 5 N Fertilizer'!H57+'Measure 6 Ranchland'!H57+'Measure 7 CattleBeef'!H57</f>
        <v>3429978.0383193661</v>
      </c>
      <c r="I44" s="94"/>
      <c r="J44" s="64">
        <f t="shared" si="2"/>
        <v>31999999.32089822</v>
      </c>
    </row>
    <row r="45" spans="2:10" ht="15" customHeight="1" x14ac:dyDescent="0.3">
      <c r="B45" s="24"/>
      <c r="C45" s="9" t="s">
        <v>19</v>
      </c>
      <c r="D45" s="66">
        <f>D44+D43+D42+D41+D40+D39+D38</f>
        <v>8196350.8758000005</v>
      </c>
      <c r="E45" s="66">
        <f>E44+E43+E42+E41+E40+E39+E38</f>
        <v>13600197.210096002</v>
      </c>
      <c r="F45" s="66">
        <f>F44+F43+F42+F41+F40+F39+F38</f>
        <v>8979285.9417378791</v>
      </c>
      <c r="G45" s="66">
        <f>G44+G43+G42+G41+G40+G39+G38</f>
        <v>11009230.538164753</v>
      </c>
      <c r="H45" s="66">
        <f>H44+H43+H42+H41+H40+H39+H38</f>
        <v>6540053.7406697609</v>
      </c>
      <c r="I45" s="94"/>
      <c r="J45" s="66">
        <f t="shared" si="2"/>
        <v>48325118.306468397</v>
      </c>
    </row>
    <row r="46" spans="2:10" ht="15" customHeight="1" x14ac:dyDescent="0.3">
      <c r="B46" s="58"/>
      <c r="D46" s="65"/>
      <c r="E46" s="65"/>
      <c r="F46" s="65"/>
      <c r="G46" s="65"/>
      <c r="H46" s="65"/>
      <c r="I46" s="94"/>
      <c r="J46" s="67" t="s">
        <v>20</v>
      </c>
    </row>
    <row r="47" spans="2:10" ht="15" customHeight="1" x14ac:dyDescent="0.3">
      <c r="B47" s="58"/>
      <c r="C47" s="9" t="s">
        <v>21</v>
      </c>
      <c r="D47" s="68">
        <f>'Measure 1 Forest Mgmt'!D52+'Measure 2 Urban Forest'!D47+'Measure 3 CoalSeam'!D56</f>
        <v>338173.65119999996</v>
      </c>
      <c r="E47" s="68">
        <f>'Measure 1 Forest Mgmt'!E52+'Measure 2 Urban Forest'!E47+'Measure 3 CoalSeam'!E56</f>
        <v>284731.18452000001</v>
      </c>
      <c r="F47" s="68">
        <f>'Measure 1 Forest Mgmt'!F52+'Measure 2 Urban Forest'!F47+'Measure 3 CoalSeam'!F56</f>
        <v>272682.47450116801</v>
      </c>
      <c r="G47" s="68">
        <f>'Measure 1 Forest Mgmt'!G52+'Measure 2 Urban Forest'!G47+'Measure 3 CoalSeam'!G56</f>
        <v>273944.02034378215</v>
      </c>
      <c r="H47" s="68">
        <f>'Measure 1 Forest Mgmt'!H52+'Measure 2 Urban Forest'!H47+'Measure 3 CoalSeam'!H56</f>
        <v>275241.69965800992</v>
      </c>
      <c r="I47" s="94"/>
      <c r="J47" s="68">
        <f>SUM(D47:I47)</f>
        <v>1444773.03022296</v>
      </c>
    </row>
    <row r="48" spans="2:10" ht="15" customHeight="1" thickBot="1" x14ac:dyDescent="0.35">
      <c r="B48" s="58"/>
      <c r="D48"/>
      <c r="E48"/>
      <c r="H48"/>
      <c r="I48" s="95"/>
      <c r="J48" s="18" t="s">
        <v>20</v>
      </c>
    </row>
    <row r="49" spans="2:10" ht="15" customHeight="1" thickBot="1" x14ac:dyDescent="0.35">
      <c r="B49" s="57" t="s">
        <v>22</v>
      </c>
      <c r="C49" s="19"/>
      <c r="D49" s="51">
        <f>D45+D47</f>
        <v>8534524.5270000007</v>
      </c>
      <c r="E49" s="51">
        <f>E45+E47</f>
        <v>13884928.394616002</v>
      </c>
      <c r="F49" s="51">
        <f>F45+F47</f>
        <v>9251968.4162390474</v>
      </c>
      <c r="G49" s="51">
        <f>G45+G47</f>
        <v>11283174.558508536</v>
      </c>
      <c r="H49" s="51">
        <f>H45+H47</f>
        <v>6815295.440327771</v>
      </c>
      <c r="I49" s="96"/>
      <c r="J49" s="61">
        <f>J45+J47</f>
        <v>49769891.336691357</v>
      </c>
    </row>
  </sheetData>
  <mergeCells count="10">
    <mergeCell ref="E28:F28"/>
    <mergeCell ref="E29:F29"/>
    <mergeCell ref="B3:J3"/>
    <mergeCell ref="E21:F21"/>
    <mergeCell ref="E22:F22"/>
    <mergeCell ref="E23:F23"/>
    <mergeCell ref="E24:F24"/>
    <mergeCell ref="E25:F25"/>
    <mergeCell ref="E26:F26"/>
    <mergeCell ref="E27:F27"/>
  </mergeCells>
  <pageMargins left="0.7" right="0.7" top="0.75" bottom="0.75" header="0.3" footer="0.3"/>
  <pageSetup orientation="landscape" r:id="rId1"/>
  <ignoredErrors>
    <ignoredError sqref="E2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9"/>
  <sheetViews>
    <sheetView showGridLines="0" topLeftCell="B1" zoomScale="85" zoomScaleNormal="85" workbookViewId="0">
      <selection activeCell="D12" sqref="D12"/>
    </sheetView>
  </sheetViews>
  <sheetFormatPr defaultColWidth="9.109375" defaultRowHeight="14.4" x14ac:dyDescent="0.3"/>
  <cols>
    <col min="1" max="1" width="3.109375" customWidth="1"/>
    <col min="2" max="2" width="10.109375" customWidth="1"/>
    <col min="3" max="3" width="35.44140625" customWidth="1"/>
    <col min="4" max="4" width="15" style="6" customWidth="1"/>
    <col min="5" max="5" width="14.44140625" style="2" customWidth="1"/>
    <col min="6" max="6" width="14.109375" customWidth="1"/>
    <col min="7" max="7" width="15" customWidth="1"/>
    <col min="8" max="8" width="14.5546875" style="2" customWidth="1"/>
    <col min="9" max="9" width="1.6640625" style="7" customWidth="1"/>
    <col min="10" max="10" width="12.88671875" customWidth="1"/>
    <col min="11" max="11" width="107.33203125" customWidth="1"/>
  </cols>
  <sheetData>
    <row r="2" spans="2:39" ht="23.4" x14ac:dyDescent="0.45">
      <c r="B2" s="30" t="s">
        <v>38</v>
      </c>
    </row>
    <row r="3" spans="2:39" x14ac:dyDescent="0.3">
      <c r="B3" s="5" t="s">
        <v>39</v>
      </c>
    </row>
    <row r="4" spans="2:39" x14ac:dyDescent="0.3">
      <c r="B4" s="5"/>
    </row>
    <row r="5" spans="2:39" ht="18" x14ac:dyDescent="0.35">
      <c r="B5" s="36" t="s">
        <v>40</v>
      </c>
      <c r="C5" s="37"/>
      <c r="D5" s="37"/>
      <c r="E5" s="37"/>
      <c r="F5" s="37"/>
      <c r="G5" s="37"/>
      <c r="H5" s="37"/>
      <c r="I5" s="37"/>
      <c r="J5" s="38"/>
      <c r="K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K6" s="43" t="s">
        <v>41</v>
      </c>
    </row>
    <row r="7" spans="2:39" s="5" customFormat="1" ht="28.8" x14ac:dyDescent="0.3">
      <c r="B7" s="6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 s="26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44</v>
      </c>
      <c r="D8" s="15">
        <v>19968</v>
      </c>
      <c r="E8" s="15">
        <v>20567.04</v>
      </c>
      <c r="F8" s="15">
        <v>21184.051199999998</v>
      </c>
      <c r="G8" s="15">
        <v>21819.572736000002</v>
      </c>
      <c r="H8" s="15">
        <v>22474.159918079997</v>
      </c>
      <c r="I8" s="35"/>
      <c r="J8" s="15">
        <f>SUM(D8:H8)</f>
        <v>106012.82385407999</v>
      </c>
      <c r="K8" s="25" t="s">
        <v>45</v>
      </c>
      <c r="M8">
        <v>32</v>
      </c>
      <c r="N8">
        <f>M8+(M8*0.03)</f>
        <v>32.96</v>
      </c>
      <c r="O8">
        <f t="shared" ref="O8:Q8" si="0">N8+(N8*0.03)</f>
        <v>33.948799999999999</v>
      </c>
      <c r="P8">
        <f t="shared" si="0"/>
        <v>34.967264</v>
      </c>
      <c r="Q8">
        <f t="shared" si="0"/>
        <v>36.016281919999997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  <c r="K9" s="25"/>
    </row>
    <row r="10" spans="2:39" x14ac:dyDescent="0.3">
      <c r="B10" s="23"/>
      <c r="C10" s="27"/>
      <c r="D10" s="15"/>
      <c r="E10" s="15"/>
      <c r="F10" s="15"/>
      <c r="G10" s="15"/>
      <c r="H10" s="15"/>
      <c r="J10" s="15">
        <f>SUM(D10:H10)</f>
        <v>0</v>
      </c>
      <c r="K10" s="27"/>
    </row>
    <row r="11" spans="2:39" x14ac:dyDescent="0.3">
      <c r="B11" s="23"/>
      <c r="C11" s="9" t="s">
        <v>12</v>
      </c>
      <c r="D11" s="15">
        <f>SUM(D8:D10)</f>
        <v>19968</v>
      </c>
      <c r="E11" s="15">
        <f>SUM(E8:E10)</f>
        <v>20567.04</v>
      </c>
      <c r="F11" s="15">
        <f>SUM(F8:F10)</f>
        <v>21184.051199999998</v>
      </c>
      <c r="G11" s="15">
        <f>SUM(G8:G10)</f>
        <v>21819.572736000002</v>
      </c>
      <c r="H11" s="15">
        <f>SUM(H8:H10)</f>
        <v>22474.159918079997</v>
      </c>
      <c r="J11" s="16">
        <f>SUM(J8:J10)</f>
        <v>106012.82385407999</v>
      </c>
      <c r="K11" s="9"/>
    </row>
    <row r="12" spans="2:39" x14ac:dyDescent="0.3">
      <c r="B12" s="23"/>
      <c r="C12" s="25" t="s">
        <v>46</v>
      </c>
      <c r="D12" s="15">
        <f>D11*0.4</f>
        <v>7987.2000000000007</v>
      </c>
      <c r="E12" s="15">
        <f t="shared" ref="E12:H12" si="1">E11*0.4</f>
        <v>8226.8160000000007</v>
      </c>
      <c r="F12" s="15">
        <f t="shared" si="1"/>
        <v>8473.6204799999996</v>
      </c>
      <c r="G12" s="15">
        <f t="shared" si="1"/>
        <v>8727.8290944000018</v>
      </c>
      <c r="H12" s="15">
        <f t="shared" si="1"/>
        <v>8989.6639672319998</v>
      </c>
      <c r="J12" s="15">
        <f>SUM(D12:H12)</f>
        <v>42405.129541632006</v>
      </c>
      <c r="K12" s="25" t="s">
        <v>47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  <c r="K13" s="25"/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  <c r="K14" s="25"/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  <c r="K15" s="10"/>
    </row>
    <row r="16" spans="2:39" x14ac:dyDescent="0.3">
      <c r="B16" s="23"/>
      <c r="C16" s="9" t="s">
        <v>13</v>
      </c>
      <c r="D16" s="16">
        <f>SUM(D12:D15)</f>
        <v>7987.2000000000007</v>
      </c>
      <c r="E16" s="16">
        <f>SUM(E12:E15)</f>
        <v>8226.8160000000007</v>
      </c>
      <c r="F16" s="16">
        <f>SUM(F12:F15)</f>
        <v>8473.6204799999996</v>
      </c>
      <c r="G16" s="16">
        <f>SUM(G12:G15)</f>
        <v>8727.8290944000018</v>
      </c>
      <c r="H16" s="16">
        <f>SUM(H12:H15)</f>
        <v>8989.6639672319998</v>
      </c>
      <c r="J16" s="16">
        <f>SUM(J12:J15)</f>
        <v>42405.129541632006</v>
      </c>
      <c r="K16" s="9"/>
    </row>
    <row r="17" spans="2:11" x14ac:dyDescent="0.3">
      <c r="B17" s="23"/>
      <c r="C17" s="14" t="s">
        <v>48</v>
      </c>
      <c r="D17" s="13" t="s">
        <v>43</v>
      </c>
      <c r="E17" s="10"/>
      <c r="F17" s="10"/>
      <c r="G17" s="10"/>
      <c r="H17" s="10"/>
      <c r="J17" s="8" t="s">
        <v>43</v>
      </c>
      <c r="K17" s="14"/>
    </row>
    <row r="18" spans="2:11" x14ac:dyDescent="0.3">
      <c r="B18" s="23"/>
      <c r="C18" s="29"/>
      <c r="D18" s="15"/>
      <c r="E18" s="11"/>
      <c r="F18" s="11"/>
      <c r="G18" s="11"/>
      <c r="H18" s="11"/>
      <c r="J18" s="15">
        <f>SUM(D18:H18)</f>
        <v>0</v>
      </c>
      <c r="K18" s="29"/>
    </row>
    <row r="19" spans="2:11" x14ac:dyDescent="0.3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  <c r="K19" s="29"/>
    </row>
    <row r="20" spans="2:11" x14ac:dyDescent="0.3">
      <c r="B20" s="23"/>
      <c r="C20" s="29"/>
      <c r="D20" s="15"/>
      <c r="E20" s="15"/>
      <c r="F20" s="15"/>
      <c r="G20" s="15"/>
      <c r="H20" s="15"/>
      <c r="I20" s="35"/>
      <c r="J20" s="15">
        <f t="shared" ref="J20:J26" si="3">SUM(D20:H20)</f>
        <v>0</v>
      </c>
      <c r="K20" s="29"/>
    </row>
    <row r="21" spans="2:11" x14ac:dyDescent="0.3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  <c r="K21" s="25"/>
    </row>
    <row r="22" spans="2:11" x14ac:dyDescent="0.3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  <c r="K22" s="29"/>
    </row>
    <row r="23" spans="2:11" x14ac:dyDescent="0.3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  <c r="K23" s="29"/>
    </row>
    <row r="24" spans="2:11" x14ac:dyDescent="0.3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  <c r="K24" s="29"/>
    </row>
    <row r="25" spans="2:11" x14ac:dyDescent="0.3">
      <c r="B25" s="23"/>
      <c r="C25" s="29"/>
      <c r="D25" s="15"/>
      <c r="E25" s="15"/>
      <c r="F25" s="15"/>
      <c r="G25" s="15"/>
      <c r="H25" s="15"/>
      <c r="I25" s="35"/>
      <c r="J25" s="15"/>
      <c r="K25" s="29"/>
    </row>
    <row r="26" spans="2:11" x14ac:dyDescent="0.3">
      <c r="B26" s="23"/>
      <c r="C26" s="25"/>
      <c r="D26" s="15"/>
      <c r="E26" s="15"/>
      <c r="F26" s="15"/>
      <c r="G26" s="15"/>
      <c r="H26" s="15"/>
      <c r="I26" s="35"/>
      <c r="J26" s="15">
        <f t="shared" si="3"/>
        <v>0</v>
      </c>
      <c r="K26" s="25"/>
    </row>
    <row r="27" spans="2:11" x14ac:dyDescent="0.3">
      <c r="B27" s="23"/>
      <c r="C27" s="9" t="s">
        <v>14</v>
      </c>
      <c r="D27" s="16">
        <f>SUM(D18:D26)</f>
        <v>0</v>
      </c>
      <c r="E27" s="16">
        <f>SUM(E18:E26)</f>
        <v>0</v>
      </c>
      <c r="F27" s="16">
        <f>SUM(F18:F26)</f>
        <v>0</v>
      </c>
      <c r="G27" s="16">
        <f>SUM(G18:G26)</f>
        <v>0</v>
      </c>
      <c r="H27" s="16">
        <f>SUM(H18:H26)</f>
        <v>0</v>
      </c>
      <c r="J27" s="16">
        <f>SUM(J18:J26)</f>
        <v>0</v>
      </c>
      <c r="K27" s="9"/>
    </row>
    <row r="28" spans="2:11" x14ac:dyDescent="0.3">
      <c r="B28" s="23"/>
      <c r="C28" s="14" t="s">
        <v>49</v>
      </c>
      <c r="D28" s="15"/>
      <c r="E28" s="10"/>
      <c r="F28" s="10"/>
      <c r="G28" s="10"/>
      <c r="H28" s="10"/>
      <c r="J28" s="15" t="s">
        <v>20</v>
      </c>
      <c r="K28" s="14"/>
    </row>
    <row r="29" spans="2:11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  <c r="K29" s="25"/>
    </row>
    <row r="30" spans="2:11" x14ac:dyDescent="0.3">
      <c r="B30" s="23" t="s">
        <v>50</v>
      </c>
      <c r="C30" s="28" t="s">
        <v>50</v>
      </c>
      <c r="D30" s="13" t="s">
        <v>43</v>
      </c>
      <c r="E30" s="10"/>
      <c r="F30" s="10"/>
      <c r="G30" s="10"/>
      <c r="H30" s="10"/>
      <c r="J30" s="15">
        <f t="shared" ref="J30:J45" si="4">SUM(D30:H30)</f>
        <v>0</v>
      </c>
      <c r="K30" s="28" t="s">
        <v>50</v>
      </c>
    </row>
    <row r="31" spans="2:11" x14ac:dyDescent="0.3">
      <c r="B31" s="23"/>
      <c r="C31" s="9" t="s">
        <v>15</v>
      </c>
      <c r="D31" s="12">
        <f>SUM(D29:D30)</f>
        <v>0</v>
      </c>
      <c r="E31" s="12">
        <f>SUM(E29:E30)</f>
        <v>0</v>
      </c>
      <c r="F31" s="12">
        <f>SUM(F29:F30)</f>
        <v>0</v>
      </c>
      <c r="G31" s="12">
        <f>SUM(G29:G30)</f>
        <v>0</v>
      </c>
      <c r="H31" s="12">
        <f>SUM(H29:H30)</f>
        <v>0</v>
      </c>
      <c r="J31" s="16">
        <f>SUM(J29:J30)</f>
        <v>0</v>
      </c>
      <c r="K31" s="9"/>
    </row>
    <row r="32" spans="2:11" x14ac:dyDescent="0.3">
      <c r="B32" s="23"/>
      <c r="C32" s="14" t="s">
        <v>51</v>
      </c>
      <c r="D32" s="13" t="s">
        <v>43</v>
      </c>
      <c r="E32" s="10"/>
      <c r="F32" s="10"/>
      <c r="G32" s="10"/>
      <c r="H32" s="10"/>
      <c r="J32" s="15"/>
      <c r="K32" s="14"/>
    </row>
    <row r="33" spans="2:11" x14ac:dyDescent="0.3">
      <c r="B33" s="23"/>
      <c r="C33" s="25" t="s">
        <v>52</v>
      </c>
      <c r="D33" s="15">
        <v>330000</v>
      </c>
      <c r="E33" s="15">
        <v>330000</v>
      </c>
      <c r="F33" s="15">
        <v>330000</v>
      </c>
      <c r="G33" s="15">
        <v>330000</v>
      </c>
      <c r="H33" s="15">
        <v>330000</v>
      </c>
      <c r="I33" s="35"/>
      <c r="J33" s="15">
        <f t="shared" si="4"/>
        <v>1650000</v>
      </c>
      <c r="K33" s="25" t="s">
        <v>53</v>
      </c>
    </row>
    <row r="34" spans="2:11" x14ac:dyDescent="0.3">
      <c r="B34" s="23"/>
      <c r="C34" s="25"/>
      <c r="D34" s="15"/>
      <c r="E34" s="11"/>
      <c r="F34" s="11"/>
      <c r="G34" s="11"/>
      <c r="H34" s="11"/>
      <c r="J34" s="15">
        <f t="shared" si="4"/>
        <v>0</v>
      </c>
      <c r="K34" s="25"/>
    </row>
    <row r="35" spans="2:11" x14ac:dyDescent="0.3">
      <c r="B35" s="23"/>
      <c r="C35" s="9" t="s">
        <v>16</v>
      </c>
      <c r="D35" s="16">
        <f>SUM(D33:D34)</f>
        <v>330000</v>
      </c>
      <c r="E35" s="16">
        <f>SUM(E33:E34)</f>
        <v>330000</v>
      </c>
      <c r="F35" s="16">
        <f>SUM(F33:F34)</f>
        <v>330000</v>
      </c>
      <c r="G35" s="16">
        <f>SUM(G33:G34)</f>
        <v>330000</v>
      </c>
      <c r="H35" s="16">
        <f>SUM(H33:H34)</f>
        <v>330000</v>
      </c>
      <c r="J35" s="16">
        <f>SUM(J33:J34)</f>
        <v>1650000</v>
      </c>
      <c r="K35" s="9"/>
    </row>
    <row r="36" spans="2:11" x14ac:dyDescent="0.3">
      <c r="B36" s="23"/>
      <c r="C36" s="14" t="s">
        <v>54</v>
      </c>
      <c r="D36" s="13" t="s">
        <v>43</v>
      </c>
      <c r="E36" s="10"/>
      <c r="F36" s="10"/>
      <c r="G36" s="10"/>
      <c r="H36" s="10"/>
      <c r="J36" s="15"/>
      <c r="K36" s="14"/>
    </row>
    <row r="37" spans="2:11" x14ac:dyDescent="0.3">
      <c r="B37" s="23"/>
      <c r="C37" s="25" t="s">
        <v>55</v>
      </c>
      <c r="D37" s="15">
        <v>264000</v>
      </c>
      <c r="E37" s="15">
        <v>264000</v>
      </c>
      <c r="F37" s="15">
        <v>264000</v>
      </c>
      <c r="G37" s="15">
        <v>264000</v>
      </c>
      <c r="H37" s="15">
        <v>264000</v>
      </c>
      <c r="I37" s="35"/>
      <c r="J37" s="15">
        <f t="shared" si="4"/>
        <v>1320000</v>
      </c>
      <c r="K37" s="25" t="s">
        <v>56</v>
      </c>
    </row>
    <row r="38" spans="2:11" x14ac:dyDescent="0.3">
      <c r="B38" s="23"/>
      <c r="C38" s="25" t="s">
        <v>57</v>
      </c>
      <c r="D38" s="15">
        <v>260000</v>
      </c>
      <c r="E38" s="15">
        <v>260000</v>
      </c>
      <c r="F38" s="15">
        <v>260000</v>
      </c>
      <c r="G38" s="15">
        <v>260000</v>
      </c>
      <c r="H38" s="15">
        <v>260000</v>
      </c>
      <c r="I38" s="35"/>
      <c r="J38" s="15">
        <f t="shared" si="4"/>
        <v>1300000</v>
      </c>
      <c r="K38" s="25" t="s">
        <v>58</v>
      </c>
    </row>
    <row r="39" spans="2:11" x14ac:dyDescent="0.3">
      <c r="B39" s="23"/>
      <c r="C39" s="25" t="s">
        <v>59</v>
      </c>
      <c r="D39" s="15">
        <v>469000</v>
      </c>
      <c r="E39" s="15">
        <v>469000</v>
      </c>
      <c r="F39" s="15">
        <v>469000</v>
      </c>
      <c r="G39" s="15">
        <v>469000</v>
      </c>
      <c r="H39" s="15">
        <v>469000</v>
      </c>
      <c r="I39" s="35"/>
      <c r="J39" s="15">
        <f t="shared" si="4"/>
        <v>2345000</v>
      </c>
      <c r="K39" s="25" t="s">
        <v>60</v>
      </c>
    </row>
    <row r="40" spans="2:11" ht="28.8" x14ac:dyDescent="0.3">
      <c r="B40" s="23"/>
      <c r="C40" s="25" t="s">
        <v>61</v>
      </c>
      <c r="D40" s="15">
        <v>156909</v>
      </c>
      <c r="E40" s="15">
        <v>156909</v>
      </c>
      <c r="F40" s="15">
        <v>156909</v>
      </c>
      <c r="G40" s="15">
        <v>156909</v>
      </c>
      <c r="H40" s="15">
        <v>156907</v>
      </c>
      <c r="J40" s="15">
        <f>SUM(D40:H40)</f>
        <v>784543</v>
      </c>
      <c r="K40" s="25" t="s">
        <v>62</v>
      </c>
    </row>
    <row r="41" spans="2:11" x14ac:dyDescent="0.3">
      <c r="B41" s="23"/>
      <c r="C41" s="9" t="s">
        <v>17</v>
      </c>
      <c r="D41" s="16">
        <f>SUM(D37:D40)</f>
        <v>1149909</v>
      </c>
      <c r="E41" s="16">
        <f>SUM(E37:E40)</f>
        <v>1149909</v>
      </c>
      <c r="F41" s="16">
        <f>SUM(F37:F40)</f>
        <v>1149909</v>
      </c>
      <c r="G41" s="16">
        <f>SUM(G37:G40)</f>
        <v>1149909</v>
      </c>
      <c r="H41" s="16">
        <f>SUM(H37:H40)</f>
        <v>1149907</v>
      </c>
      <c r="J41" s="16">
        <f>SUM(J37:J40)</f>
        <v>5749543</v>
      </c>
      <c r="K41" s="9"/>
    </row>
    <row r="42" spans="2:11" x14ac:dyDescent="0.3">
      <c r="B42" s="23"/>
      <c r="C42" s="14" t="s">
        <v>63</v>
      </c>
      <c r="D42" s="13" t="s">
        <v>43</v>
      </c>
      <c r="E42" s="10"/>
      <c r="F42" s="10"/>
      <c r="G42" s="10"/>
      <c r="H42" s="10"/>
      <c r="J42" s="15"/>
      <c r="K42" s="14"/>
    </row>
    <row r="43" spans="2:11" x14ac:dyDescent="0.3">
      <c r="B43" s="23"/>
      <c r="C43" s="25"/>
      <c r="D43" s="15"/>
      <c r="E43" s="44"/>
      <c r="F43" s="44"/>
      <c r="G43" s="44"/>
      <c r="H43" s="44"/>
      <c r="J43" s="15">
        <f t="shared" si="4"/>
        <v>0</v>
      </c>
      <c r="K43" s="25"/>
    </row>
    <row r="44" spans="2:11" x14ac:dyDescent="0.3">
      <c r="B44" s="23"/>
      <c r="C44" s="25"/>
      <c r="D44" s="15"/>
      <c r="E44" s="53"/>
      <c r="F44" s="53"/>
      <c r="G44" s="53"/>
      <c r="H44" s="53"/>
      <c r="J44" s="15">
        <f t="shared" si="4"/>
        <v>0</v>
      </c>
      <c r="K44" s="25"/>
    </row>
    <row r="45" spans="2:11" x14ac:dyDescent="0.3">
      <c r="B45" s="23"/>
      <c r="C45" s="10"/>
      <c r="D45" s="15"/>
      <c r="E45" s="11"/>
      <c r="F45" s="11"/>
      <c r="G45" s="11"/>
      <c r="H45" s="11"/>
      <c r="J45" s="15">
        <f t="shared" si="4"/>
        <v>0</v>
      </c>
      <c r="K45" s="10"/>
    </row>
    <row r="46" spans="2:11" x14ac:dyDescent="0.3">
      <c r="B46" s="24"/>
      <c r="C46" s="9" t="s">
        <v>18</v>
      </c>
      <c r="D46" s="16">
        <f>SUM(D43:D45)</f>
        <v>0</v>
      </c>
      <c r="E46" s="16">
        <f>SUM(E43:E45)</f>
        <v>0</v>
      </c>
      <c r="F46" s="16">
        <f>SUM(F43:F45)</f>
        <v>0</v>
      </c>
      <c r="G46" s="16">
        <f>SUM(G43:G45)</f>
        <v>0</v>
      </c>
      <c r="H46" s="16">
        <f>SUM(H43:H45)</f>
        <v>0</v>
      </c>
      <c r="J46" s="16">
        <f>SUM(J43:J45)</f>
        <v>0</v>
      </c>
      <c r="K46" s="9"/>
    </row>
    <row r="47" spans="2:11" x14ac:dyDescent="0.3">
      <c r="B47" s="24"/>
      <c r="C47" s="9" t="s">
        <v>19</v>
      </c>
      <c r="D47" s="16">
        <f>SUM(D46,D41,D35,D31,D27,D16,D11)</f>
        <v>1507864.2</v>
      </c>
      <c r="E47" s="16">
        <f>SUM(E46,E41,E35,E31,E27,E16,E11)</f>
        <v>1508702.8560000001</v>
      </c>
      <c r="F47" s="16">
        <f>SUM(F46,F41,F35,F31,F27,F16,F11)</f>
        <v>1509566.6716800001</v>
      </c>
      <c r="G47" s="16">
        <f>SUM(G46,G41,G35,G31,G27,G16,G11)</f>
        <v>1510456.4018303999</v>
      </c>
      <c r="H47" s="16">
        <f>SUM(H46,H41,H35,H31,H27,H16,H11)</f>
        <v>1511370.8238853121</v>
      </c>
      <c r="J47" s="16">
        <f>SUM(D47:H47)</f>
        <v>7547960.9533957113</v>
      </c>
      <c r="K47" s="9"/>
    </row>
    <row r="48" spans="2:11" x14ac:dyDescent="0.3">
      <c r="B48" s="6"/>
      <c r="D48"/>
      <c r="E48"/>
      <c r="H48"/>
      <c r="I48"/>
      <c r="J48" t="s">
        <v>20</v>
      </c>
    </row>
    <row r="49" spans="2:11" ht="28.8" x14ac:dyDescent="0.3">
      <c r="B49" s="62" t="s">
        <v>64</v>
      </c>
      <c r="C49" s="17" t="s">
        <v>64</v>
      </c>
      <c r="D49" s="18"/>
      <c r="E49" s="18"/>
      <c r="F49" s="18"/>
      <c r="G49" s="18"/>
      <c r="H49" s="18"/>
      <c r="I49"/>
      <c r="J49" s="18" t="s">
        <v>20</v>
      </c>
      <c r="K49" s="17"/>
    </row>
    <row r="50" spans="2:11" x14ac:dyDescent="0.3">
      <c r="B50" s="23"/>
      <c r="C50" s="25" t="s">
        <v>65</v>
      </c>
      <c r="D50" s="15">
        <f>(D47)*0.0885</f>
        <v>133445.98169999997</v>
      </c>
      <c r="E50" s="15">
        <f>(E47)*0.0885</f>
        <v>133520.20275600001</v>
      </c>
      <c r="F50" s="15">
        <f>(F47)*0.0885</f>
        <v>133596.65044368</v>
      </c>
      <c r="G50" s="15">
        <f>(G47)*0.0885</f>
        <v>133675.39156199037</v>
      </c>
      <c r="H50" s="15">
        <f>(H47)*0.0885</f>
        <v>133756.3179138501</v>
      </c>
      <c r="J50" s="15">
        <f>SUM(D50:H50)</f>
        <v>667994.54437552043</v>
      </c>
      <c r="K50" s="25"/>
    </row>
    <row r="51" spans="2:11" x14ac:dyDescent="0.3">
      <c r="B51" s="23"/>
      <c r="C51" s="25"/>
      <c r="D51" s="13"/>
      <c r="E51" s="10"/>
      <c r="F51" s="10"/>
      <c r="G51" s="10"/>
      <c r="H51" s="10"/>
      <c r="J51" s="15">
        <f t="shared" ref="J51" si="5">SUM(D51:H51)</f>
        <v>0</v>
      </c>
      <c r="K51" s="25"/>
    </row>
    <row r="52" spans="2:11" x14ac:dyDescent="0.3">
      <c r="B52" s="24"/>
      <c r="C52" s="9" t="s">
        <v>21</v>
      </c>
      <c r="D52" s="16">
        <f>SUM(D50:D51)</f>
        <v>133445.98169999997</v>
      </c>
      <c r="E52" s="16">
        <f t="shared" ref="E52:H52" si="6">SUM(E50:E51)</f>
        <v>133520.20275600001</v>
      </c>
      <c r="F52" s="16">
        <f t="shared" si="6"/>
        <v>133596.65044368</v>
      </c>
      <c r="G52" s="16">
        <f t="shared" si="6"/>
        <v>133675.39156199037</v>
      </c>
      <c r="H52" s="16">
        <f t="shared" si="6"/>
        <v>133756.3179138501</v>
      </c>
      <c r="J52" s="16">
        <f>SUM(J50:J51)</f>
        <v>667994.54437552043</v>
      </c>
      <c r="K52" s="9"/>
    </row>
    <row r="53" spans="2:11" ht="15" thickBot="1" x14ac:dyDescent="0.35">
      <c r="B53" s="6"/>
      <c r="D53"/>
      <c r="E53"/>
      <c r="H53"/>
      <c r="I53"/>
      <c r="J53" t="s">
        <v>20</v>
      </c>
    </row>
    <row r="54" spans="2:11" s="1" customFormat="1" ht="29.4" thickBot="1" x14ac:dyDescent="0.35">
      <c r="B54" s="19" t="s">
        <v>22</v>
      </c>
      <c r="C54" s="19"/>
      <c r="D54" s="20">
        <f>SUM(D52,D47)</f>
        <v>1641310.1816999998</v>
      </c>
      <c r="E54" s="20">
        <f t="shared" ref="E54:J54" si="7">SUM(E52,E47)</f>
        <v>1642223.0587560001</v>
      </c>
      <c r="F54" s="20">
        <f t="shared" si="7"/>
        <v>1643163.3221236803</v>
      </c>
      <c r="G54" s="20">
        <f t="shared" si="7"/>
        <v>1644131.7933923902</v>
      </c>
      <c r="H54" s="20">
        <f t="shared" si="7"/>
        <v>1645127.1417991621</v>
      </c>
      <c r="I54" s="7"/>
      <c r="J54" s="20">
        <f t="shared" si="7"/>
        <v>8215955.4977712315</v>
      </c>
      <c r="K54" s="19"/>
    </row>
    <row r="55" spans="2:11" x14ac:dyDescent="0.3">
      <c r="B55" s="6"/>
    </row>
    <row r="56" spans="2:11" x14ac:dyDescent="0.3">
      <c r="B56" s="6"/>
    </row>
    <row r="57" spans="2:11" x14ac:dyDescent="0.3">
      <c r="B57" s="6"/>
    </row>
    <row r="58" spans="2:11" x14ac:dyDescent="0.3">
      <c r="B58" s="6"/>
    </row>
    <row r="59" spans="2:11" x14ac:dyDescent="0.3">
      <c r="B59" s="6"/>
    </row>
    <row r="60" spans="2:11" x14ac:dyDescent="0.3">
      <c r="B60" s="6"/>
    </row>
    <row r="61" spans="2:11" x14ac:dyDescent="0.3">
      <c r="B61" s="6"/>
    </row>
    <row r="62" spans="2:11" x14ac:dyDescent="0.3">
      <c r="B62" s="6"/>
    </row>
    <row r="63" spans="2:11" x14ac:dyDescent="0.3">
      <c r="B63" s="6"/>
    </row>
    <row r="64" spans="2:11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</sheetData>
  <pageMargins left="0.7" right="0.7" top="0.75" bottom="0.75" header="0.3" footer="0.3"/>
  <pageSetup scale="97" fitToHeight="0" orientation="landscape" r:id="rId1"/>
  <ignoredErrors>
    <ignoredError sqref="J26 J33 J37:J39 J19:J2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64"/>
  <sheetViews>
    <sheetView showGridLines="0" zoomScale="85" zoomScaleNormal="85" workbookViewId="0">
      <pane xSplit="3" ySplit="6" topLeftCell="D27" activePane="bottomRight" state="frozen"/>
      <selection pane="topRight" activeCell="R20" sqref="R20:W20"/>
      <selection pane="bottomLeft" activeCell="R20" sqref="R20:W20"/>
      <selection pane="bottomRight" activeCell="F37" sqref="F37:H37"/>
    </sheetView>
  </sheetViews>
  <sheetFormatPr defaultColWidth="9.109375" defaultRowHeight="14.4" x14ac:dyDescent="0.3"/>
  <cols>
    <col min="1" max="1" width="3.109375" customWidth="1"/>
    <col min="2" max="2" width="10.88671875" customWidth="1"/>
    <col min="3" max="3" width="44.44140625" customWidth="1"/>
    <col min="4" max="4" width="12.88671875" style="6" customWidth="1"/>
    <col min="5" max="5" width="12.44140625" style="2" customWidth="1"/>
    <col min="6" max="6" width="12.6640625" customWidth="1"/>
    <col min="7" max="7" width="12.88671875" customWidth="1"/>
    <col min="8" max="8" width="13.44140625" style="2" customWidth="1"/>
    <col min="9" max="9" width="0.88671875" style="7" customWidth="1"/>
    <col min="10" max="10" width="14.44140625" customWidth="1"/>
    <col min="11" max="11" width="119.6640625" customWidth="1"/>
  </cols>
  <sheetData>
    <row r="2" spans="2:39" ht="23.4" x14ac:dyDescent="0.45">
      <c r="B2" s="30" t="s">
        <v>38</v>
      </c>
    </row>
    <row r="3" spans="2:39" x14ac:dyDescent="0.3">
      <c r="B3" s="5" t="s">
        <v>39</v>
      </c>
    </row>
    <row r="4" spans="2:39" x14ac:dyDescent="0.3">
      <c r="B4" s="5"/>
    </row>
    <row r="5" spans="2:39" ht="18" x14ac:dyDescent="0.35">
      <c r="B5" s="36" t="s">
        <v>40</v>
      </c>
      <c r="C5" s="37"/>
      <c r="D5" s="37"/>
      <c r="E5" s="37"/>
      <c r="F5" s="37"/>
      <c r="G5" s="37"/>
      <c r="H5" s="37"/>
      <c r="I5" s="37"/>
      <c r="J5" s="38"/>
      <c r="K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K6" s="43" t="s">
        <v>41</v>
      </c>
    </row>
    <row r="7" spans="2:39" s="5" customFormat="1" x14ac:dyDescent="0.3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 s="26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66</v>
      </c>
      <c r="D8" s="15">
        <f>M8*1500</f>
        <v>45000</v>
      </c>
      <c r="E8" s="15">
        <f t="shared" ref="E8:H8" si="0">N8*1500</f>
        <v>46350</v>
      </c>
      <c r="F8" s="15">
        <f t="shared" si="0"/>
        <v>47740.5</v>
      </c>
      <c r="G8" s="15">
        <f t="shared" si="0"/>
        <v>49172.715000000004</v>
      </c>
      <c r="H8" s="15">
        <f t="shared" si="0"/>
        <v>50647.89645</v>
      </c>
      <c r="I8" s="35">
        <v>450000</v>
      </c>
      <c r="J8" s="15">
        <f>SUM(D8:H8)</f>
        <v>238911.11145</v>
      </c>
      <c r="K8" s="25" t="s">
        <v>67</v>
      </c>
      <c r="M8">
        <v>30</v>
      </c>
      <c r="N8">
        <f>M8+(M8*0.03)</f>
        <v>30.9</v>
      </c>
      <c r="O8">
        <f t="shared" ref="O8:Q11" si="1">N8+(N8*0.03)</f>
        <v>31.826999999999998</v>
      </c>
      <c r="P8">
        <f t="shared" si="1"/>
        <v>32.78181</v>
      </c>
      <c r="Q8">
        <f t="shared" si="1"/>
        <v>33.765264299999998</v>
      </c>
    </row>
    <row r="9" spans="2:39" x14ac:dyDescent="0.3">
      <c r="B9" s="23"/>
      <c r="C9" s="25" t="s">
        <v>68</v>
      </c>
      <c r="D9" s="15">
        <f>M9*2080</f>
        <v>66560</v>
      </c>
      <c r="E9" s="15">
        <f t="shared" ref="E9:H9" si="2">N9*2080</f>
        <v>68556.800000000003</v>
      </c>
      <c r="F9" s="15">
        <f t="shared" si="2"/>
        <v>70613.504000000001</v>
      </c>
      <c r="G9" s="15">
        <f t="shared" si="2"/>
        <v>72731.909119999997</v>
      </c>
      <c r="H9" s="15">
        <f t="shared" si="2"/>
        <v>74913.866393599994</v>
      </c>
      <c r="J9" s="15">
        <f>SUM(D9:H9)</f>
        <v>353376.07951359998</v>
      </c>
      <c r="K9" s="25" t="s">
        <v>69</v>
      </c>
      <c r="M9">
        <v>32</v>
      </c>
      <c r="N9">
        <f>M9+(M9*0.03)</f>
        <v>32.96</v>
      </c>
      <c r="O9">
        <f t="shared" si="1"/>
        <v>33.948799999999999</v>
      </c>
      <c r="P9">
        <f t="shared" si="1"/>
        <v>34.967264</v>
      </c>
      <c r="Q9">
        <f t="shared" si="1"/>
        <v>36.016281919999997</v>
      </c>
    </row>
    <row r="10" spans="2:39" x14ac:dyDescent="0.3">
      <c r="B10" s="23"/>
      <c r="C10" s="25" t="s">
        <v>70</v>
      </c>
      <c r="D10" s="15">
        <f>24*2080</f>
        <v>49920</v>
      </c>
      <c r="E10" s="15">
        <f>24*2080</f>
        <v>49920</v>
      </c>
      <c r="F10" s="15">
        <f t="shared" ref="F10:H10" si="3">24*2080</f>
        <v>49920</v>
      </c>
      <c r="G10" s="15">
        <f t="shared" si="3"/>
        <v>49920</v>
      </c>
      <c r="H10" s="15">
        <f t="shared" si="3"/>
        <v>49920</v>
      </c>
      <c r="J10" s="15">
        <f>SUM(D10:H10)</f>
        <v>249600</v>
      </c>
      <c r="K10" s="25" t="s">
        <v>71</v>
      </c>
    </row>
    <row r="11" spans="2:39" x14ac:dyDescent="0.3">
      <c r="B11" s="23"/>
      <c r="C11" s="25" t="s">
        <v>72</v>
      </c>
      <c r="D11" s="15">
        <v>180000</v>
      </c>
      <c r="E11" s="15">
        <f>M11*2080*2.7</f>
        <v>179712</v>
      </c>
      <c r="F11" s="15">
        <f t="shared" ref="F11:H11" si="4">N11*2080*2.7</f>
        <v>185103.36000000002</v>
      </c>
      <c r="G11" s="15">
        <f t="shared" si="4"/>
        <v>190656.4608</v>
      </c>
      <c r="H11" s="15">
        <f t="shared" si="4"/>
        <v>196376.15462400002</v>
      </c>
      <c r="J11" s="15">
        <f>SUM(D11:H11)</f>
        <v>931847.97542400006</v>
      </c>
      <c r="K11" s="25" t="s">
        <v>73</v>
      </c>
      <c r="M11">
        <v>32</v>
      </c>
      <c r="N11">
        <f>M11+(M11*0.03)</f>
        <v>32.96</v>
      </c>
      <c r="O11">
        <f t="shared" si="1"/>
        <v>33.948799999999999</v>
      </c>
      <c r="P11">
        <f t="shared" si="1"/>
        <v>34.967264</v>
      </c>
      <c r="Q11">
        <f t="shared" si="1"/>
        <v>36.016281919999997</v>
      </c>
    </row>
    <row r="12" spans="2:39" x14ac:dyDescent="0.3">
      <c r="B12" s="23"/>
      <c r="C12" s="9" t="s">
        <v>12</v>
      </c>
      <c r="D12" s="16">
        <f>SUM(D8:D11)</f>
        <v>341480</v>
      </c>
      <c r="E12" s="16">
        <f>SUM(E8:E11)</f>
        <v>344538.8</v>
      </c>
      <c r="F12" s="16">
        <f>SUM(F8:F11)</f>
        <v>353377.36400000006</v>
      </c>
      <c r="G12" s="16">
        <f>SUM(G8:G11)</f>
        <v>362481.08491999999</v>
      </c>
      <c r="H12" s="16">
        <f>SUM(H8:H11)</f>
        <v>371857.91746760003</v>
      </c>
      <c r="I12" s="7">
        <f t="shared" ref="I12" si="5">SUM(I8:I11)</f>
        <v>450000</v>
      </c>
      <c r="J12" s="16">
        <f>SUM(J8:J11)</f>
        <v>1773735.1663875999</v>
      </c>
      <c r="K12" s="9"/>
    </row>
    <row r="13" spans="2:39" x14ac:dyDescent="0.3">
      <c r="B13" s="23"/>
      <c r="C13" s="14" t="s">
        <v>74</v>
      </c>
      <c r="D13" s="13" t="s">
        <v>43</v>
      </c>
      <c r="E13" s="10"/>
      <c r="F13" s="10"/>
      <c r="G13" s="10"/>
      <c r="H13" s="10"/>
      <c r="J13" s="8" t="s">
        <v>43</v>
      </c>
      <c r="K13" s="14"/>
    </row>
    <row r="14" spans="2:39" x14ac:dyDescent="0.3">
      <c r="B14" s="23"/>
      <c r="C14" s="25" t="s">
        <v>75</v>
      </c>
      <c r="D14" s="15">
        <v>18000</v>
      </c>
      <c r="E14" s="15">
        <f>E8*0.4</f>
        <v>18540</v>
      </c>
      <c r="F14" s="15">
        <f t="shared" ref="F14:H14" si="6">F8*0.4</f>
        <v>19096.2</v>
      </c>
      <c r="G14" s="15">
        <f t="shared" si="6"/>
        <v>19669.086000000003</v>
      </c>
      <c r="H14" s="15">
        <f t="shared" si="6"/>
        <v>20259.158580000003</v>
      </c>
      <c r="J14" s="15">
        <f>SUM(D14:H14)</f>
        <v>95564.444579999996</v>
      </c>
      <c r="K14" s="25"/>
    </row>
    <row r="15" spans="2:39" x14ac:dyDescent="0.3">
      <c r="B15" s="23"/>
      <c r="C15" s="25" t="s">
        <v>76</v>
      </c>
      <c r="D15" s="15">
        <v>28000</v>
      </c>
      <c r="E15" s="15">
        <f t="shared" ref="E15:H15" si="7">E9*0.4</f>
        <v>27422.720000000001</v>
      </c>
      <c r="F15" s="15">
        <f t="shared" si="7"/>
        <v>28245.401600000001</v>
      </c>
      <c r="G15" s="15">
        <f t="shared" si="7"/>
        <v>29092.763648</v>
      </c>
      <c r="H15" s="15">
        <f t="shared" si="7"/>
        <v>29965.54655744</v>
      </c>
      <c r="J15" s="15">
        <f>SUM(D15:H15)</f>
        <v>142726.43180543999</v>
      </c>
      <c r="K15" s="25"/>
    </row>
    <row r="16" spans="2:39" x14ac:dyDescent="0.3">
      <c r="B16" s="23"/>
      <c r="C16" s="25" t="s">
        <v>77</v>
      </c>
      <c r="D16" s="15">
        <v>18000</v>
      </c>
      <c r="E16" s="15">
        <f t="shared" ref="E16:H16" si="8">E10*0.4</f>
        <v>19968</v>
      </c>
      <c r="F16" s="15">
        <f t="shared" si="8"/>
        <v>19968</v>
      </c>
      <c r="G16" s="15">
        <f t="shared" si="8"/>
        <v>19968</v>
      </c>
      <c r="H16" s="15">
        <f t="shared" si="8"/>
        <v>19968</v>
      </c>
      <c r="J16" s="15">
        <f>SUM(D16:H16)</f>
        <v>97872</v>
      </c>
      <c r="K16" s="25"/>
    </row>
    <row r="17" spans="2:11" x14ac:dyDescent="0.3">
      <c r="B17" s="23"/>
      <c r="C17" s="25" t="s">
        <v>78</v>
      </c>
      <c r="D17" s="15">
        <v>72000</v>
      </c>
      <c r="E17" s="15">
        <f t="shared" ref="E17:H17" si="9">E11*0.4</f>
        <v>71884.800000000003</v>
      </c>
      <c r="F17" s="15">
        <f t="shared" si="9"/>
        <v>74041.344000000012</v>
      </c>
      <c r="G17" s="15">
        <f t="shared" si="9"/>
        <v>76262.584320000009</v>
      </c>
      <c r="H17" s="15">
        <f t="shared" si="9"/>
        <v>78550.461849600004</v>
      </c>
      <c r="J17" s="15">
        <f>SUM(D17:H17)</f>
        <v>372739.19016960001</v>
      </c>
      <c r="K17" s="10"/>
    </row>
    <row r="18" spans="2:11" x14ac:dyDescent="0.3">
      <c r="B18" s="23"/>
      <c r="C18" s="9" t="s">
        <v>13</v>
      </c>
      <c r="D18" s="16">
        <f>SUM(D14:D17)</f>
        <v>136000</v>
      </c>
      <c r="E18" s="16">
        <f>SUM(E14:E17)</f>
        <v>137815.52000000002</v>
      </c>
      <c r="F18" s="16">
        <f>SUM(F14:F17)</f>
        <v>141350.94560000001</v>
      </c>
      <c r="G18" s="16">
        <f>SUM(G14:G17)</f>
        <v>144992.433968</v>
      </c>
      <c r="H18" s="16">
        <f>SUM(H14:H17)</f>
        <v>148743.16698704002</v>
      </c>
      <c r="I18" s="7">
        <f t="shared" ref="I18" si="10">SUM(I14:I17)</f>
        <v>0</v>
      </c>
      <c r="J18" s="16">
        <f>SUM(J14:J17)</f>
        <v>708902.06655503996</v>
      </c>
      <c r="K18" s="9"/>
    </row>
    <row r="19" spans="2:11" x14ac:dyDescent="0.3">
      <c r="B19" s="23"/>
      <c r="C19" s="14" t="s">
        <v>48</v>
      </c>
      <c r="D19" s="13" t="s">
        <v>43</v>
      </c>
      <c r="E19" s="10"/>
      <c r="F19" s="10"/>
      <c r="G19" s="10"/>
      <c r="H19" s="10"/>
      <c r="J19" s="8" t="s">
        <v>43</v>
      </c>
      <c r="K19" s="14"/>
    </row>
    <row r="20" spans="2:11" x14ac:dyDescent="0.3">
      <c r="B20" s="23"/>
      <c r="C20" s="10" t="s">
        <v>79</v>
      </c>
      <c r="D20" s="13"/>
      <c r="E20" s="10"/>
      <c r="F20" s="10"/>
      <c r="G20" s="10"/>
      <c r="H20" s="10"/>
      <c r="J20" s="8"/>
      <c r="K20" s="14"/>
    </row>
    <row r="21" spans="2:11" x14ac:dyDescent="0.3">
      <c r="B21" s="23"/>
      <c r="C21" s="25" t="s">
        <v>80</v>
      </c>
      <c r="D21" s="15">
        <v>6400</v>
      </c>
      <c r="E21" s="15">
        <v>6400</v>
      </c>
      <c r="F21" s="15">
        <v>6400</v>
      </c>
      <c r="G21" s="15">
        <v>6400</v>
      </c>
      <c r="H21" s="15">
        <v>6400</v>
      </c>
      <c r="I21" s="15"/>
      <c r="J21" s="15">
        <f>SUM(D21:I21)</f>
        <v>32000</v>
      </c>
      <c r="K21" s="14"/>
    </row>
    <row r="22" spans="2:11" x14ac:dyDescent="0.3">
      <c r="B22" s="23"/>
      <c r="C22" s="25" t="s">
        <v>81</v>
      </c>
      <c r="D22" s="15">
        <v>5360</v>
      </c>
      <c r="E22" s="15">
        <v>5360</v>
      </c>
      <c r="F22" s="15">
        <v>5360</v>
      </c>
      <c r="G22" s="15">
        <v>5360</v>
      </c>
      <c r="H22" s="15">
        <v>5360</v>
      </c>
      <c r="I22" s="15"/>
      <c r="J22" s="15">
        <f>SUM(D22:I22)</f>
        <v>26800</v>
      </c>
      <c r="K22" s="14"/>
    </row>
    <row r="23" spans="2:11" x14ac:dyDescent="0.3">
      <c r="B23" s="23"/>
      <c r="C23" s="25" t="s">
        <v>82</v>
      </c>
      <c r="D23" s="15">
        <v>17120</v>
      </c>
      <c r="E23" s="15">
        <v>17120</v>
      </c>
      <c r="F23" s="15">
        <v>17120</v>
      </c>
      <c r="G23" s="15">
        <v>17120</v>
      </c>
      <c r="H23" s="15">
        <v>17120</v>
      </c>
      <c r="J23" s="15">
        <f>SUM(D23:H23)</f>
        <v>85600</v>
      </c>
      <c r="K23" s="29"/>
    </row>
    <row r="24" spans="2:11" x14ac:dyDescent="0.3">
      <c r="B24" s="23"/>
      <c r="C24" s="9" t="s">
        <v>14</v>
      </c>
      <c r="D24" s="86">
        <f>SUM(D21:D23)</f>
        <v>28880</v>
      </c>
      <c r="E24" s="86">
        <f>SUM(E21:E23)</f>
        <v>28880</v>
      </c>
      <c r="F24" s="86">
        <f>SUM(F21:F23)</f>
        <v>28880</v>
      </c>
      <c r="G24" s="86">
        <f>SUM(G21:G23)</f>
        <v>28880</v>
      </c>
      <c r="H24" s="86">
        <f>SUM(H21:H23)</f>
        <v>28880</v>
      </c>
      <c r="J24" s="16">
        <f>SUM(J21:J23)</f>
        <v>144400</v>
      </c>
      <c r="K24" s="9"/>
    </row>
    <row r="25" spans="2:11" x14ac:dyDescent="0.3">
      <c r="B25" s="23"/>
      <c r="C25" s="14" t="s">
        <v>49</v>
      </c>
      <c r="D25" s="15"/>
      <c r="E25" s="10"/>
      <c r="F25" s="10"/>
      <c r="G25" s="10"/>
      <c r="H25" s="10"/>
      <c r="J25" s="15" t="s">
        <v>20</v>
      </c>
      <c r="K25" s="14"/>
    </row>
    <row r="26" spans="2:11" x14ac:dyDescent="0.3">
      <c r="B26" s="23"/>
      <c r="C26" s="25" t="s">
        <v>83</v>
      </c>
      <c r="D26" s="15"/>
      <c r="E26" s="10"/>
      <c r="F26" s="10"/>
      <c r="G26" s="10"/>
      <c r="H26" s="10"/>
      <c r="J26" s="15">
        <f>SUM(D26:H26)</f>
        <v>0</v>
      </c>
      <c r="K26" s="25"/>
    </row>
    <row r="27" spans="2:11" x14ac:dyDescent="0.3">
      <c r="B27" s="23"/>
      <c r="C27" s="9" t="s">
        <v>15</v>
      </c>
      <c r="D27" s="12">
        <f>SUM(D26:D26)</f>
        <v>0</v>
      </c>
      <c r="E27" s="12">
        <f>SUM(E26:E26)</f>
        <v>0</v>
      </c>
      <c r="F27" s="12">
        <f>SUM(F26:F26)</f>
        <v>0</v>
      </c>
      <c r="G27" s="12">
        <f>SUM(G26:G26)</f>
        <v>0</v>
      </c>
      <c r="H27" s="12">
        <f>SUM(H26:H26)</f>
        <v>0</v>
      </c>
      <c r="J27" s="16">
        <f>SUM(J26:J26)</f>
        <v>0</v>
      </c>
      <c r="K27" s="9"/>
    </row>
    <row r="28" spans="2:11" x14ac:dyDescent="0.3">
      <c r="B28" s="23"/>
      <c r="C28" s="14" t="s">
        <v>51</v>
      </c>
      <c r="D28" s="13" t="s">
        <v>43</v>
      </c>
      <c r="E28" s="10"/>
      <c r="F28" s="10"/>
      <c r="G28" s="10"/>
      <c r="H28" s="10"/>
      <c r="J28" s="15"/>
      <c r="K28" s="14"/>
    </row>
    <row r="29" spans="2:11" x14ac:dyDescent="0.3">
      <c r="B29" s="23"/>
      <c r="C29" s="10" t="s">
        <v>84</v>
      </c>
      <c r="D29" s="106"/>
      <c r="E29" s="107"/>
      <c r="F29" s="107"/>
      <c r="G29" s="107"/>
      <c r="H29" s="107"/>
      <c r="J29" s="15"/>
      <c r="K29" s="14"/>
    </row>
    <row r="30" spans="2:11" x14ac:dyDescent="0.3">
      <c r="B30" s="23"/>
      <c r="C30" s="25" t="s">
        <v>85</v>
      </c>
      <c r="D30" s="15">
        <v>30000</v>
      </c>
      <c r="E30" s="15">
        <v>30000</v>
      </c>
      <c r="F30" s="15">
        <v>30000</v>
      </c>
      <c r="G30" s="15">
        <v>30000</v>
      </c>
      <c r="H30" s="15">
        <v>30000</v>
      </c>
      <c r="J30" s="15">
        <f>SUM(D30:I30)</f>
        <v>150000</v>
      </c>
      <c r="K30" s="14"/>
    </row>
    <row r="31" spans="2:11" x14ac:dyDescent="0.3">
      <c r="B31" s="23"/>
      <c r="C31" s="25" t="s">
        <v>86</v>
      </c>
      <c r="D31" s="15">
        <v>8000</v>
      </c>
      <c r="E31" s="15">
        <v>8000</v>
      </c>
      <c r="F31" s="15">
        <v>8000</v>
      </c>
      <c r="G31" s="15">
        <v>8000</v>
      </c>
      <c r="H31" s="15">
        <v>8000</v>
      </c>
      <c r="J31" s="15">
        <f>SUM(D31:I31)</f>
        <v>40000</v>
      </c>
      <c r="K31" s="14"/>
    </row>
    <row r="32" spans="2:11" ht="15.75" customHeight="1" x14ac:dyDescent="0.3">
      <c r="B32" s="23"/>
      <c r="C32" s="25" t="s">
        <v>87</v>
      </c>
      <c r="D32" s="83">
        <v>7000</v>
      </c>
      <c r="E32" s="83">
        <v>7000</v>
      </c>
      <c r="F32" s="83">
        <v>7000</v>
      </c>
      <c r="G32" s="83">
        <v>7000</v>
      </c>
      <c r="H32" s="83">
        <v>7000</v>
      </c>
      <c r="I32" s="35">
        <v>5000</v>
      </c>
      <c r="J32" s="15">
        <f>SUM(D32:H32)</f>
        <v>35000</v>
      </c>
      <c r="K32" s="25"/>
    </row>
    <row r="33" spans="2:14" x14ac:dyDescent="0.3">
      <c r="B33" s="23"/>
      <c r="C33" s="84" t="s">
        <v>88</v>
      </c>
      <c r="D33" s="85">
        <v>18000</v>
      </c>
      <c r="E33" s="85">
        <v>18000</v>
      </c>
      <c r="F33" s="85">
        <v>18000</v>
      </c>
      <c r="G33" s="85">
        <v>18000</v>
      </c>
      <c r="H33" s="85">
        <v>18000</v>
      </c>
      <c r="J33" s="15">
        <f>SUM(D33:H33)</f>
        <v>90000</v>
      </c>
      <c r="K33" s="25"/>
    </row>
    <row r="34" spans="2:14" x14ac:dyDescent="0.3">
      <c r="B34" s="23"/>
      <c r="C34" s="9" t="s">
        <v>16</v>
      </c>
      <c r="D34" s="16">
        <f>SUM(D32:D33)</f>
        <v>25000</v>
      </c>
      <c r="E34" s="16">
        <f>SUM(E32:E33)</f>
        <v>25000</v>
      </c>
      <c r="F34" s="16">
        <f>SUM(F32:F33)</f>
        <v>25000</v>
      </c>
      <c r="G34" s="16">
        <f>SUM(G32:G33)</f>
        <v>25000</v>
      </c>
      <c r="H34" s="16">
        <f>SUM(H32:H33)</f>
        <v>25000</v>
      </c>
      <c r="J34" s="16">
        <f>SUM(J32:J33)</f>
        <v>125000</v>
      </c>
      <c r="K34" s="9"/>
    </row>
    <row r="35" spans="2:14" x14ac:dyDescent="0.3">
      <c r="B35" s="23"/>
      <c r="C35" s="14" t="s">
        <v>54</v>
      </c>
      <c r="D35" s="13" t="s">
        <v>43</v>
      </c>
      <c r="E35" s="10"/>
      <c r="F35" s="10"/>
      <c r="G35" s="10"/>
      <c r="H35" s="10"/>
      <c r="J35" s="15"/>
      <c r="K35" s="14"/>
    </row>
    <row r="36" spans="2:14" x14ac:dyDescent="0.3">
      <c r="B36" s="23"/>
      <c r="C36" s="81" t="s">
        <v>89</v>
      </c>
      <c r="D36" s="83">
        <v>750000</v>
      </c>
      <c r="E36" s="83">
        <v>150000</v>
      </c>
      <c r="F36" s="82" t="s">
        <v>43</v>
      </c>
      <c r="G36" s="82" t="s">
        <v>43</v>
      </c>
      <c r="H36" s="82" t="s">
        <v>43</v>
      </c>
      <c r="I36" s="35"/>
      <c r="J36" s="15">
        <f>SUM(D36:H36)</f>
        <v>900000</v>
      </c>
      <c r="K36" s="25"/>
    </row>
    <row r="37" spans="2:14" ht="28.8" x14ac:dyDescent="0.3">
      <c r="B37" s="23"/>
      <c r="C37" s="84" t="s">
        <v>90</v>
      </c>
      <c r="D37" s="85">
        <v>70000</v>
      </c>
      <c r="E37" s="85">
        <v>70000</v>
      </c>
      <c r="F37" s="85">
        <v>70000</v>
      </c>
      <c r="G37" s="85">
        <v>70000</v>
      </c>
      <c r="H37" s="85">
        <v>70000</v>
      </c>
      <c r="I37" s="35"/>
      <c r="J37" s="15">
        <f>SUM(D37:I37)</f>
        <v>350000</v>
      </c>
      <c r="K37" s="25"/>
    </row>
    <row r="38" spans="2:14" x14ac:dyDescent="0.3">
      <c r="B38" s="23"/>
      <c r="C38" s="84" t="s">
        <v>91</v>
      </c>
      <c r="D38" s="85">
        <v>70000</v>
      </c>
      <c r="E38" s="85">
        <v>70000</v>
      </c>
      <c r="F38" s="85">
        <v>70000</v>
      </c>
      <c r="G38" s="85">
        <v>70000</v>
      </c>
      <c r="H38" s="85">
        <v>70000</v>
      </c>
      <c r="I38" s="35"/>
      <c r="J38" s="15">
        <f>SUM(D38:H38)</f>
        <v>350000</v>
      </c>
      <c r="K38" s="25"/>
    </row>
    <row r="39" spans="2:14" x14ac:dyDescent="0.3">
      <c r="B39" s="23"/>
      <c r="C39" s="9" t="s">
        <v>17</v>
      </c>
      <c r="D39" s="16">
        <f>SUM(D36:D38)</f>
        <v>890000</v>
      </c>
      <c r="E39" s="16">
        <f>SUM(E36:E38)</f>
        <v>290000</v>
      </c>
      <c r="F39" s="16">
        <f>SUM(F36:F38)</f>
        <v>140000</v>
      </c>
      <c r="G39" s="16">
        <f>SUM(G36:G38)</f>
        <v>140000</v>
      </c>
      <c r="H39" s="16">
        <f>SUM(H36:H38)</f>
        <v>140000</v>
      </c>
      <c r="J39" s="16">
        <f>SUM(J36:J38)</f>
        <v>1600000</v>
      </c>
      <c r="K39" s="70"/>
    </row>
    <row r="40" spans="2:14" x14ac:dyDescent="0.3">
      <c r="B40" s="23"/>
      <c r="C40" s="14" t="s">
        <v>63</v>
      </c>
      <c r="D40" s="13" t="s">
        <v>43</v>
      </c>
      <c r="E40" s="10"/>
      <c r="F40" s="10"/>
      <c r="G40" s="10"/>
      <c r="H40" s="10"/>
      <c r="J40" s="15"/>
      <c r="K40" s="25"/>
    </row>
    <row r="41" spans="2:14" x14ac:dyDescent="0.3">
      <c r="B41" s="23"/>
      <c r="C41" s="81" t="s">
        <v>92</v>
      </c>
      <c r="D41" s="82" t="s">
        <v>43</v>
      </c>
      <c r="E41" s="83">
        <v>2500000</v>
      </c>
      <c r="F41" s="83">
        <v>2500000</v>
      </c>
      <c r="G41" s="82" t="s">
        <v>43</v>
      </c>
      <c r="H41" s="82" t="s">
        <v>43</v>
      </c>
      <c r="I41" s="35">
        <v>375000</v>
      </c>
      <c r="J41" s="15">
        <f t="shared" ref="J41" si="11">SUM(D41:H41)</f>
        <v>5000000</v>
      </c>
      <c r="K41" s="25"/>
    </row>
    <row r="42" spans="2:14" x14ac:dyDescent="0.3">
      <c r="B42" s="24"/>
      <c r="C42" s="9" t="s">
        <v>18</v>
      </c>
      <c r="D42" s="16">
        <f>SUM(D41:D41)</f>
        <v>0</v>
      </c>
      <c r="E42" s="16">
        <f>SUM(E41:E41)</f>
        <v>2500000</v>
      </c>
      <c r="F42" s="16">
        <f>SUM(F41:F41)</f>
        <v>2500000</v>
      </c>
      <c r="G42" s="16">
        <f>SUM(G41:G41)</f>
        <v>0</v>
      </c>
      <c r="H42" s="16">
        <f>SUM(H41:H41)</f>
        <v>0</v>
      </c>
      <c r="J42" s="16">
        <f>SUM(J41:J41)</f>
        <v>5000000</v>
      </c>
      <c r="K42" s="71"/>
    </row>
    <row r="43" spans="2:14" x14ac:dyDescent="0.3">
      <c r="B43" s="24"/>
      <c r="C43" s="9" t="s">
        <v>19</v>
      </c>
      <c r="D43" s="16">
        <f>SUM(D42,D39,D34,D27,D24,D18,D12)</f>
        <v>1421360</v>
      </c>
      <c r="E43" s="16">
        <f>SUM(E42,E39,E34,E27,E24,E18,E12)</f>
        <v>3326234.32</v>
      </c>
      <c r="F43" s="16">
        <f>SUM(F42,F39,F34,F27,F24,F18,F12)</f>
        <v>3188608.3096000003</v>
      </c>
      <c r="G43" s="16">
        <f>SUM(G42,G39,G34,G27,G24,G18,G12)</f>
        <v>701353.51888799993</v>
      </c>
      <c r="H43" s="16">
        <f>SUM(H42,H39,H34,H27,H24,H18,H12)</f>
        <v>714481.08445464005</v>
      </c>
      <c r="J43" s="16">
        <f>SUM(D43:H43)</f>
        <v>9352037.2329426408</v>
      </c>
      <c r="K43" s="72"/>
      <c r="N43" s="34"/>
    </row>
    <row r="44" spans="2:14" x14ac:dyDescent="0.3">
      <c r="B44" s="6"/>
      <c r="D44"/>
      <c r="E44"/>
      <c r="H44"/>
      <c r="I44"/>
      <c r="J44" t="s">
        <v>20</v>
      </c>
      <c r="K44" s="25"/>
    </row>
    <row r="45" spans="2:14" x14ac:dyDescent="0.3">
      <c r="B45" s="22" t="s">
        <v>64</v>
      </c>
      <c r="C45" s="17" t="s">
        <v>64</v>
      </c>
      <c r="D45" s="18"/>
      <c r="E45" s="18"/>
      <c r="F45" s="18"/>
      <c r="G45" s="18"/>
      <c r="H45" s="18"/>
      <c r="I45"/>
      <c r="J45" s="18" t="s">
        <v>20</v>
      </c>
      <c r="K45" s="25"/>
    </row>
    <row r="46" spans="2:14" x14ac:dyDescent="0.3">
      <c r="B46" s="23"/>
      <c r="C46" s="81" t="s">
        <v>93</v>
      </c>
      <c r="D46" s="87">
        <f>(D12+D18+D24+D27+D34+D39)*0.0885</f>
        <v>125790.36</v>
      </c>
      <c r="E46" s="87">
        <f>(E12+E18+E24+E27+E34+E39)*0.0885</f>
        <v>73121.73732</v>
      </c>
      <c r="F46" s="105">
        <f>(F12+F18+F24+F27+F34+F39)*0.0885</f>
        <v>60941.835399600001</v>
      </c>
      <c r="G46" s="105">
        <f>(G12+G18+G24+G27+G34+G39)*0.0885</f>
        <v>62069.786421587989</v>
      </c>
      <c r="H46" s="105">
        <f>(H12+H18+H24+H27+H34+H39)*0.0885</f>
        <v>63231.575974235639</v>
      </c>
      <c r="J46" s="73">
        <f>SUM(D46:H46)</f>
        <v>385155.29511542368</v>
      </c>
      <c r="K46" s="18"/>
    </row>
    <row r="47" spans="2:14" x14ac:dyDescent="0.3">
      <c r="B47" s="24"/>
      <c r="C47" s="9" t="s">
        <v>21</v>
      </c>
      <c r="D47" s="16">
        <f>D46</f>
        <v>125790.36</v>
      </c>
      <c r="E47" s="16">
        <f>E46</f>
        <v>73121.73732</v>
      </c>
      <c r="F47" s="16">
        <f>F46</f>
        <v>60941.835399600001</v>
      </c>
      <c r="G47" s="16">
        <f>G46</f>
        <v>62069.786421587989</v>
      </c>
      <c r="H47" s="16">
        <f>H46</f>
        <v>63231.575974235639</v>
      </c>
      <c r="J47" s="74">
        <f>SUM(D47:H47)</f>
        <v>385155.29511542368</v>
      </c>
      <c r="K47" s="76"/>
    </row>
    <row r="48" spans="2:14" ht="15" thickBot="1" x14ac:dyDescent="0.35">
      <c r="B48" s="6"/>
      <c r="D48"/>
      <c r="E48"/>
      <c r="H48"/>
      <c r="I48"/>
      <c r="J48" t="s">
        <v>20</v>
      </c>
      <c r="K48" s="18"/>
    </row>
    <row r="49" spans="2:11" s="1" customFormat="1" ht="28.8" x14ac:dyDescent="0.3">
      <c r="B49" s="19" t="s">
        <v>22</v>
      </c>
      <c r="C49" s="19"/>
      <c r="D49" s="20">
        <f t="shared" ref="D49:I49" si="12">SUM(D47,D43)</f>
        <v>1547150.36</v>
      </c>
      <c r="E49" s="20">
        <f t="shared" si="12"/>
        <v>3399356.0573199997</v>
      </c>
      <c r="F49" s="20">
        <f t="shared" si="12"/>
        <v>3249550.1449996005</v>
      </c>
      <c r="G49" s="20">
        <f t="shared" si="12"/>
        <v>763423.30530958797</v>
      </c>
      <c r="H49" s="20">
        <f t="shared" si="12"/>
        <v>777712.66042887571</v>
      </c>
      <c r="I49" s="7">
        <f t="shared" si="12"/>
        <v>0</v>
      </c>
      <c r="J49" s="75">
        <f>SUM(J47,J43)</f>
        <v>9737192.5280580651</v>
      </c>
      <c r="K49" s="18"/>
    </row>
    <row r="50" spans="2:11" x14ac:dyDescent="0.3">
      <c r="B50" s="6"/>
    </row>
    <row r="51" spans="2:11" x14ac:dyDescent="0.3">
      <c r="B51" s="6"/>
    </row>
    <row r="52" spans="2:11" x14ac:dyDescent="0.3">
      <c r="B52" s="6"/>
    </row>
    <row r="53" spans="2:11" x14ac:dyDescent="0.3">
      <c r="B53" s="6"/>
    </row>
    <row r="54" spans="2:11" x14ac:dyDescent="0.3">
      <c r="B54" s="6"/>
    </row>
    <row r="55" spans="2:11" x14ac:dyDescent="0.3">
      <c r="B55" s="6"/>
    </row>
    <row r="56" spans="2:11" x14ac:dyDescent="0.3">
      <c r="B56" s="6"/>
    </row>
    <row r="57" spans="2:11" x14ac:dyDescent="0.3">
      <c r="B57" s="6"/>
    </row>
    <row r="58" spans="2:11" x14ac:dyDescent="0.3">
      <c r="B58" s="6"/>
    </row>
    <row r="59" spans="2:11" x14ac:dyDescent="0.3">
      <c r="B59" s="6"/>
    </row>
    <row r="60" spans="2:11" x14ac:dyDescent="0.3">
      <c r="B60" s="6"/>
    </row>
    <row r="61" spans="2:11" x14ac:dyDescent="0.3">
      <c r="B61" s="6"/>
    </row>
    <row r="62" spans="2:11" x14ac:dyDescent="0.3">
      <c r="B62" s="6"/>
    </row>
    <row r="63" spans="2:11" x14ac:dyDescent="0.3">
      <c r="B63" s="6"/>
    </row>
    <row r="64" spans="2:11" x14ac:dyDescent="0.3">
      <c r="B64" s="6"/>
    </row>
  </sheetData>
  <pageMargins left="0.7" right="0.7" top="0.75" bottom="0.75" header="0.3" footer="0.3"/>
  <pageSetup scale="89" fitToHeight="0" orientation="landscape" r:id="rId1"/>
  <ignoredErrors>
    <ignoredError sqref="J4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10" activePane="bottomRight" state="frozen"/>
      <selection pane="topRight" activeCell="R20" sqref="R20:W20"/>
      <selection pane="bottomLeft" activeCell="R20" sqref="R20:W20"/>
      <selection pane="bottomRight" activeCell="I12" sqref="I12"/>
    </sheetView>
  </sheetViews>
  <sheetFormatPr defaultColWidth="9.109375" defaultRowHeight="14.4" x14ac:dyDescent="0.3"/>
  <cols>
    <col min="1" max="1" width="3.109375" customWidth="1"/>
    <col min="2" max="2" width="10.6640625" customWidth="1"/>
    <col min="3" max="3" width="45.554687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2.109375" style="7" customWidth="1"/>
    <col min="10" max="10" width="13.5546875" customWidth="1"/>
    <col min="11" max="11" width="105.44140625" customWidth="1"/>
    <col min="13" max="13" width="11.6640625" customWidth="1"/>
  </cols>
  <sheetData>
    <row r="2" spans="2:39" ht="23.4" x14ac:dyDescent="0.45">
      <c r="B2" s="30" t="s">
        <v>38</v>
      </c>
    </row>
    <row r="3" spans="2:39" x14ac:dyDescent="0.3">
      <c r="B3" s="56" t="s">
        <v>39</v>
      </c>
    </row>
    <row r="4" spans="2:39" x14ac:dyDescent="0.3">
      <c r="B4" s="5"/>
    </row>
    <row r="5" spans="2:39" ht="18" x14ac:dyDescent="0.35">
      <c r="B5" s="36" t="s">
        <v>40</v>
      </c>
      <c r="C5" s="37"/>
      <c r="D5" s="37"/>
      <c r="E5" s="37"/>
      <c r="F5" s="37"/>
      <c r="G5" s="37"/>
      <c r="H5" s="37"/>
      <c r="I5" s="37"/>
      <c r="J5" s="38"/>
      <c r="K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K6" s="43" t="s">
        <v>41</v>
      </c>
    </row>
    <row r="7" spans="2:39" s="5" customFormat="1" x14ac:dyDescent="0.3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 s="26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94</v>
      </c>
      <c r="D8" s="79">
        <v>79040</v>
      </c>
      <c r="E8" s="79">
        <f>D8*1.002</f>
        <v>79198.080000000002</v>
      </c>
      <c r="F8" s="79">
        <f>E8*1.002</f>
        <v>79356.476160000006</v>
      </c>
      <c r="G8" s="79">
        <f t="shared" ref="G8:H8" si="0">F8*1.002</f>
        <v>79515.189112320004</v>
      </c>
      <c r="H8" s="79">
        <f t="shared" si="0"/>
        <v>79674.219490544638</v>
      </c>
      <c r="I8" s="35"/>
      <c r="J8" s="15">
        <f>SUM(D8:H8)</f>
        <v>396783.96476286469</v>
      </c>
      <c r="K8" s="25" t="s">
        <v>95</v>
      </c>
    </row>
    <row r="9" spans="2:39" x14ac:dyDescent="0.3">
      <c r="B9" s="23"/>
      <c r="C9" s="25" t="s">
        <v>96</v>
      </c>
      <c r="D9" s="15">
        <v>70720</v>
      </c>
      <c r="E9" s="79">
        <f t="shared" ref="E9:E10" si="1">D9*1.002</f>
        <v>70861.440000000002</v>
      </c>
      <c r="F9" s="79">
        <f t="shared" ref="F9:H9" si="2">E9*1.002</f>
        <v>71003.162880000003</v>
      </c>
      <c r="G9" s="79">
        <f t="shared" si="2"/>
        <v>71145.169205760001</v>
      </c>
      <c r="H9" s="79">
        <f t="shared" si="2"/>
        <v>71287.459544171521</v>
      </c>
      <c r="J9" s="15">
        <f>SUM(D9:H9)</f>
        <v>355017.23162993154</v>
      </c>
      <c r="K9" s="25" t="s">
        <v>97</v>
      </c>
    </row>
    <row r="10" spans="2:39" x14ac:dyDescent="0.3">
      <c r="B10" s="23"/>
      <c r="C10" s="25" t="s">
        <v>96</v>
      </c>
      <c r="D10" s="15">
        <v>70720</v>
      </c>
      <c r="E10" s="79">
        <f t="shared" si="1"/>
        <v>70861.440000000002</v>
      </c>
      <c r="F10" s="79">
        <f t="shared" ref="F10:H10" si="3">E10*1.002</f>
        <v>71003.162880000003</v>
      </c>
      <c r="G10" s="79">
        <f t="shared" si="3"/>
        <v>71145.169205760001</v>
      </c>
      <c r="H10" s="79">
        <f t="shared" si="3"/>
        <v>71287.459544171521</v>
      </c>
      <c r="J10" s="15">
        <f>SUM(D10:H10)</f>
        <v>355017.23162993154</v>
      </c>
      <c r="K10" s="25" t="s">
        <v>97</v>
      </c>
    </row>
    <row r="11" spans="2:39" x14ac:dyDescent="0.3">
      <c r="B11" s="23"/>
      <c r="C11" s="9" t="s">
        <v>12</v>
      </c>
      <c r="D11" s="16">
        <f>SUM(D8:D10)</f>
        <v>220480</v>
      </c>
      <c r="E11" s="16">
        <f>SUM(E8:E10)</f>
        <v>220920.96000000002</v>
      </c>
      <c r="F11" s="16">
        <f>SUM(F8:F10)</f>
        <v>221362.80192</v>
      </c>
      <c r="G11" s="16">
        <f>SUM(G8:G10)</f>
        <v>221805.52752384002</v>
      </c>
      <c r="H11" s="16">
        <f>SUM(H8:H10)</f>
        <v>222249.13857888768</v>
      </c>
      <c r="I11" s="35"/>
      <c r="J11" s="16">
        <f>SUM(J8:J10)</f>
        <v>1106818.4280227278</v>
      </c>
      <c r="K11" s="9"/>
    </row>
    <row r="12" spans="2:39" x14ac:dyDescent="0.3">
      <c r="B12" s="23"/>
      <c r="C12" s="14" t="s">
        <v>74</v>
      </c>
      <c r="D12" s="13" t="s">
        <v>43</v>
      </c>
      <c r="E12" s="10"/>
      <c r="F12" s="10"/>
      <c r="G12" s="10"/>
      <c r="H12" s="10"/>
      <c r="J12" s="8" t="s">
        <v>43</v>
      </c>
      <c r="K12" s="14"/>
    </row>
    <row r="13" spans="2:39" x14ac:dyDescent="0.3">
      <c r="B13" s="23"/>
      <c r="C13" s="25" t="s">
        <v>94</v>
      </c>
      <c r="D13" s="15">
        <f t="shared" ref="D13:H15" si="4">D8*0.4</f>
        <v>31616</v>
      </c>
      <c r="E13" s="15">
        <f t="shared" si="4"/>
        <v>31679.232000000004</v>
      </c>
      <c r="F13" s="15">
        <f t="shared" si="4"/>
        <v>31742.590464000004</v>
      </c>
      <c r="G13" s="15">
        <f t="shared" si="4"/>
        <v>31806.075644928002</v>
      </c>
      <c r="H13" s="15">
        <f t="shared" si="4"/>
        <v>31869.687796217855</v>
      </c>
      <c r="J13" s="15">
        <f>SUM(D13:H13)</f>
        <v>158713.58590514585</v>
      </c>
      <c r="K13" s="25" t="s">
        <v>47</v>
      </c>
    </row>
    <row r="14" spans="2:39" x14ac:dyDescent="0.3">
      <c r="B14" s="23"/>
      <c r="C14" s="25" t="s">
        <v>96</v>
      </c>
      <c r="D14" s="15">
        <f t="shared" si="4"/>
        <v>28288</v>
      </c>
      <c r="E14" s="15">
        <f t="shared" si="4"/>
        <v>28344.576000000001</v>
      </c>
      <c r="F14" s="15">
        <f t="shared" si="4"/>
        <v>28401.265152000004</v>
      </c>
      <c r="G14" s="15">
        <f t="shared" si="4"/>
        <v>28458.067682304001</v>
      </c>
      <c r="H14" s="15">
        <f t="shared" si="4"/>
        <v>28514.98381766861</v>
      </c>
      <c r="J14" s="15">
        <f t="shared" ref="J14:J15" si="5">SUM(D14:H14)</f>
        <v>142006.89265197262</v>
      </c>
      <c r="K14" s="25" t="s">
        <v>47</v>
      </c>
    </row>
    <row r="15" spans="2:39" x14ac:dyDescent="0.3">
      <c r="B15" s="23"/>
      <c r="C15" s="63" t="s">
        <v>96</v>
      </c>
      <c r="D15" s="15">
        <f t="shared" si="4"/>
        <v>28288</v>
      </c>
      <c r="E15" s="15">
        <f t="shared" si="4"/>
        <v>28344.576000000001</v>
      </c>
      <c r="F15" s="15">
        <f t="shared" si="4"/>
        <v>28401.265152000004</v>
      </c>
      <c r="G15" s="15">
        <f t="shared" si="4"/>
        <v>28458.067682304001</v>
      </c>
      <c r="H15" s="15">
        <f t="shared" si="4"/>
        <v>28514.98381766861</v>
      </c>
      <c r="J15" s="15">
        <f t="shared" si="5"/>
        <v>142006.89265197262</v>
      </c>
      <c r="K15" s="25" t="s">
        <v>47</v>
      </c>
    </row>
    <row r="16" spans="2:39" x14ac:dyDescent="0.3">
      <c r="B16" s="23"/>
      <c r="C16" s="9" t="s">
        <v>13</v>
      </c>
      <c r="D16" s="16">
        <f>SUM(D13:D15)</f>
        <v>88192</v>
      </c>
      <c r="E16" s="16">
        <f>SUM(E13:E15)</f>
        <v>88368.384000000005</v>
      </c>
      <c r="F16" s="16">
        <f>SUM(F13:F15)</f>
        <v>88545.120768000008</v>
      </c>
      <c r="G16" s="16">
        <f>SUM(G13:G15)</f>
        <v>88722.211009535997</v>
      </c>
      <c r="H16" s="16">
        <f>SUM(H13:H15)</f>
        <v>88899.655431555075</v>
      </c>
      <c r="J16" s="16">
        <f>SUM(J13:J15)</f>
        <v>442727.37120909104</v>
      </c>
      <c r="K16" s="9"/>
    </row>
    <row r="17" spans="2:11" x14ac:dyDescent="0.3">
      <c r="B17" s="23"/>
      <c r="C17" s="14" t="s">
        <v>48</v>
      </c>
      <c r="D17" s="13" t="s">
        <v>43</v>
      </c>
      <c r="E17" s="10"/>
      <c r="F17" s="10"/>
      <c r="G17" s="10"/>
      <c r="H17" s="10"/>
      <c r="J17" s="8" t="s">
        <v>43</v>
      </c>
      <c r="K17" s="14"/>
    </row>
    <row r="18" spans="2:11" x14ac:dyDescent="0.3">
      <c r="B18" s="23"/>
      <c r="C18" s="10" t="s">
        <v>98</v>
      </c>
      <c r="D18" s="13"/>
      <c r="E18" s="10"/>
      <c r="F18" s="10"/>
      <c r="G18" s="10"/>
      <c r="H18" s="10"/>
      <c r="J18" s="15">
        <f t="shared" ref="J18" si="6">SUM(D18:H18)</f>
        <v>0</v>
      </c>
      <c r="K18" s="29"/>
    </row>
    <row r="19" spans="2:11" x14ac:dyDescent="0.3">
      <c r="B19" s="23"/>
      <c r="C19" s="25" t="s">
        <v>99</v>
      </c>
      <c r="D19" s="80">
        <v>48000</v>
      </c>
      <c r="E19" s="80">
        <v>48000</v>
      </c>
      <c r="F19" s="80">
        <v>48000</v>
      </c>
      <c r="G19" s="80">
        <v>48000</v>
      </c>
      <c r="H19" s="80">
        <v>48000</v>
      </c>
      <c r="J19" s="15">
        <f>SUM(D19:H19)</f>
        <v>240000</v>
      </c>
      <c r="K19" s="29"/>
    </row>
    <row r="20" spans="2:11" x14ac:dyDescent="0.3">
      <c r="B20" s="23"/>
      <c r="C20" s="25" t="s">
        <v>100</v>
      </c>
      <c r="D20" s="15">
        <v>5025</v>
      </c>
      <c r="E20" s="15">
        <v>5025</v>
      </c>
      <c r="F20" s="15">
        <v>5025</v>
      </c>
      <c r="G20" s="15">
        <v>5025</v>
      </c>
      <c r="H20" s="15">
        <v>5025</v>
      </c>
      <c r="I20" s="35"/>
      <c r="J20" s="15">
        <f>SUM(D20:H20)</f>
        <v>25125</v>
      </c>
      <c r="K20" s="29"/>
    </row>
    <row r="21" spans="2:11" x14ac:dyDescent="0.3">
      <c r="B21" s="23"/>
      <c r="C21" s="25" t="s">
        <v>101</v>
      </c>
      <c r="D21" s="15">
        <v>16050</v>
      </c>
      <c r="E21" s="15">
        <v>16050</v>
      </c>
      <c r="F21" s="15">
        <v>16050</v>
      </c>
      <c r="G21" s="15">
        <v>16050</v>
      </c>
      <c r="H21" s="15">
        <v>16050</v>
      </c>
      <c r="I21" s="35"/>
      <c r="J21" s="15">
        <f>SUM(D21:H21)</f>
        <v>80250</v>
      </c>
      <c r="K21" s="25"/>
    </row>
    <row r="22" spans="2:11" x14ac:dyDescent="0.3">
      <c r="B22" s="23"/>
      <c r="C22" s="25"/>
      <c r="D22" s="15"/>
      <c r="E22" s="15"/>
      <c r="F22" s="15"/>
      <c r="G22" s="15"/>
      <c r="H22" s="15"/>
      <c r="I22" s="35"/>
      <c r="J22" s="15">
        <f t="shared" ref="J22:J26" si="7">SUM(D22:H22)</f>
        <v>0</v>
      </c>
      <c r="K22" s="29"/>
    </row>
    <row r="23" spans="2:11" x14ac:dyDescent="0.3">
      <c r="B23" s="23"/>
      <c r="C23" s="29"/>
      <c r="D23" s="15"/>
      <c r="E23" s="15"/>
      <c r="F23" s="15"/>
      <c r="G23" s="15"/>
      <c r="H23" s="15"/>
      <c r="I23" s="35"/>
      <c r="J23" s="15">
        <f t="shared" si="7"/>
        <v>0</v>
      </c>
      <c r="K23" s="29"/>
    </row>
    <row r="24" spans="2:11" x14ac:dyDescent="0.3">
      <c r="B24" s="23"/>
      <c r="C24" s="29"/>
      <c r="D24" s="15"/>
      <c r="E24" s="15"/>
      <c r="F24" s="15"/>
      <c r="G24" s="15"/>
      <c r="H24" s="15"/>
      <c r="I24" s="35"/>
      <c r="J24" s="15">
        <f t="shared" si="7"/>
        <v>0</v>
      </c>
      <c r="K24" s="29"/>
    </row>
    <row r="25" spans="2:11" x14ac:dyDescent="0.3">
      <c r="B25" s="23"/>
      <c r="C25" s="29"/>
      <c r="D25" s="15"/>
      <c r="E25" s="15"/>
      <c r="F25" s="15"/>
      <c r="G25" s="15"/>
      <c r="H25" s="15"/>
      <c r="I25" s="35"/>
      <c r="J25" s="15">
        <f t="shared" si="7"/>
        <v>0</v>
      </c>
      <c r="K25" s="29"/>
    </row>
    <row r="26" spans="2:11" x14ac:dyDescent="0.3">
      <c r="B26" s="23"/>
      <c r="C26" s="25"/>
      <c r="D26" s="15"/>
      <c r="E26" s="15"/>
      <c r="F26" s="15"/>
      <c r="G26" s="15"/>
      <c r="H26" s="15"/>
      <c r="I26" s="35"/>
      <c r="J26" s="15">
        <f t="shared" si="7"/>
        <v>0</v>
      </c>
      <c r="K26" s="25"/>
    </row>
    <row r="27" spans="2:11" x14ac:dyDescent="0.3">
      <c r="B27" s="23"/>
      <c r="C27" s="9" t="s">
        <v>14</v>
      </c>
      <c r="D27" s="16">
        <f>SUM(D19:D26)</f>
        <v>69075</v>
      </c>
      <c r="E27" s="16">
        <f>SUM(E19:E26)</f>
        <v>69075</v>
      </c>
      <c r="F27" s="16">
        <f>SUM(F19:F26)</f>
        <v>69075</v>
      </c>
      <c r="G27" s="16">
        <f>SUM(G19:G26)</f>
        <v>69075</v>
      </c>
      <c r="H27" s="16">
        <f>SUM(H19:H26)</f>
        <v>69075</v>
      </c>
      <c r="J27" s="16">
        <f>SUM(D27:H27)</f>
        <v>345375</v>
      </c>
      <c r="K27" s="9"/>
    </row>
    <row r="28" spans="2:11" x14ac:dyDescent="0.3">
      <c r="B28" s="23"/>
      <c r="C28" s="14" t="s">
        <v>49</v>
      </c>
      <c r="D28" s="15"/>
      <c r="E28" s="10"/>
      <c r="F28" s="10"/>
      <c r="G28" s="10"/>
      <c r="H28" s="10"/>
      <c r="J28" s="15" t="s">
        <v>20</v>
      </c>
      <c r="K28" s="14"/>
    </row>
    <row r="29" spans="2:11" x14ac:dyDescent="0.3">
      <c r="B29" s="23"/>
      <c r="C29" s="28"/>
      <c r="D29" s="15"/>
      <c r="E29" s="10"/>
      <c r="F29" s="10"/>
      <c r="G29" s="10"/>
      <c r="H29" s="10"/>
      <c r="J29" s="15">
        <f>SUM(D29:H29)</f>
        <v>0</v>
      </c>
      <c r="K29" s="25"/>
    </row>
    <row r="30" spans="2:11" x14ac:dyDescent="0.3">
      <c r="B30" s="23" t="s">
        <v>50</v>
      </c>
      <c r="C30" s="28"/>
      <c r="D30" s="80"/>
      <c r="E30" s="10"/>
      <c r="F30" s="10"/>
      <c r="G30" s="10"/>
      <c r="H30" s="10"/>
      <c r="J30" s="15">
        <f t="shared" ref="J30:K49" si="8">SUM(D30:H30)</f>
        <v>0</v>
      </c>
      <c r="K30" s="28" t="s">
        <v>50</v>
      </c>
    </row>
    <row r="31" spans="2:11" x14ac:dyDescent="0.3">
      <c r="B31" s="23"/>
      <c r="C31" s="9" t="s">
        <v>15</v>
      </c>
      <c r="D31" s="12">
        <f>SUM(D29:D30)</f>
        <v>0</v>
      </c>
      <c r="E31" s="12">
        <f t="shared" ref="E31:H31" si="9">SUM(E29:E30)</f>
        <v>0</v>
      </c>
      <c r="F31" s="12">
        <f t="shared" si="9"/>
        <v>0</v>
      </c>
      <c r="G31" s="12">
        <f t="shared" si="9"/>
        <v>0</v>
      </c>
      <c r="H31" s="12">
        <f t="shared" si="9"/>
        <v>0</v>
      </c>
      <c r="J31" s="16">
        <f t="shared" si="8"/>
        <v>0</v>
      </c>
      <c r="K31" s="9"/>
    </row>
    <row r="32" spans="2:11" x14ac:dyDescent="0.3">
      <c r="B32" s="23"/>
      <c r="C32" s="14" t="s">
        <v>51</v>
      </c>
      <c r="D32" s="13" t="s">
        <v>43</v>
      </c>
      <c r="E32" s="10"/>
      <c r="F32" s="10"/>
      <c r="G32" s="10"/>
      <c r="H32" s="10"/>
      <c r="J32" s="15"/>
      <c r="K32" s="14"/>
    </row>
    <row r="33" spans="2:11" x14ac:dyDescent="0.3">
      <c r="B33" s="23"/>
      <c r="C33" s="25" t="s">
        <v>102</v>
      </c>
      <c r="D33" s="15">
        <f>4000+1200</f>
        <v>5200</v>
      </c>
      <c r="E33" s="15">
        <v>4000</v>
      </c>
      <c r="F33" s="15">
        <v>4000</v>
      </c>
      <c r="G33" s="15">
        <v>4000</v>
      </c>
      <c r="H33" s="15">
        <v>4000</v>
      </c>
      <c r="I33" s="35"/>
      <c r="J33" s="15">
        <f>SUM(D33:H33)</f>
        <v>21200</v>
      </c>
      <c r="K33" s="25"/>
    </row>
    <row r="34" spans="2:11" x14ac:dyDescent="0.3">
      <c r="B34" s="23"/>
      <c r="C34" s="25" t="s">
        <v>103</v>
      </c>
      <c r="D34" s="15">
        <f>3*3000</f>
        <v>9000</v>
      </c>
      <c r="E34" s="11"/>
      <c r="F34" s="11"/>
      <c r="G34" s="11"/>
      <c r="H34" s="11"/>
      <c r="J34" s="15">
        <f t="shared" si="8"/>
        <v>9000</v>
      </c>
      <c r="K34" s="25"/>
    </row>
    <row r="35" spans="2:11" x14ac:dyDescent="0.3">
      <c r="B35" s="23"/>
      <c r="C35" s="9" t="s">
        <v>16</v>
      </c>
      <c r="D35" s="16">
        <f>SUM(D33:D34)</f>
        <v>14200</v>
      </c>
      <c r="E35" s="16">
        <f>SUM(E33:E34)</f>
        <v>4000</v>
      </c>
      <c r="F35" s="16">
        <f>SUM(F33:F34)</f>
        <v>4000</v>
      </c>
      <c r="G35" s="16">
        <f>SUM(G33:G34)</f>
        <v>4000</v>
      </c>
      <c r="H35" s="16">
        <f>SUM(H33:H34)</f>
        <v>4000</v>
      </c>
      <c r="J35" s="16">
        <f>SUM(D35:H35)</f>
        <v>30200</v>
      </c>
      <c r="K35" s="9"/>
    </row>
    <row r="36" spans="2:11" x14ac:dyDescent="0.3">
      <c r="B36" s="23"/>
      <c r="C36" s="14" t="s">
        <v>54</v>
      </c>
      <c r="D36" s="13" t="s">
        <v>43</v>
      </c>
      <c r="E36" s="10"/>
      <c r="F36" s="10"/>
      <c r="G36" s="10"/>
      <c r="H36" s="10"/>
      <c r="J36" s="15"/>
      <c r="K36" s="14"/>
    </row>
    <row r="37" spans="2:11" ht="28.8" x14ac:dyDescent="0.3">
      <c r="B37" s="23"/>
      <c r="C37" s="104" t="s">
        <v>104</v>
      </c>
      <c r="D37" s="15">
        <v>50000</v>
      </c>
      <c r="E37" s="15">
        <v>50000</v>
      </c>
      <c r="F37" s="15">
        <v>50000</v>
      </c>
      <c r="G37" s="15">
        <v>50000</v>
      </c>
      <c r="H37" s="15">
        <v>50000</v>
      </c>
      <c r="I37" s="35"/>
      <c r="J37" s="15">
        <f t="shared" si="8"/>
        <v>250000</v>
      </c>
      <c r="K37" s="25"/>
    </row>
    <row r="38" spans="2:11" x14ac:dyDescent="0.3">
      <c r="B38" s="23"/>
      <c r="C38" s="104" t="s">
        <v>105</v>
      </c>
      <c r="D38" s="15">
        <v>450000</v>
      </c>
      <c r="E38" s="15">
        <v>450000</v>
      </c>
      <c r="F38" s="15">
        <v>450000</v>
      </c>
      <c r="G38" s="15">
        <v>450000</v>
      </c>
      <c r="H38" s="15">
        <v>450000</v>
      </c>
      <c r="I38" s="35"/>
      <c r="J38" s="15">
        <f t="shared" si="8"/>
        <v>2250000</v>
      </c>
      <c r="K38" s="25"/>
    </row>
    <row r="39" spans="2:11" x14ac:dyDescent="0.3">
      <c r="B39" s="23"/>
      <c r="C39" s="25"/>
      <c r="D39" s="15"/>
      <c r="E39" s="15"/>
      <c r="F39" s="15"/>
      <c r="G39" s="15"/>
      <c r="H39" s="15"/>
      <c r="I39" s="35"/>
      <c r="J39" s="15">
        <f t="shared" si="8"/>
        <v>0</v>
      </c>
      <c r="K39" s="25"/>
    </row>
    <row r="40" spans="2:11" x14ac:dyDescent="0.3">
      <c r="B40" s="23"/>
      <c r="C40" s="25"/>
      <c r="D40" s="15"/>
      <c r="E40" s="15"/>
      <c r="F40" s="15"/>
      <c r="G40" s="15"/>
      <c r="H40" s="15"/>
      <c r="I40" s="35"/>
      <c r="J40" s="15">
        <f t="shared" si="8"/>
        <v>0</v>
      </c>
      <c r="K40" s="25"/>
    </row>
    <row r="41" spans="2:11" x14ac:dyDescent="0.3">
      <c r="B41" s="23"/>
      <c r="C41" s="25"/>
      <c r="D41" s="15"/>
      <c r="E41" s="15"/>
      <c r="F41" s="15"/>
      <c r="G41" s="15"/>
      <c r="H41" s="15"/>
      <c r="J41" s="15">
        <f t="shared" si="8"/>
        <v>0</v>
      </c>
      <c r="K41" s="15">
        <f t="shared" si="8"/>
        <v>0</v>
      </c>
    </row>
    <row r="42" spans="2:11" x14ac:dyDescent="0.3">
      <c r="B42" s="23"/>
      <c r="C42" s="9" t="s">
        <v>17</v>
      </c>
      <c r="D42" s="16">
        <f>SUM(D37:D41)</f>
        <v>500000</v>
      </c>
      <c r="E42" s="16">
        <f>SUM(E37:E41)</f>
        <v>500000</v>
      </c>
      <c r="F42" s="16">
        <f>SUM(F37:F41)</f>
        <v>500000</v>
      </c>
      <c r="G42" s="16">
        <f>SUM(G37:G41)</f>
        <v>500000</v>
      </c>
      <c r="H42" s="16">
        <f>SUM(H37:H41)</f>
        <v>500000</v>
      </c>
      <c r="J42" s="16">
        <f>SUM(D42:H42)</f>
        <v>2500000</v>
      </c>
      <c r="K42" s="70"/>
    </row>
    <row r="43" spans="2:11" x14ac:dyDescent="0.3">
      <c r="B43" s="23"/>
      <c r="C43" s="14" t="s">
        <v>63</v>
      </c>
      <c r="D43" s="13" t="s">
        <v>43</v>
      </c>
      <c r="E43" s="10"/>
      <c r="F43" s="10"/>
      <c r="G43" s="10"/>
      <c r="H43" s="10"/>
      <c r="J43" s="15"/>
      <c r="K43" s="25"/>
    </row>
    <row r="44" spans="2:11" x14ac:dyDescent="0.3">
      <c r="B44" s="23"/>
      <c r="C44" s="25" t="s">
        <v>106</v>
      </c>
      <c r="D44" s="15">
        <v>1000000</v>
      </c>
      <c r="E44" s="15">
        <v>1000000</v>
      </c>
      <c r="F44" s="15">
        <v>1000000</v>
      </c>
      <c r="G44" s="15">
        <v>1000000</v>
      </c>
      <c r="H44" s="15">
        <v>1000000</v>
      </c>
      <c r="I44" s="35"/>
      <c r="J44" s="15">
        <f t="shared" si="8"/>
        <v>5000000</v>
      </c>
      <c r="K44" s="25"/>
    </row>
    <row r="45" spans="2:11" x14ac:dyDescent="0.3">
      <c r="B45" s="23"/>
      <c r="C45" s="25"/>
      <c r="D45" s="15"/>
      <c r="E45" s="15"/>
      <c r="F45" s="15"/>
      <c r="G45" s="15"/>
      <c r="H45" s="15"/>
      <c r="I45" s="35"/>
      <c r="J45" s="15">
        <f t="shared" si="8"/>
        <v>0</v>
      </c>
      <c r="K45" s="10"/>
    </row>
    <row r="46" spans="2:11" x14ac:dyDescent="0.3">
      <c r="B46" s="23"/>
      <c r="C46" s="25"/>
      <c r="D46" s="15"/>
      <c r="E46" s="15"/>
      <c r="F46" s="15"/>
      <c r="G46" s="15"/>
      <c r="H46" s="15"/>
      <c r="I46" s="35"/>
      <c r="J46" s="15">
        <f t="shared" si="8"/>
        <v>0</v>
      </c>
      <c r="K46" s="10"/>
    </row>
    <row r="47" spans="2:11" x14ac:dyDescent="0.3">
      <c r="B47" s="23"/>
      <c r="C47" s="25"/>
      <c r="D47" s="15"/>
      <c r="E47" s="11"/>
      <c r="F47" s="11"/>
      <c r="G47" s="11"/>
      <c r="H47" s="11"/>
      <c r="J47" s="15">
        <f t="shared" si="8"/>
        <v>0</v>
      </c>
      <c r="K47" s="15"/>
    </row>
    <row r="48" spans="2:11" x14ac:dyDescent="0.3">
      <c r="B48" s="23"/>
      <c r="C48" s="25"/>
      <c r="D48" s="15"/>
      <c r="E48" s="11"/>
      <c r="F48" s="11"/>
      <c r="G48" s="11"/>
      <c r="H48" s="11"/>
      <c r="J48" s="15">
        <f t="shared" si="8"/>
        <v>0</v>
      </c>
    </row>
    <row r="49" spans="2:13" x14ac:dyDescent="0.3">
      <c r="B49" s="23"/>
      <c r="C49" s="10"/>
      <c r="D49" s="15"/>
      <c r="E49" s="11"/>
      <c r="F49" s="11"/>
      <c r="G49" s="11"/>
      <c r="H49" s="11"/>
      <c r="J49" s="15">
        <f t="shared" si="8"/>
        <v>0</v>
      </c>
      <c r="K49" s="71"/>
    </row>
    <row r="50" spans="2:13" x14ac:dyDescent="0.3">
      <c r="B50" s="24"/>
      <c r="C50" s="9" t="s">
        <v>18</v>
      </c>
      <c r="D50" s="16">
        <f>SUM(D44:D49)</f>
        <v>1000000</v>
      </c>
      <c r="E50" s="16">
        <f>SUM(E44:E49)</f>
        <v>1000000</v>
      </c>
      <c r="F50" s="16">
        <f>SUM(F44:F49)</f>
        <v>1000000</v>
      </c>
      <c r="G50" s="16">
        <f>SUM(G44:G49)</f>
        <v>1000000</v>
      </c>
      <c r="H50" s="16">
        <f>SUM(H44:H49)</f>
        <v>1000000</v>
      </c>
      <c r="J50" s="16">
        <f>SUM(D50:H50)</f>
        <v>5000000</v>
      </c>
      <c r="K50" s="72"/>
      <c r="M50" s="34"/>
    </row>
    <row r="51" spans="2:13" x14ac:dyDescent="0.3">
      <c r="B51" s="24"/>
      <c r="C51" s="9" t="s">
        <v>19</v>
      </c>
      <c r="D51" s="16">
        <f>SUM(D50,D42,D35,D31,D27,D16,D11)</f>
        <v>1891947</v>
      </c>
      <c r="E51" s="16">
        <f t="shared" ref="E51:H51" si="10">SUM(E50,E42,E35,E31,E27,E16,E11)</f>
        <v>1882364.344</v>
      </c>
      <c r="F51" s="16">
        <f t="shared" si="10"/>
        <v>1882982.9226879999</v>
      </c>
      <c r="G51" s="16">
        <f t="shared" si="10"/>
        <v>1883602.738533376</v>
      </c>
      <c r="H51" s="16">
        <f t="shared" si="10"/>
        <v>1884223.7940104427</v>
      </c>
      <c r="J51" s="16">
        <f>SUM(D51:H51)</f>
        <v>9425120.7992318198</v>
      </c>
      <c r="K51" s="25"/>
    </row>
    <row r="52" spans="2:13" x14ac:dyDescent="0.3">
      <c r="B52" s="6"/>
      <c r="D52"/>
      <c r="E52"/>
      <c r="H52"/>
      <c r="I52"/>
      <c r="J52" t="s">
        <v>20</v>
      </c>
      <c r="K52" s="25"/>
    </row>
    <row r="53" spans="2:13" ht="28.8" x14ac:dyDescent="0.3">
      <c r="B53" s="62" t="s">
        <v>64</v>
      </c>
      <c r="C53" s="17" t="s">
        <v>64</v>
      </c>
      <c r="D53" s="18"/>
      <c r="E53" s="18"/>
      <c r="F53" s="18"/>
      <c r="G53" s="18"/>
      <c r="H53" s="18"/>
      <c r="I53"/>
      <c r="J53" s="18" t="s">
        <v>20</v>
      </c>
      <c r="K53" s="18"/>
    </row>
    <row r="54" spans="2:13" x14ac:dyDescent="0.3">
      <c r="B54" s="23"/>
      <c r="C54" s="25" t="s">
        <v>107</v>
      </c>
      <c r="D54" s="15">
        <f>(D11+D16+D27+D31+D35+D42)*0.0885</f>
        <v>78937.309500000003</v>
      </c>
      <c r="E54" s="15">
        <f t="shared" ref="E54:H54" si="11">(E11+E16+E27+E31+E35+E42)*0.0885</f>
        <v>78089.244443999996</v>
      </c>
      <c r="F54" s="15">
        <f t="shared" si="11"/>
        <v>78143.988657887996</v>
      </c>
      <c r="G54" s="15">
        <f t="shared" si="11"/>
        <v>78198.84236020378</v>
      </c>
      <c r="H54" s="15">
        <f t="shared" si="11"/>
        <v>78253.805769924176</v>
      </c>
      <c r="J54" s="15">
        <f>SUM(D54:H54)</f>
        <v>391623.19073201594</v>
      </c>
      <c r="K54" s="18"/>
      <c r="M54" s="34"/>
    </row>
    <row r="55" spans="2:13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  <c r="K55" s="76"/>
    </row>
    <row r="56" spans="2:13" x14ac:dyDescent="0.3">
      <c r="B56" s="24"/>
      <c r="C56" s="9" t="s">
        <v>21</v>
      </c>
      <c r="D56" s="16">
        <f>SUM(D54:D55)</f>
        <v>78937.309500000003</v>
      </c>
      <c r="E56" s="16">
        <f t="shared" ref="E56:H56" si="13">SUM(E54:E55)</f>
        <v>78089.244443999996</v>
      </c>
      <c r="F56" s="16">
        <f t="shared" si="13"/>
        <v>78143.988657887996</v>
      </c>
      <c r="G56" s="16">
        <f t="shared" si="13"/>
        <v>78198.84236020378</v>
      </c>
      <c r="H56" s="16">
        <f t="shared" si="13"/>
        <v>78253.805769924176</v>
      </c>
      <c r="J56" s="16">
        <f t="shared" si="12"/>
        <v>391623.19073201594</v>
      </c>
      <c r="K56" s="18"/>
    </row>
    <row r="57" spans="2:13" ht="15" thickBot="1" x14ac:dyDescent="0.35">
      <c r="B57" s="6"/>
      <c r="D57"/>
      <c r="E57"/>
      <c r="H57"/>
      <c r="I57"/>
      <c r="J57" t="s">
        <v>20</v>
      </c>
      <c r="K57" s="18"/>
    </row>
    <row r="58" spans="2:13" s="1" customFormat="1" ht="29.4" thickBot="1" x14ac:dyDescent="0.35">
      <c r="B58" s="19" t="s">
        <v>22</v>
      </c>
      <c r="C58" s="19"/>
      <c r="D58" s="20">
        <f>SUM(D56,D51)</f>
        <v>1970884.3095</v>
      </c>
      <c r="E58" s="20">
        <f t="shared" ref="E58:J58" si="14">SUM(E56,E51)</f>
        <v>1960453.5884440001</v>
      </c>
      <c r="F58" s="20">
        <f t="shared" si="14"/>
        <v>1961126.9113458879</v>
      </c>
      <c r="G58" s="20">
        <f t="shared" si="14"/>
        <v>1961801.5808935799</v>
      </c>
      <c r="H58" s="20">
        <f t="shared" si="14"/>
        <v>1962477.5997803668</v>
      </c>
      <c r="I58" s="7"/>
      <c r="J58" s="20">
        <f t="shared" si="14"/>
        <v>9816743.9899638351</v>
      </c>
      <c r="K58" s="18"/>
    </row>
    <row r="59" spans="2:13" x14ac:dyDescent="0.3">
      <c r="B59" s="6"/>
    </row>
    <row r="60" spans="2:13" x14ac:dyDescent="0.3">
      <c r="B60" s="6"/>
    </row>
    <row r="61" spans="2:13" x14ac:dyDescent="0.3">
      <c r="B61" s="6"/>
    </row>
    <row r="62" spans="2:13" x14ac:dyDescent="0.3">
      <c r="B62" s="6"/>
    </row>
    <row r="63" spans="2:13" x14ac:dyDescent="0.3">
      <c r="B63" s="6"/>
    </row>
    <row r="64" spans="2:13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22:J2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25" activePane="bottomRight" state="frozen"/>
      <selection pane="topRight" activeCell="R20" sqref="R20:W20"/>
      <selection pane="bottomLeft" activeCell="R20" sqref="R20:W20"/>
      <selection pane="bottomRight" activeCell="C39" sqref="C39"/>
    </sheetView>
  </sheetViews>
  <sheetFormatPr defaultColWidth="9.109375" defaultRowHeight="14.4" x14ac:dyDescent="0.3"/>
  <cols>
    <col min="1" max="1" width="3.109375" customWidth="1"/>
    <col min="2" max="2" width="10" customWidth="1"/>
    <col min="3" max="3" width="46.88671875" customWidth="1"/>
    <col min="4" max="4" width="12.6640625" style="6" customWidth="1"/>
    <col min="5" max="5" width="12.44140625" style="2" customWidth="1"/>
    <col min="6" max="6" width="12.88671875" customWidth="1"/>
    <col min="7" max="7" width="12.44140625" customWidth="1"/>
    <col min="8" max="8" width="12.6640625" style="2" customWidth="1"/>
    <col min="9" max="9" width="0.88671875" style="7" customWidth="1"/>
    <col min="10" max="10" width="12.6640625" bestFit="1" customWidth="1"/>
    <col min="11" max="11" width="66.5546875" customWidth="1"/>
  </cols>
  <sheetData>
    <row r="2" spans="2:39" ht="23.4" x14ac:dyDescent="0.45">
      <c r="B2" s="30" t="s">
        <v>38</v>
      </c>
    </row>
    <row r="3" spans="2:39" x14ac:dyDescent="0.3">
      <c r="B3" s="56" t="s">
        <v>39</v>
      </c>
    </row>
    <row r="4" spans="2:39" x14ac:dyDescent="0.3">
      <c r="B4" s="5"/>
    </row>
    <row r="5" spans="2:39" ht="18" x14ac:dyDescent="0.35">
      <c r="B5" s="36" t="s">
        <v>40</v>
      </c>
      <c r="C5" s="37"/>
      <c r="D5" s="37"/>
      <c r="E5" s="37"/>
      <c r="F5" s="37"/>
      <c r="G5" s="37"/>
      <c r="H5" s="37"/>
      <c r="I5" s="37"/>
      <c r="J5" s="38"/>
      <c r="K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K6" s="43" t="s">
        <v>41</v>
      </c>
    </row>
    <row r="7" spans="2:39" s="5" customFormat="1" x14ac:dyDescent="0.3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 s="26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/>
      <c r="J8" s="15"/>
      <c r="K8" s="25"/>
    </row>
    <row r="9" spans="2:39" x14ac:dyDescent="0.3">
      <c r="B9" s="23"/>
      <c r="C9" s="25"/>
      <c r="D9" s="15"/>
      <c r="E9" s="15"/>
      <c r="F9" s="15"/>
      <c r="G9" s="15"/>
      <c r="H9" s="15"/>
      <c r="J9" s="15"/>
      <c r="K9" s="25"/>
    </row>
    <row r="10" spans="2:39" x14ac:dyDescent="0.3">
      <c r="B10" s="23"/>
      <c r="C10" s="77"/>
      <c r="D10" s="15"/>
      <c r="E10" s="15"/>
      <c r="F10" s="15"/>
      <c r="G10" s="15"/>
      <c r="H10" s="15"/>
      <c r="J10" s="15"/>
      <c r="K10" s="77"/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0</v>
      </c>
      <c r="J11" s="16">
        <f t="shared" si="0"/>
        <v>0</v>
      </c>
      <c r="K11" s="9"/>
    </row>
    <row r="12" spans="2:39" x14ac:dyDescent="0.3">
      <c r="B12" s="23"/>
      <c r="C12" s="14" t="s">
        <v>74</v>
      </c>
      <c r="D12" s="13" t="s">
        <v>43</v>
      </c>
      <c r="E12" s="10"/>
      <c r="F12" s="10"/>
      <c r="G12" s="10"/>
      <c r="H12" s="10"/>
      <c r="J12" s="8" t="s">
        <v>43</v>
      </c>
      <c r="K12" s="14"/>
    </row>
    <row r="13" spans="2:39" x14ac:dyDescent="0.3">
      <c r="B13" s="23"/>
      <c r="C13" s="25"/>
      <c r="D13" s="15">
        <f>0.35*D11</f>
        <v>0</v>
      </c>
      <c r="E13" s="15">
        <f t="shared" ref="E13:H13" si="1">0.35*E11</f>
        <v>0</v>
      </c>
      <c r="F13" s="15">
        <f t="shared" si="1"/>
        <v>0</v>
      </c>
      <c r="G13" s="15">
        <f t="shared" si="1"/>
        <v>0</v>
      </c>
      <c r="H13" s="15">
        <f t="shared" si="1"/>
        <v>0</v>
      </c>
      <c r="J13" s="15">
        <f>SUM(D13:H13)</f>
        <v>0</v>
      </c>
      <c r="K13" s="25"/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  <c r="K14" s="25"/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  <c r="K15" s="10"/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3">SUM(E13:E15)</f>
        <v>0</v>
      </c>
      <c r="F16" s="16">
        <f t="shared" si="3"/>
        <v>0</v>
      </c>
      <c r="G16" s="16">
        <f t="shared" si="3"/>
        <v>0</v>
      </c>
      <c r="H16" s="16">
        <f t="shared" si="3"/>
        <v>0</v>
      </c>
      <c r="I16" s="7">
        <f t="shared" si="3"/>
        <v>0</v>
      </c>
      <c r="J16" s="16">
        <f t="shared" si="3"/>
        <v>0</v>
      </c>
      <c r="K16" s="9"/>
    </row>
    <row r="17" spans="2:11" x14ac:dyDescent="0.3">
      <c r="B17" s="23"/>
      <c r="C17" s="14" t="s">
        <v>48</v>
      </c>
      <c r="D17" s="13" t="s">
        <v>43</v>
      </c>
      <c r="E17" s="10"/>
      <c r="F17" s="10"/>
      <c r="G17" s="10"/>
      <c r="H17" s="10"/>
      <c r="J17" s="8" t="s">
        <v>43</v>
      </c>
      <c r="K17" s="14"/>
    </row>
    <row r="18" spans="2:11" x14ac:dyDescent="0.3">
      <c r="B18" s="23"/>
      <c r="C18" s="25"/>
      <c r="D18" s="13"/>
      <c r="E18" s="10"/>
      <c r="F18" s="10"/>
      <c r="G18" s="10"/>
      <c r="H18" s="10"/>
      <c r="J18" s="15">
        <f t="shared" ref="J18:J19" si="4">SUM(D18:H18)</f>
        <v>0</v>
      </c>
      <c r="K18" s="29"/>
    </row>
    <row r="19" spans="2:11" x14ac:dyDescent="0.3">
      <c r="B19" s="23"/>
      <c r="C19" s="29"/>
      <c r="D19" s="15" t="s">
        <v>50</v>
      </c>
      <c r="E19" s="11" t="s">
        <v>50</v>
      </c>
      <c r="F19" s="11" t="s">
        <v>50</v>
      </c>
      <c r="G19" s="11"/>
      <c r="H19" s="11"/>
      <c r="J19" s="15">
        <f t="shared" si="4"/>
        <v>0</v>
      </c>
      <c r="K19" s="29"/>
    </row>
    <row r="20" spans="2:11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  <c r="K20" s="29"/>
    </row>
    <row r="21" spans="2:11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5">SUM(D21:H21)</f>
        <v>0</v>
      </c>
      <c r="K21" s="25"/>
    </row>
    <row r="22" spans="2:11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5"/>
        <v>0</v>
      </c>
      <c r="K22" s="29"/>
    </row>
    <row r="23" spans="2:11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5"/>
        <v>0</v>
      </c>
      <c r="K23" s="29"/>
    </row>
    <row r="24" spans="2:11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5"/>
        <v>0</v>
      </c>
      <c r="K24" s="29"/>
    </row>
    <row r="25" spans="2:11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5"/>
        <v>0</v>
      </c>
      <c r="K25" s="29"/>
    </row>
    <row r="26" spans="2:11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5"/>
        <v>0</v>
      </c>
      <c r="K26" s="25"/>
    </row>
    <row r="27" spans="2:11" x14ac:dyDescent="0.3">
      <c r="B27" s="23"/>
      <c r="C27" s="9" t="s">
        <v>14</v>
      </c>
      <c r="D27" s="16">
        <f>SUM(D20:D26)</f>
        <v>0</v>
      </c>
      <c r="E27" s="16">
        <f t="shared" ref="E27:H27" si="6">SUM(E20:E26)</f>
        <v>0</v>
      </c>
      <c r="F27" s="16">
        <f t="shared" si="6"/>
        <v>0</v>
      </c>
      <c r="G27" s="16">
        <f t="shared" si="6"/>
        <v>0</v>
      </c>
      <c r="H27" s="16">
        <f t="shared" si="6"/>
        <v>0</v>
      </c>
      <c r="J27" s="16">
        <f>SUM(D27:H27)</f>
        <v>0</v>
      </c>
      <c r="K27" s="9"/>
    </row>
    <row r="28" spans="2:11" x14ac:dyDescent="0.3">
      <c r="B28" s="23"/>
      <c r="C28" s="14" t="s">
        <v>49</v>
      </c>
      <c r="D28" s="15"/>
      <c r="E28" s="10"/>
      <c r="F28" s="10"/>
      <c r="G28" s="10"/>
      <c r="H28" s="10"/>
      <c r="J28" s="15" t="s">
        <v>20</v>
      </c>
      <c r="K28" s="14"/>
    </row>
    <row r="29" spans="2:11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  <c r="K29" s="25"/>
    </row>
    <row r="30" spans="2:11" x14ac:dyDescent="0.3">
      <c r="B30" s="23" t="s">
        <v>50</v>
      </c>
      <c r="C30" s="28" t="s">
        <v>50</v>
      </c>
      <c r="D30" s="13" t="s">
        <v>43</v>
      </c>
      <c r="E30" s="10"/>
      <c r="F30" s="10"/>
      <c r="G30" s="10"/>
      <c r="H30" s="10"/>
      <c r="J30" s="15">
        <f t="shared" ref="J30:K50" si="7">SUM(D30:H30)</f>
        <v>0</v>
      </c>
      <c r="K30" s="28" t="s">
        <v>50</v>
      </c>
    </row>
    <row r="31" spans="2:11" x14ac:dyDescent="0.3">
      <c r="B31" s="23"/>
      <c r="C31" s="9" t="s">
        <v>15</v>
      </c>
      <c r="D31" s="12">
        <f>SUM(D29:D30)</f>
        <v>0</v>
      </c>
      <c r="E31" s="12">
        <f t="shared" ref="E31:H31" si="8">SUM(E29:E30)</f>
        <v>0</v>
      </c>
      <c r="F31" s="12">
        <f t="shared" si="8"/>
        <v>0</v>
      </c>
      <c r="G31" s="12">
        <f t="shared" si="8"/>
        <v>0</v>
      </c>
      <c r="H31" s="12">
        <f t="shared" si="8"/>
        <v>0</v>
      </c>
      <c r="J31" s="16">
        <f t="shared" si="7"/>
        <v>0</v>
      </c>
      <c r="K31" s="9"/>
    </row>
    <row r="32" spans="2:11" x14ac:dyDescent="0.3">
      <c r="B32" s="23"/>
      <c r="C32" s="14" t="s">
        <v>51</v>
      </c>
      <c r="D32" s="13" t="s">
        <v>43</v>
      </c>
      <c r="E32" s="10"/>
      <c r="F32" s="10"/>
      <c r="G32" s="10"/>
      <c r="H32" s="10"/>
      <c r="J32" s="15"/>
      <c r="K32" s="14"/>
    </row>
    <row r="33" spans="2:11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7"/>
        <v>0</v>
      </c>
      <c r="K33" s="25"/>
    </row>
    <row r="34" spans="2:11" x14ac:dyDescent="0.3">
      <c r="B34" s="23"/>
      <c r="C34" s="25"/>
      <c r="D34" s="15"/>
      <c r="E34" s="11"/>
      <c r="F34" s="11"/>
      <c r="G34" s="11"/>
      <c r="H34" s="11"/>
      <c r="J34" s="15">
        <f t="shared" si="7"/>
        <v>0</v>
      </c>
      <c r="K34" s="25"/>
    </row>
    <row r="35" spans="2:11" x14ac:dyDescent="0.3">
      <c r="B35" s="23"/>
      <c r="C35" s="9" t="s">
        <v>16</v>
      </c>
      <c r="D35" s="16">
        <f>SUM(D33:D34)</f>
        <v>0</v>
      </c>
      <c r="E35" s="16">
        <f t="shared" ref="E35:H35" si="9">SUM(E33:E34)</f>
        <v>0</v>
      </c>
      <c r="F35" s="16">
        <f t="shared" si="9"/>
        <v>0</v>
      </c>
      <c r="G35" s="16">
        <f t="shared" si="9"/>
        <v>0</v>
      </c>
      <c r="H35" s="16">
        <f t="shared" si="9"/>
        <v>0</v>
      </c>
      <c r="J35" s="16">
        <f t="shared" si="7"/>
        <v>0</v>
      </c>
      <c r="K35" s="9"/>
    </row>
    <row r="36" spans="2:11" x14ac:dyDescent="0.3">
      <c r="B36" s="23"/>
      <c r="C36" s="14" t="s">
        <v>54</v>
      </c>
      <c r="D36" s="13" t="s">
        <v>43</v>
      </c>
      <c r="E36" s="10"/>
      <c r="F36" s="10"/>
      <c r="G36" s="10"/>
      <c r="H36" s="10"/>
      <c r="J36" s="15"/>
      <c r="K36" s="14"/>
    </row>
    <row r="37" spans="2:11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7"/>
        <v>0</v>
      </c>
      <c r="K37" s="25"/>
    </row>
    <row r="38" spans="2:11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7"/>
        <v>0</v>
      </c>
      <c r="K38" s="25"/>
    </row>
    <row r="39" spans="2:11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7"/>
        <v>0</v>
      </c>
      <c r="K39" s="25"/>
    </row>
    <row r="40" spans="2:11" x14ac:dyDescent="0.3">
      <c r="B40" s="23"/>
      <c r="C40" s="25"/>
      <c r="D40" s="15"/>
      <c r="E40" s="11"/>
      <c r="F40" s="11"/>
      <c r="G40" s="11"/>
      <c r="H40" s="11"/>
      <c r="J40" s="15">
        <f t="shared" si="7"/>
        <v>0</v>
      </c>
      <c r="K40" s="25"/>
    </row>
    <row r="41" spans="2:11" x14ac:dyDescent="0.3">
      <c r="B41" s="23"/>
      <c r="C41" s="9" t="s">
        <v>108</v>
      </c>
      <c r="D41" s="16">
        <f>SUM(D37:D40)</f>
        <v>0</v>
      </c>
      <c r="E41" s="16">
        <f t="shared" ref="E41:H41" si="10">SUM(E37:E40)</f>
        <v>0</v>
      </c>
      <c r="F41" s="16">
        <f t="shared" si="10"/>
        <v>0</v>
      </c>
      <c r="G41" s="16">
        <f t="shared" si="10"/>
        <v>0</v>
      </c>
      <c r="H41" s="16">
        <f t="shared" si="10"/>
        <v>0</v>
      </c>
      <c r="J41" s="16">
        <f t="shared" si="7"/>
        <v>0</v>
      </c>
      <c r="K41" s="15">
        <f t="shared" si="7"/>
        <v>0</v>
      </c>
    </row>
    <row r="42" spans="2:11" x14ac:dyDescent="0.3">
      <c r="B42" s="23"/>
      <c r="C42" s="14" t="s">
        <v>109</v>
      </c>
      <c r="D42" s="13" t="s">
        <v>43</v>
      </c>
      <c r="E42" s="10"/>
      <c r="F42" s="10"/>
      <c r="G42" s="10"/>
      <c r="H42" s="10"/>
      <c r="J42" s="15"/>
      <c r="K42" s="70"/>
    </row>
    <row r="43" spans="2:11" ht="43.2" x14ac:dyDescent="0.3">
      <c r="B43" s="23"/>
      <c r="C43" s="25" t="s">
        <v>110</v>
      </c>
      <c r="D43" s="15">
        <v>1000000</v>
      </c>
      <c r="E43" s="15"/>
      <c r="F43" s="15"/>
      <c r="G43" s="15"/>
      <c r="H43" s="15"/>
      <c r="I43" s="35">
        <v>375000</v>
      </c>
      <c r="J43" s="15">
        <f t="shared" si="7"/>
        <v>1000000</v>
      </c>
      <c r="K43" s="25"/>
    </row>
    <row r="44" spans="2:11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7"/>
        <v>0</v>
      </c>
      <c r="K44" s="25"/>
    </row>
    <row r="45" spans="2:11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7"/>
        <v>0</v>
      </c>
      <c r="K45" s="10"/>
    </row>
    <row r="46" spans="2:11" x14ac:dyDescent="0.3">
      <c r="B46" s="23"/>
      <c r="C46" s="25"/>
      <c r="D46" s="15"/>
      <c r="E46" s="11"/>
      <c r="F46" s="11"/>
      <c r="G46" s="11"/>
      <c r="H46" s="11"/>
      <c r="J46" s="15">
        <f t="shared" si="7"/>
        <v>0</v>
      </c>
      <c r="K46" s="10"/>
    </row>
    <row r="47" spans="2:11" x14ac:dyDescent="0.3">
      <c r="B47" s="23"/>
      <c r="C47" s="25"/>
      <c r="D47" s="15"/>
      <c r="E47" s="11"/>
      <c r="F47" s="11"/>
      <c r="G47" s="11"/>
      <c r="H47" s="11"/>
      <c r="J47" s="15">
        <f t="shared" si="7"/>
        <v>0</v>
      </c>
      <c r="K47" s="15"/>
    </row>
    <row r="48" spans="2:11" x14ac:dyDescent="0.3">
      <c r="B48" s="23"/>
      <c r="C48" s="10"/>
      <c r="D48" s="15"/>
      <c r="E48" s="11"/>
      <c r="F48" s="11"/>
      <c r="G48" s="11"/>
      <c r="H48" s="11"/>
      <c r="J48" s="15">
        <f t="shared" si="7"/>
        <v>0</v>
      </c>
    </row>
    <row r="49" spans="2:11" x14ac:dyDescent="0.3">
      <c r="B49" s="24"/>
      <c r="C49" s="9" t="s">
        <v>18</v>
      </c>
      <c r="D49" s="16">
        <f>SUM(D43:D48)</f>
        <v>1000000</v>
      </c>
      <c r="E49" s="16">
        <f t="shared" ref="E49:H49" si="11">SUM(E43:E48)</f>
        <v>0</v>
      </c>
      <c r="F49" s="16">
        <f t="shared" si="11"/>
        <v>0</v>
      </c>
      <c r="G49" s="16">
        <f t="shared" si="11"/>
        <v>0</v>
      </c>
      <c r="H49" s="16">
        <f t="shared" si="11"/>
        <v>0</v>
      </c>
      <c r="J49" s="16">
        <f t="shared" si="7"/>
        <v>1000000</v>
      </c>
      <c r="K49" s="71"/>
    </row>
    <row r="50" spans="2:11" x14ac:dyDescent="0.3">
      <c r="B50" s="24"/>
      <c r="C50" s="9" t="s">
        <v>19</v>
      </c>
      <c r="D50" s="16">
        <f>SUM(D49,D41,D35,D31,D27,D16,D11)</f>
        <v>1000000</v>
      </c>
      <c r="E50" s="16">
        <f t="shared" ref="E50:H50" si="12">SUM(E49,E41,E35,E31,E27,E16,E11)</f>
        <v>0</v>
      </c>
      <c r="F50" s="16">
        <f t="shared" si="12"/>
        <v>0</v>
      </c>
      <c r="G50" s="16">
        <f t="shared" si="12"/>
        <v>0</v>
      </c>
      <c r="H50" s="16">
        <f t="shared" si="12"/>
        <v>0</v>
      </c>
      <c r="J50" s="16">
        <f t="shared" si="7"/>
        <v>1000000</v>
      </c>
      <c r="K50" s="72"/>
    </row>
    <row r="51" spans="2:11" x14ac:dyDescent="0.3">
      <c r="B51" s="6"/>
      <c r="D51"/>
      <c r="E51"/>
      <c r="H51"/>
      <c r="I51"/>
      <c r="J51" t="s">
        <v>20</v>
      </c>
      <c r="K51" s="25"/>
    </row>
    <row r="52" spans="2:11" ht="28.8" x14ac:dyDescent="0.3">
      <c r="B52" s="62" t="s">
        <v>64</v>
      </c>
      <c r="C52" s="17" t="s">
        <v>64</v>
      </c>
      <c r="D52" s="18"/>
      <c r="E52" s="18"/>
      <c r="F52" s="18"/>
      <c r="G52" s="18"/>
      <c r="H52" s="18"/>
      <c r="I52"/>
      <c r="J52" s="18" t="s">
        <v>20</v>
      </c>
      <c r="K52" s="25"/>
    </row>
    <row r="53" spans="2:11" x14ac:dyDescent="0.3">
      <c r="B53" s="23"/>
      <c r="C53" s="25"/>
      <c r="D53" s="78">
        <f>0.25*(D16+D11)</f>
        <v>0</v>
      </c>
      <c r="E53" s="78">
        <f t="shared" ref="E53:H53" si="13">0.25*(E16+E11)</f>
        <v>0</v>
      </c>
      <c r="F53" s="78">
        <f t="shared" si="13"/>
        <v>0</v>
      </c>
      <c r="G53" s="78">
        <f t="shared" si="13"/>
        <v>0</v>
      </c>
      <c r="H53" s="78">
        <f t="shared" si="13"/>
        <v>0</v>
      </c>
      <c r="J53" s="15">
        <f>SUM(D53:H53)</f>
        <v>0</v>
      </c>
      <c r="K53" s="18"/>
    </row>
    <row r="54" spans="2:11" x14ac:dyDescent="0.3">
      <c r="B54" s="23"/>
      <c r="C54" s="25"/>
      <c r="D54" s="13"/>
      <c r="E54" s="10"/>
      <c r="F54" s="10"/>
      <c r="G54" s="10"/>
      <c r="H54" s="10"/>
      <c r="J54" s="15">
        <f t="shared" ref="J54:J55" si="14">SUM(D54:H54)</f>
        <v>0</v>
      </c>
      <c r="K54" s="18"/>
    </row>
    <row r="55" spans="2:11" x14ac:dyDescent="0.3">
      <c r="B55" s="24"/>
      <c r="C55" s="9" t="s">
        <v>21</v>
      </c>
      <c r="D55" s="16">
        <f>SUM(D53:D54)</f>
        <v>0</v>
      </c>
      <c r="E55" s="16">
        <f t="shared" ref="E55:H55" si="15">SUM(E53:E54)</f>
        <v>0</v>
      </c>
      <c r="F55" s="16">
        <f t="shared" si="15"/>
        <v>0</v>
      </c>
      <c r="G55" s="16">
        <f t="shared" si="15"/>
        <v>0</v>
      </c>
      <c r="H55" s="16">
        <f t="shared" si="15"/>
        <v>0</v>
      </c>
      <c r="J55" s="16">
        <f t="shared" si="14"/>
        <v>0</v>
      </c>
      <c r="K55" s="76"/>
    </row>
    <row r="56" spans="2:11" ht="15" thickBot="1" x14ac:dyDescent="0.35">
      <c r="B56" s="6"/>
      <c r="D56"/>
      <c r="E56"/>
      <c r="H56"/>
      <c r="I56"/>
      <c r="J56" t="s">
        <v>20</v>
      </c>
      <c r="K56" s="18"/>
    </row>
    <row r="57" spans="2:11" s="1" customFormat="1" ht="29.4" thickBot="1" x14ac:dyDescent="0.35">
      <c r="B57" s="19" t="s">
        <v>22</v>
      </c>
      <c r="C57" s="19"/>
      <c r="D57" s="20">
        <f>SUM(D55,D50)</f>
        <v>1000000</v>
      </c>
      <c r="E57" s="20">
        <f t="shared" ref="E57:J57" si="16">SUM(E55,E50)</f>
        <v>0</v>
      </c>
      <c r="F57" s="20">
        <f t="shared" si="16"/>
        <v>0</v>
      </c>
      <c r="G57" s="20">
        <f t="shared" si="16"/>
        <v>0</v>
      </c>
      <c r="H57" s="20">
        <f t="shared" si="16"/>
        <v>0</v>
      </c>
      <c r="I57" s="7">
        <f>SUM(I55,I50)</f>
        <v>0</v>
      </c>
      <c r="J57" s="20">
        <f t="shared" si="16"/>
        <v>1000000</v>
      </c>
      <c r="K57" s="18"/>
    </row>
    <row r="58" spans="2:11" x14ac:dyDescent="0.3">
      <c r="B58" s="6"/>
    </row>
    <row r="59" spans="2:11" x14ac:dyDescent="0.3">
      <c r="B59" s="6"/>
    </row>
    <row r="60" spans="2:11" x14ac:dyDescent="0.3">
      <c r="B60" s="6"/>
    </row>
    <row r="61" spans="2:11" x14ac:dyDescent="0.3">
      <c r="B61" s="6"/>
    </row>
    <row r="62" spans="2:11" x14ac:dyDescent="0.3">
      <c r="B62" s="6"/>
    </row>
    <row r="63" spans="2:11" x14ac:dyDescent="0.3">
      <c r="B63" s="6"/>
    </row>
    <row r="64" spans="2:11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9" fitToHeight="0" orientation="landscape" r:id="rId1"/>
  <ignoredErrors>
    <ignoredError sqref="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Normal="100" workbookViewId="0">
      <pane xSplit="3" ySplit="6" topLeftCell="D27" activePane="bottomRight" state="frozen"/>
      <selection pane="topRight" activeCell="R20" sqref="R20:W20"/>
      <selection pane="bottomLeft" activeCell="R20" sqref="R20:W20"/>
      <selection pane="bottomRight" activeCell="D54" sqref="D54"/>
    </sheetView>
  </sheetViews>
  <sheetFormatPr defaultColWidth="9.109375" defaultRowHeight="14.4" x14ac:dyDescent="0.3"/>
  <cols>
    <col min="1" max="1" width="3.109375" customWidth="1"/>
    <col min="2" max="2" width="11.109375" customWidth="1"/>
    <col min="3" max="3" width="78.33203125" bestFit="1" customWidth="1"/>
    <col min="4" max="4" width="13.33203125" style="6" customWidth="1"/>
    <col min="5" max="5" width="13.109375" style="2" customWidth="1"/>
    <col min="6" max="7" width="13.109375" customWidth="1"/>
    <col min="8" max="8" width="12.88671875" style="2" customWidth="1"/>
    <col min="9" max="9" width="0.88671875" style="7" customWidth="1"/>
    <col min="10" max="10" width="14.5546875" customWidth="1"/>
    <col min="11" max="11" width="34.44140625" customWidth="1"/>
    <col min="13" max="13" width="9.5546875" bestFit="1" customWidth="1"/>
    <col min="57" max="57" width="137" customWidth="1"/>
  </cols>
  <sheetData>
    <row r="2" spans="2:39" ht="23.4" x14ac:dyDescent="0.45">
      <c r="B2" s="30" t="s">
        <v>38</v>
      </c>
    </row>
    <row r="3" spans="2:39" x14ac:dyDescent="0.3">
      <c r="B3" s="56" t="s">
        <v>39</v>
      </c>
    </row>
    <row r="4" spans="2:39" x14ac:dyDescent="0.3">
      <c r="B4" s="5"/>
    </row>
    <row r="5" spans="2:39" ht="18" x14ac:dyDescent="0.35">
      <c r="B5" s="36" t="s">
        <v>40</v>
      </c>
      <c r="C5" s="37"/>
      <c r="D5" s="37"/>
      <c r="E5" s="37"/>
      <c r="F5" s="37"/>
      <c r="G5" s="37"/>
      <c r="H5" s="37"/>
      <c r="I5" s="37"/>
      <c r="J5" s="38"/>
      <c r="K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K6" s="43" t="s">
        <v>41</v>
      </c>
    </row>
    <row r="7" spans="2:39" s="5" customFormat="1" x14ac:dyDescent="0.3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 s="26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111</v>
      </c>
      <c r="D8" s="15">
        <f>M8*180</f>
        <v>10440</v>
      </c>
      <c r="E8" s="15">
        <f>N8*180</f>
        <v>10753.2</v>
      </c>
      <c r="F8" s="15">
        <f>O8*180</f>
        <v>11075.796</v>
      </c>
      <c r="G8" s="15">
        <f>P8*180</f>
        <v>11408.069880000001</v>
      </c>
      <c r="H8" s="15">
        <f>Q8*180</f>
        <v>11750.3119764</v>
      </c>
      <c r="I8" s="35">
        <v>450000</v>
      </c>
      <c r="J8" s="15">
        <f>SUM(D8:H8)</f>
        <v>55427.377856400002</v>
      </c>
      <c r="K8" s="25" t="s">
        <v>112</v>
      </c>
      <c r="M8">
        <v>58</v>
      </c>
      <c r="N8">
        <f>58+(58*0.03)</f>
        <v>59.74</v>
      </c>
      <c r="O8">
        <f>N8+(N8*0.03)</f>
        <v>61.532200000000003</v>
      </c>
      <c r="P8">
        <f>O8+(O8*0.03)</f>
        <v>63.378166</v>
      </c>
      <c r="Q8">
        <f>P8+(P8*0.03)</f>
        <v>65.279510979999998</v>
      </c>
    </row>
    <row r="9" spans="2:39" x14ac:dyDescent="0.3">
      <c r="B9" s="23"/>
      <c r="C9" s="25" t="s">
        <v>113</v>
      </c>
      <c r="D9" s="15">
        <f>M9*2080</f>
        <v>83200</v>
      </c>
      <c r="E9" s="15">
        <f>N9*2080</f>
        <v>85696</v>
      </c>
      <c r="F9" s="15">
        <f>O9*2080</f>
        <v>88266.880000000005</v>
      </c>
      <c r="G9" s="15">
        <f>P9*2080</f>
        <v>90914.886400000003</v>
      </c>
      <c r="H9" s="15">
        <f>Q9*2080</f>
        <v>93642.332991999996</v>
      </c>
      <c r="J9" s="15">
        <f>SUM(D9:H9)</f>
        <v>441720.099392</v>
      </c>
      <c r="K9" s="25" t="s">
        <v>114</v>
      </c>
      <c r="M9">
        <v>40</v>
      </c>
      <c r="N9">
        <f>M9+(M9*0.03)</f>
        <v>41.2</v>
      </c>
      <c r="O9">
        <f t="shared" ref="O9:Q9" si="0">N9+(N9*0.03)</f>
        <v>42.436</v>
      </c>
      <c r="P9">
        <f t="shared" si="0"/>
        <v>43.70908</v>
      </c>
      <c r="Q9">
        <f t="shared" si="0"/>
        <v>45.0203524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  <c r="K10" s="27"/>
    </row>
    <row r="11" spans="2:39" x14ac:dyDescent="0.3">
      <c r="B11" s="23"/>
      <c r="C11" s="9" t="s">
        <v>12</v>
      </c>
      <c r="D11" s="16">
        <f>SUM(D8:D10)</f>
        <v>93640</v>
      </c>
      <c r="E11" s="16">
        <f t="shared" ref="E11:I11" si="1">SUM(E8:E10)</f>
        <v>96449.2</v>
      </c>
      <c r="F11" s="16">
        <f t="shared" si="1"/>
        <v>99342.676000000007</v>
      </c>
      <c r="G11" s="16">
        <f t="shared" si="1"/>
        <v>102322.95628</v>
      </c>
      <c r="H11" s="16">
        <f t="shared" si="1"/>
        <v>105392.6449684</v>
      </c>
      <c r="I11" s="7">
        <f t="shared" si="1"/>
        <v>450000</v>
      </c>
      <c r="J11" s="16">
        <f>SUM(J8:J10)</f>
        <v>497147.47724839998</v>
      </c>
      <c r="K11" s="9"/>
    </row>
    <row r="12" spans="2:39" x14ac:dyDescent="0.3">
      <c r="B12" s="23"/>
      <c r="C12" s="14" t="s">
        <v>74</v>
      </c>
      <c r="D12" s="13" t="s">
        <v>43</v>
      </c>
      <c r="E12" s="10"/>
      <c r="F12" s="10"/>
      <c r="G12" s="10"/>
      <c r="H12" s="10"/>
      <c r="J12" s="8" t="s">
        <v>43</v>
      </c>
      <c r="K12" s="14"/>
      <c r="M12" s="103"/>
    </row>
    <row r="13" spans="2:39" x14ac:dyDescent="0.3">
      <c r="B13" s="23"/>
      <c r="C13" s="25" t="s">
        <v>115</v>
      </c>
      <c r="D13" s="15">
        <f>D11*0.35</f>
        <v>32774</v>
      </c>
      <c r="E13" s="15">
        <f t="shared" ref="E13:H13" si="2">E11*0.35</f>
        <v>33757.219999999994</v>
      </c>
      <c r="F13" s="15">
        <f t="shared" si="2"/>
        <v>34769.936600000001</v>
      </c>
      <c r="G13" s="15">
        <f t="shared" si="2"/>
        <v>35813.034697999996</v>
      </c>
      <c r="H13" s="15">
        <f t="shared" si="2"/>
        <v>36887.425738939994</v>
      </c>
      <c r="J13" s="15">
        <f>SUM(D13:H13)</f>
        <v>174001.61703693998</v>
      </c>
      <c r="K13" s="25"/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3">SUM(D14:H14)</f>
        <v>0</v>
      </c>
      <c r="K14" s="25"/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3"/>
        <v>0</v>
      </c>
      <c r="K15" s="10"/>
    </row>
    <row r="16" spans="2:39" x14ac:dyDescent="0.3">
      <c r="B16" s="23"/>
      <c r="C16" s="9" t="s">
        <v>13</v>
      </c>
      <c r="D16" s="16">
        <f>SUM(D13:D15)</f>
        <v>32774</v>
      </c>
      <c r="E16" s="16">
        <f t="shared" ref="E16:J16" si="4">SUM(E13:E15)</f>
        <v>33757.219999999994</v>
      </c>
      <c r="F16" s="16">
        <f t="shared" si="4"/>
        <v>34769.936600000001</v>
      </c>
      <c r="G16" s="16">
        <f t="shared" si="4"/>
        <v>35813.034697999996</v>
      </c>
      <c r="H16" s="16">
        <f t="shared" si="4"/>
        <v>36887.425738939994</v>
      </c>
      <c r="I16" s="7">
        <f t="shared" si="4"/>
        <v>0</v>
      </c>
      <c r="J16" s="16">
        <f t="shared" si="4"/>
        <v>174001.61703693998</v>
      </c>
      <c r="K16" s="9"/>
    </row>
    <row r="17" spans="2:11" x14ac:dyDescent="0.3">
      <c r="B17" s="23"/>
      <c r="C17" s="14" t="s">
        <v>48</v>
      </c>
      <c r="D17" s="13" t="s">
        <v>43</v>
      </c>
      <c r="E17" s="10"/>
      <c r="F17" s="10"/>
      <c r="G17" s="10"/>
      <c r="H17" s="10"/>
      <c r="J17" s="8" t="s">
        <v>43</v>
      </c>
      <c r="K17" s="14"/>
    </row>
    <row r="18" spans="2:11" x14ac:dyDescent="0.3">
      <c r="B18" s="23"/>
      <c r="C18" s="25" t="s">
        <v>116</v>
      </c>
      <c r="D18" s="15">
        <v>7276</v>
      </c>
      <c r="E18" s="15">
        <f t="shared" ref="E18:H18" si="5">68*107</f>
        <v>7276</v>
      </c>
      <c r="F18" s="15">
        <f t="shared" si="5"/>
        <v>7276</v>
      </c>
      <c r="G18" s="15">
        <f t="shared" si="5"/>
        <v>7276</v>
      </c>
      <c r="H18" s="15">
        <f t="shared" si="5"/>
        <v>7276</v>
      </c>
      <c r="J18" s="15">
        <f>SUM(D18:H18)</f>
        <v>36380</v>
      </c>
      <c r="K18" s="29"/>
    </row>
    <row r="19" spans="2:11" x14ac:dyDescent="0.3">
      <c r="B19" s="23"/>
      <c r="C19" s="25" t="s">
        <v>117</v>
      </c>
      <c r="D19" s="15">
        <f>100*33.5</f>
        <v>3350</v>
      </c>
      <c r="E19" s="15">
        <f t="shared" ref="E19:H19" si="6">100*33.5</f>
        <v>3350</v>
      </c>
      <c r="F19" s="15">
        <f t="shared" si="6"/>
        <v>3350</v>
      </c>
      <c r="G19" s="15">
        <f t="shared" si="6"/>
        <v>3350</v>
      </c>
      <c r="H19" s="15">
        <f t="shared" si="6"/>
        <v>3350</v>
      </c>
      <c r="J19" s="15">
        <f t="shared" ref="J19" si="7">SUM(D19:H19)</f>
        <v>16750</v>
      </c>
      <c r="K19" s="29"/>
    </row>
    <row r="20" spans="2:11" x14ac:dyDescent="0.3">
      <c r="B20" s="23"/>
      <c r="C20" s="25" t="s">
        <v>118</v>
      </c>
      <c r="D20" s="15">
        <f>5000*0.655</f>
        <v>3275</v>
      </c>
      <c r="E20" s="15">
        <f>5000*0.655</f>
        <v>3275</v>
      </c>
      <c r="F20" s="15">
        <f>5000*0.655</f>
        <v>3275</v>
      </c>
      <c r="G20" s="15">
        <f>5000*0.655</f>
        <v>3275</v>
      </c>
      <c r="H20" s="15">
        <f>5000*0.655</f>
        <v>3275</v>
      </c>
      <c r="I20" s="35">
        <v>2000</v>
      </c>
      <c r="J20" s="15">
        <f>SUM(D20:H20)</f>
        <v>16375</v>
      </c>
      <c r="K20" s="29"/>
    </row>
    <row r="21" spans="2:11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8">SUM(D21:H21)</f>
        <v>0</v>
      </c>
      <c r="K21" s="25"/>
    </row>
    <row r="22" spans="2:11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8"/>
        <v>0</v>
      </c>
      <c r="K22" s="29"/>
    </row>
    <row r="23" spans="2:11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8"/>
        <v>0</v>
      </c>
      <c r="K23" s="29"/>
    </row>
    <row r="24" spans="2:11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8"/>
        <v>0</v>
      </c>
      <c r="K24" s="29"/>
    </row>
    <row r="25" spans="2:11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8"/>
        <v>0</v>
      </c>
      <c r="K25" s="29"/>
    </row>
    <row r="26" spans="2:11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8"/>
        <v>0</v>
      </c>
      <c r="K26" s="25"/>
    </row>
    <row r="27" spans="2:11" x14ac:dyDescent="0.3">
      <c r="B27" s="23"/>
      <c r="C27" s="9" t="s">
        <v>14</v>
      </c>
      <c r="D27" s="16">
        <f>SUM(D18:D26)</f>
        <v>13901</v>
      </c>
      <c r="E27" s="16">
        <f>SUM(E18:E26)</f>
        <v>13901</v>
      </c>
      <c r="F27" s="16">
        <f>SUM(F18:F26)</f>
        <v>13901</v>
      </c>
      <c r="G27" s="16">
        <f>SUM(G18:G26)</f>
        <v>13901</v>
      </c>
      <c r="H27" s="16">
        <f>SUM(H18:H26)</f>
        <v>13901</v>
      </c>
      <c r="J27" s="16">
        <f>SUM(D27:H27)</f>
        <v>69505</v>
      </c>
      <c r="K27" s="9"/>
    </row>
    <row r="28" spans="2:11" x14ac:dyDescent="0.3">
      <c r="B28" s="23"/>
      <c r="C28" s="14" t="s">
        <v>49</v>
      </c>
      <c r="D28" s="15"/>
      <c r="E28" s="10"/>
      <c r="F28" s="10"/>
      <c r="G28" s="10"/>
      <c r="H28" s="10"/>
      <c r="J28" s="15" t="s">
        <v>20</v>
      </c>
      <c r="K28" s="14"/>
    </row>
    <row r="29" spans="2:11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  <c r="K29" s="25"/>
    </row>
    <row r="30" spans="2:11" x14ac:dyDescent="0.3">
      <c r="B30" s="23" t="s">
        <v>50</v>
      </c>
      <c r="C30" s="28" t="s">
        <v>50</v>
      </c>
      <c r="D30" s="13" t="s">
        <v>43</v>
      </c>
      <c r="E30" s="10"/>
      <c r="F30" s="10"/>
      <c r="G30" s="10"/>
      <c r="H30" s="10"/>
      <c r="J30" s="15">
        <f t="shared" ref="J30:K50" si="9">SUM(D30:H30)</f>
        <v>0</v>
      </c>
      <c r="K30" s="28" t="s">
        <v>50</v>
      </c>
    </row>
    <row r="31" spans="2:11" x14ac:dyDescent="0.3">
      <c r="B31" s="23"/>
      <c r="C31" s="9" t="s">
        <v>15</v>
      </c>
      <c r="D31" s="12">
        <f>SUM(D29:D30)</f>
        <v>0</v>
      </c>
      <c r="E31" s="12">
        <f t="shared" ref="E31:H31" si="10">SUM(E29:E30)</f>
        <v>0</v>
      </c>
      <c r="F31" s="12">
        <f t="shared" si="10"/>
        <v>0</v>
      </c>
      <c r="G31" s="12">
        <f t="shared" si="10"/>
        <v>0</v>
      </c>
      <c r="H31" s="12">
        <f t="shared" si="10"/>
        <v>0</v>
      </c>
      <c r="J31" s="16">
        <f t="shared" si="9"/>
        <v>0</v>
      </c>
      <c r="K31" s="9"/>
    </row>
    <row r="32" spans="2:11" x14ac:dyDescent="0.3">
      <c r="B32" s="23"/>
      <c r="C32" s="14" t="s">
        <v>51</v>
      </c>
      <c r="D32" s="13" t="s">
        <v>43</v>
      </c>
      <c r="E32" s="10"/>
      <c r="F32" s="10"/>
      <c r="G32" s="10"/>
      <c r="H32" s="10"/>
      <c r="J32" s="15"/>
      <c r="K32" s="14"/>
    </row>
    <row r="33" spans="2:11" x14ac:dyDescent="0.3">
      <c r="B33" s="23"/>
      <c r="C33" s="25" t="s">
        <v>119</v>
      </c>
      <c r="D33" s="15">
        <v>3500</v>
      </c>
      <c r="E33" s="15">
        <v>1142</v>
      </c>
      <c r="F33" s="15">
        <v>1142</v>
      </c>
      <c r="G33" s="15">
        <v>1142</v>
      </c>
      <c r="H33" s="15">
        <v>1142</v>
      </c>
      <c r="I33" s="35">
        <v>5000</v>
      </c>
      <c r="J33" s="15">
        <f t="shared" si="9"/>
        <v>8068</v>
      </c>
      <c r="K33" s="25"/>
    </row>
    <row r="34" spans="2:11" x14ac:dyDescent="0.3">
      <c r="B34" s="23"/>
      <c r="C34" s="25"/>
      <c r="D34" s="15"/>
      <c r="E34" s="11"/>
      <c r="F34" s="11"/>
      <c r="G34" s="11"/>
      <c r="H34" s="11"/>
      <c r="J34" s="15">
        <f t="shared" si="9"/>
        <v>0</v>
      </c>
      <c r="K34" s="25"/>
    </row>
    <row r="35" spans="2:11" x14ac:dyDescent="0.3">
      <c r="B35" s="23"/>
      <c r="C35" s="9" t="s">
        <v>16</v>
      </c>
      <c r="D35" s="16">
        <f>SUM(D33:D34)</f>
        <v>3500</v>
      </c>
      <c r="E35" s="16">
        <f t="shared" ref="E35:H35" si="11">SUM(E33:E34)</f>
        <v>1142</v>
      </c>
      <c r="F35" s="16">
        <f t="shared" si="11"/>
        <v>1142</v>
      </c>
      <c r="G35" s="16">
        <f t="shared" si="11"/>
        <v>1142</v>
      </c>
      <c r="H35" s="16">
        <f t="shared" si="11"/>
        <v>1142</v>
      </c>
      <c r="J35" s="16">
        <f t="shared" si="9"/>
        <v>8068</v>
      </c>
      <c r="K35" s="9"/>
    </row>
    <row r="36" spans="2:11" x14ac:dyDescent="0.3">
      <c r="B36" s="23"/>
      <c r="C36" s="14" t="s">
        <v>54</v>
      </c>
      <c r="D36" s="13" t="s">
        <v>43</v>
      </c>
      <c r="E36" s="10"/>
      <c r="F36" s="10"/>
      <c r="G36" s="10"/>
      <c r="H36" s="10"/>
      <c r="J36" s="15"/>
      <c r="K36" s="14"/>
    </row>
    <row r="37" spans="2:11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9"/>
        <v>0</v>
      </c>
      <c r="K37" s="25"/>
    </row>
    <row r="38" spans="2:11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9"/>
        <v>0</v>
      </c>
      <c r="K38" s="25"/>
    </row>
    <row r="39" spans="2:11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9"/>
        <v>0</v>
      </c>
      <c r="K39" s="25"/>
    </row>
    <row r="40" spans="2:11" x14ac:dyDescent="0.3">
      <c r="B40" s="23"/>
      <c r="C40" s="25"/>
      <c r="D40" s="15"/>
      <c r="E40" s="11"/>
      <c r="F40" s="11"/>
      <c r="G40" s="11"/>
      <c r="H40" s="11"/>
      <c r="J40" s="15">
        <f t="shared" si="9"/>
        <v>0</v>
      </c>
      <c r="K40" s="25"/>
    </row>
    <row r="41" spans="2:11" x14ac:dyDescent="0.3">
      <c r="B41" s="23"/>
      <c r="C41" s="9" t="s">
        <v>17</v>
      </c>
      <c r="D41" s="16">
        <f>SUM(D37:D40)</f>
        <v>0</v>
      </c>
      <c r="E41" s="16">
        <f t="shared" ref="E41:H41" si="12">SUM(E37:E40)</f>
        <v>0</v>
      </c>
      <c r="F41" s="16">
        <f t="shared" si="12"/>
        <v>0</v>
      </c>
      <c r="G41" s="16">
        <f t="shared" si="12"/>
        <v>0</v>
      </c>
      <c r="H41" s="16">
        <f t="shared" si="12"/>
        <v>0</v>
      </c>
      <c r="J41" s="16">
        <f t="shared" si="9"/>
        <v>0</v>
      </c>
      <c r="K41" s="15">
        <f t="shared" si="9"/>
        <v>0</v>
      </c>
    </row>
    <row r="42" spans="2:11" x14ac:dyDescent="0.3">
      <c r="B42" s="23"/>
      <c r="C42" s="14" t="s">
        <v>63</v>
      </c>
      <c r="D42" s="13" t="s">
        <v>43</v>
      </c>
      <c r="E42" s="10"/>
      <c r="F42" s="10"/>
      <c r="G42" s="10"/>
      <c r="H42" s="10"/>
      <c r="J42" s="15"/>
      <c r="K42" s="70"/>
    </row>
    <row r="43" spans="2:11" x14ac:dyDescent="0.3">
      <c r="B43" s="23"/>
      <c r="C43" s="25" t="s">
        <v>120</v>
      </c>
      <c r="D43" s="15">
        <v>10000</v>
      </c>
      <c r="E43" s="15">
        <v>10000</v>
      </c>
      <c r="F43" s="15">
        <v>10000</v>
      </c>
      <c r="G43" s="15">
        <v>10000</v>
      </c>
      <c r="H43" s="15">
        <v>10000</v>
      </c>
      <c r="I43" s="35">
        <v>375000</v>
      </c>
      <c r="J43" s="15">
        <f t="shared" si="9"/>
        <v>50000</v>
      </c>
      <c r="K43" s="25"/>
    </row>
    <row r="44" spans="2:11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9"/>
        <v>0</v>
      </c>
      <c r="K44" s="25"/>
    </row>
    <row r="45" spans="2:11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9"/>
        <v>0</v>
      </c>
      <c r="K45" s="10"/>
    </row>
    <row r="46" spans="2:11" x14ac:dyDescent="0.3">
      <c r="B46" s="23"/>
      <c r="C46" s="25"/>
      <c r="D46" s="15"/>
      <c r="E46" s="11"/>
      <c r="F46" s="11"/>
      <c r="G46" s="11"/>
      <c r="H46" s="11"/>
      <c r="J46" s="15">
        <f t="shared" si="9"/>
        <v>0</v>
      </c>
      <c r="K46" s="10"/>
    </row>
    <row r="47" spans="2:11" x14ac:dyDescent="0.3">
      <c r="B47" s="23"/>
      <c r="C47" s="25"/>
      <c r="D47" s="15"/>
      <c r="E47" s="11"/>
      <c r="F47" s="11"/>
      <c r="G47" s="11"/>
      <c r="H47" s="11"/>
      <c r="J47" s="15">
        <f t="shared" si="9"/>
        <v>0</v>
      </c>
      <c r="K47" s="15"/>
    </row>
    <row r="48" spans="2:11" x14ac:dyDescent="0.3">
      <c r="B48" s="23"/>
      <c r="C48" s="10"/>
      <c r="D48" s="15"/>
      <c r="E48" s="11"/>
      <c r="F48" s="11"/>
      <c r="G48" s="11"/>
      <c r="H48" s="11"/>
      <c r="J48" s="15">
        <f t="shared" si="9"/>
        <v>0</v>
      </c>
    </row>
    <row r="49" spans="2:11" x14ac:dyDescent="0.3">
      <c r="B49" s="24"/>
      <c r="C49" s="9" t="s">
        <v>18</v>
      </c>
      <c r="D49" s="16">
        <f>SUM(D43:D48)</f>
        <v>10000</v>
      </c>
      <c r="E49" s="16">
        <f t="shared" ref="E49:H49" si="13">SUM(E43:E48)</f>
        <v>10000</v>
      </c>
      <c r="F49" s="16">
        <f t="shared" si="13"/>
        <v>10000</v>
      </c>
      <c r="G49" s="16">
        <f t="shared" si="13"/>
        <v>10000</v>
      </c>
      <c r="H49" s="16">
        <f t="shared" si="13"/>
        <v>10000</v>
      </c>
      <c r="J49" s="16">
        <f t="shared" si="9"/>
        <v>50000</v>
      </c>
      <c r="K49" s="71"/>
    </row>
    <row r="50" spans="2:11" x14ac:dyDescent="0.3">
      <c r="B50" s="24"/>
      <c r="C50" s="9" t="s">
        <v>19</v>
      </c>
      <c r="D50" s="16">
        <f>SUM(D49,D41,D35,D31,D27,D16,D11)</f>
        <v>153815</v>
      </c>
      <c r="E50" s="16">
        <f t="shared" ref="E50:H50" si="14">SUM(E49,E41,E35,E31,E27,E16,E11)</f>
        <v>155249.41999999998</v>
      </c>
      <c r="F50" s="16">
        <f t="shared" si="14"/>
        <v>159155.61259999999</v>
      </c>
      <c r="G50" s="16">
        <f t="shared" si="14"/>
        <v>163178.99097799999</v>
      </c>
      <c r="H50" s="16">
        <f t="shared" si="14"/>
        <v>167323.07070734</v>
      </c>
      <c r="J50" s="16">
        <f t="shared" si="9"/>
        <v>798722.09428534005</v>
      </c>
      <c r="K50" s="72"/>
    </row>
    <row r="51" spans="2:11" x14ac:dyDescent="0.3">
      <c r="B51" s="6"/>
      <c r="D51"/>
      <c r="E51"/>
      <c r="H51"/>
      <c r="I51"/>
      <c r="J51" t="s">
        <v>20</v>
      </c>
      <c r="K51" s="25"/>
    </row>
    <row r="52" spans="2:11" ht="28.8" x14ac:dyDescent="0.3">
      <c r="B52" s="62" t="s">
        <v>64</v>
      </c>
      <c r="C52" s="17" t="s">
        <v>64</v>
      </c>
      <c r="D52" s="18"/>
      <c r="E52" s="18"/>
      <c r="F52" s="18"/>
      <c r="G52" s="18"/>
      <c r="H52" s="18"/>
      <c r="I52"/>
      <c r="J52" s="18" t="s">
        <v>20</v>
      </c>
      <c r="K52" s="25"/>
    </row>
    <row r="53" spans="2:11" x14ac:dyDescent="0.3">
      <c r="B53" s="23"/>
      <c r="C53" s="25" t="s">
        <v>121</v>
      </c>
      <c r="D53" s="15">
        <f>(+D11+D16)*0.2999</f>
        <v>37911.558599999997</v>
      </c>
      <c r="E53" s="15">
        <f t="shared" ref="E53:H53" si="15">(+E11+E16)*0.2999</f>
        <v>39048.905357999996</v>
      </c>
      <c r="F53" s="15">
        <f t="shared" si="15"/>
        <v>40220.372518739998</v>
      </c>
      <c r="G53" s="15">
        <f t="shared" si="15"/>
        <v>41426.983694302195</v>
      </c>
      <c r="H53" s="15">
        <f t="shared" si="15"/>
        <v>42669.793205131267</v>
      </c>
      <c r="J53" s="15">
        <f>SUM(D53:H53)</f>
        <v>201277.61337617342</v>
      </c>
      <c r="K53" s="18"/>
    </row>
    <row r="54" spans="2:11" x14ac:dyDescent="0.3">
      <c r="B54" s="23"/>
      <c r="C54" s="25"/>
      <c r="D54" s="13"/>
      <c r="E54" s="10"/>
      <c r="F54" s="10"/>
      <c r="G54" s="10"/>
      <c r="H54" s="10"/>
      <c r="J54" s="15">
        <f t="shared" ref="J54:J55" si="16">SUM(D54:H54)</f>
        <v>0</v>
      </c>
      <c r="K54" s="18"/>
    </row>
    <row r="55" spans="2:11" x14ac:dyDescent="0.3">
      <c r="B55" s="24"/>
      <c r="C55" s="9" t="s">
        <v>21</v>
      </c>
      <c r="D55" s="16">
        <f>SUM(D53:D54)</f>
        <v>37911.558599999997</v>
      </c>
      <c r="E55" s="16">
        <f t="shared" ref="E55:H55" si="17">SUM(E53:E54)</f>
        <v>39048.905357999996</v>
      </c>
      <c r="F55" s="16">
        <f t="shared" si="17"/>
        <v>40220.372518739998</v>
      </c>
      <c r="G55" s="16">
        <f t="shared" si="17"/>
        <v>41426.983694302195</v>
      </c>
      <c r="H55" s="16">
        <f t="shared" si="17"/>
        <v>42669.793205131267</v>
      </c>
      <c r="J55" s="16">
        <f t="shared" si="16"/>
        <v>201277.61337617342</v>
      </c>
      <c r="K55" s="76"/>
    </row>
    <row r="56" spans="2:11" ht="15" thickBot="1" x14ac:dyDescent="0.35">
      <c r="B56" s="6"/>
      <c r="D56"/>
      <c r="E56"/>
      <c r="H56"/>
      <c r="I56"/>
      <c r="J56" t="s">
        <v>20</v>
      </c>
      <c r="K56" s="18"/>
    </row>
    <row r="57" spans="2:11" s="1" customFormat="1" ht="29.4" thickBot="1" x14ac:dyDescent="0.35">
      <c r="B57" s="19" t="s">
        <v>22</v>
      </c>
      <c r="C57" s="19"/>
      <c r="D57" s="20">
        <f>SUM(D55,D50)</f>
        <v>191726.55859999999</v>
      </c>
      <c r="E57" s="20">
        <f t="shared" ref="E57:J57" si="18">SUM(E55,E50)</f>
        <v>194298.32535799997</v>
      </c>
      <c r="F57" s="20">
        <f t="shared" si="18"/>
        <v>199375.98511874001</v>
      </c>
      <c r="G57" s="20">
        <f t="shared" si="18"/>
        <v>204605.9746723022</v>
      </c>
      <c r="H57" s="20">
        <f t="shared" si="18"/>
        <v>209992.86391247128</v>
      </c>
      <c r="I57" s="7">
        <f>SUM(I55,I50)</f>
        <v>0</v>
      </c>
      <c r="J57" s="20">
        <f t="shared" si="18"/>
        <v>999999.70766151347</v>
      </c>
      <c r="K57" s="18"/>
    </row>
    <row r="58" spans="2:11" x14ac:dyDescent="0.3">
      <c r="B58" s="6"/>
    </row>
    <row r="59" spans="2:11" x14ac:dyDescent="0.3">
      <c r="B59" s="6"/>
    </row>
    <row r="60" spans="2:11" x14ac:dyDescent="0.3">
      <c r="B60" s="6"/>
    </row>
    <row r="61" spans="2:11" x14ac:dyDescent="0.3">
      <c r="B61" s="6"/>
    </row>
    <row r="62" spans="2:11" x14ac:dyDescent="0.3">
      <c r="B62" s="6"/>
    </row>
    <row r="63" spans="2:11" x14ac:dyDescent="0.3">
      <c r="B63" s="6"/>
    </row>
    <row r="64" spans="2:11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1:J2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B7C22-0371-4AA0-BA96-E30D28F8E399}">
  <sheetPr>
    <tabColor theme="9" tint="0.39997558519241921"/>
    <pageSetUpPr fitToPage="1"/>
  </sheetPr>
  <dimension ref="B2:AM72"/>
  <sheetViews>
    <sheetView showGridLines="0" zoomScaleNormal="100" workbookViewId="0">
      <pane xSplit="3" ySplit="6" topLeftCell="D28" activePane="bottomRight" state="frozen"/>
      <selection pane="topRight" activeCell="R20" sqref="R20:W20"/>
      <selection pane="bottomLeft" activeCell="R20" sqref="R20:W20"/>
      <selection pane="bottomRight" activeCell="J44" sqref="J44"/>
    </sheetView>
  </sheetViews>
  <sheetFormatPr defaultColWidth="9.109375" defaultRowHeight="14.4" x14ac:dyDescent="0.3"/>
  <cols>
    <col min="1" max="1" width="3.109375" customWidth="1"/>
    <col min="2" max="2" width="11.109375" customWidth="1"/>
    <col min="3" max="3" width="46.44140625" customWidth="1"/>
    <col min="4" max="4" width="13.33203125" style="6" customWidth="1"/>
    <col min="5" max="5" width="13.109375" style="2" customWidth="1"/>
    <col min="6" max="7" width="13.109375" customWidth="1"/>
    <col min="8" max="8" width="12.88671875" style="2" customWidth="1"/>
    <col min="9" max="9" width="2.6640625" style="7" customWidth="1"/>
    <col min="10" max="10" width="14.5546875" customWidth="1"/>
    <col min="11" max="11" width="74.6640625" customWidth="1"/>
  </cols>
  <sheetData>
    <row r="2" spans="2:39" ht="23.4" x14ac:dyDescent="0.45">
      <c r="B2" s="30" t="s">
        <v>38</v>
      </c>
    </row>
    <row r="3" spans="2:39" x14ac:dyDescent="0.3">
      <c r="B3" s="56" t="s">
        <v>39</v>
      </c>
    </row>
    <row r="4" spans="2:39" x14ac:dyDescent="0.3">
      <c r="B4" s="5"/>
    </row>
    <row r="5" spans="2:39" ht="18" x14ac:dyDescent="0.35">
      <c r="B5" s="36" t="s">
        <v>40</v>
      </c>
      <c r="C5" s="37"/>
      <c r="D5" s="37"/>
      <c r="E5" s="37"/>
      <c r="F5" s="37"/>
      <c r="G5" s="37"/>
      <c r="H5" s="37"/>
      <c r="I5" s="37"/>
      <c r="J5" s="38"/>
      <c r="K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K6" s="43" t="s">
        <v>41</v>
      </c>
    </row>
    <row r="7" spans="2:39" s="5" customFormat="1" x14ac:dyDescent="0.3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 s="26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2" x14ac:dyDescent="0.3">
      <c r="B8" s="23"/>
      <c r="C8" s="25" t="s">
        <v>122</v>
      </c>
      <c r="D8" s="15">
        <f>M8*180</f>
        <v>10440</v>
      </c>
      <c r="E8" s="15">
        <f>N8*180</f>
        <v>10753.2</v>
      </c>
      <c r="F8" s="15">
        <f>O8*180</f>
        <v>11075.796</v>
      </c>
      <c r="G8" s="15">
        <f>P8*180</f>
        <v>11408.069880000001</v>
      </c>
      <c r="H8" s="15">
        <f>Q8*180</f>
        <v>11750.3119764</v>
      </c>
      <c r="I8" s="35"/>
      <c r="J8" s="15">
        <f>SUM(D8:I8)</f>
        <v>55427.377856400002</v>
      </c>
      <c r="K8" s="25"/>
      <c r="M8">
        <v>58</v>
      </c>
      <c r="N8">
        <f>58+(58*0.03)</f>
        <v>59.74</v>
      </c>
      <c r="O8">
        <f>N8+(N8*0.03)</f>
        <v>61.532200000000003</v>
      </c>
      <c r="P8">
        <f>O8+(O8*0.03)</f>
        <v>63.378166</v>
      </c>
      <c r="Q8">
        <f>P8+(P8*0.03)</f>
        <v>65.279510979999998</v>
      </c>
    </row>
    <row r="9" spans="2:39" ht="28.8" x14ac:dyDescent="0.3">
      <c r="B9" s="23"/>
      <c r="C9" s="25" t="s">
        <v>123</v>
      </c>
      <c r="D9" s="15">
        <f>M9*2080</f>
        <v>83200</v>
      </c>
      <c r="E9" s="15">
        <f>N9*2080</f>
        <v>85696</v>
      </c>
      <c r="F9" s="15">
        <f>O9*2080</f>
        <v>88266.880000000005</v>
      </c>
      <c r="G9" s="15">
        <f>P9*2080</f>
        <v>90914.886400000003</v>
      </c>
      <c r="H9" s="15">
        <f>Q9*2080</f>
        <v>93642.332991999996</v>
      </c>
      <c r="J9" s="15">
        <f t="shared" ref="J9:J10" si="0">SUM(D9:I9)</f>
        <v>441720.099392</v>
      </c>
      <c r="K9" s="25"/>
      <c r="M9">
        <v>40</v>
      </c>
      <c r="N9">
        <f>M9+(M9*0.03)</f>
        <v>41.2</v>
      </c>
      <c r="O9">
        <f t="shared" ref="O9:Q9" si="1">N9+(N9*0.03)</f>
        <v>42.436</v>
      </c>
      <c r="P9">
        <f t="shared" si="1"/>
        <v>43.70908</v>
      </c>
      <c r="Q9">
        <f t="shared" si="1"/>
        <v>45.0203524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 t="shared" si="0"/>
        <v>0</v>
      </c>
      <c r="K10" s="27"/>
    </row>
    <row r="11" spans="2:39" x14ac:dyDescent="0.3">
      <c r="B11" s="23"/>
      <c r="C11" s="9" t="s">
        <v>12</v>
      </c>
      <c r="D11" s="16">
        <f>SUM(D8:D10)</f>
        <v>93640</v>
      </c>
      <c r="E11" s="16">
        <f t="shared" ref="E11:H11" si="2">SUM(E8:E10)</f>
        <v>96449.2</v>
      </c>
      <c r="F11" s="16">
        <f t="shared" si="2"/>
        <v>99342.676000000007</v>
      </c>
      <c r="G11" s="16">
        <f t="shared" si="2"/>
        <v>102322.95628</v>
      </c>
      <c r="H11" s="16">
        <f t="shared" si="2"/>
        <v>105392.6449684</v>
      </c>
      <c r="J11" s="16">
        <f>SUM(J8:J10)</f>
        <v>497147.47724839998</v>
      </c>
      <c r="K11" s="9"/>
    </row>
    <row r="12" spans="2:39" x14ac:dyDescent="0.3">
      <c r="B12" s="23"/>
      <c r="C12" s="14" t="s">
        <v>74</v>
      </c>
      <c r="D12" s="13" t="s">
        <v>43</v>
      </c>
      <c r="E12" s="10"/>
      <c r="F12" s="11"/>
      <c r="G12" s="11"/>
      <c r="H12" s="10"/>
      <c r="J12" s="8" t="s">
        <v>43</v>
      </c>
      <c r="K12" s="14"/>
    </row>
    <row r="13" spans="2:39" x14ac:dyDescent="0.3">
      <c r="B13" s="23"/>
      <c r="C13" s="25" t="s">
        <v>115</v>
      </c>
      <c r="D13" s="15">
        <f>D11*0.35</f>
        <v>32774</v>
      </c>
      <c r="E13" s="15">
        <f t="shared" ref="E13:H13" si="3">E11*0.35</f>
        <v>33757.219999999994</v>
      </c>
      <c r="F13" s="15">
        <f t="shared" si="3"/>
        <v>34769.936600000001</v>
      </c>
      <c r="G13" s="15">
        <f t="shared" si="3"/>
        <v>35813.034697999996</v>
      </c>
      <c r="H13" s="15">
        <f t="shared" si="3"/>
        <v>36887.425738939994</v>
      </c>
      <c r="J13" s="15">
        <f t="shared" ref="J13:J15" si="4">SUM(D13:I13)</f>
        <v>174001.61703693998</v>
      </c>
      <c r="K13" s="25"/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si="4"/>
        <v>0</v>
      </c>
      <c r="K14" s="25"/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4"/>
        <v>0</v>
      </c>
      <c r="K15" s="10"/>
    </row>
    <row r="16" spans="2:39" x14ac:dyDescent="0.3">
      <c r="B16" s="23"/>
      <c r="C16" s="9" t="s">
        <v>13</v>
      </c>
      <c r="D16" s="16">
        <f>SUM(D13:D15)</f>
        <v>32774</v>
      </c>
      <c r="E16" s="16">
        <f t="shared" ref="E16:J16" si="5">SUM(E13:E15)</f>
        <v>33757.219999999994</v>
      </c>
      <c r="F16" s="16">
        <f t="shared" si="5"/>
        <v>34769.936600000001</v>
      </c>
      <c r="G16" s="16">
        <f t="shared" si="5"/>
        <v>35813.034697999996</v>
      </c>
      <c r="H16" s="16">
        <f t="shared" si="5"/>
        <v>36887.425738939994</v>
      </c>
      <c r="J16" s="16">
        <f t="shared" si="5"/>
        <v>174001.61703693998</v>
      </c>
      <c r="K16" s="9"/>
    </row>
    <row r="17" spans="2:11" x14ac:dyDescent="0.3">
      <c r="B17" s="23"/>
      <c r="C17" s="14" t="s">
        <v>48</v>
      </c>
      <c r="D17" s="13" t="s">
        <v>43</v>
      </c>
      <c r="E17" s="10"/>
      <c r="F17" s="11"/>
      <c r="G17" s="11"/>
      <c r="H17" s="10"/>
      <c r="J17" s="8" t="s">
        <v>43</v>
      </c>
      <c r="K17" s="14"/>
    </row>
    <row r="18" spans="2:11" x14ac:dyDescent="0.3">
      <c r="B18" s="23"/>
      <c r="C18" s="25" t="s">
        <v>116</v>
      </c>
      <c r="D18" s="15">
        <f>68*107</f>
        <v>7276</v>
      </c>
      <c r="E18" s="15">
        <f t="shared" ref="E18:H18" si="6">68*107</f>
        <v>7276</v>
      </c>
      <c r="F18" s="15">
        <f t="shared" si="6"/>
        <v>7276</v>
      </c>
      <c r="G18" s="15">
        <f t="shared" si="6"/>
        <v>7276</v>
      </c>
      <c r="H18" s="15">
        <f t="shared" si="6"/>
        <v>7276</v>
      </c>
      <c r="J18" s="15">
        <f t="shared" ref="J18:J20" si="7">SUM(D18:I18)</f>
        <v>36380</v>
      </c>
      <c r="K18" s="29"/>
    </row>
    <row r="19" spans="2:11" x14ac:dyDescent="0.3">
      <c r="B19" s="23"/>
      <c r="C19" s="25" t="s">
        <v>117</v>
      </c>
      <c r="D19" s="15">
        <f>100*33.5</f>
        <v>3350</v>
      </c>
      <c r="E19" s="15">
        <f t="shared" ref="E19:H19" si="8">100*33.5</f>
        <v>3350</v>
      </c>
      <c r="F19" s="15">
        <f t="shared" si="8"/>
        <v>3350</v>
      </c>
      <c r="G19" s="15">
        <f t="shared" si="8"/>
        <v>3350</v>
      </c>
      <c r="H19" s="15">
        <f t="shared" si="8"/>
        <v>3350</v>
      </c>
      <c r="J19" s="15">
        <f t="shared" si="7"/>
        <v>16750</v>
      </c>
      <c r="K19" s="29"/>
    </row>
    <row r="20" spans="2:11" x14ac:dyDescent="0.3">
      <c r="B20" s="23"/>
      <c r="C20" s="25" t="s">
        <v>118</v>
      </c>
      <c r="D20" s="15">
        <f>5000*0.655</f>
        <v>3275</v>
      </c>
      <c r="E20" s="15">
        <f>5000*0.655</f>
        <v>3275</v>
      </c>
      <c r="F20" s="15">
        <f>5000*0.655</f>
        <v>3275</v>
      </c>
      <c r="G20" s="15">
        <f>5000*0.655</f>
        <v>3275</v>
      </c>
      <c r="H20" s="15">
        <f>5000*0.655</f>
        <v>3275</v>
      </c>
      <c r="J20" s="15">
        <f t="shared" si="7"/>
        <v>16375</v>
      </c>
      <c r="K20" s="29"/>
    </row>
    <row r="21" spans="2:11" x14ac:dyDescent="0.3">
      <c r="B21" s="23"/>
      <c r="C21" s="29"/>
      <c r="D21" s="15"/>
      <c r="E21" s="15"/>
      <c r="F21" s="15"/>
      <c r="G21" s="15"/>
      <c r="H21" s="15"/>
      <c r="J21" s="15"/>
      <c r="K21" s="25"/>
    </row>
    <row r="22" spans="2:11" x14ac:dyDescent="0.3">
      <c r="B22" s="23"/>
      <c r="C22" s="25"/>
      <c r="D22" s="15"/>
      <c r="E22" s="15"/>
      <c r="F22" s="15"/>
      <c r="G22" s="15"/>
      <c r="H22" s="15"/>
      <c r="I22" s="35"/>
      <c r="J22" s="15"/>
      <c r="K22" s="29"/>
    </row>
    <row r="23" spans="2:11" x14ac:dyDescent="0.3">
      <c r="B23" s="23"/>
      <c r="C23" s="29"/>
      <c r="D23" s="15"/>
      <c r="E23" s="15"/>
      <c r="F23" s="15"/>
      <c r="G23" s="15"/>
      <c r="H23" s="15"/>
      <c r="I23" s="35"/>
      <c r="J23" s="15"/>
      <c r="K23" s="29"/>
    </row>
    <row r="24" spans="2:11" x14ac:dyDescent="0.3">
      <c r="B24" s="23"/>
      <c r="C24" s="29"/>
      <c r="D24" s="15"/>
      <c r="E24" s="15"/>
      <c r="F24" s="15"/>
      <c r="G24" s="15"/>
      <c r="H24" s="15"/>
      <c r="I24" s="35"/>
      <c r="J24" s="15"/>
      <c r="K24" s="29"/>
    </row>
    <row r="25" spans="2:11" x14ac:dyDescent="0.3">
      <c r="B25" s="23"/>
      <c r="C25" s="29"/>
      <c r="D25" s="15"/>
      <c r="E25" s="15"/>
      <c r="F25" s="15"/>
      <c r="G25" s="15"/>
      <c r="H25" s="15"/>
      <c r="I25" s="35"/>
      <c r="J25" s="15"/>
      <c r="K25" s="29"/>
    </row>
    <row r="26" spans="2:11" x14ac:dyDescent="0.3">
      <c r="B26" s="23"/>
      <c r="C26" s="25"/>
      <c r="D26" s="15"/>
      <c r="E26" s="15"/>
      <c r="F26" s="15"/>
      <c r="G26" s="15"/>
      <c r="H26" s="15"/>
      <c r="I26" s="35"/>
      <c r="J26" s="15"/>
      <c r="K26" s="25"/>
    </row>
    <row r="27" spans="2:11" x14ac:dyDescent="0.3">
      <c r="B27" s="23"/>
      <c r="C27" s="9" t="s">
        <v>14</v>
      </c>
      <c r="D27" s="16">
        <f>SUM(D18:D26)</f>
        <v>13901</v>
      </c>
      <c r="E27" s="16">
        <f t="shared" ref="E27:H27" si="9">SUM(E18:E26)</f>
        <v>13901</v>
      </c>
      <c r="F27" s="88">
        <f t="shared" si="9"/>
        <v>13901</v>
      </c>
      <c r="G27" s="16">
        <f t="shared" si="9"/>
        <v>13901</v>
      </c>
      <c r="H27" s="16">
        <f t="shared" si="9"/>
        <v>13901</v>
      </c>
      <c r="J27" s="16">
        <f>SUM(J18:J26)</f>
        <v>69505</v>
      </c>
      <c r="K27" s="9"/>
    </row>
    <row r="28" spans="2:11" x14ac:dyDescent="0.3">
      <c r="B28" s="23"/>
      <c r="C28" s="14" t="s">
        <v>49</v>
      </c>
      <c r="D28" s="15"/>
      <c r="E28" s="10"/>
      <c r="F28" s="11"/>
      <c r="G28" s="11"/>
      <c r="H28" s="10"/>
      <c r="J28" s="15" t="s">
        <v>20</v>
      </c>
      <c r="K28" s="14"/>
    </row>
    <row r="29" spans="2:11" x14ac:dyDescent="0.3">
      <c r="B29" s="23"/>
      <c r="F29" s="34"/>
      <c r="G29" s="34"/>
      <c r="K29" s="25"/>
    </row>
    <row r="30" spans="2:11" x14ac:dyDescent="0.3">
      <c r="B30" s="23" t="s">
        <v>50</v>
      </c>
      <c r="C30" s="28" t="s">
        <v>50</v>
      </c>
      <c r="D30" s="13" t="s">
        <v>43</v>
      </c>
      <c r="E30" s="10"/>
      <c r="F30" s="11"/>
      <c r="G30" s="11"/>
      <c r="H30" s="10"/>
      <c r="J30" s="15"/>
      <c r="K30" s="28" t="s">
        <v>50</v>
      </c>
    </row>
    <row r="31" spans="2:11" x14ac:dyDescent="0.3">
      <c r="B31" s="23"/>
      <c r="C31" s="9" t="s">
        <v>15</v>
      </c>
      <c r="D31" s="12">
        <f>SUM(D29:D30)</f>
        <v>0</v>
      </c>
      <c r="E31" s="12">
        <f t="shared" ref="E31:H31" si="10">SUM(E29:E30)</f>
        <v>0</v>
      </c>
      <c r="F31" s="90">
        <f t="shared" si="10"/>
        <v>0</v>
      </c>
      <c r="G31" s="12">
        <f t="shared" si="10"/>
        <v>0</v>
      </c>
      <c r="H31" s="12">
        <f t="shared" si="10"/>
        <v>0</v>
      </c>
      <c r="J31" s="16">
        <f t="shared" ref="J31" si="11">SUM(D31:H31)</f>
        <v>0</v>
      </c>
      <c r="K31" s="9"/>
    </row>
    <row r="32" spans="2:11" x14ac:dyDescent="0.3">
      <c r="B32" s="23"/>
      <c r="C32" s="14" t="s">
        <v>51</v>
      </c>
      <c r="D32" s="13" t="s">
        <v>43</v>
      </c>
      <c r="E32" s="10"/>
      <c r="F32" s="11"/>
      <c r="G32" s="11"/>
      <c r="H32" s="10"/>
      <c r="J32" s="15"/>
      <c r="K32" s="14"/>
    </row>
    <row r="33" spans="2:11" x14ac:dyDescent="0.3">
      <c r="B33" s="23"/>
      <c r="C33" s="25" t="s">
        <v>119</v>
      </c>
      <c r="D33" s="15">
        <v>3500</v>
      </c>
      <c r="E33" s="15">
        <v>1142</v>
      </c>
      <c r="F33" s="15">
        <v>1142</v>
      </c>
      <c r="G33" s="15">
        <v>1142</v>
      </c>
      <c r="H33" s="15">
        <v>1142</v>
      </c>
      <c r="I33" s="35"/>
      <c r="J33" s="16">
        <f>SUM(D33:I33)</f>
        <v>8068</v>
      </c>
      <c r="K33" s="25"/>
    </row>
    <row r="34" spans="2:11" x14ac:dyDescent="0.3">
      <c r="B34" s="23"/>
      <c r="C34" s="25"/>
      <c r="D34" s="15"/>
      <c r="E34" s="11"/>
      <c r="F34" s="11"/>
      <c r="G34" s="11"/>
      <c r="H34" s="11"/>
      <c r="J34" s="15">
        <f t="shared" ref="J34:J50" si="12">SUM(D34:H34)</f>
        <v>0</v>
      </c>
      <c r="K34" s="25"/>
    </row>
    <row r="35" spans="2:11" x14ac:dyDescent="0.3">
      <c r="B35" s="23"/>
      <c r="C35" s="9" t="s">
        <v>16</v>
      </c>
      <c r="D35" s="16">
        <f>SUM(D33:D34)</f>
        <v>3500</v>
      </c>
      <c r="E35" s="16">
        <f>SUM(E33:E34)</f>
        <v>1142</v>
      </c>
      <c r="F35" s="88">
        <f>SUM(F33:F34)</f>
        <v>1142</v>
      </c>
      <c r="G35" s="16">
        <f>SUM(G33:G34)</f>
        <v>1142</v>
      </c>
      <c r="H35" s="16">
        <f>SUM(H33:H34)</f>
        <v>1142</v>
      </c>
      <c r="J35" s="16">
        <f t="shared" si="12"/>
        <v>8068</v>
      </c>
      <c r="K35" s="9"/>
    </row>
    <row r="36" spans="2:11" x14ac:dyDescent="0.3">
      <c r="B36" s="23"/>
      <c r="C36" s="14" t="s">
        <v>54</v>
      </c>
      <c r="D36" s="13" t="s">
        <v>43</v>
      </c>
      <c r="E36" s="10"/>
      <c r="F36" s="11"/>
      <c r="G36" s="11"/>
      <c r="H36" s="10"/>
      <c r="J36" s="15"/>
      <c r="K36" s="14"/>
    </row>
    <row r="37" spans="2:11" x14ac:dyDescent="0.3">
      <c r="B37" s="23"/>
      <c r="C37" s="25" t="s">
        <v>124</v>
      </c>
      <c r="D37" s="15">
        <v>500000</v>
      </c>
      <c r="E37" s="15">
        <v>500000</v>
      </c>
      <c r="F37" s="15">
        <v>500000</v>
      </c>
      <c r="G37" s="15">
        <v>500000</v>
      </c>
      <c r="H37" s="15">
        <v>500000</v>
      </c>
      <c r="I37" s="35"/>
      <c r="J37" s="16">
        <f t="shared" si="12"/>
        <v>2500000</v>
      </c>
      <c r="K37" s="25"/>
    </row>
    <row r="38" spans="2:11" x14ac:dyDescent="0.3">
      <c r="B38" s="23"/>
      <c r="C38" s="25"/>
      <c r="D38" s="15"/>
      <c r="E38" s="15"/>
      <c r="F38" s="15"/>
      <c r="G38" s="15"/>
      <c r="H38" s="15"/>
      <c r="I38" s="35"/>
      <c r="J38" s="15"/>
      <c r="K38" s="25"/>
    </row>
    <row r="39" spans="2:11" x14ac:dyDescent="0.3">
      <c r="B39" s="23"/>
      <c r="C39" s="25"/>
      <c r="D39" s="15"/>
      <c r="E39" s="15"/>
      <c r="F39" s="15"/>
      <c r="G39" s="15"/>
      <c r="H39" s="15"/>
      <c r="I39" s="35"/>
      <c r="J39" s="15"/>
      <c r="K39" s="25"/>
    </row>
    <row r="40" spans="2:11" x14ac:dyDescent="0.3">
      <c r="B40" s="23"/>
      <c r="C40" s="25"/>
      <c r="D40" s="15"/>
      <c r="E40" s="11"/>
      <c r="F40" s="11"/>
      <c r="G40" s="11"/>
      <c r="H40" s="11"/>
      <c r="J40" s="15"/>
      <c r="K40" s="25"/>
    </row>
    <row r="41" spans="2:11" x14ac:dyDescent="0.3">
      <c r="B41" s="23"/>
      <c r="C41" s="9" t="s">
        <v>17</v>
      </c>
      <c r="D41" s="16">
        <f>SUM(D37:D40)</f>
        <v>500000</v>
      </c>
      <c r="E41" s="16">
        <f t="shared" ref="E41:H41" si="13">SUM(E37:E40)</f>
        <v>500000</v>
      </c>
      <c r="F41" s="88">
        <f t="shared" si="13"/>
        <v>500000</v>
      </c>
      <c r="G41" s="16">
        <f t="shared" si="13"/>
        <v>500000</v>
      </c>
      <c r="H41" s="16">
        <f t="shared" si="13"/>
        <v>500000</v>
      </c>
      <c r="J41" s="16">
        <f>SUM(D41:H41)</f>
        <v>2500000</v>
      </c>
      <c r="K41" s="15"/>
    </row>
    <row r="42" spans="2:11" x14ac:dyDescent="0.3">
      <c r="B42" s="23"/>
      <c r="C42" s="14" t="s">
        <v>63</v>
      </c>
      <c r="D42" s="13" t="s">
        <v>43</v>
      </c>
      <c r="E42" s="10"/>
      <c r="F42" s="11"/>
      <c r="G42" s="11"/>
      <c r="H42" s="10"/>
      <c r="J42" s="15"/>
      <c r="K42" s="70"/>
    </row>
    <row r="43" spans="2:11" x14ac:dyDescent="0.3">
      <c r="B43" s="23"/>
      <c r="C43" s="25" t="s">
        <v>120</v>
      </c>
      <c r="D43" s="15">
        <v>10000</v>
      </c>
      <c r="E43" s="15">
        <v>10000</v>
      </c>
      <c r="F43" s="15">
        <v>10000</v>
      </c>
      <c r="G43" s="15">
        <v>10000</v>
      </c>
      <c r="H43" s="15">
        <v>10000</v>
      </c>
      <c r="J43" s="15">
        <f t="shared" ref="J43:J44" si="14">SUM(D43:I43)</f>
        <v>50000</v>
      </c>
      <c r="K43" s="25"/>
    </row>
    <row r="44" spans="2:11" x14ac:dyDescent="0.3">
      <c r="B44" s="23"/>
      <c r="C44" s="25" t="s">
        <v>125</v>
      </c>
      <c r="D44" s="15">
        <v>1300000</v>
      </c>
      <c r="E44" s="15">
        <v>1300000</v>
      </c>
      <c r="F44" s="15">
        <v>1300000</v>
      </c>
      <c r="G44" s="15">
        <v>1300000</v>
      </c>
      <c r="H44" s="15">
        <v>1300000</v>
      </c>
      <c r="J44" s="15">
        <f t="shared" si="14"/>
        <v>6500000</v>
      </c>
      <c r="K44" s="25"/>
    </row>
    <row r="45" spans="2:11" x14ac:dyDescent="0.3">
      <c r="B45" s="23"/>
      <c r="C45" s="25"/>
      <c r="D45" s="15"/>
      <c r="E45" s="15"/>
      <c r="F45" s="15"/>
      <c r="G45" s="15"/>
      <c r="H45" s="15"/>
      <c r="J45" s="15"/>
      <c r="K45" s="10"/>
    </row>
    <row r="46" spans="2:11" x14ac:dyDescent="0.3">
      <c r="B46" s="23"/>
      <c r="C46" s="25"/>
      <c r="D46" s="15"/>
      <c r="E46" s="11"/>
      <c r="F46" s="11"/>
      <c r="G46" s="11"/>
      <c r="H46" s="11"/>
      <c r="J46" s="15"/>
      <c r="K46" s="10"/>
    </row>
    <row r="47" spans="2:11" x14ac:dyDescent="0.3">
      <c r="B47" s="23"/>
      <c r="C47" s="25"/>
      <c r="D47" s="15"/>
      <c r="E47" s="11"/>
      <c r="F47" s="11"/>
      <c r="G47" s="11"/>
      <c r="H47" s="11"/>
      <c r="J47" s="15"/>
      <c r="K47" s="15"/>
    </row>
    <row r="48" spans="2:11" x14ac:dyDescent="0.3">
      <c r="B48" s="23"/>
      <c r="C48" s="10"/>
      <c r="D48" s="15"/>
      <c r="E48" s="11"/>
      <c r="F48" s="11"/>
      <c r="G48" s="11"/>
      <c r="H48" s="11"/>
      <c r="J48" s="15"/>
    </row>
    <row r="49" spans="2:11" x14ac:dyDescent="0.3">
      <c r="B49" s="24"/>
      <c r="C49" s="9" t="s">
        <v>18</v>
      </c>
      <c r="D49" s="16">
        <f>SUM(D43:D48)</f>
        <v>1310000</v>
      </c>
      <c r="E49" s="16">
        <f t="shared" ref="E49:H49" si="15">SUM(E43:E48)</f>
        <v>1310000</v>
      </c>
      <c r="F49" s="88">
        <f t="shared" si="15"/>
        <v>1310000</v>
      </c>
      <c r="G49" s="16">
        <f t="shared" si="15"/>
        <v>1310000</v>
      </c>
      <c r="H49" s="16">
        <f t="shared" si="15"/>
        <v>1310000</v>
      </c>
      <c r="J49" s="16">
        <f t="shared" si="12"/>
        <v>6550000</v>
      </c>
      <c r="K49" s="71"/>
    </row>
    <row r="50" spans="2:11" x14ac:dyDescent="0.3">
      <c r="B50" s="24"/>
      <c r="C50" s="9" t="s">
        <v>19</v>
      </c>
      <c r="D50" s="16">
        <f>SUM(D49,D41,D35,D31,D27,D16,D11)</f>
        <v>1953815</v>
      </c>
      <c r="E50" s="16">
        <f t="shared" ref="E50:H50" si="16">SUM(E49,E41,E35,E31,E27,E16,E11)</f>
        <v>1955249.42</v>
      </c>
      <c r="F50" s="88">
        <f t="shared" si="16"/>
        <v>1959155.6125999999</v>
      </c>
      <c r="G50" s="16">
        <f t="shared" si="16"/>
        <v>1963178.990978</v>
      </c>
      <c r="H50" s="16">
        <f t="shared" si="16"/>
        <v>1967323.07070734</v>
      </c>
      <c r="J50" s="16">
        <f t="shared" si="12"/>
        <v>9798722.0942853391</v>
      </c>
      <c r="K50" s="72"/>
    </row>
    <row r="51" spans="2:11" x14ac:dyDescent="0.3">
      <c r="B51" s="6"/>
      <c r="D51"/>
      <c r="E51"/>
      <c r="F51" s="34"/>
      <c r="G51" s="34"/>
      <c r="H51"/>
      <c r="I51"/>
      <c r="J51" t="s">
        <v>20</v>
      </c>
      <c r="K51" s="25"/>
    </row>
    <row r="52" spans="2:11" ht="28.8" x14ac:dyDescent="0.3">
      <c r="B52" s="62" t="s">
        <v>64</v>
      </c>
      <c r="C52" s="17" t="s">
        <v>64</v>
      </c>
      <c r="D52" s="18"/>
      <c r="E52" s="18"/>
      <c r="F52" s="89"/>
      <c r="G52" s="89"/>
      <c r="H52" s="18"/>
      <c r="I52"/>
      <c r="J52" s="18" t="s">
        <v>20</v>
      </c>
      <c r="K52" s="25"/>
    </row>
    <row r="53" spans="2:11" x14ac:dyDescent="0.3">
      <c r="B53" s="23"/>
      <c r="C53" s="25" t="s">
        <v>121</v>
      </c>
      <c r="D53" s="15">
        <f>(+D11+D16)*0.2999</f>
        <v>37911.558599999997</v>
      </c>
      <c r="E53" s="15">
        <f t="shared" ref="E53:H53" si="17">(+E11+E16)*0.2999</f>
        <v>39048.905357999996</v>
      </c>
      <c r="F53" s="15">
        <f t="shared" si="17"/>
        <v>40220.372518739998</v>
      </c>
      <c r="G53" s="15">
        <f t="shared" si="17"/>
        <v>41426.983694302195</v>
      </c>
      <c r="H53" s="15">
        <f t="shared" si="17"/>
        <v>42669.793205131267</v>
      </c>
      <c r="J53" s="15">
        <f t="shared" ref="J53:J54" si="18">SUM(D53:I53)</f>
        <v>201277.61337617342</v>
      </c>
      <c r="K53" s="18"/>
    </row>
    <row r="54" spans="2:11" x14ac:dyDescent="0.3">
      <c r="B54" s="23"/>
      <c r="C54" s="25"/>
      <c r="D54" s="13"/>
      <c r="E54" s="10"/>
      <c r="F54" s="11"/>
      <c r="G54" s="11"/>
      <c r="H54" s="10"/>
      <c r="J54" s="15">
        <f t="shared" si="18"/>
        <v>0</v>
      </c>
      <c r="K54" s="18"/>
    </row>
    <row r="55" spans="2:11" x14ac:dyDescent="0.3">
      <c r="B55" s="24"/>
      <c r="C55" s="9" t="s">
        <v>21</v>
      </c>
      <c r="D55" s="16">
        <f>SUM(D53:D54)</f>
        <v>37911.558599999997</v>
      </c>
      <c r="E55" s="16">
        <f t="shared" ref="E55:H55" si="19">SUM(E53:E54)</f>
        <v>39048.905357999996</v>
      </c>
      <c r="F55" s="88">
        <f t="shared" si="19"/>
        <v>40220.372518739998</v>
      </c>
      <c r="G55" s="16">
        <f t="shared" si="19"/>
        <v>41426.983694302195</v>
      </c>
      <c r="H55" s="16">
        <f t="shared" si="19"/>
        <v>42669.793205131267</v>
      </c>
      <c r="J55" s="16">
        <f t="shared" ref="J55" si="20">SUM(D55:H55)</f>
        <v>201277.61337617342</v>
      </c>
      <c r="K55" s="76"/>
    </row>
    <row r="56" spans="2:11" ht="15" thickBot="1" x14ac:dyDescent="0.35">
      <c r="B56" s="6"/>
      <c r="D56"/>
      <c r="E56"/>
      <c r="F56" s="34"/>
      <c r="G56" s="34"/>
      <c r="H56"/>
      <c r="I56"/>
      <c r="J56" t="s">
        <v>20</v>
      </c>
      <c r="K56" s="18"/>
    </row>
    <row r="57" spans="2:11" s="1" customFormat="1" ht="29.4" thickBot="1" x14ac:dyDescent="0.35">
      <c r="B57" s="19" t="s">
        <v>22</v>
      </c>
      <c r="C57" s="19"/>
      <c r="D57" s="20">
        <f>SUM(D55,D50)</f>
        <v>1991726.5586000001</v>
      </c>
      <c r="E57" s="20">
        <f t="shared" ref="E57:H57" si="21">SUM(E55,E50)</f>
        <v>1994298.3253579999</v>
      </c>
      <c r="F57" s="20">
        <f t="shared" si="21"/>
        <v>1999375.9851187398</v>
      </c>
      <c r="G57" s="20">
        <f t="shared" si="21"/>
        <v>2004605.9746723021</v>
      </c>
      <c r="H57" s="20">
        <f t="shared" si="21"/>
        <v>2009992.8639124713</v>
      </c>
      <c r="I57" s="7"/>
      <c r="J57" s="20">
        <f>SUM(J55,J50)</f>
        <v>9999999.7076615132</v>
      </c>
      <c r="K57" s="18"/>
    </row>
    <row r="58" spans="2:11" x14ac:dyDescent="0.3">
      <c r="B58" s="6"/>
    </row>
    <row r="59" spans="2:11" x14ac:dyDescent="0.3">
      <c r="B59" s="6"/>
    </row>
    <row r="60" spans="2:11" x14ac:dyDescent="0.3">
      <c r="B60" s="6"/>
    </row>
    <row r="61" spans="2:11" x14ac:dyDescent="0.3">
      <c r="B61" s="6"/>
    </row>
    <row r="62" spans="2:11" x14ac:dyDescent="0.3">
      <c r="B62" s="6"/>
    </row>
    <row r="63" spans="2:11" x14ac:dyDescent="0.3">
      <c r="B63" s="6"/>
    </row>
    <row r="64" spans="2:11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honeticPr fontId="23" type="noConversion"/>
  <pageMargins left="0.7" right="0.7" top="0.75" bottom="0.75" header="0.3" footer="0.3"/>
  <pageSetup scale="8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CA394-D545-4D1F-845C-98B0F99E210A}">
  <sheetPr>
    <tabColor theme="9" tint="0.39997558519241921"/>
    <pageSetUpPr fitToPage="1"/>
  </sheetPr>
  <dimension ref="B2:AM72"/>
  <sheetViews>
    <sheetView showGridLines="0" zoomScaleNormal="100" workbookViewId="0">
      <pane xSplit="3" ySplit="6" topLeftCell="D34" activePane="bottomRight" state="frozen"/>
      <selection pane="topRight" activeCell="R20" sqref="R20:W20"/>
      <selection pane="bottomLeft" activeCell="R20" sqref="R20:W20"/>
      <selection pane="bottomRight" activeCell="J57" sqref="J57"/>
    </sheetView>
  </sheetViews>
  <sheetFormatPr defaultColWidth="9.109375" defaultRowHeight="14.4" x14ac:dyDescent="0.3"/>
  <cols>
    <col min="1" max="1" width="3.109375" customWidth="1"/>
    <col min="2" max="2" width="11.109375" customWidth="1"/>
    <col min="3" max="3" width="46.44140625" customWidth="1"/>
    <col min="4" max="4" width="13.33203125" style="6" customWidth="1"/>
    <col min="5" max="5" width="13.109375" style="2" customWidth="1"/>
    <col min="6" max="7" width="13.109375" customWidth="1"/>
    <col min="8" max="8" width="12.88671875" style="2" customWidth="1"/>
    <col min="9" max="9" width="1" style="7" customWidth="1"/>
    <col min="10" max="10" width="14.5546875" customWidth="1"/>
    <col min="11" max="11" width="72.88671875" customWidth="1"/>
  </cols>
  <sheetData>
    <row r="2" spans="2:39" ht="23.4" x14ac:dyDescent="0.45">
      <c r="B2" s="30" t="s">
        <v>38</v>
      </c>
    </row>
    <row r="3" spans="2:39" x14ac:dyDescent="0.3">
      <c r="B3" s="56" t="s">
        <v>39</v>
      </c>
    </row>
    <row r="4" spans="2:39" x14ac:dyDescent="0.3">
      <c r="B4" s="5"/>
    </row>
    <row r="5" spans="2:39" ht="18" x14ac:dyDescent="0.35">
      <c r="B5" s="36" t="s">
        <v>40</v>
      </c>
      <c r="C5" s="37"/>
      <c r="D5" s="37"/>
      <c r="E5" s="37"/>
      <c r="F5" s="37"/>
      <c r="G5" s="37"/>
      <c r="H5" s="37"/>
      <c r="I5" s="37"/>
      <c r="J5" s="38"/>
      <c r="K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K6" s="43" t="s">
        <v>41</v>
      </c>
    </row>
    <row r="7" spans="2:39" s="5" customFormat="1" x14ac:dyDescent="0.3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 s="26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2" x14ac:dyDescent="0.3">
      <c r="B8" s="23"/>
      <c r="C8" s="25" t="s">
        <v>122</v>
      </c>
      <c r="D8" s="15">
        <v>10440</v>
      </c>
      <c r="E8" s="15">
        <v>10753.2</v>
      </c>
      <c r="F8" s="15">
        <v>11075.796</v>
      </c>
      <c r="G8" s="15">
        <v>11408.069880000001</v>
      </c>
      <c r="H8" s="15">
        <v>11750.3119764</v>
      </c>
      <c r="J8" s="15">
        <f>SUM(D8:H8)</f>
        <v>55427.377856400002</v>
      </c>
      <c r="K8" s="25"/>
    </row>
    <row r="9" spans="2:39" ht="28.8" x14ac:dyDescent="0.3">
      <c r="B9" s="23"/>
      <c r="C9" s="25" t="s">
        <v>123</v>
      </c>
      <c r="D9" s="15">
        <v>83200</v>
      </c>
      <c r="E9" s="15">
        <v>85696</v>
      </c>
      <c r="F9" s="15">
        <v>88266.880000000005</v>
      </c>
      <c r="G9" s="15">
        <v>90914.886400000003</v>
      </c>
      <c r="H9" s="15">
        <v>93642.332991999996</v>
      </c>
      <c r="J9" s="15">
        <f>SUM(D9:H9)</f>
        <v>441720.099392</v>
      </c>
      <c r="K9" s="25"/>
    </row>
    <row r="10" spans="2:39" x14ac:dyDescent="0.3">
      <c r="B10" s="23"/>
      <c r="C10" s="27"/>
      <c r="D10" s="15"/>
      <c r="E10" s="11"/>
      <c r="F10" s="11"/>
      <c r="G10" s="11"/>
      <c r="H10" s="11"/>
      <c r="J10" s="15"/>
      <c r="K10" s="27"/>
    </row>
    <row r="11" spans="2:39" x14ac:dyDescent="0.3">
      <c r="B11" s="23"/>
      <c r="C11" s="9" t="s">
        <v>12</v>
      </c>
      <c r="D11" s="16">
        <f>SUM(D8:D10)</f>
        <v>93640</v>
      </c>
      <c r="E11" s="16">
        <f t="shared" ref="E11:J11" si="0">SUM(E8:E10)</f>
        <v>96449.2</v>
      </c>
      <c r="F11" s="16">
        <f t="shared" si="0"/>
        <v>99342.676000000007</v>
      </c>
      <c r="G11" s="16">
        <f t="shared" si="0"/>
        <v>102322.95628</v>
      </c>
      <c r="H11" s="16">
        <f t="shared" si="0"/>
        <v>105392.6449684</v>
      </c>
      <c r="J11" s="16">
        <f t="shared" si="0"/>
        <v>497147.47724839998</v>
      </c>
      <c r="K11" s="9"/>
    </row>
    <row r="12" spans="2:39" x14ac:dyDescent="0.3">
      <c r="B12" s="23"/>
      <c r="C12" s="14" t="s">
        <v>74</v>
      </c>
      <c r="D12" s="13" t="s">
        <v>43</v>
      </c>
      <c r="E12" s="10"/>
      <c r="F12" s="10"/>
      <c r="G12" s="10"/>
      <c r="H12" s="10"/>
      <c r="J12" s="8" t="s">
        <v>43</v>
      </c>
      <c r="K12" s="14"/>
    </row>
    <row r="13" spans="2:39" x14ac:dyDescent="0.3">
      <c r="B13" s="23"/>
      <c r="C13" s="25" t="s">
        <v>115</v>
      </c>
      <c r="D13" s="15">
        <v>32774</v>
      </c>
      <c r="E13" s="15">
        <v>33757</v>
      </c>
      <c r="F13" s="15">
        <v>34770</v>
      </c>
      <c r="G13" s="15">
        <v>35813</v>
      </c>
      <c r="H13" s="15">
        <v>36887</v>
      </c>
      <c r="J13" s="15">
        <f>SUM(D13:H13)</f>
        <v>174001</v>
      </c>
      <c r="K13" s="25"/>
    </row>
    <row r="14" spans="2:39" x14ac:dyDescent="0.3">
      <c r="B14" s="23"/>
      <c r="C14" s="25"/>
      <c r="D14" s="15"/>
      <c r="E14" s="15"/>
      <c r="F14" s="15"/>
      <c r="G14" s="15"/>
      <c r="H14" s="15"/>
      <c r="J14" s="15"/>
      <c r="K14" s="25"/>
    </row>
    <row r="15" spans="2:39" x14ac:dyDescent="0.3">
      <c r="B15" s="23"/>
      <c r="C15" s="10"/>
      <c r="D15" s="15"/>
      <c r="E15" s="11"/>
      <c r="F15" s="11"/>
      <c r="G15" s="11"/>
      <c r="H15" s="11"/>
      <c r="J15" s="15"/>
      <c r="K15" s="10"/>
    </row>
    <row r="16" spans="2:39" x14ac:dyDescent="0.3">
      <c r="B16" s="23"/>
      <c r="C16" s="9" t="s">
        <v>13</v>
      </c>
      <c r="D16" s="16">
        <f>SUM(D13:D15)</f>
        <v>32774</v>
      </c>
      <c r="E16" s="16">
        <f t="shared" ref="E16:J16" si="1">SUM(E13:E15)</f>
        <v>33757</v>
      </c>
      <c r="F16" s="16">
        <f t="shared" si="1"/>
        <v>34770</v>
      </c>
      <c r="G16" s="16">
        <f t="shared" si="1"/>
        <v>35813</v>
      </c>
      <c r="H16" s="16">
        <f t="shared" si="1"/>
        <v>36887</v>
      </c>
      <c r="J16" s="16">
        <f t="shared" si="1"/>
        <v>174001</v>
      </c>
      <c r="K16" s="9"/>
    </row>
    <row r="17" spans="2:11" x14ac:dyDescent="0.3">
      <c r="B17" s="23"/>
      <c r="C17" s="14" t="s">
        <v>48</v>
      </c>
      <c r="D17" s="13" t="s">
        <v>43</v>
      </c>
      <c r="E17" s="10"/>
      <c r="F17" s="10"/>
      <c r="G17" s="10"/>
      <c r="H17" s="10"/>
      <c r="J17" s="8" t="s">
        <v>43</v>
      </c>
      <c r="K17" s="14"/>
    </row>
    <row r="18" spans="2:11" x14ac:dyDescent="0.3">
      <c r="B18" s="23"/>
      <c r="C18" s="25" t="s">
        <v>116</v>
      </c>
      <c r="D18" s="15">
        <f>68*107</f>
        <v>7276</v>
      </c>
      <c r="E18" s="15">
        <f t="shared" ref="E18:H18" si="2">68*107</f>
        <v>7276</v>
      </c>
      <c r="F18" s="15">
        <f t="shared" si="2"/>
        <v>7276</v>
      </c>
      <c r="G18" s="15">
        <f t="shared" si="2"/>
        <v>7276</v>
      </c>
      <c r="H18" s="15">
        <f t="shared" si="2"/>
        <v>7276</v>
      </c>
      <c r="J18" s="15">
        <f t="shared" ref="J18:J19" si="3">SUM(D18:H18)</f>
        <v>36380</v>
      </c>
      <c r="K18" s="29"/>
    </row>
    <row r="19" spans="2:11" x14ac:dyDescent="0.3">
      <c r="B19" s="23"/>
      <c r="C19" s="25" t="s">
        <v>117</v>
      </c>
      <c r="D19" s="15">
        <f>100*33.5</f>
        <v>3350</v>
      </c>
      <c r="E19" s="15">
        <f t="shared" ref="E19:H19" si="4">100*33.5</f>
        <v>3350</v>
      </c>
      <c r="F19" s="15">
        <f t="shared" si="4"/>
        <v>3350</v>
      </c>
      <c r="G19" s="15">
        <f t="shared" si="4"/>
        <v>3350</v>
      </c>
      <c r="H19" s="15">
        <f t="shared" si="4"/>
        <v>3350</v>
      </c>
      <c r="J19" s="15">
        <f t="shared" si="3"/>
        <v>16750</v>
      </c>
      <c r="K19" s="29"/>
    </row>
    <row r="20" spans="2:11" x14ac:dyDescent="0.3">
      <c r="B20" s="23"/>
      <c r="C20" s="25" t="s">
        <v>118</v>
      </c>
      <c r="D20" s="15">
        <f>5000*0.655</f>
        <v>3275</v>
      </c>
      <c r="E20" s="15">
        <f>5000*0.655</f>
        <v>3275</v>
      </c>
      <c r="F20" s="15">
        <f>5000*0.655</f>
        <v>3275</v>
      </c>
      <c r="G20" s="15">
        <f>5000*0.655</f>
        <v>3275</v>
      </c>
      <c r="H20" s="15">
        <f>5000*0.655</f>
        <v>3275</v>
      </c>
      <c r="J20" s="15">
        <f>SUM(D20:H20)</f>
        <v>16375</v>
      </c>
      <c r="K20" s="29"/>
    </row>
    <row r="21" spans="2:11" x14ac:dyDescent="0.3">
      <c r="B21" s="23"/>
      <c r="C21" s="29"/>
      <c r="D21" s="15"/>
      <c r="E21" s="15"/>
      <c r="F21" s="15"/>
      <c r="G21" s="15"/>
      <c r="H21" s="15"/>
      <c r="J21" s="15"/>
      <c r="K21" s="25"/>
    </row>
    <row r="22" spans="2:11" x14ac:dyDescent="0.3">
      <c r="B22" s="23"/>
      <c r="C22" s="25"/>
      <c r="D22" s="15"/>
      <c r="E22" s="15"/>
      <c r="F22" s="15"/>
      <c r="G22" s="15"/>
      <c r="H22" s="15"/>
      <c r="J22" s="15"/>
      <c r="K22" s="29"/>
    </row>
    <row r="23" spans="2:11" x14ac:dyDescent="0.3">
      <c r="B23" s="23"/>
      <c r="C23" s="29"/>
      <c r="D23" s="15"/>
      <c r="E23" s="15"/>
      <c r="F23" s="15"/>
      <c r="G23" s="15"/>
      <c r="H23" s="15"/>
      <c r="J23" s="15"/>
      <c r="K23" s="29"/>
    </row>
    <row r="24" spans="2:11" x14ac:dyDescent="0.3">
      <c r="B24" s="23"/>
      <c r="C24" s="29"/>
      <c r="D24" s="15"/>
      <c r="E24" s="15"/>
      <c r="F24" s="15"/>
      <c r="G24" s="15"/>
      <c r="H24" s="15"/>
      <c r="J24" s="15"/>
      <c r="K24" s="29"/>
    </row>
    <row r="25" spans="2:11" x14ac:dyDescent="0.3">
      <c r="B25" s="23"/>
      <c r="C25" s="29"/>
      <c r="D25" s="15"/>
      <c r="E25" s="15"/>
      <c r="F25" s="15"/>
      <c r="G25" s="15"/>
      <c r="H25" s="15"/>
      <c r="J25" s="15"/>
      <c r="K25" s="29"/>
    </row>
    <row r="26" spans="2:11" x14ac:dyDescent="0.3">
      <c r="B26" s="23"/>
      <c r="C26" s="25"/>
      <c r="D26" s="15"/>
      <c r="E26" s="15"/>
      <c r="F26" s="15"/>
      <c r="G26" s="15"/>
      <c r="H26" s="15"/>
      <c r="J26" s="15"/>
      <c r="K26" s="25"/>
    </row>
    <row r="27" spans="2:11" x14ac:dyDescent="0.3">
      <c r="B27" s="23"/>
      <c r="C27" s="9" t="s">
        <v>14</v>
      </c>
      <c r="D27" s="16">
        <f>SUM(D18:D26)</f>
        <v>13901</v>
      </c>
      <c r="E27" s="16">
        <f t="shared" ref="E27:H27" si="5">SUM(E18:E26)</f>
        <v>13901</v>
      </c>
      <c r="F27" s="16">
        <f t="shared" si="5"/>
        <v>13901</v>
      </c>
      <c r="G27" s="16">
        <f t="shared" si="5"/>
        <v>13901</v>
      </c>
      <c r="H27" s="16">
        <f t="shared" si="5"/>
        <v>13901</v>
      </c>
      <c r="J27" s="16">
        <f>SUM(D27:H27)</f>
        <v>69505</v>
      </c>
      <c r="K27" s="9"/>
    </row>
    <row r="28" spans="2:11" x14ac:dyDescent="0.3">
      <c r="B28" s="23"/>
      <c r="C28" s="14" t="s">
        <v>49</v>
      </c>
      <c r="D28" s="15"/>
      <c r="E28" s="10"/>
      <c r="F28" s="10"/>
      <c r="G28" s="10"/>
      <c r="H28" s="10"/>
      <c r="J28" s="15" t="s">
        <v>20</v>
      </c>
      <c r="K28" s="14"/>
    </row>
    <row r="29" spans="2:11" x14ac:dyDescent="0.3">
      <c r="B29" s="23"/>
      <c r="C29" s="25"/>
      <c r="D29" s="15"/>
      <c r="E29" s="10"/>
      <c r="F29" s="10"/>
      <c r="G29" s="10"/>
      <c r="H29" s="10"/>
      <c r="J29" s="15"/>
      <c r="K29" s="25"/>
    </row>
    <row r="30" spans="2:11" x14ac:dyDescent="0.3">
      <c r="B30" s="23" t="s">
        <v>50</v>
      </c>
      <c r="C30" s="28" t="s">
        <v>50</v>
      </c>
      <c r="D30" s="13" t="s">
        <v>43</v>
      </c>
      <c r="E30" s="10"/>
      <c r="F30" s="10"/>
      <c r="G30" s="10"/>
      <c r="H30" s="10"/>
      <c r="J30" s="15"/>
      <c r="K30" s="28" t="s">
        <v>50</v>
      </c>
    </row>
    <row r="31" spans="2:11" x14ac:dyDescent="0.3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 t="shared" ref="J31:K50" si="7">SUM(D31:H31)</f>
        <v>0</v>
      </c>
      <c r="K31" s="9"/>
    </row>
    <row r="32" spans="2:11" x14ac:dyDescent="0.3">
      <c r="B32" s="23"/>
      <c r="C32" s="14" t="s">
        <v>51</v>
      </c>
      <c r="D32" s="13" t="s">
        <v>43</v>
      </c>
      <c r="E32" s="10"/>
      <c r="F32" s="10"/>
      <c r="G32" s="10"/>
      <c r="H32" s="10"/>
      <c r="J32" s="15"/>
      <c r="K32" s="14"/>
    </row>
    <row r="33" spans="2:11" x14ac:dyDescent="0.3">
      <c r="B33" s="23"/>
      <c r="C33" s="25" t="s">
        <v>119</v>
      </c>
      <c r="D33" s="15">
        <v>3500</v>
      </c>
      <c r="E33" s="15">
        <v>1143</v>
      </c>
      <c r="F33" s="15">
        <v>1142</v>
      </c>
      <c r="G33" s="15">
        <v>1142</v>
      </c>
      <c r="H33" s="15">
        <v>1142</v>
      </c>
      <c r="J33" s="15">
        <f t="shared" si="7"/>
        <v>8069</v>
      </c>
      <c r="K33" s="25"/>
    </row>
    <row r="34" spans="2:11" x14ac:dyDescent="0.3">
      <c r="B34" s="23"/>
      <c r="C34" s="25"/>
      <c r="D34" s="15"/>
      <c r="E34" s="11"/>
      <c r="F34" s="11"/>
      <c r="G34" s="11"/>
      <c r="H34" s="11"/>
      <c r="J34" s="15">
        <f t="shared" si="7"/>
        <v>0</v>
      </c>
      <c r="K34" s="25"/>
    </row>
    <row r="35" spans="2:11" x14ac:dyDescent="0.3">
      <c r="B35" s="23"/>
      <c r="C35" s="9" t="s">
        <v>16</v>
      </c>
      <c r="D35" s="16">
        <f>SUM(D33:D34)</f>
        <v>3500</v>
      </c>
      <c r="E35" s="16">
        <f t="shared" ref="E35:H35" si="8">SUM(E33:E34)</f>
        <v>1143</v>
      </c>
      <c r="F35" s="16">
        <f t="shared" si="8"/>
        <v>1142</v>
      </c>
      <c r="G35" s="16">
        <f t="shared" si="8"/>
        <v>1142</v>
      </c>
      <c r="H35" s="16">
        <f t="shared" si="8"/>
        <v>1142</v>
      </c>
      <c r="J35" s="16">
        <f t="shared" si="7"/>
        <v>8069</v>
      </c>
      <c r="K35" s="9"/>
    </row>
    <row r="36" spans="2:11" x14ac:dyDescent="0.3">
      <c r="B36" s="23"/>
      <c r="C36" s="14" t="s">
        <v>54</v>
      </c>
      <c r="D36" s="13" t="s">
        <v>43</v>
      </c>
      <c r="E36" s="10"/>
      <c r="F36" s="10"/>
      <c r="G36" s="10"/>
      <c r="H36" s="10"/>
      <c r="J36" s="15"/>
      <c r="K36" s="14"/>
    </row>
    <row r="37" spans="2:11" x14ac:dyDescent="0.3">
      <c r="B37" s="23"/>
      <c r="C37" s="25"/>
      <c r="D37" s="15"/>
      <c r="E37" s="15"/>
      <c r="F37" s="15"/>
      <c r="G37" s="15"/>
      <c r="H37" s="15"/>
      <c r="J37" s="15">
        <f t="shared" si="7"/>
        <v>0</v>
      </c>
      <c r="K37" s="25"/>
    </row>
    <row r="38" spans="2:11" x14ac:dyDescent="0.3">
      <c r="B38" s="23"/>
      <c r="C38" s="25"/>
      <c r="D38" s="15"/>
      <c r="E38" s="15"/>
      <c r="F38" s="15"/>
      <c r="G38" s="15"/>
      <c r="H38" s="15"/>
      <c r="J38" s="15">
        <f t="shared" si="7"/>
        <v>0</v>
      </c>
      <c r="K38" s="25"/>
    </row>
    <row r="39" spans="2:11" x14ac:dyDescent="0.3">
      <c r="B39" s="23"/>
      <c r="C39" s="25"/>
      <c r="D39" s="15"/>
      <c r="E39" s="15"/>
      <c r="F39" s="15"/>
      <c r="G39" s="15"/>
      <c r="H39" s="15"/>
      <c r="J39" s="15">
        <f t="shared" si="7"/>
        <v>0</v>
      </c>
      <c r="K39" s="25"/>
    </row>
    <row r="40" spans="2:11" x14ac:dyDescent="0.3">
      <c r="B40" s="23"/>
      <c r="C40" s="25"/>
      <c r="D40" s="15"/>
      <c r="E40" s="11"/>
      <c r="F40" s="11"/>
      <c r="G40" s="11"/>
      <c r="H40" s="11"/>
      <c r="J40" s="15">
        <f t="shared" si="7"/>
        <v>0</v>
      </c>
      <c r="K40" s="25"/>
    </row>
    <row r="41" spans="2:11" x14ac:dyDescent="0.3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7"/>
        <v>0</v>
      </c>
      <c r="K41" s="15">
        <f t="shared" si="7"/>
        <v>0</v>
      </c>
    </row>
    <row r="42" spans="2:11" x14ac:dyDescent="0.3">
      <c r="B42" s="23"/>
      <c r="C42" s="14" t="s">
        <v>63</v>
      </c>
      <c r="D42" s="13" t="s">
        <v>43</v>
      </c>
      <c r="E42" s="10"/>
      <c r="F42" s="10"/>
      <c r="G42" s="10"/>
      <c r="H42" s="10"/>
      <c r="J42" s="15"/>
      <c r="K42" s="70"/>
    </row>
    <row r="43" spans="2:11" x14ac:dyDescent="0.3">
      <c r="B43" s="23"/>
      <c r="C43" s="25" t="s">
        <v>120</v>
      </c>
      <c r="D43" s="15">
        <v>10000</v>
      </c>
      <c r="E43" s="15">
        <v>10000</v>
      </c>
      <c r="F43" s="15">
        <v>10000</v>
      </c>
      <c r="G43" s="15">
        <v>10000</v>
      </c>
      <c r="H43" s="15">
        <v>10000</v>
      </c>
      <c r="J43" s="15">
        <f t="shared" si="7"/>
        <v>50000</v>
      </c>
      <c r="K43" s="25"/>
    </row>
    <row r="44" spans="2:11" x14ac:dyDescent="0.3">
      <c r="B44" s="23"/>
      <c r="C44" s="25" t="s">
        <v>125</v>
      </c>
      <c r="D44" s="15"/>
      <c r="E44" s="15">
        <f>4440000+60000</f>
        <v>4500000</v>
      </c>
      <c r="F44" s="15"/>
      <c r="G44" s="15">
        <f>4440000+60000</f>
        <v>4500000</v>
      </c>
      <c r="H44" s="15"/>
      <c r="J44" s="15">
        <f t="shared" si="7"/>
        <v>9000000</v>
      </c>
      <c r="K44" s="25"/>
    </row>
    <row r="45" spans="2:11" x14ac:dyDescent="0.3">
      <c r="B45" s="23"/>
      <c r="C45" s="25"/>
      <c r="D45" s="15"/>
      <c r="E45" s="15"/>
      <c r="F45" s="15"/>
      <c r="G45" s="15"/>
      <c r="H45" s="15"/>
      <c r="J45" s="15">
        <f t="shared" si="7"/>
        <v>0</v>
      </c>
      <c r="K45" s="10"/>
    </row>
    <row r="46" spans="2:11" x14ac:dyDescent="0.3">
      <c r="B46" s="23"/>
      <c r="C46" s="25"/>
      <c r="D46" s="15"/>
      <c r="E46" s="11"/>
      <c r="F46" s="11"/>
      <c r="G46" s="11"/>
      <c r="H46" s="11"/>
      <c r="J46" s="15">
        <f t="shared" si="7"/>
        <v>0</v>
      </c>
      <c r="K46" s="10"/>
    </row>
    <row r="47" spans="2:11" x14ac:dyDescent="0.3">
      <c r="B47" s="23"/>
      <c r="C47" s="25"/>
      <c r="D47" s="15"/>
      <c r="E47" s="11"/>
      <c r="F47" s="11"/>
      <c r="G47" s="11"/>
      <c r="H47" s="11"/>
      <c r="J47" s="15">
        <f t="shared" si="7"/>
        <v>0</v>
      </c>
      <c r="K47" s="15"/>
    </row>
    <row r="48" spans="2:11" x14ac:dyDescent="0.3">
      <c r="B48" s="23"/>
      <c r="C48" s="10"/>
      <c r="D48" s="15"/>
      <c r="E48" s="11"/>
      <c r="F48" s="11"/>
      <c r="G48" s="11"/>
      <c r="H48" s="11"/>
      <c r="J48" s="15">
        <f t="shared" si="7"/>
        <v>0</v>
      </c>
    </row>
    <row r="49" spans="2:11" x14ac:dyDescent="0.3">
      <c r="B49" s="24"/>
      <c r="C49" s="9" t="s">
        <v>18</v>
      </c>
      <c r="D49" s="16">
        <f>SUM(D43:D48)</f>
        <v>10000</v>
      </c>
      <c r="E49" s="16">
        <f t="shared" ref="E49:H49" si="10">SUM(E43:E48)</f>
        <v>4510000</v>
      </c>
      <c r="F49" s="16">
        <f t="shared" si="10"/>
        <v>10000</v>
      </c>
      <c r="G49" s="16">
        <f t="shared" si="10"/>
        <v>4510000</v>
      </c>
      <c r="H49" s="16">
        <f t="shared" si="10"/>
        <v>10000</v>
      </c>
      <c r="J49" s="16">
        <f t="shared" si="7"/>
        <v>9050000</v>
      </c>
      <c r="K49" s="71"/>
    </row>
    <row r="50" spans="2:11" x14ac:dyDescent="0.3">
      <c r="B50" s="24"/>
      <c r="C50" s="9" t="s">
        <v>19</v>
      </c>
      <c r="D50" s="16">
        <f>SUM(D49,D41,D35,D31,D27,D16,D11)</f>
        <v>153815</v>
      </c>
      <c r="E50" s="16">
        <f t="shared" ref="E50:H50" si="11">SUM(E49,E41,E35,E31,E27,E16,E11)</f>
        <v>4655250.2</v>
      </c>
      <c r="F50" s="16">
        <f t="shared" si="11"/>
        <v>159155.67600000001</v>
      </c>
      <c r="G50" s="16">
        <f t="shared" si="11"/>
        <v>4663178.9562799996</v>
      </c>
      <c r="H50" s="16">
        <f t="shared" si="11"/>
        <v>167322.64496840001</v>
      </c>
      <c r="J50" s="16">
        <f t="shared" si="7"/>
        <v>9798722.4772483986</v>
      </c>
      <c r="K50" s="72"/>
    </row>
    <row r="51" spans="2:11" x14ac:dyDescent="0.3">
      <c r="B51" s="6"/>
      <c r="D51"/>
      <c r="E51"/>
      <c r="H51"/>
      <c r="J51" t="s">
        <v>20</v>
      </c>
      <c r="K51" s="25"/>
    </row>
    <row r="52" spans="2:11" ht="28.8" x14ac:dyDescent="0.3">
      <c r="B52" s="62" t="s">
        <v>64</v>
      </c>
      <c r="C52" s="17" t="s">
        <v>64</v>
      </c>
      <c r="D52" s="18"/>
      <c r="E52" s="18"/>
      <c r="F52" s="18"/>
      <c r="G52" s="18"/>
      <c r="H52" s="18"/>
      <c r="J52" s="18" t="s">
        <v>20</v>
      </c>
      <c r="K52" s="25"/>
    </row>
    <row r="53" spans="2:11" x14ac:dyDescent="0.3">
      <c r="B53" s="23"/>
      <c r="C53" s="25" t="s">
        <v>121</v>
      </c>
      <c r="D53" s="15">
        <f>(+D11+D16)*0.2999</f>
        <v>37911.558599999997</v>
      </c>
      <c r="E53" s="15">
        <f t="shared" ref="E53:H53" si="12">(+E11+E16)*0.2999</f>
        <v>39048.839379999998</v>
      </c>
      <c r="F53" s="15">
        <f t="shared" si="12"/>
        <v>40220.391532400005</v>
      </c>
      <c r="G53" s="15">
        <f t="shared" si="12"/>
        <v>41426.973288371992</v>
      </c>
      <c r="H53" s="15">
        <f t="shared" si="12"/>
        <v>42669.665526023164</v>
      </c>
      <c r="J53" s="15">
        <f>SUM(D53:H53)</f>
        <v>201277.42832679514</v>
      </c>
      <c r="K53" s="18"/>
    </row>
    <row r="54" spans="2:11" x14ac:dyDescent="0.3">
      <c r="B54" s="23"/>
      <c r="C54" s="25"/>
      <c r="D54" s="13"/>
      <c r="E54" s="10"/>
      <c r="F54" s="10"/>
      <c r="G54" s="10"/>
      <c r="H54" s="10"/>
      <c r="J54" s="15">
        <f t="shared" ref="J54:J55" si="13">SUM(D54:H54)</f>
        <v>0</v>
      </c>
      <c r="K54" s="18"/>
    </row>
    <row r="55" spans="2:11" x14ac:dyDescent="0.3">
      <c r="B55" s="24"/>
      <c r="C55" s="9" t="s">
        <v>21</v>
      </c>
      <c r="D55" s="16">
        <f>SUM(D53:D54)</f>
        <v>37911.558599999997</v>
      </c>
      <c r="E55" s="16">
        <f t="shared" ref="E55:H55" si="14">SUM(E53:E54)</f>
        <v>39048.839379999998</v>
      </c>
      <c r="F55" s="16">
        <f t="shared" si="14"/>
        <v>40220.391532400005</v>
      </c>
      <c r="G55" s="16">
        <f t="shared" si="14"/>
        <v>41426.973288371992</v>
      </c>
      <c r="H55" s="16">
        <f t="shared" si="14"/>
        <v>42669.665526023164</v>
      </c>
      <c r="J55" s="16">
        <f t="shared" si="13"/>
        <v>201277.42832679514</v>
      </c>
      <c r="K55" s="76"/>
    </row>
    <row r="56" spans="2:11" ht="15" thickBot="1" x14ac:dyDescent="0.35">
      <c r="B56" s="6"/>
      <c r="D56"/>
      <c r="E56"/>
      <c r="H56"/>
      <c r="J56" t="s">
        <v>20</v>
      </c>
      <c r="K56" s="18"/>
    </row>
    <row r="57" spans="2:11" s="1" customFormat="1" ht="29.4" thickBot="1" x14ac:dyDescent="0.35">
      <c r="B57" s="19" t="s">
        <v>22</v>
      </c>
      <c r="C57" s="19"/>
      <c r="D57" s="20">
        <f>SUM(D55,D50)</f>
        <v>191726.55859999999</v>
      </c>
      <c r="E57" s="20">
        <f t="shared" ref="E57:J57" si="15">SUM(E55,E50)</f>
        <v>4694299.03938</v>
      </c>
      <c r="F57" s="20">
        <f t="shared" si="15"/>
        <v>199376.06753240002</v>
      </c>
      <c r="G57" s="20">
        <f t="shared" si="15"/>
        <v>4704605.9295683717</v>
      </c>
      <c r="H57" s="20">
        <f t="shared" si="15"/>
        <v>209992.31049442317</v>
      </c>
      <c r="I57" s="7"/>
      <c r="J57" s="20">
        <f t="shared" si="15"/>
        <v>9999999.9055751935</v>
      </c>
      <c r="K57" s="18"/>
    </row>
    <row r="58" spans="2:11" x14ac:dyDescent="0.3">
      <c r="B58" s="6"/>
    </row>
    <row r="59" spans="2:11" x14ac:dyDescent="0.3">
      <c r="B59" s="6"/>
    </row>
    <row r="60" spans="2:11" x14ac:dyDescent="0.3">
      <c r="B60" s="6"/>
    </row>
    <row r="61" spans="2:11" x14ac:dyDescent="0.3">
      <c r="B61" s="6"/>
    </row>
    <row r="62" spans="2:11" x14ac:dyDescent="0.3">
      <c r="B62" s="6"/>
    </row>
    <row r="63" spans="2:11" x14ac:dyDescent="0.3">
      <c r="B63" s="6"/>
    </row>
    <row r="64" spans="2:11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D0ABC839E6EF4DA110A3C642F50769" ma:contentTypeVersion="6" ma:contentTypeDescription="Create a new document." ma:contentTypeScope="" ma:versionID="384277f394c4d2ef25cb3decc02e7b84">
  <xsd:schema xmlns:xsd="http://www.w3.org/2001/XMLSchema" xmlns:xs="http://www.w3.org/2001/XMLSchema" xmlns:p="http://schemas.microsoft.com/office/2006/metadata/properties" xmlns:ns2="03747694-a535-4922-ac3d-59e6efda7473" xmlns:ns3="23d2df21-b4a1-4f4a-b00b-9fba7b04f843" targetNamespace="http://schemas.microsoft.com/office/2006/metadata/properties" ma:root="true" ma:fieldsID="a4f4b0bed12da924501569673ffb0cb0" ns2:_="" ns3:_="">
    <xsd:import namespace="03747694-a535-4922-ac3d-59e6efda7473"/>
    <xsd:import namespace="23d2df21-b4a1-4f4a-b00b-9fba7b04f8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47694-a535-4922-ac3d-59e6efda74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d2df21-b4a1-4f4a-b00b-9fba7b04f84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3d2df21-b4a1-4f4a-b00b-9fba7b04f843">
      <UserInfo>
        <DisplayName>Hitchcock, Sunni</DisplayName>
        <AccountId>42</AccountId>
        <AccountType/>
      </UserInfo>
      <UserInfo>
        <DisplayName>Pearce, Cody</DisplayName>
        <AccountId>38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753F8B-F11D-488E-9CB8-FF0D4D0CE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747694-a535-4922-ac3d-59e6efda7473"/>
    <ds:schemaRef ds:uri="23d2df21-b4a1-4f4a-b00b-9fba7b04f8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03747694-a535-4922-ac3d-59e6efda7473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  <ds:schemaRef ds:uri="23d2df21-b4a1-4f4a-b00b-9fba7b04f843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Overview</vt:lpstr>
      <vt:lpstr>Consolidated Budget</vt:lpstr>
      <vt:lpstr>Measure 1 Forest Mgmt</vt:lpstr>
      <vt:lpstr>Measure 2 Urban Forest</vt:lpstr>
      <vt:lpstr>Measure 3 CoalSeam</vt:lpstr>
      <vt:lpstr>Measure 4 NP Source Poll'n</vt:lpstr>
      <vt:lpstr>Measure 5 N Fertilizer</vt:lpstr>
      <vt:lpstr>Measure 6 Ranchland</vt:lpstr>
      <vt:lpstr>Measure 7 CattleBeef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2024-03-29T23:25:58Z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0x010100B6D0ABC839E6EF4DA110A3C642F50769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Order">
    <vt:r8>500</vt:r8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</Properties>
</file>