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0E89E8DC-4BB0-47D5-84F2-61B52ECED94E}" xr6:coauthVersionLast="47" xr6:coauthVersionMax="47" xr10:uidLastSave="{00000000-0000-0000-0000-000000000000}"/>
  <bookViews>
    <workbookView xWindow="-108" yWindow="-108" windowWidth="23256" windowHeight="12576" tabRatio="979" activeTab="6" xr2:uid="{AAC398A2-E95D-4231-A920-55B8B1C73F3F}"/>
  </bookViews>
  <sheets>
    <sheet name="Overview" sheetId="26" r:id="rId1"/>
    <sheet name="Consolidated Budget" sheetId="30" r:id="rId2"/>
    <sheet name="Measure 1 PreW &amp; Weather Budget" sheetId="16" r:id="rId3"/>
    <sheet name="Measure 2 EV Charging EVSE" sheetId="39" r:id="rId4"/>
    <sheet name="Measure 3 Support Public Trans." sheetId="40" r:id="rId5"/>
    <sheet name="Measure 4 DrinkWasteH20 Energy" sheetId="31" r:id="rId6"/>
    <sheet name="Measure 5 Waste Reduction" sheetId="38" r:id="rId7"/>
    <sheet name="Measure 6 Workforce Development" sheetId="41" r:id="rId8"/>
  </sheets>
  <definedNames>
    <definedName name="_xlnm._FilterDatabase" localSheetId="1" hidden="1">'Consolidated Budget'!#REF!</definedName>
    <definedName name="_xlnm._FilterDatabase" localSheetId="2" hidden="1">'Measure 1 PreW &amp; Weather Budget'!#REF!</definedName>
    <definedName name="_xlnm._FilterDatabase" localSheetId="3" hidden="1">'Measure 2 EV Charging EVSE'!#REF!</definedName>
    <definedName name="_xlnm._FilterDatabase" localSheetId="4" hidden="1">'Measure 3 Support Public Trans.'!#REF!</definedName>
    <definedName name="_xlnm._FilterDatabase" localSheetId="5" hidden="1">'Measure 4 DrinkWasteH20 Energy'!#REF!</definedName>
    <definedName name="_xlnm._FilterDatabase" localSheetId="6" hidden="1">'Measure 5 Waste Reduction'!#REF!</definedName>
    <definedName name="_xlnm._FilterDatabase" localSheetId="7" hidden="1">'Measure 6 Workforce Development'!#REF!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8" i="16" l="1"/>
  <c r="K63" i="16"/>
  <c r="D61" i="38"/>
  <c r="E54" i="38"/>
  <c r="F54" i="38"/>
  <c r="G54" i="38"/>
  <c r="H54" i="38"/>
  <c r="D54" i="38"/>
  <c r="H56" i="38" l="1"/>
  <c r="D56" i="38"/>
  <c r="H27" i="31"/>
  <c r="G27" i="31"/>
  <c r="F27" i="31"/>
  <c r="E27" i="31"/>
  <c r="D27" i="31"/>
  <c r="E29" i="31"/>
  <c r="F29" i="31"/>
  <c r="G29" i="31"/>
  <c r="H29" i="31"/>
  <c r="D29" i="31"/>
  <c r="H35" i="31"/>
  <c r="G35" i="31"/>
  <c r="F35" i="31"/>
  <c r="E35" i="31"/>
  <c r="D35" i="31"/>
  <c r="E60" i="30"/>
  <c r="F60" i="30"/>
  <c r="G60" i="30"/>
  <c r="H60" i="30"/>
  <c r="D60" i="30"/>
  <c r="E55" i="38"/>
  <c r="F55" i="38"/>
  <c r="G55" i="38"/>
  <c r="H55" i="38"/>
  <c r="D55" i="38"/>
  <c r="E54" i="40"/>
  <c r="F54" i="40"/>
  <c r="G54" i="40"/>
  <c r="H54" i="40"/>
  <c r="D54" i="40"/>
  <c r="E53" i="39"/>
  <c r="F53" i="39"/>
  <c r="G53" i="39"/>
  <c r="H53" i="39"/>
  <c r="D53" i="39"/>
  <c r="E55" i="16"/>
  <c r="F55" i="16"/>
  <c r="G55" i="16"/>
  <c r="H55" i="16"/>
  <c r="D55" i="16"/>
  <c r="E55" i="41"/>
  <c r="F55" i="41"/>
  <c r="G55" i="41"/>
  <c r="H55" i="41"/>
  <c r="D55" i="41"/>
  <c r="J55" i="41" s="1"/>
  <c r="J55" i="38" l="1"/>
  <c r="F59" i="30"/>
  <c r="E59" i="30"/>
  <c r="J54" i="40"/>
  <c r="H59" i="30"/>
  <c r="J53" i="39"/>
  <c r="D59" i="30"/>
  <c r="G59" i="30"/>
  <c r="J55" i="16"/>
  <c r="H53" i="41" l="1"/>
  <c r="G53" i="41"/>
  <c r="F53" i="41"/>
  <c r="E53" i="41"/>
  <c r="D53" i="41"/>
  <c r="J53" i="41" s="1"/>
  <c r="H53" i="38"/>
  <c r="G53" i="38"/>
  <c r="F53" i="38"/>
  <c r="E53" i="38"/>
  <c r="D53" i="38"/>
  <c r="J53" i="38" l="1"/>
  <c r="E28" i="31" l="1"/>
  <c r="F28" i="31"/>
  <c r="G28" i="31"/>
  <c r="H28" i="31"/>
  <c r="D28" i="31"/>
  <c r="E52" i="40"/>
  <c r="F52" i="40"/>
  <c r="G52" i="40"/>
  <c r="H52" i="40"/>
  <c r="D52" i="40"/>
  <c r="E51" i="39"/>
  <c r="F51" i="39"/>
  <c r="G51" i="39"/>
  <c r="H51" i="39"/>
  <c r="D51" i="39"/>
  <c r="E53" i="16"/>
  <c r="F53" i="16"/>
  <c r="G53" i="16"/>
  <c r="H53" i="16"/>
  <c r="D53" i="16"/>
  <c r="E48" i="16"/>
  <c r="F48" i="16"/>
  <c r="G48" i="16"/>
  <c r="H48" i="16"/>
  <c r="H28" i="41"/>
  <c r="G28" i="41"/>
  <c r="F28" i="41"/>
  <c r="E28" i="41"/>
  <c r="D28" i="41"/>
  <c r="H28" i="38"/>
  <c r="G28" i="38"/>
  <c r="F28" i="38"/>
  <c r="E28" i="38"/>
  <c r="D28" i="38"/>
  <c r="H28" i="40"/>
  <c r="G28" i="40"/>
  <c r="F28" i="40"/>
  <c r="E28" i="40"/>
  <c r="D28" i="40"/>
  <c r="H28" i="39"/>
  <c r="G28" i="39"/>
  <c r="F28" i="39"/>
  <c r="E28" i="39"/>
  <c r="D28" i="39"/>
  <c r="H28" i="16"/>
  <c r="G28" i="16"/>
  <c r="F28" i="16"/>
  <c r="E28" i="16"/>
  <c r="D28" i="16"/>
  <c r="G58" i="30" l="1"/>
  <c r="D58" i="30"/>
  <c r="H58" i="30"/>
  <c r="F58" i="30"/>
  <c r="E58" i="30"/>
  <c r="E50" i="30"/>
  <c r="F50" i="30"/>
  <c r="G50" i="30"/>
  <c r="H50" i="30"/>
  <c r="E51" i="30"/>
  <c r="F51" i="30"/>
  <c r="G51" i="30"/>
  <c r="H51" i="30"/>
  <c r="E49" i="30"/>
  <c r="F49" i="30"/>
  <c r="G49" i="30"/>
  <c r="H49" i="30"/>
  <c r="H45" i="41"/>
  <c r="G45" i="41"/>
  <c r="F45" i="41"/>
  <c r="E45" i="41"/>
  <c r="D45" i="41"/>
  <c r="J44" i="41"/>
  <c r="J45" i="41" s="1"/>
  <c r="H34" i="41"/>
  <c r="G34" i="41"/>
  <c r="F34" i="41"/>
  <c r="E34" i="41"/>
  <c r="D34" i="41"/>
  <c r="J33" i="41"/>
  <c r="J32" i="41"/>
  <c r="H7" i="41"/>
  <c r="H54" i="41" s="1"/>
  <c r="G7" i="41"/>
  <c r="G54" i="41" s="1"/>
  <c r="F7" i="41"/>
  <c r="F54" i="41" s="1"/>
  <c r="E7" i="41"/>
  <c r="E54" i="41" s="1"/>
  <c r="D7" i="41"/>
  <c r="D54" i="41" s="1"/>
  <c r="J54" i="41" l="1"/>
  <c r="H29" i="41"/>
  <c r="H30" i="41" s="1"/>
  <c r="H41" i="41"/>
  <c r="H40" i="41"/>
  <c r="D29" i="41"/>
  <c r="D30" i="41" s="1"/>
  <c r="D41" i="41"/>
  <c r="D40" i="41"/>
  <c r="F29" i="41"/>
  <c r="F30" i="41" s="1"/>
  <c r="F40" i="41"/>
  <c r="F41" i="41"/>
  <c r="E29" i="41"/>
  <c r="E30" i="41" s="1"/>
  <c r="E40" i="41"/>
  <c r="E41" i="41"/>
  <c r="G29" i="41"/>
  <c r="G30" i="41" s="1"/>
  <c r="G40" i="41"/>
  <c r="G41" i="41"/>
  <c r="D39" i="41"/>
  <c r="F39" i="41"/>
  <c r="E39" i="41"/>
  <c r="G39" i="41"/>
  <c r="H39" i="41"/>
  <c r="H42" i="41" s="1"/>
  <c r="D52" i="41"/>
  <c r="D11" i="41"/>
  <c r="D8" i="41"/>
  <c r="D10" i="41"/>
  <c r="D12" i="41"/>
  <c r="D9" i="41"/>
  <c r="E51" i="41"/>
  <c r="E8" i="41"/>
  <c r="E10" i="41"/>
  <c r="E12" i="41"/>
  <c r="E9" i="41"/>
  <c r="E11" i="41"/>
  <c r="F52" i="41"/>
  <c r="F8" i="41"/>
  <c r="F10" i="41"/>
  <c r="F12" i="41"/>
  <c r="F9" i="41"/>
  <c r="F11" i="41"/>
  <c r="G51" i="41"/>
  <c r="G8" i="41"/>
  <c r="G10" i="41"/>
  <c r="G12" i="41"/>
  <c r="G9" i="41"/>
  <c r="G11" i="41"/>
  <c r="H10" i="41"/>
  <c r="H12" i="41"/>
  <c r="H9" i="41"/>
  <c r="H11" i="41"/>
  <c r="H8" i="41"/>
  <c r="J34" i="41"/>
  <c r="H51" i="41"/>
  <c r="D38" i="41"/>
  <c r="J38" i="41" s="1"/>
  <c r="G52" i="41"/>
  <c r="E52" i="41"/>
  <c r="J28" i="41"/>
  <c r="E50" i="41"/>
  <c r="G50" i="41"/>
  <c r="H50" i="41"/>
  <c r="D36" i="41"/>
  <c r="D51" i="41"/>
  <c r="H52" i="41"/>
  <c r="D37" i="41"/>
  <c r="J37" i="41" s="1"/>
  <c r="F51" i="41"/>
  <c r="D50" i="41"/>
  <c r="F50" i="41"/>
  <c r="H44" i="40"/>
  <c r="G44" i="40"/>
  <c r="F44" i="40"/>
  <c r="E44" i="40"/>
  <c r="D44" i="40"/>
  <c r="H7" i="40"/>
  <c r="H53" i="40" s="1"/>
  <c r="G7" i="40"/>
  <c r="G53" i="40" s="1"/>
  <c r="F7" i="40"/>
  <c r="F53" i="40" s="1"/>
  <c r="E7" i="40"/>
  <c r="E53" i="40" s="1"/>
  <c r="D7" i="40"/>
  <c r="D53" i="40" s="1"/>
  <c r="J52" i="40"/>
  <c r="H33" i="40"/>
  <c r="G33" i="40"/>
  <c r="F33" i="40"/>
  <c r="E33" i="40"/>
  <c r="D33" i="40"/>
  <c r="J32" i="40"/>
  <c r="J52" i="41" l="1"/>
  <c r="J50" i="41"/>
  <c r="J51" i="41"/>
  <c r="E42" i="41"/>
  <c r="D42" i="41"/>
  <c r="F42" i="41"/>
  <c r="J40" i="41"/>
  <c r="J29" i="41"/>
  <c r="J30" i="41" s="1"/>
  <c r="G42" i="41"/>
  <c r="J41" i="41"/>
  <c r="F29" i="40"/>
  <c r="F30" i="40" s="1"/>
  <c r="F40" i="40"/>
  <c r="F39" i="40"/>
  <c r="G29" i="40"/>
  <c r="G30" i="40" s="1"/>
  <c r="G39" i="40"/>
  <c r="G40" i="40"/>
  <c r="H29" i="40"/>
  <c r="H30" i="40" s="1"/>
  <c r="H39" i="40"/>
  <c r="H40" i="40"/>
  <c r="D29" i="40"/>
  <c r="D40" i="40"/>
  <c r="D39" i="40"/>
  <c r="E29" i="40"/>
  <c r="E30" i="40" s="1"/>
  <c r="E39" i="40"/>
  <c r="E40" i="40"/>
  <c r="J39" i="41"/>
  <c r="D38" i="40"/>
  <c r="E38" i="40"/>
  <c r="G38" i="40"/>
  <c r="F38" i="40"/>
  <c r="H38" i="40"/>
  <c r="G23" i="41"/>
  <c r="G18" i="41"/>
  <c r="E23" i="41"/>
  <c r="E18" i="41"/>
  <c r="G20" i="41"/>
  <c r="G15" i="41"/>
  <c r="G21" i="41"/>
  <c r="G16" i="41"/>
  <c r="E21" i="41"/>
  <c r="E16" i="41"/>
  <c r="G22" i="41"/>
  <c r="G17" i="41"/>
  <c r="F23" i="41"/>
  <c r="F18" i="41"/>
  <c r="D21" i="41"/>
  <c r="D16" i="41"/>
  <c r="H20" i="41"/>
  <c r="H15" i="41"/>
  <c r="F21" i="41"/>
  <c r="F16" i="41"/>
  <c r="D24" i="41"/>
  <c r="D19" i="41"/>
  <c r="E24" i="41"/>
  <c r="E19" i="41"/>
  <c r="D22" i="41"/>
  <c r="D17" i="41"/>
  <c r="H21" i="41"/>
  <c r="H16" i="41"/>
  <c r="F22" i="41"/>
  <c r="F17" i="41"/>
  <c r="D20" i="41"/>
  <c r="D15" i="41"/>
  <c r="E20" i="41"/>
  <c r="E15" i="41"/>
  <c r="F24" i="41"/>
  <c r="F19" i="41"/>
  <c r="H24" i="41"/>
  <c r="H19" i="41"/>
  <c r="F15" i="41"/>
  <c r="F20" i="41"/>
  <c r="D23" i="41"/>
  <c r="D18" i="41"/>
  <c r="G24" i="41"/>
  <c r="G19" i="41"/>
  <c r="E22" i="41"/>
  <c r="E17" i="41"/>
  <c r="H23" i="41"/>
  <c r="H18" i="41"/>
  <c r="H22" i="41"/>
  <c r="H17" i="41"/>
  <c r="H8" i="40"/>
  <c r="H10" i="40"/>
  <c r="H12" i="40"/>
  <c r="H9" i="40"/>
  <c r="H11" i="40"/>
  <c r="E9" i="40"/>
  <c r="E11" i="40"/>
  <c r="E8" i="40"/>
  <c r="E10" i="40"/>
  <c r="E12" i="40"/>
  <c r="F11" i="40"/>
  <c r="F8" i="40"/>
  <c r="F12" i="40"/>
  <c r="F9" i="40"/>
  <c r="F10" i="40"/>
  <c r="D9" i="40"/>
  <c r="D11" i="40"/>
  <c r="D8" i="40"/>
  <c r="D12" i="40"/>
  <c r="D10" i="40"/>
  <c r="G11" i="40"/>
  <c r="G8" i="40"/>
  <c r="G10" i="40"/>
  <c r="G9" i="40"/>
  <c r="G12" i="40"/>
  <c r="J11" i="41"/>
  <c r="E13" i="41"/>
  <c r="G13" i="41"/>
  <c r="F51" i="40"/>
  <c r="G51" i="40"/>
  <c r="D35" i="40"/>
  <c r="J36" i="41"/>
  <c r="J10" i="41"/>
  <c r="H13" i="41"/>
  <c r="F13" i="41"/>
  <c r="J12" i="41"/>
  <c r="J8" i="41"/>
  <c r="D13" i="41"/>
  <c r="J9" i="41"/>
  <c r="J33" i="40"/>
  <c r="E50" i="40"/>
  <c r="F50" i="40"/>
  <c r="D50" i="40"/>
  <c r="D51" i="40"/>
  <c r="E51" i="40"/>
  <c r="D36" i="40"/>
  <c r="J36" i="40" s="1"/>
  <c r="D37" i="40"/>
  <c r="J37" i="40" s="1"/>
  <c r="J28" i="40"/>
  <c r="G49" i="40"/>
  <c r="G50" i="40"/>
  <c r="H49" i="40"/>
  <c r="H50" i="40"/>
  <c r="D49" i="40"/>
  <c r="E49" i="40"/>
  <c r="H51" i="40"/>
  <c r="F49" i="40"/>
  <c r="J42" i="41" l="1"/>
  <c r="J29" i="40"/>
  <c r="J30" i="40" s="1"/>
  <c r="F41" i="40"/>
  <c r="D30" i="40"/>
  <c r="J39" i="40"/>
  <c r="G41" i="40"/>
  <c r="E41" i="40"/>
  <c r="J35" i="40"/>
  <c r="D41" i="40"/>
  <c r="J40" i="40"/>
  <c r="H41" i="40"/>
  <c r="J53" i="40"/>
  <c r="J38" i="40"/>
  <c r="J21" i="41"/>
  <c r="E25" i="41"/>
  <c r="E49" i="41" s="1"/>
  <c r="J24" i="41"/>
  <c r="D25" i="41"/>
  <c r="D49" i="41" s="1"/>
  <c r="J18" i="41"/>
  <c r="J20" i="41"/>
  <c r="J17" i="41"/>
  <c r="H25" i="41"/>
  <c r="H49" i="41" s="1"/>
  <c r="G25" i="41"/>
  <c r="G60" i="41" s="1"/>
  <c r="G61" i="41" s="1"/>
  <c r="J16" i="41"/>
  <c r="J15" i="41"/>
  <c r="F25" i="41"/>
  <c r="F60" i="41" s="1"/>
  <c r="F61" i="41" s="1"/>
  <c r="J22" i="41"/>
  <c r="J23" i="41"/>
  <c r="J19" i="41"/>
  <c r="F15" i="40"/>
  <c r="F20" i="40"/>
  <c r="G22" i="40"/>
  <c r="G17" i="40"/>
  <c r="E19" i="40"/>
  <c r="E24" i="40"/>
  <c r="E17" i="40"/>
  <c r="E22" i="40"/>
  <c r="D22" i="40"/>
  <c r="D17" i="40"/>
  <c r="E20" i="40"/>
  <c r="E15" i="40"/>
  <c r="D20" i="40"/>
  <c r="D15" i="40"/>
  <c r="D18" i="40"/>
  <c r="D23" i="40"/>
  <c r="H24" i="40"/>
  <c r="H19" i="40"/>
  <c r="F18" i="40"/>
  <c r="F23" i="40"/>
  <c r="E21" i="40"/>
  <c r="E16" i="40"/>
  <c r="G21" i="40"/>
  <c r="G16" i="40"/>
  <c r="G20" i="40"/>
  <c r="G15" i="40"/>
  <c r="G18" i="40"/>
  <c r="G23" i="40"/>
  <c r="D19" i="40"/>
  <c r="D24" i="40"/>
  <c r="E18" i="40"/>
  <c r="E23" i="40"/>
  <c r="H23" i="40"/>
  <c r="H18" i="40"/>
  <c r="D16" i="40"/>
  <c r="D21" i="40"/>
  <c r="H16" i="40"/>
  <c r="H21" i="40"/>
  <c r="F22" i="40"/>
  <c r="F17" i="40"/>
  <c r="F16" i="40"/>
  <c r="F21" i="40"/>
  <c r="H22" i="40"/>
  <c r="H17" i="40"/>
  <c r="G19" i="40"/>
  <c r="G24" i="40"/>
  <c r="F24" i="40"/>
  <c r="F19" i="40"/>
  <c r="H20" i="40"/>
  <c r="H15" i="40"/>
  <c r="J11" i="40"/>
  <c r="D13" i="40"/>
  <c r="J13" i="41"/>
  <c r="J51" i="40"/>
  <c r="J10" i="40"/>
  <c r="E13" i="40"/>
  <c r="F13" i="40"/>
  <c r="J50" i="40"/>
  <c r="J8" i="40"/>
  <c r="H13" i="40"/>
  <c r="G13" i="40"/>
  <c r="J49" i="40"/>
  <c r="J12" i="40"/>
  <c r="J9" i="40"/>
  <c r="H7" i="39"/>
  <c r="H52" i="39" s="1"/>
  <c r="G7" i="39"/>
  <c r="G52" i="39" s="1"/>
  <c r="F7" i="39"/>
  <c r="F52" i="39" s="1"/>
  <c r="E7" i="39"/>
  <c r="E52" i="39" s="1"/>
  <c r="D7" i="39"/>
  <c r="D52" i="39" s="1"/>
  <c r="H7" i="38"/>
  <c r="G7" i="38"/>
  <c r="F7" i="38"/>
  <c r="E7" i="38"/>
  <c r="D7" i="38"/>
  <c r="J51" i="39"/>
  <c r="H33" i="39"/>
  <c r="G33" i="39"/>
  <c r="F33" i="39"/>
  <c r="E33" i="39"/>
  <c r="D33" i="39"/>
  <c r="J32" i="39"/>
  <c r="J20" i="31"/>
  <c r="H15" i="31"/>
  <c r="G15" i="31"/>
  <c r="F15" i="31"/>
  <c r="E15" i="31"/>
  <c r="D15" i="31"/>
  <c r="J51" i="38"/>
  <c r="H60" i="41" l="1"/>
  <c r="H61" i="41" s="1"/>
  <c r="F29" i="38"/>
  <c r="F43" i="38"/>
  <c r="F44" i="38"/>
  <c r="H29" i="38"/>
  <c r="H43" i="38"/>
  <c r="H44" i="38"/>
  <c r="D29" i="38"/>
  <c r="D44" i="38"/>
  <c r="D43" i="38"/>
  <c r="E29" i="38"/>
  <c r="E43" i="38"/>
  <c r="E44" i="38"/>
  <c r="J44" i="38" s="1"/>
  <c r="G29" i="38"/>
  <c r="G44" i="38"/>
  <c r="G43" i="38"/>
  <c r="J41" i="40"/>
  <c r="D29" i="39"/>
  <c r="D30" i="39" s="1"/>
  <c r="D39" i="39"/>
  <c r="D40" i="39"/>
  <c r="H29" i="39"/>
  <c r="H30" i="39" s="1"/>
  <c r="H39" i="39"/>
  <c r="H40" i="39"/>
  <c r="E29" i="39"/>
  <c r="E30" i="39" s="1"/>
  <c r="E40" i="39"/>
  <c r="E39" i="39"/>
  <c r="G29" i="39"/>
  <c r="G30" i="39" s="1"/>
  <c r="G40" i="39"/>
  <c r="G39" i="39"/>
  <c r="F29" i="39"/>
  <c r="F30" i="39" s="1"/>
  <c r="F40" i="39"/>
  <c r="F39" i="39"/>
  <c r="D60" i="41"/>
  <c r="D61" i="41" s="1"/>
  <c r="G49" i="41"/>
  <c r="E60" i="41"/>
  <c r="E61" i="41" s="1"/>
  <c r="F49" i="41"/>
  <c r="J49" i="41" s="1"/>
  <c r="J17" i="40"/>
  <c r="J22" i="40"/>
  <c r="F38" i="39"/>
  <c r="E38" i="39"/>
  <c r="G38" i="39"/>
  <c r="H38" i="39"/>
  <c r="D38" i="39"/>
  <c r="G42" i="38"/>
  <c r="H42" i="38"/>
  <c r="D42" i="38"/>
  <c r="F42" i="38"/>
  <c r="E42" i="38"/>
  <c r="J25" i="41"/>
  <c r="J24" i="40"/>
  <c r="J20" i="40"/>
  <c r="J21" i="40"/>
  <c r="E25" i="40"/>
  <c r="E48" i="40" s="1"/>
  <c r="J16" i="40"/>
  <c r="J19" i="40"/>
  <c r="J23" i="40"/>
  <c r="J18" i="40"/>
  <c r="H25" i="40"/>
  <c r="H59" i="40" s="1"/>
  <c r="H60" i="40" s="1"/>
  <c r="G25" i="40"/>
  <c r="G59" i="40" s="1"/>
  <c r="G60" i="40" s="1"/>
  <c r="J15" i="40"/>
  <c r="D25" i="40"/>
  <c r="D59" i="40" s="1"/>
  <c r="D60" i="40" s="1"/>
  <c r="F25" i="40"/>
  <c r="F59" i="40" s="1"/>
  <c r="F60" i="40" s="1"/>
  <c r="J33" i="39"/>
  <c r="F8" i="38"/>
  <c r="F10" i="38"/>
  <c r="F9" i="38"/>
  <c r="F11" i="38"/>
  <c r="F12" i="38"/>
  <c r="G9" i="38"/>
  <c r="G10" i="38"/>
  <c r="G8" i="38"/>
  <c r="G11" i="38"/>
  <c r="G12" i="38"/>
  <c r="H11" i="38"/>
  <c r="H8" i="38"/>
  <c r="H10" i="38"/>
  <c r="H12" i="38"/>
  <c r="H9" i="38"/>
  <c r="E11" i="38"/>
  <c r="E8" i="38"/>
  <c r="E10" i="38"/>
  <c r="E12" i="38"/>
  <c r="E9" i="38"/>
  <c r="D12" i="38"/>
  <c r="D11" i="38"/>
  <c r="D8" i="38"/>
  <c r="D9" i="38"/>
  <c r="D10" i="38"/>
  <c r="E10" i="39"/>
  <c r="E9" i="39"/>
  <c r="E8" i="39"/>
  <c r="E12" i="39"/>
  <c r="E11" i="39"/>
  <c r="G8" i="39"/>
  <c r="G11" i="39"/>
  <c r="G10" i="39"/>
  <c r="G12" i="39"/>
  <c r="G9" i="39"/>
  <c r="H9" i="39"/>
  <c r="H11" i="39"/>
  <c r="H10" i="39"/>
  <c r="H8" i="39"/>
  <c r="H12" i="39"/>
  <c r="D11" i="39"/>
  <c r="D12" i="39"/>
  <c r="D8" i="39"/>
  <c r="D10" i="39"/>
  <c r="D9" i="39"/>
  <c r="F12" i="39"/>
  <c r="F8" i="39"/>
  <c r="F11" i="39"/>
  <c r="F10" i="39"/>
  <c r="F9" i="39"/>
  <c r="D49" i="39"/>
  <c r="G50" i="39"/>
  <c r="H49" i="39"/>
  <c r="J13" i="40"/>
  <c r="D37" i="39"/>
  <c r="D48" i="39"/>
  <c r="F49" i="39"/>
  <c r="G49" i="39"/>
  <c r="G48" i="39"/>
  <c r="D50" i="39"/>
  <c r="D35" i="39"/>
  <c r="J28" i="39"/>
  <c r="E48" i="39"/>
  <c r="E50" i="39"/>
  <c r="F48" i="39"/>
  <c r="F50" i="39"/>
  <c r="H48" i="39"/>
  <c r="H50" i="39"/>
  <c r="D36" i="39"/>
  <c r="E49" i="39"/>
  <c r="G48" i="40" l="1"/>
  <c r="J43" i="38"/>
  <c r="J29" i="38"/>
  <c r="J42" i="38"/>
  <c r="E59" i="40"/>
  <c r="E60" i="40" s="1"/>
  <c r="H48" i="40"/>
  <c r="F41" i="39"/>
  <c r="E41" i="39"/>
  <c r="J40" i="39"/>
  <c r="G41" i="39"/>
  <c r="H41" i="39"/>
  <c r="J29" i="39"/>
  <c r="J30" i="39" s="1"/>
  <c r="J39" i="39"/>
  <c r="D41" i="39"/>
  <c r="J38" i="39"/>
  <c r="J60" i="41"/>
  <c r="D48" i="40"/>
  <c r="F48" i="40"/>
  <c r="J52" i="39"/>
  <c r="J54" i="38"/>
  <c r="D18" i="38"/>
  <c r="D23" i="38"/>
  <c r="D19" i="38"/>
  <c r="D24" i="38"/>
  <c r="E21" i="38"/>
  <c r="E16" i="38"/>
  <c r="E19" i="38"/>
  <c r="E24" i="38"/>
  <c r="E22" i="38"/>
  <c r="E17" i="38"/>
  <c r="E20" i="38"/>
  <c r="E15" i="38"/>
  <c r="E18" i="38"/>
  <c r="E23" i="38"/>
  <c r="H16" i="38"/>
  <c r="H21" i="38"/>
  <c r="H24" i="38"/>
  <c r="H19" i="38"/>
  <c r="F15" i="38"/>
  <c r="F20" i="38"/>
  <c r="H20" i="38"/>
  <c r="H15" i="38"/>
  <c r="G19" i="38"/>
  <c r="G24" i="38"/>
  <c r="G18" i="38"/>
  <c r="G23" i="38"/>
  <c r="G20" i="38"/>
  <c r="G15" i="38"/>
  <c r="G22" i="38"/>
  <c r="G17" i="38"/>
  <c r="G21" i="38"/>
  <c r="G16" i="38"/>
  <c r="F24" i="38"/>
  <c r="F19" i="38"/>
  <c r="F23" i="38"/>
  <c r="F18" i="38"/>
  <c r="F21" i="38"/>
  <c r="F16" i="38"/>
  <c r="F22" i="38"/>
  <c r="F17" i="38"/>
  <c r="D22" i="38"/>
  <c r="D17" i="38"/>
  <c r="H17" i="38"/>
  <c r="H22" i="38"/>
  <c r="D21" i="38"/>
  <c r="D16" i="38"/>
  <c r="D15" i="38"/>
  <c r="D20" i="38"/>
  <c r="H23" i="38"/>
  <c r="H18" i="38"/>
  <c r="J25" i="40"/>
  <c r="D21" i="39"/>
  <c r="D16" i="39"/>
  <c r="D17" i="39"/>
  <c r="D22" i="39"/>
  <c r="D20" i="39"/>
  <c r="D15" i="39"/>
  <c r="G20" i="39"/>
  <c r="G15" i="39"/>
  <c r="E23" i="39"/>
  <c r="E18" i="39"/>
  <c r="E24" i="39"/>
  <c r="E19" i="39"/>
  <c r="H24" i="39"/>
  <c r="H19" i="39"/>
  <c r="E20" i="39"/>
  <c r="E15" i="39"/>
  <c r="E16" i="39"/>
  <c r="E21" i="39"/>
  <c r="H22" i="39"/>
  <c r="H17" i="39"/>
  <c r="F22" i="39"/>
  <c r="F17" i="39"/>
  <c r="H23" i="39"/>
  <c r="H18" i="39"/>
  <c r="F23" i="39"/>
  <c r="F18" i="39"/>
  <c r="H16" i="39"/>
  <c r="H21" i="39"/>
  <c r="F15" i="39"/>
  <c r="F20" i="39"/>
  <c r="G16" i="39"/>
  <c r="G21" i="39"/>
  <c r="G22" i="39"/>
  <c r="G17" i="39"/>
  <c r="G18" i="39"/>
  <c r="G23" i="39"/>
  <c r="D19" i="39"/>
  <c r="D24" i="39"/>
  <c r="D23" i="39"/>
  <c r="D18" i="39"/>
  <c r="H20" i="39"/>
  <c r="H15" i="39"/>
  <c r="F21" i="39"/>
  <c r="F16" i="39"/>
  <c r="E17" i="39"/>
  <c r="E22" i="39"/>
  <c r="F24" i="39"/>
  <c r="F19" i="39"/>
  <c r="G24" i="39"/>
  <c r="G19" i="39"/>
  <c r="J11" i="38"/>
  <c r="J11" i="39"/>
  <c r="J36" i="39"/>
  <c r="J35" i="39"/>
  <c r="J37" i="39"/>
  <c r="J49" i="39"/>
  <c r="G13" i="39"/>
  <c r="J10" i="39"/>
  <c r="F13" i="39"/>
  <c r="J8" i="39"/>
  <c r="J50" i="39"/>
  <c r="J9" i="39"/>
  <c r="D13" i="39"/>
  <c r="J12" i="39"/>
  <c r="H13" i="39"/>
  <c r="E13" i="39"/>
  <c r="J48" i="39"/>
  <c r="J59" i="40" l="1"/>
  <c r="J60" i="40" s="1"/>
  <c r="E50" i="38"/>
  <c r="F50" i="38"/>
  <c r="G50" i="38"/>
  <c r="J41" i="39"/>
  <c r="J61" i="41"/>
  <c r="J48" i="40"/>
  <c r="J16" i="38"/>
  <c r="H25" i="38"/>
  <c r="E47" i="39"/>
  <c r="E54" i="39" s="1"/>
  <c r="E25" i="38"/>
  <c r="J20" i="38"/>
  <c r="J21" i="38"/>
  <c r="J15" i="38"/>
  <c r="D25" i="38"/>
  <c r="F25" i="38"/>
  <c r="J17" i="38"/>
  <c r="J24" i="38"/>
  <c r="J19" i="38"/>
  <c r="J22" i="38"/>
  <c r="J23" i="38"/>
  <c r="G25" i="38"/>
  <c r="J18" i="38"/>
  <c r="G25" i="39"/>
  <c r="G47" i="39" s="1"/>
  <c r="G54" i="39" s="1"/>
  <c r="H25" i="39"/>
  <c r="H47" i="39" s="1"/>
  <c r="H54" i="39" s="1"/>
  <c r="J15" i="39"/>
  <c r="D25" i="39"/>
  <c r="D58" i="39" s="1"/>
  <c r="D59" i="39" s="1"/>
  <c r="F25" i="39"/>
  <c r="F58" i="39" s="1"/>
  <c r="F59" i="39" s="1"/>
  <c r="J20" i="39"/>
  <c r="J18" i="39"/>
  <c r="E25" i="39"/>
  <c r="E58" i="39" s="1"/>
  <c r="E59" i="39" s="1"/>
  <c r="J22" i="39"/>
  <c r="J23" i="39"/>
  <c r="J17" i="39"/>
  <c r="J24" i="39"/>
  <c r="J16" i="39"/>
  <c r="J19" i="39"/>
  <c r="J21" i="39"/>
  <c r="J43" i="40"/>
  <c r="J44" i="40" s="1"/>
  <c r="J13" i="39"/>
  <c r="H47" i="41" l="1"/>
  <c r="H56" i="41" s="1"/>
  <c r="H57" i="41" s="1"/>
  <c r="H63" i="41" s="1"/>
  <c r="D47" i="41"/>
  <c r="D56" i="41" s="1"/>
  <c r="E47" i="41"/>
  <c r="E56" i="41" s="1"/>
  <c r="E57" i="41" s="1"/>
  <c r="E63" i="41" s="1"/>
  <c r="F47" i="41"/>
  <c r="G47" i="41"/>
  <c r="G56" i="41" s="1"/>
  <c r="G57" i="41" s="1"/>
  <c r="G63" i="41" s="1"/>
  <c r="H46" i="40"/>
  <c r="H55" i="40" s="1"/>
  <c r="G46" i="40"/>
  <c r="G55" i="40" s="1"/>
  <c r="F46" i="40"/>
  <c r="F55" i="40" s="1"/>
  <c r="E46" i="40"/>
  <c r="E55" i="40" s="1"/>
  <c r="D46" i="40"/>
  <c r="D55" i="40" s="1"/>
  <c r="G56" i="38"/>
  <c r="F56" i="38"/>
  <c r="E56" i="38"/>
  <c r="J50" i="38"/>
  <c r="F56" i="41"/>
  <c r="F57" i="41" s="1"/>
  <c r="F63" i="41" s="1"/>
  <c r="H58" i="39"/>
  <c r="H59" i="39" s="1"/>
  <c r="D47" i="39"/>
  <c r="D54" i="39" s="1"/>
  <c r="F47" i="39"/>
  <c r="F54" i="39" s="1"/>
  <c r="G58" i="39"/>
  <c r="G59" i="39" s="1"/>
  <c r="J25" i="38"/>
  <c r="J25" i="39"/>
  <c r="J58" i="39" l="1"/>
  <c r="J59" i="39" s="1"/>
  <c r="D57" i="41"/>
  <c r="J47" i="41"/>
  <c r="J56" i="41" s="1"/>
  <c r="J47" i="39"/>
  <c r="G56" i="40"/>
  <c r="G62" i="40" s="1"/>
  <c r="H56" i="40"/>
  <c r="H62" i="40" s="1"/>
  <c r="E56" i="40"/>
  <c r="E62" i="40" s="1"/>
  <c r="F56" i="40"/>
  <c r="F62" i="40" s="1"/>
  <c r="J46" i="40"/>
  <c r="J55" i="40" s="1"/>
  <c r="H40" i="38"/>
  <c r="G39" i="38"/>
  <c r="D38" i="38"/>
  <c r="J38" i="38" s="1"/>
  <c r="H34" i="38"/>
  <c r="G34" i="38"/>
  <c r="F34" i="38"/>
  <c r="E34" i="38"/>
  <c r="D34" i="38"/>
  <c r="J33" i="38"/>
  <c r="J32" i="38"/>
  <c r="H30" i="38"/>
  <c r="G30" i="38"/>
  <c r="F30" i="38"/>
  <c r="E30" i="38"/>
  <c r="J28" i="38"/>
  <c r="G40" i="38"/>
  <c r="F40" i="38"/>
  <c r="E40" i="38"/>
  <c r="D40" i="38"/>
  <c r="H7" i="16"/>
  <c r="G7" i="16"/>
  <c r="F7" i="16"/>
  <c r="E7" i="16"/>
  <c r="D7" i="16"/>
  <c r="D41" i="16" l="1"/>
  <c r="D54" i="16"/>
  <c r="D56" i="30" s="1"/>
  <c r="E41" i="16"/>
  <c r="E54" i="16"/>
  <c r="G41" i="16"/>
  <c r="G54" i="16"/>
  <c r="G56" i="30" s="1"/>
  <c r="H41" i="16"/>
  <c r="H54" i="16"/>
  <c r="H56" i="30" s="1"/>
  <c r="F41" i="16"/>
  <c r="F54" i="16"/>
  <c r="F56" i="30" s="1"/>
  <c r="J54" i="39"/>
  <c r="G43" i="39" s="1"/>
  <c r="G45" i="39" s="1"/>
  <c r="J41" i="16"/>
  <c r="D63" i="41"/>
  <c r="K63" i="41" s="1"/>
  <c r="J57" i="41"/>
  <c r="J63" i="41" s="1"/>
  <c r="D27" i="30" s="1"/>
  <c r="D30" i="16"/>
  <c r="D40" i="16"/>
  <c r="H30" i="16"/>
  <c r="H40" i="16"/>
  <c r="E30" i="16"/>
  <c r="E40" i="16"/>
  <c r="G30" i="16"/>
  <c r="G40" i="16"/>
  <c r="F30" i="16"/>
  <c r="F40" i="16"/>
  <c r="G39" i="16"/>
  <c r="G55" i="30" s="1"/>
  <c r="E39" i="16"/>
  <c r="E55" i="30" s="1"/>
  <c r="E56" i="30"/>
  <c r="F39" i="16"/>
  <c r="F55" i="30" s="1"/>
  <c r="H39" i="16"/>
  <c r="H55" i="30" s="1"/>
  <c r="D39" i="16"/>
  <c r="D55" i="30" s="1"/>
  <c r="D8" i="16"/>
  <c r="D20" i="16" s="1"/>
  <c r="D44" i="30" s="1"/>
  <c r="D10" i="16"/>
  <c r="D17" i="16" s="1"/>
  <c r="D12" i="16"/>
  <c r="D24" i="16" s="1"/>
  <c r="D48" i="30" s="1"/>
  <c r="D9" i="16"/>
  <c r="D21" i="16" s="1"/>
  <c r="D45" i="30" s="1"/>
  <c r="D11" i="16"/>
  <c r="D23" i="16" s="1"/>
  <c r="D47" i="30" s="1"/>
  <c r="E10" i="16"/>
  <c r="E12" i="16"/>
  <c r="E8" i="16"/>
  <c r="E9" i="16"/>
  <c r="E11" i="16"/>
  <c r="E23" i="16" s="1"/>
  <c r="E47" i="30" s="1"/>
  <c r="F10" i="16"/>
  <c r="F12" i="16"/>
  <c r="F8" i="16"/>
  <c r="F9" i="16"/>
  <c r="F11" i="16"/>
  <c r="F23" i="16" s="1"/>
  <c r="G12" i="16"/>
  <c r="G8" i="16"/>
  <c r="G20" i="16" s="1"/>
  <c r="G44" i="30" s="1"/>
  <c r="G9" i="16"/>
  <c r="G11" i="16"/>
  <c r="G23" i="16" s="1"/>
  <c r="G47" i="30" s="1"/>
  <c r="G10" i="16"/>
  <c r="H12" i="16"/>
  <c r="H9" i="16"/>
  <c r="H11" i="16"/>
  <c r="H23" i="16" s="1"/>
  <c r="H47" i="30" s="1"/>
  <c r="H8" i="16"/>
  <c r="H10" i="16"/>
  <c r="D56" i="40"/>
  <c r="D36" i="16"/>
  <c r="D37" i="16"/>
  <c r="D38" i="16"/>
  <c r="D50" i="16"/>
  <c r="F52" i="16"/>
  <c r="H51" i="16"/>
  <c r="H53" i="30" s="1"/>
  <c r="E52" i="16"/>
  <c r="F51" i="16"/>
  <c r="F53" i="30" s="1"/>
  <c r="H52" i="16"/>
  <c r="G52" i="16"/>
  <c r="G51" i="16"/>
  <c r="G53" i="30" s="1"/>
  <c r="H50" i="16"/>
  <c r="D51" i="16"/>
  <c r="D53" i="30" s="1"/>
  <c r="F50" i="16"/>
  <c r="E51" i="16"/>
  <c r="E53" i="30" s="1"/>
  <c r="G50" i="16"/>
  <c r="G52" i="30" s="1"/>
  <c r="D52" i="16"/>
  <c r="E50" i="16"/>
  <c r="J34" i="38"/>
  <c r="G13" i="38"/>
  <c r="G52" i="38" s="1"/>
  <c r="J30" i="38"/>
  <c r="F13" i="38"/>
  <c r="F52" i="38" s="1"/>
  <c r="E13" i="38"/>
  <c r="E52" i="38" s="1"/>
  <c r="J40" i="38"/>
  <c r="D39" i="38"/>
  <c r="D41" i="38"/>
  <c r="E39" i="38"/>
  <c r="E41" i="38"/>
  <c r="F39" i="38"/>
  <c r="F41" i="38"/>
  <c r="G41" i="38"/>
  <c r="G45" i="38" s="1"/>
  <c r="D30" i="38"/>
  <c r="H39" i="38"/>
  <c r="H41" i="38"/>
  <c r="D36" i="38"/>
  <c r="D37" i="38"/>
  <c r="J37" i="38" s="1"/>
  <c r="F43" i="39" l="1"/>
  <c r="F45" i="39" s="1"/>
  <c r="F55" i="39" s="1"/>
  <c r="F61" i="39" s="1"/>
  <c r="H43" i="39"/>
  <c r="H45" i="39" s="1"/>
  <c r="H55" i="39" s="1"/>
  <c r="H61" i="39" s="1"/>
  <c r="D43" i="39"/>
  <c r="E43" i="39"/>
  <c r="E45" i="39" s="1"/>
  <c r="E55" i="39" s="1"/>
  <c r="E61" i="39" s="1"/>
  <c r="E45" i="38"/>
  <c r="H45" i="38"/>
  <c r="D45" i="38"/>
  <c r="F45" i="38"/>
  <c r="D42" i="16"/>
  <c r="E42" i="16"/>
  <c r="F42" i="16"/>
  <c r="H42" i="16"/>
  <c r="J40" i="16"/>
  <c r="G42" i="16"/>
  <c r="G60" i="38"/>
  <c r="G61" i="38" s="1"/>
  <c r="J39" i="16"/>
  <c r="J54" i="16"/>
  <c r="D35" i="30"/>
  <c r="G34" i="30"/>
  <c r="H34" i="30"/>
  <c r="H20" i="16"/>
  <c r="F19" i="16"/>
  <c r="F43" i="30" s="1"/>
  <c r="F24" i="16"/>
  <c r="F48" i="30" s="1"/>
  <c r="E35" i="30"/>
  <c r="E21" i="16"/>
  <c r="G36" i="30"/>
  <c r="G22" i="16"/>
  <c r="E34" i="30"/>
  <c r="E20" i="16"/>
  <c r="E44" i="30" s="1"/>
  <c r="E19" i="16"/>
  <c r="E43" i="30" s="1"/>
  <c r="E24" i="16"/>
  <c r="E36" i="30"/>
  <c r="E22" i="16"/>
  <c r="E46" i="30" s="1"/>
  <c r="G19" i="16"/>
  <c r="G43" i="30" s="1"/>
  <c r="G24" i="16"/>
  <c r="G48" i="30" s="1"/>
  <c r="H19" i="16"/>
  <c r="H43" i="30" s="1"/>
  <c r="H24" i="16"/>
  <c r="H48" i="30" s="1"/>
  <c r="F35" i="30"/>
  <c r="F21" i="16"/>
  <c r="F45" i="30" s="1"/>
  <c r="D36" i="30"/>
  <c r="D22" i="16"/>
  <c r="F36" i="30"/>
  <c r="F22" i="16"/>
  <c r="F46" i="30" s="1"/>
  <c r="H35" i="30"/>
  <c r="H21" i="16"/>
  <c r="H45" i="30" s="1"/>
  <c r="G35" i="30"/>
  <c r="G21" i="16"/>
  <c r="G45" i="30" s="1"/>
  <c r="J23" i="16"/>
  <c r="F47" i="30"/>
  <c r="H36" i="30"/>
  <c r="H22" i="16"/>
  <c r="H46" i="30" s="1"/>
  <c r="F34" i="30"/>
  <c r="F20" i="16"/>
  <c r="D49" i="30"/>
  <c r="D52" i="30"/>
  <c r="H52" i="30"/>
  <c r="G38" i="30"/>
  <c r="H18" i="16"/>
  <c r="H42" i="30" s="1"/>
  <c r="H37" i="30"/>
  <c r="E18" i="16"/>
  <c r="E42" i="30" s="1"/>
  <c r="E37" i="30"/>
  <c r="J36" i="16"/>
  <c r="G18" i="16"/>
  <c r="G42" i="30" s="1"/>
  <c r="G37" i="30"/>
  <c r="F18" i="16"/>
  <c r="F42" i="30" s="1"/>
  <c r="F37" i="30"/>
  <c r="D18" i="16"/>
  <c r="D37" i="30"/>
  <c r="F60" i="38"/>
  <c r="F61" i="38" s="1"/>
  <c r="E60" i="38"/>
  <c r="E61" i="38" s="1"/>
  <c r="D34" i="30"/>
  <c r="G54" i="30"/>
  <c r="H54" i="30"/>
  <c r="F52" i="30"/>
  <c r="D50" i="30"/>
  <c r="E52" i="30"/>
  <c r="E54" i="30"/>
  <c r="D54" i="30"/>
  <c r="H38" i="30"/>
  <c r="F54" i="30"/>
  <c r="F38" i="30"/>
  <c r="E38" i="30"/>
  <c r="J11" i="16"/>
  <c r="D19" i="16"/>
  <c r="D43" i="30" s="1"/>
  <c r="D38" i="30"/>
  <c r="J38" i="16"/>
  <c r="D51" i="30"/>
  <c r="J56" i="40"/>
  <c r="J62" i="40" s="1"/>
  <c r="D62" i="40"/>
  <c r="K62" i="40" s="1"/>
  <c r="G55" i="39"/>
  <c r="G61" i="39" s="1"/>
  <c r="J51" i="16"/>
  <c r="J50" i="16"/>
  <c r="J52" i="16"/>
  <c r="J12" i="38"/>
  <c r="J9" i="38"/>
  <c r="H13" i="38"/>
  <c r="H52" i="38" s="1"/>
  <c r="J36" i="38"/>
  <c r="J41" i="38"/>
  <c r="J10" i="38"/>
  <c r="J39" i="38"/>
  <c r="J8" i="38"/>
  <c r="D13" i="38"/>
  <c r="D52" i="38" s="1"/>
  <c r="D13" i="16"/>
  <c r="J43" i="39" l="1"/>
  <c r="J45" i="39" s="1"/>
  <c r="D45" i="39"/>
  <c r="D55" i="39" s="1"/>
  <c r="D61" i="39" s="1"/>
  <c r="K61" i="39" s="1"/>
  <c r="J45" i="38"/>
  <c r="J52" i="38"/>
  <c r="J47" i="30"/>
  <c r="J24" i="16"/>
  <c r="E48" i="30"/>
  <c r="J48" i="30" s="1"/>
  <c r="G46" i="30"/>
  <c r="J21" i="16"/>
  <c r="E45" i="30"/>
  <c r="J45" i="30" s="1"/>
  <c r="H44" i="30"/>
  <c r="J20" i="16"/>
  <c r="F44" i="30"/>
  <c r="D46" i="30"/>
  <c r="J22" i="16"/>
  <c r="J18" i="16"/>
  <c r="D42" i="30"/>
  <c r="J42" i="30" s="1"/>
  <c r="H60" i="38"/>
  <c r="H61" i="38" s="1"/>
  <c r="D24" i="30"/>
  <c r="D41" i="30"/>
  <c r="J19" i="16"/>
  <c r="J43" i="30"/>
  <c r="J55" i="39"/>
  <c r="J13" i="38"/>
  <c r="D60" i="38"/>
  <c r="J46" i="30" l="1"/>
  <c r="J61" i="39"/>
  <c r="D23" i="30" s="1"/>
  <c r="J44" i="30"/>
  <c r="J60" i="38"/>
  <c r="J61" i="38" s="1"/>
  <c r="H48" i="38"/>
  <c r="H57" i="38" s="1"/>
  <c r="H63" i="38" s="1"/>
  <c r="G48" i="38" l="1"/>
  <c r="F48" i="38"/>
  <c r="E48" i="38"/>
  <c r="J47" i="38"/>
  <c r="J48" i="38" s="1"/>
  <c r="D48" i="38"/>
  <c r="D57" i="38" s="1"/>
  <c r="J48" i="16"/>
  <c r="F57" i="38" l="1"/>
  <c r="F63" i="38" s="1"/>
  <c r="G57" i="38"/>
  <c r="G63" i="38" s="1"/>
  <c r="D63" i="38"/>
  <c r="J8" i="31" l="1"/>
  <c r="J29" i="16" l="1"/>
  <c r="F17" i="16"/>
  <c r="F41" i="30" s="1"/>
  <c r="E17" i="16"/>
  <c r="E41" i="30" s="1"/>
  <c r="H15" i="16"/>
  <c r="G15" i="16"/>
  <c r="D15" i="16"/>
  <c r="H17" i="16"/>
  <c r="H41" i="30" s="1"/>
  <c r="G17" i="16"/>
  <c r="G41" i="30" s="1"/>
  <c r="J10" i="16"/>
  <c r="H16" i="16"/>
  <c r="H40" i="30" s="1"/>
  <c r="G16" i="16"/>
  <c r="G40" i="30" s="1"/>
  <c r="F16" i="16"/>
  <c r="F40" i="30" s="1"/>
  <c r="E16" i="16"/>
  <c r="E40" i="30" s="1"/>
  <c r="D16" i="16"/>
  <c r="D40" i="30" s="1"/>
  <c r="F15" i="16"/>
  <c r="E15" i="16"/>
  <c r="J8" i="16"/>
  <c r="E25" i="16" l="1"/>
  <c r="D39" i="30"/>
  <c r="D25" i="16"/>
  <c r="D60" i="16" s="1"/>
  <c r="D61" i="16" s="1"/>
  <c r="G39" i="30"/>
  <c r="G25" i="16"/>
  <c r="H39" i="30"/>
  <c r="H25" i="16"/>
  <c r="F39" i="30"/>
  <c r="F25" i="16"/>
  <c r="J41" i="30"/>
  <c r="E39" i="30"/>
  <c r="J40" i="30"/>
  <c r="J17" i="16"/>
  <c r="J16" i="16"/>
  <c r="J28" i="16"/>
  <c r="J15" i="16"/>
  <c r="J9" i="16"/>
  <c r="J12" i="16"/>
  <c r="J14" i="31"/>
  <c r="J15" i="31" s="1"/>
  <c r="I37" i="31"/>
  <c r="J34" i="31"/>
  <c r="J28" i="31"/>
  <c r="H25" i="31"/>
  <c r="G25" i="31"/>
  <c r="F25" i="31"/>
  <c r="E25" i="31"/>
  <c r="D25" i="31"/>
  <c r="J24" i="31"/>
  <c r="J23" i="31"/>
  <c r="H21" i="31"/>
  <c r="H11" i="30" s="1"/>
  <c r="G21" i="31"/>
  <c r="G11" i="30" s="1"/>
  <c r="F21" i="31"/>
  <c r="F11" i="30" s="1"/>
  <c r="E21" i="31"/>
  <c r="E11" i="30" s="1"/>
  <c r="D21" i="31"/>
  <c r="D11" i="30" s="1"/>
  <c r="H18" i="31"/>
  <c r="G18" i="31"/>
  <c r="F18" i="31"/>
  <c r="E18" i="31"/>
  <c r="D18" i="31"/>
  <c r="J17" i="31"/>
  <c r="I12" i="31"/>
  <c r="H12" i="31"/>
  <c r="G12" i="31"/>
  <c r="F12" i="31"/>
  <c r="E12" i="31"/>
  <c r="D12" i="31"/>
  <c r="J11" i="31"/>
  <c r="I9" i="31"/>
  <c r="H9" i="31"/>
  <c r="G9" i="31"/>
  <c r="F9" i="31"/>
  <c r="E9" i="31"/>
  <c r="D9" i="31"/>
  <c r="D7" i="30" s="1"/>
  <c r="J53" i="16"/>
  <c r="J37" i="16"/>
  <c r="J42" i="16" s="1"/>
  <c r="E34" i="16"/>
  <c r="E10" i="30" s="1"/>
  <c r="F34" i="16"/>
  <c r="F10" i="30" s="1"/>
  <c r="G34" i="16"/>
  <c r="G10" i="30" s="1"/>
  <c r="H34" i="16"/>
  <c r="H10" i="30" s="1"/>
  <c r="D34" i="16"/>
  <c r="J33" i="16"/>
  <c r="E31" i="16"/>
  <c r="E9" i="30" s="1"/>
  <c r="F31" i="16"/>
  <c r="F9" i="30" s="1"/>
  <c r="G31" i="16"/>
  <c r="G9" i="30" s="1"/>
  <c r="H31" i="16"/>
  <c r="D31" i="16"/>
  <c r="D9" i="30" s="1"/>
  <c r="J30" i="16"/>
  <c r="E13" i="16"/>
  <c r="F13" i="16"/>
  <c r="G13" i="16"/>
  <c r="H13" i="16"/>
  <c r="H9" i="30" l="1"/>
  <c r="D10" i="30"/>
  <c r="F60" i="16"/>
  <c r="G60" i="16"/>
  <c r="H60" i="16"/>
  <c r="E60" i="16"/>
  <c r="J31" i="16"/>
  <c r="D49" i="16"/>
  <c r="D56" i="16" s="1"/>
  <c r="E7" i="30"/>
  <c r="E49" i="16"/>
  <c r="E56" i="16" s="1"/>
  <c r="F7" i="30"/>
  <c r="F49" i="16"/>
  <c r="F56" i="16" s="1"/>
  <c r="H7" i="30"/>
  <c r="H49" i="16"/>
  <c r="H56" i="16" s="1"/>
  <c r="G7" i="30"/>
  <c r="G49" i="16"/>
  <c r="G56" i="16" s="1"/>
  <c r="J25" i="16"/>
  <c r="J39" i="30"/>
  <c r="H8" i="30"/>
  <c r="D8" i="30"/>
  <c r="G8" i="30"/>
  <c r="F8" i="30"/>
  <c r="E8" i="30"/>
  <c r="J13" i="16"/>
  <c r="J34" i="16"/>
  <c r="J9" i="31"/>
  <c r="J21" i="31"/>
  <c r="J18" i="31"/>
  <c r="J25" i="31"/>
  <c r="J12" i="31"/>
  <c r="J60" i="16" l="1"/>
  <c r="D57" i="30"/>
  <c r="J57" i="30" s="1"/>
  <c r="H61" i="16"/>
  <c r="G61" i="16"/>
  <c r="E61" i="16"/>
  <c r="F61" i="16"/>
  <c r="H57" i="30"/>
  <c r="N57" i="30" s="1"/>
  <c r="G57" i="30"/>
  <c r="M57" i="30" s="1"/>
  <c r="E57" i="30"/>
  <c r="K57" i="30" s="1"/>
  <c r="J49" i="16"/>
  <c r="J56" i="16" s="1"/>
  <c r="F57" i="30"/>
  <c r="L57" i="30" s="1"/>
  <c r="J61" i="16"/>
  <c r="J10" i="30"/>
  <c r="J11" i="30"/>
  <c r="J9" i="30"/>
  <c r="J8" i="30"/>
  <c r="J7" i="30"/>
  <c r="E44" i="16" l="1"/>
  <c r="E46" i="16" s="1"/>
  <c r="E12" i="30" s="1"/>
  <c r="D44" i="16"/>
  <c r="H44" i="16"/>
  <c r="H46" i="16" s="1"/>
  <c r="H12" i="30" s="1"/>
  <c r="F44" i="16"/>
  <c r="F46" i="16" s="1"/>
  <c r="F12" i="30" s="1"/>
  <c r="G44" i="16"/>
  <c r="D46" i="16" l="1"/>
  <c r="D12" i="30" s="1"/>
  <c r="J44" i="16"/>
  <c r="J46" i="16" s="1"/>
  <c r="G46" i="16"/>
  <c r="G12" i="30" s="1"/>
  <c r="H57" i="16"/>
  <c r="H63" i="16" s="1"/>
  <c r="E57" i="16"/>
  <c r="F57" i="16"/>
  <c r="F63" i="16" s="1"/>
  <c r="D57" i="16" l="1"/>
  <c r="D63" i="16" s="1"/>
  <c r="J12" i="30"/>
  <c r="G57" i="16"/>
  <c r="G63" i="16" s="1"/>
  <c r="E63" i="16"/>
  <c r="J57" i="16" l="1"/>
  <c r="E57" i="38"/>
  <c r="J56" i="38"/>
  <c r="J63" i="16" l="1"/>
  <c r="D22" i="30" s="1"/>
  <c r="E63" i="38"/>
  <c r="K63" i="38" s="1"/>
  <c r="J57" i="38"/>
  <c r="J63" i="38" s="1"/>
  <c r="D26" i="30" s="1"/>
  <c r="D30" i="31" l="1"/>
  <c r="D37" i="31" s="1"/>
  <c r="D16" i="30"/>
  <c r="D13" i="30"/>
  <c r="D14" i="30" l="1"/>
  <c r="D18" i="30" l="1"/>
  <c r="E16" i="30"/>
  <c r="E13" i="30"/>
  <c r="E30" i="31"/>
  <c r="E14" i="30" l="1"/>
  <c r="E18" i="30" s="1"/>
  <c r="E37" i="31"/>
  <c r="F16" i="30"/>
  <c r="F30" i="31"/>
  <c r="F37" i="31" l="1"/>
  <c r="F13" i="30"/>
  <c r="F14" i="30" l="1"/>
  <c r="F18" i="30" l="1"/>
  <c r="G16" i="30"/>
  <c r="G30" i="31" l="1"/>
  <c r="G13" i="30"/>
  <c r="G14" i="30" l="1"/>
  <c r="G37" i="31"/>
  <c r="G18" i="30" l="1"/>
  <c r="H30" i="31"/>
  <c r="J30" i="31" s="1"/>
  <c r="J37" i="31" s="1"/>
  <c r="D25" i="30" s="1"/>
  <c r="H16" i="30"/>
  <c r="J16" i="30" s="1"/>
  <c r="J27" i="31"/>
  <c r="J29" i="31" s="1"/>
  <c r="H13" i="30"/>
  <c r="J35" i="31"/>
  <c r="J13" i="30" l="1"/>
  <c r="H37" i="31"/>
  <c r="H14" i="30"/>
  <c r="J14" i="30" s="1"/>
  <c r="J18" i="30" s="1"/>
  <c r="D29" i="30"/>
  <c r="H18" i="30" l="1"/>
  <c r="E22" i="30"/>
  <c r="E26" i="30"/>
  <c r="E23" i="30"/>
  <c r="E24" i="30"/>
  <c r="E27" i="30"/>
  <c r="E25" i="30"/>
  <c r="E29" i="30" l="1"/>
</calcChain>
</file>

<file path=xl/sharedStrings.xml><?xml version="1.0" encoding="utf-8"?>
<sst xmlns="http://schemas.openxmlformats.org/spreadsheetml/2006/main" count="526" uniqueCount="153">
  <si>
    <t>Consolidated Budget Table</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</si>
  <si>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</si>
  <si>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</si>
  <si>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</si>
  <si>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</si>
  <si>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</si>
  <si>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</si>
  <si>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</si>
  <si>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</si>
  <si>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</si>
  <si>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</si>
  <si>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</si>
  <si>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</si>
  <si>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</si>
  <si>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</si>
  <si>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</si>
  <si>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</si>
  <si>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</si>
  <si>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</si>
  <si>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</si>
  <si>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</si>
  <si>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</si>
  <si>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</si>
  <si>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</si>
  <si>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</si>
  <si>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</si>
  <si>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</si>
  <si>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Total</t>
  </si>
  <si>
    <t xml:space="preserve">This Excel Workbook is provided to aid applicants in developing the required budget table(s) within the budget narrative.  </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</si>
  <si>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</si>
  <si>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</si>
  <si>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</si>
  <si>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</si>
  <si>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</si>
  <si>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</si>
  <si>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</si>
  <si>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</si>
  <si>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</si>
  <si>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</si>
  <si>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Parking - $20 per day @ 4 days per year</t>
  </si>
  <si>
    <t>Assistant Director @ $125,248.50/yr, 0.05 FTE (Assumes SOC 11, Band 8, Step 11)</t>
  </si>
  <si>
    <t>Detailed Budget Table - Energy Efficiency Improvements at Wastewater and Drinking 
Water Systems</t>
  </si>
  <si>
    <t>Personnel (ratio of measure funding to total funding with personnel costs)</t>
  </si>
  <si>
    <t>Program Manager laptop computer, 2 monitors, etc. @ $2,000, for 0.375 FTE</t>
  </si>
  <si>
    <t>Program Coordinator laptop computer, 2 monitors, etc. @ $2,000, for 0.375 FTE</t>
  </si>
  <si>
    <t>Program Accountant laptop computer, 2 monitors, etc. @ $2,000, for 0.375 FTE</t>
  </si>
  <si>
    <t>Program Cooridnator Software Licenses @ $300/year, 0.375 FTE</t>
  </si>
  <si>
    <t>Program Manager Software Licenses @ $300/year, 0.375 FTE</t>
  </si>
  <si>
    <t>Program Accountant Software Licenses @ $300/year, 0.375 FTE</t>
  </si>
  <si>
    <t>Program Manager laptop computer, 2 monitors, etc. @ $2,000, for 0.125 FTE</t>
  </si>
  <si>
    <t>Program Coordinator laptop computer, 2 monitors, etc. @ $2,000, for 0.125 FTE</t>
  </si>
  <si>
    <t>Program Accountant laptop computer, 2 monitors, etc. @ $2,000, for 0.125 FTE</t>
  </si>
  <si>
    <t>Program Manager Software Licenses @ $300/year, 0.125 FTE</t>
  </si>
  <si>
    <t>Program Cooridnator Software Licenses @ $300/year, 0.125 FTE</t>
  </si>
  <si>
    <t>Personnel (ratio of measure 4 funding to total funding for personnel costs)</t>
  </si>
  <si>
    <t>NHDES staff travel miles for workshops, conferences, and to provide techical assistance:</t>
  </si>
  <si>
    <t>Competative subawards via a Request for Proposals</t>
  </si>
  <si>
    <t>Estimated percent allocated per year:</t>
  </si>
  <si>
    <t>N/A</t>
  </si>
  <si>
    <t>NHDES staff travel miles for workshops, conferences, and to provide techical assistance (miles):</t>
  </si>
  <si>
    <t>Contractor to manage subawards to municipalities @ 5% of total funding of measure:</t>
  </si>
  <si>
    <t>Competative subawards to municipalities for energy efficiency improvements and renewbale energy at drinking water and wastewater facilities.</t>
  </si>
  <si>
    <t>Program Accountant Software Licenses @ $300/year, 0.125 FTE</t>
  </si>
  <si>
    <t>Program Manager laptop computer, 2 monitors, etc. @ $2,000, for 0.25 FTE</t>
  </si>
  <si>
    <t>Program Accountant laptop computer, 2 monitors, etc. @ $2,000, for 0.25 FTE</t>
  </si>
  <si>
    <t>Program Manager Software Licenses @ $300/year, 0.25 FTE</t>
  </si>
  <si>
    <t>Program Coordinator laptop computer, 2 monitors, etc. @ $2,000, for 0.25 FTE</t>
  </si>
  <si>
    <t>Program Cooridnator Software Licenses @ $300/year, 0.25 FTE</t>
  </si>
  <si>
    <t>Program Accountant Software Licenses @ $300/year, 0.25 FTE</t>
  </si>
  <si>
    <t>Subawards for organizations that participate in or directly assist with implementation of the measure.</t>
  </si>
  <si>
    <t>Competitive subawards to eligible entities to implement the measure.</t>
  </si>
  <si>
    <t>Pre-Weatherization/Weatherization of Residential Buildings</t>
  </si>
  <si>
    <t xml:space="preserve">Deploy Electric Charging Infrastructure for Electric Vehicles  </t>
  </si>
  <si>
    <t xml:space="preserve">Support and Expand Public Transportation Options </t>
  </si>
  <si>
    <t>Install Renewables and Improve Energy Efficiency at Wastewater and Drinking Water Systems</t>
  </si>
  <si>
    <t>Expand Programs for Waste Reduction, Diversion and Recycling</t>
  </si>
  <si>
    <t>Workforce Development to Support Measures</t>
  </si>
  <si>
    <t>Program Manager @ $65,266.50/yr, 1 FTE, with salary increases (Assumes SOC 19, Band 8, Steps 3 to 7)</t>
  </si>
  <si>
    <t>Program Accountant @ $59,904/yr, 1 FTE, with salary increases (Assumes SOC 13, Band 6, Steps 3 to 7)</t>
  </si>
  <si>
    <t>Program Coordinator @ $59,904/yr, 1 FTE, with salary increases (Assumes SOC 19, Band 7, Steps 3 to 7)</t>
  </si>
  <si>
    <t>Program Manager laptop computer, 2 monitors, etc. @ $2,000, for 1 FTE</t>
  </si>
  <si>
    <t>Program Coordinator laptop computer, 2 monitors, etc. @ $2,000, for 1 FTE</t>
  </si>
  <si>
    <t>Program Accountant laptop computer, 2 monitors, etc. @ $2,000, for 1 FTE</t>
  </si>
  <si>
    <t>Program Manager Software Licenses @ $300/year, 1 FTE</t>
  </si>
  <si>
    <t>Program Cooridnator Software Licenses @ $300/year, 1 FTE</t>
  </si>
  <si>
    <t>Program Accountant Software Licenses @ $300/year, 1 FTE</t>
  </si>
  <si>
    <t>Fringe Benefit Check</t>
  </si>
  <si>
    <t>Technical Services Bureau Administrator @ $85,117.50/year, 0.01875 FTE, with salary increases (Assumes SOC 11, Band 6, Step 5 to 9)</t>
  </si>
  <si>
    <t>Detailed Budget Table - Deploy Electric Charging Infrastructure for Electric Vehicles - Transportation Sector</t>
  </si>
  <si>
    <t>Detailed Budget Table - Pre-Weatherization &amp; Weatherization of Residential Buildings - Building Sector</t>
  </si>
  <si>
    <t>Detailed Budget Table - Support and Expand Public Transportation Options - Transportation Sector</t>
  </si>
  <si>
    <t>Detailed Budget Table - Expand Programs for Waste Reduction, Diversion and Recycling - Building Sector</t>
  </si>
  <si>
    <t>Detailed Budget Table - Workforce Development to Support Measures - Building Sector</t>
  </si>
  <si>
    <t>Program Manager @ $65,266.50/yr, 0.25 FTE, with salary increases (Assumes SOC 19, Band 8, Steps 3 to 7) and 2% raise effective July 1, 2024.</t>
  </si>
  <si>
    <t>Mileage for local travel (500 miles per year at $0.67/mi)</t>
  </si>
  <si>
    <t>Program Coordinator @ $59,904/yr, 0.25 FTE, with salary increases (Assumes SOC 19, Band 7, Steps 3 to 7) and 2% raise effective July 1, 2024.</t>
  </si>
  <si>
    <t>Program Accountant @ $59,904/yr, 0.25 FTE, with salary increases (Assumes SOC 13, Band 6, Steps 3 to 7) and 2% raise effective July 1, 2024.</t>
  </si>
  <si>
    <t>Technical Services Bureau Administrator @ $85,117.50/year, 0.0125 FTE, with salary increases (Assumes SOC 11, Band 6, Step 5 to 9) and 2% raise effective July 1, 2024.</t>
  </si>
  <si>
    <t>Assistant Director @ $125,248.50/yr, 0.0125 FTE (Assumes SOC 11, Band 8, Step 11) and 2% raise effective July 1, 2024.</t>
  </si>
  <si>
    <t>Program Manager @ 52.73% of salary for base fringe benefits</t>
  </si>
  <si>
    <t>Program Coordinator @ 52.73% of salary for base fringe benefits</t>
  </si>
  <si>
    <t>Program Accountant @ 52.73% of salary for base fringe benefits</t>
  </si>
  <si>
    <t>Bureau Administrator @ 52.73% of salary for base fringe benefits</t>
  </si>
  <si>
    <t>Assistant Director @ 52.73% of salary for base fringe benefits</t>
  </si>
  <si>
    <t>Program Manager @ 6.46% of salary for cost of living adjustment (COLA) fringe</t>
  </si>
  <si>
    <t>Program Coordinator @ 6.46% of salary for cost of living adjustment (COLA) fringe</t>
  </si>
  <si>
    <t>Program Accountant @ 6.46% of salary for cost of living adjustment (COLA) fringe</t>
  </si>
  <si>
    <t>Bureau Administrator @ 6.46% of salary for cost of living adjustment (COLA) fringe</t>
  </si>
  <si>
    <t>Assistant Director @ 6.46% of salary for cost of living adjustment (COLA) fringe</t>
  </si>
  <si>
    <t>After NHDES issues a competitive RFP, contract with third-party administrator that will develop and implement a rebate/grant program for installation of EVSEs at publicly accessible locations.</t>
  </si>
  <si>
    <t xml:space="preserve">Contractors to implement approximately pre-weatherization and weatherization projects at residential buildings. Because of the uncertainity and range of expected costs, the contractual amount assumes $25,000 of total implementation and incentive costs per household for pre-weatherization upgrades to electric systems, roof repairs, asbsestos remediation and weatherization with attic insulation, drill and fill wall insulation, duct sealing, and general air sealing. </t>
  </si>
  <si>
    <t>NH Office of Information Technology Fee @ $6,083/personal computer, 3 PCs, at 0.375 FTE</t>
  </si>
  <si>
    <t>Base indirect costs @ 3.85% of the sum of all direct salaries and wages including fringe benefits.</t>
  </si>
  <si>
    <t>NH Office of Information Technology Fee @ $6,083/personal computer, 3 PCs, at 1 FTE</t>
  </si>
  <si>
    <t>NH Office of Information Technology Fee @ $6,083/personal computer, 3 PCs, at 0.125 FTE</t>
  </si>
  <si>
    <t>NH Office of Information Technology Fee @ $6,083/personal computer, 3 PCs, at 0.25 FTE</t>
  </si>
  <si>
    <t>Building Rent @ $4,221/FTE/year @ 1 FTE</t>
  </si>
  <si>
    <t>Direct Administrative Services @ 6% of Salary and Benefits @ 0.375 FTE</t>
  </si>
  <si>
    <t>Direct Administrative Services @ 6% of Salary and Benefits @ 0.125 FTE</t>
  </si>
  <si>
    <t>Direct Administrative Services @ 6% of Salary and Benefits @ 0.25 FTE</t>
  </si>
  <si>
    <t>Direct Administrative Services @ 6% of Salary and Benefits @ 1 FTE</t>
  </si>
  <si>
    <t>Direct Admin. Services 6% check</t>
  </si>
  <si>
    <t>Audit Fund Set aside at 0.1% of total grant @ $15 million</t>
  </si>
  <si>
    <t>Audit Fund Set aside at 0.1% of total grant @ $10 million</t>
  </si>
  <si>
    <t>Audit Fund Set aside at 0.1% of total grant @ $5 million</t>
  </si>
  <si>
    <t>Audit Fund Set aside at 0.1% of total grant @ $9.99 million</t>
  </si>
  <si>
    <t>Audit Fund Set aside at 0.1% of total grant @ $49.9 million</t>
  </si>
  <si>
    <t>Technical Services Bureau Administrator @ $85,117.50/year, 0.0187 FTE, with salary increases (Assumes SOC 11, Band 6, Step 5 to 9) and 2% raise effective July 1, 2024.</t>
  </si>
  <si>
    <t>Assistant Director @ $125,248.50/yr, 0.01875 FTE (Assumes SOC 11, Band 8, Step 11) and 2% raise effective July 1, 2024.</t>
  </si>
  <si>
    <t>Technical Services Bureau Administrator @ $85,117.50/year, 0.00625 FTE, with salary increases (Assumes SOC 11, Band 6, Step 5 to 9) and 2% raise effective July 1, 2024.</t>
  </si>
  <si>
    <t>Assistant Director @ $125,248.50/yr, 0.00625 FTE (Assumes SOC 11, Band 8, Step 11) and 2% raise effective July 1, 2024.</t>
  </si>
  <si>
    <t>Employee Assistance Program at $32/position @  3 positions*0.125 FTE + 2 positions*0.00625 FTE</t>
  </si>
  <si>
    <t>Employee Assistance Program at $32/position @  3 positions*1 FTE + 2 positions*0.005FTE</t>
  </si>
  <si>
    <t xml:space="preserve">Employee Assistance Program at $32/position @  3 positions*0.375 FTE </t>
  </si>
  <si>
    <t xml:space="preserve">Employee Assistance Program at $32/position @  3 positions*0.25 FTE </t>
  </si>
  <si>
    <t>Employee Assistance Program at $32/position @  3 positions*0.125 FTE</t>
  </si>
  <si>
    <t>Mileage for local travel (1,900 miles per year at $0.67/mi)</t>
  </si>
  <si>
    <t>Mileage for local travel (250 miles per year at $0.67/mi)</t>
  </si>
  <si>
    <t>BUDGET BY YEAR FOR FTEs and SUPPLIES (To confirm correct totals for FTEs, supplies, other direct costs, and indirect costs)</t>
  </si>
  <si>
    <t>Total Travel Miles</t>
  </si>
  <si>
    <t>Training Registration Fees @2,000 per year per FTE, 0.375 FTE</t>
  </si>
  <si>
    <t>Training Registration Fees @2,000 per year per FTE, 0.25 FTE</t>
  </si>
  <si>
    <t>Training Registration Fees @2,000 per year per FTE, 0.125 FTE</t>
  </si>
  <si>
    <t>Consumables @ $500/year, 0.375 FTE</t>
  </si>
  <si>
    <t>Telecommunications @ $1,500/year, 0.375 FTE</t>
  </si>
  <si>
    <t>Telecommunications @ $1,500/year, 0.25 FTE</t>
  </si>
  <si>
    <t>Consumables @ $500/year, 0.25 FTE</t>
  </si>
  <si>
    <t>Consumables @ $500/year, 0.125 FTE</t>
  </si>
  <si>
    <t>Building Rent @ $4,221 FTEs/year 3 positions @ 0.375 FTE</t>
  </si>
  <si>
    <t>Building Rent @ $4,221 FTEs /year for 3 positions @ 0.25 FTE</t>
  </si>
  <si>
    <t>Building Rent @ $4,221FTE/year for 3 positions @ 0.125 FTE</t>
  </si>
  <si>
    <t>Building Rent @ $4,221/FTE/year for 3 positions @ 0.125 FTE</t>
  </si>
  <si>
    <t>Totals for equipment, supplies, and other, differ from Standard Form 424A Section B because EPA's example spreadsheets of this workbook showed items in budget categories that were inconsistent with that Standard Form. For the budget summary presented in this workbook, NHDES used categories based on EPA's examples rather than categories of Standard FORM 424A.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</si>
</sst>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
    <numFmt numFmtId="166" formatCode="0.0%"/>
    <numFmt numFmtId="167" formatCode="0.00000%"/>
    <numFmt numFmtId="168" formatCode="0.0000%"/>
  </numFmts>
  <fonts count="20"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i/>
      <sz val="11"/>
      <name val="Calibri"/>
      <family val="2"/>
      <scheme val="minor"/>
    </font>
    <font>
      <b/>
      <sz val="11"/>
      <name val="Calibri"/>
      <family val="2"/>
      <scheme val="minor"/>
    </font>
    <font>
      <sz val="11"/>
      <color theme="1"/>
      <name val="Calibri"/>
      <family val="2"/>
    </font>
    <font>
      <sz val="11"/>
      <name val="Calibri"/>
      <family val="2"/>
      <scheme val="minor"/>
    </font>
    <font>
      <b/>
      <sz val="11"/>
      <color theme="1"/>
      <name val="Calibri"/>
      <family val="2"/>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15">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0" fontId="11"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5" fillId="0" borderId="1" xfId="0" applyFont="1" applyBorder="1" applyAlignment="1">
      <alignment wrapText="1"/>
    </xf>
    <xf numFmtId="0" fontId="13"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2"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4" fillId="0" borderId="1" xfId="0" applyNumberFormat="1" applyFont="1" applyBorder="1" applyAlignment="1">
      <alignment wrapText="1"/>
    </xf>
    <xf numFmtId="0" fontId="12"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0" borderId="0" xfId="0" applyNumberFormat="1" applyFont="1" applyAlignment="1">
      <alignment vertical="top" wrapText="1"/>
    </xf>
    <xf numFmtId="0" fontId="0" fillId="0" borderId="0" xfId="0" applyAlignment="1">
      <alignment wrapText="1"/>
    </xf>
    <xf numFmtId="0" fontId="15"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0" fillId="0" borderId="1" xfId="0" applyBorder="1" applyAlignment="1">
      <alignment horizontal="left" wrapText="1" indent="2"/>
    </xf>
    <xf numFmtId="6" fontId="0" fillId="0" borderId="1" xfId="0" applyNumberFormat="1" applyBorder="1" applyAlignment="1">
      <alignment wrapText="1"/>
    </xf>
    <xf numFmtId="0" fontId="17" fillId="0" borderId="1" xfId="0" applyFont="1" applyBorder="1" applyAlignment="1">
      <alignment horizontal="left" wrapText="1" indent="2"/>
    </xf>
    <xf numFmtId="6" fontId="17" fillId="0" borderId="1" xfId="0" applyNumberFormat="1" applyFont="1" applyBorder="1" applyAlignment="1">
      <alignment wrapText="1"/>
    </xf>
    <xf numFmtId="6" fontId="17" fillId="0" borderId="0" xfId="0" applyNumberFormat="1" applyFont="1"/>
    <xf numFmtId="0" fontId="17" fillId="0" borderId="0" xfId="0" applyFont="1"/>
    <xf numFmtId="9" fontId="17" fillId="0" borderId="1" xfId="2" applyFont="1" applyFill="1" applyBorder="1" applyAlignment="1">
      <alignment wrapText="1"/>
    </xf>
    <xf numFmtId="6" fontId="0" fillId="4" borderId="1" xfId="0" applyNumberFormat="1" applyFill="1" applyBorder="1" applyAlignment="1">
      <alignment wrapText="1"/>
    </xf>
    <xf numFmtId="0" fontId="0" fillId="0" borderId="1" xfId="0" applyBorder="1" applyAlignment="1">
      <alignment wrapText="1"/>
    </xf>
    <xf numFmtId="6" fontId="0" fillId="4" borderId="4" xfId="0" applyNumberFormat="1" applyFill="1" applyBorder="1" applyAlignment="1">
      <alignment wrapText="1"/>
    </xf>
    <xf numFmtId="6" fontId="0" fillId="8" borderId="1" xfId="0" applyNumberFormat="1" applyFill="1" applyBorder="1" applyAlignment="1">
      <alignment wrapText="1"/>
    </xf>
    <xf numFmtId="6" fontId="0" fillId="0" borderId="12" xfId="0" applyNumberFormat="1" applyBorder="1" applyAlignment="1">
      <alignment wrapText="1"/>
    </xf>
    <xf numFmtId="165" fontId="7" fillId="0" borderId="1" xfId="0" applyNumberFormat="1" applyFont="1" applyBorder="1" applyAlignment="1">
      <alignment wrapText="1"/>
    </xf>
    <xf numFmtId="6" fontId="18" fillId="4" borderId="1" xfId="0" applyNumberFormat="1" applyFont="1" applyFill="1" applyBorder="1" applyAlignment="1">
      <alignment wrapText="1"/>
    </xf>
    <xf numFmtId="0" fontId="14" fillId="0" borderId="1" xfId="0" applyFont="1" applyBorder="1" applyAlignment="1">
      <alignment wrapText="1"/>
    </xf>
    <xf numFmtId="0" fontId="17" fillId="8" borderId="1" xfId="0" applyFont="1" applyFill="1" applyBorder="1" applyAlignment="1">
      <alignment horizontal="left" wrapText="1" indent="2"/>
    </xf>
    <xf numFmtId="0" fontId="19" fillId="0" borderId="1" xfId="0" applyFont="1" applyBorder="1" applyAlignment="1">
      <alignment horizontal="left" wrapText="1" indent="2"/>
    </xf>
    <xf numFmtId="9" fontId="0" fillId="0" borderId="1" xfId="0" applyNumberFormat="1" applyBorder="1" applyAlignment="1">
      <alignment wrapText="1"/>
    </xf>
    <xf numFmtId="0" fontId="3" fillId="0" borderId="1" xfId="0" applyFont="1" applyBorder="1" applyAlignment="1">
      <alignment horizontal="left" wrapText="1" indent="2"/>
    </xf>
    <xf numFmtId="0" fontId="15" fillId="0" borderId="1" xfId="0" applyFont="1" applyBorder="1" applyAlignment="1">
      <alignment horizontal="left" wrapText="1" indent="2"/>
    </xf>
    <xf numFmtId="6" fontId="18" fillId="0" borderId="0" xfId="0" applyNumberFormat="1" applyFont="1"/>
    <xf numFmtId="0" fontId="18" fillId="0" borderId="0" xfId="0" applyFont="1"/>
    <xf numFmtId="0" fontId="18" fillId="0" borderId="1" xfId="0" applyFont="1" applyBorder="1" applyAlignment="1">
      <alignment wrapText="1"/>
    </xf>
    <xf numFmtId="6" fontId="18" fillId="0" borderId="1" xfId="0" applyNumberFormat="1" applyFont="1" applyBorder="1" applyAlignment="1">
      <alignment wrapText="1"/>
    </xf>
    <xf numFmtId="0" fontId="18" fillId="0" borderId="1" xfId="0" applyFont="1" applyBorder="1"/>
    <xf numFmtId="6" fontId="16" fillId="0" borderId="12" xfId="0" applyNumberFormat="1" applyFont="1" applyBorder="1" applyAlignment="1">
      <alignment wrapText="1"/>
    </xf>
    <xf numFmtId="0" fontId="18" fillId="0" borderId="1" xfId="0" applyFont="1" applyBorder="1" applyAlignment="1">
      <alignment horizontal="left" wrapText="1" indent="2"/>
    </xf>
    <xf numFmtId="9" fontId="18" fillId="0" borderId="1" xfId="2" applyFont="1" applyBorder="1" applyAlignment="1">
      <alignment wrapText="1"/>
    </xf>
    <xf numFmtId="38" fontId="18" fillId="0" borderId="1" xfId="0" applyNumberFormat="1" applyFont="1" applyBorder="1" applyAlignment="1">
      <alignment wrapText="1"/>
    </xf>
    <xf numFmtId="9" fontId="7" fillId="0" borderId="1" xfId="2" applyFont="1" applyBorder="1" applyAlignment="1">
      <alignment wrapText="1"/>
    </xf>
    <xf numFmtId="0" fontId="0" fillId="0" borderId="23" xfId="0" applyBorder="1" applyAlignment="1">
      <alignment vertical="top"/>
    </xf>
    <xf numFmtId="0" fontId="2" fillId="0" borderId="23" xfId="0" applyFont="1" applyBorder="1" applyAlignment="1">
      <alignment vertical="top"/>
    </xf>
    <xf numFmtId="0" fontId="0" fillId="0" borderId="22" xfId="0" applyBorder="1" applyAlignment="1">
      <alignment vertical="top"/>
    </xf>
    <xf numFmtId="0" fontId="10" fillId="7" borderId="1" xfId="0" applyFont="1" applyFill="1" applyBorder="1" applyAlignment="1">
      <alignment wrapText="1"/>
    </xf>
    <xf numFmtId="6" fontId="0" fillId="7" borderId="1" xfId="0" applyNumberFormat="1" applyFill="1" applyBorder="1" applyAlignment="1">
      <alignment horizontal="left" vertical="top" wrapText="1"/>
    </xf>
    <xf numFmtId="6" fontId="0" fillId="7" borderId="8" xfId="0" applyNumberFormat="1" applyFill="1" applyBorder="1" applyAlignment="1">
      <alignment wrapText="1"/>
    </xf>
    <xf numFmtId="6" fontId="0" fillId="7" borderId="1" xfId="0" applyNumberFormat="1" applyFill="1" applyBorder="1" applyAlignment="1">
      <alignment wrapText="1"/>
    </xf>
    <xf numFmtId="0" fontId="0" fillId="8" borderId="0" xfId="0" applyFill="1"/>
    <xf numFmtId="10" fontId="4" fillId="7" borderId="1" xfId="2" applyNumberFormat="1" applyFont="1" applyFill="1" applyBorder="1" applyAlignment="1">
      <alignment wrapText="1"/>
    </xf>
    <xf numFmtId="8" fontId="0" fillId="0" borderId="1" xfId="0" applyNumberFormat="1" applyBorder="1" applyAlignment="1">
      <alignment wrapText="1"/>
    </xf>
    <xf numFmtId="166" fontId="0" fillId="0" borderId="0" xfId="2" applyNumberFormat="1" applyFont="1"/>
    <xf numFmtId="167" fontId="0" fillId="0" borderId="0" xfId="2" applyNumberFormat="1" applyFont="1"/>
    <xf numFmtId="168" fontId="0" fillId="0" borderId="0" xfId="2" applyNumberFormat="1" applyFont="1"/>
    <xf numFmtId="10" fontId="0" fillId="7" borderId="1" xfId="2" applyNumberFormat="1" applyFont="1" applyFill="1" applyBorder="1" applyAlignment="1">
      <alignment wrapText="1"/>
    </xf>
    <xf numFmtId="44" fontId="0" fillId="0" borderId="0" xfId="1" applyFont="1"/>
    <xf numFmtId="44" fontId="0" fillId="0" borderId="0" xfId="0" applyNumberFormat="1"/>
    <xf numFmtId="6" fontId="2" fillId="0" borderId="0" xfId="0" applyNumberFormat="1" applyFont="1"/>
    <xf numFmtId="6" fontId="0" fillId="0" borderId="0" xfId="0" applyNumberFormat="1" applyAlignment="1">
      <alignment vertical="top"/>
    </xf>
    <xf numFmtId="8" fontId="0" fillId="0" borderId="0" xfId="0" applyNumberFormat="1"/>
    <xf numFmtId="8" fontId="0" fillId="8" borderId="1" xfId="0" applyNumberFormat="1" applyFill="1" applyBorder="1" applyAlignment="1">
      <alignment wrapText="1"/>
    </xf>
    <xf numFmtId="6" fontId="0" fillId="7" borderId="8" xfId="0" applyNumberFormat="1" applyFill="1" applyBorder="1" applyAlignment="1">
      <alignment horizontal="center" wrapText="1"/>
    </xf>
    <xf numFmtId="6" fontId="0" fillId="7" borderId="7" xfId="0" applyNumberFormat="1" applyFill="1" applyBorder="1" applyAlignment="1">
      <alignment horizontal="center" wrapText="1"/>
    </xf>
    <xf numFmtId="6" fontId="0" fillId="7" borderId="6" xfId="0" applyNumberFormat="1" applyFill="1" applyBorder="1" applyAlignment="1">
      <alignment horizontal="center" wrapText="1"/>
    </xf>
    <xf numFmtId="0" fontId="3" fillId="9" borderId="0" xfId="0" applyFont="1" applyFill="1" applyAlignment="1">
      <alignment horizontal="left" wrapText="1"/>
    </xf>
    <xf numFmtId="9" fontId="4"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RowHeight="14.4" x14ac:dyDescent="0.3"/>
  <cols>
    <col min="1" max="1" width="1.88671875" customWidth="1"/>
    <col min="5" max="5" width="13.44140625" bestFit="1" customWidth="1"/>
    <col min="6" max="6" width="14.44140625" bestFit="1" customWidth="1"/>
    <col min="7" max="9" width="14.44140625" customWidth="1"/>
    <col min="10" max="10" width="10.88671875" bestFit="1" customWidth="1"/>
    <col min="11" max="11" width="15.5546875" customWidth="1"/>
    <col min="18" max="18" width="37.5546875" customWidth="1"/>
  </cols>
  <sheetData>
    <row r="1" spans="4:11" ht="10.5" customHeight="1" x14ac:dyDescent="0.3"/>
    <row r="2" spans="4:11" x14ac:dyDescent="0.3">
      <c r="D2" s="3"/>
      <c r="E2" s="3"/>
      <c r="J2" s="27"/>
      <c r="K2" s="3"/>
    </row>
    <row r="3" spans="4:11" x14ac:dyDescent="0.3">
      <c r="D3" s="3"/>
      <c r="E3" s="3"/>
      <c r="J3" s="25"/>
      <c r="K3" s="26"/>
    </row>
    <row r="4" spans="4:11" x14ac:dyDescent="0.3">
      <c r="D4" s="4"/>
      <c r="E4" s="3"/>
    </row>
    <row r="9" spans="4:11" x14ac:dyDescent="0.3">
      <c r="J9" s="17"/>
    </row>
    <row r="17" spans="5:18" x14ac:dyDescent="0.3">
      <c r="E17" s="28"/>
      <c r="F17" s="28"/>
      <c r="G17" s="28"/>
      <c r="H17" s="28"/>
      <c r="I17" s="28"/>
    </row>
    <row r="18" spans="5:18" x14ac:dyDescent="0.3">
      <c r="E18" s="28"/>
      <c r="F18" s="28"/>
      <c r="G18" s="28"/>
      <c r="H18" s="28"/>
      <c r="I18" s="28"/>
    </row>
    <row r="27" spans="5:18" ht="23.4" x14ac:dyDescent="0.45">
      <c r="Q27" s="24"/>
    </row>
    <row r="28" spans="5:18" x14ac:dyDescent="0.3">
      <c r="Q28" s="49"/>
      <c r="R28" s="5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60"/>
  <sheetViews>
    <sheetView showGridLines="0" topLeftCell="A38" zoomScale="90" zoomScaleNormal="90" workbookViewId="0">
      <selection activeCell="D55" sqref="D55"/>
    </sheetView>
  </sheetViews>
  <sheetFormatPr defaultColWidth="9.109375" defaultRowHeight="15" customHeight="1" x14ac:dyDescent="0.3"/>
  <cols>
    <col min="1" max="1" width="3.109375" customWidth="1"/>
    <col min="2" max="2" width="12.109375" customWidth="1"/>
    <col min="3" max="3" width="69.109375" customWidth="1"/>
    <col min="4" max="4" width="12.88671875" style="6" bestFit="1" customWidth="1"/>
    <col min="5" max="5" width="14.109375" style="2" customWidth="1"/>
    <col min="6" max="6" width="13.5546875" customWidth="1"/>
    <col min="7" max="7" width="13.6640625" customWidth="1"/>
    <col min="8" max="8" width="12" style="2" customWidth="1"/>
    <col min="9" max="9" width="3.5546875" style="7" customWidth="1"/>
    <col min="10" max="10" width="12.6640625" bestFit="1" customWidth="1"/>
    <col min="11" max="11" width="16.6640625" customWidth="1"/>
  </cols>
  <sheetData>
    <row r="2" spans="2:39" ht="23.4" x14ac:dyDescent="0.45">
      <c r="B2" s="24" t="s">
        <v>0</v>
      </c>
    </row>
    <row r="3" spans="2:39" ht="48" customHeight="1" x14ac:dyDescent="0.3">
      <c r="B3" s="111" t="s">
        <v>152</v>
      </c>
      <c r="C3" s="111"/>
      <c r="D3" s="111"/>
      <c r="E3" s="111"/>
      <c r="F3" s="111"/>
      <c r="G3" s="111"/>
      <c r="H3" s="111"/>
      <c r="I3" s="111"/>
      <c r="J3" s="111"/>
    </row>
    <row r="5" spans="2:39" ht="18" x14ac:dyDescent="0.35">
      <c r="B5" s="39" t="s">
        <v>1</v>
      </c>
      <c r="C5" s="40"/>
      <c r="D5" s="40"/>
      <c r="E5" s="40"/>
      <c r="F5" s="40"/>
      <c r="G5" s="40"/>
      <c r="H5" s="40"/>
      <c r="I5" s="40"/>
      <c r="J5" s="54"/>
    </row>
    <row r="6" spans="2:39" ht="17.100000000000001" customHeight="1" x14ac:dyDescent="0.3">
      <c r="B6" s="41" t="s">
        <v>2</v>
      </c>
      <c r="C6" s="41" t="s">
        <v>3</v>
      </c>
      <c r="D6" s="41" t="s">
        <v>4</v>
      </c>
      <c r="E6" s="42" t="s">
        <v>5</v>
      </c>
      <c r="F6" s="42" t="s">
        <v>6</v>
      </c>
      <c r="G6" s="42" t="s">
        <v>7</v>
      </c>
      <c r="H6" s="43" t="s">
        <v>8</v>
      </c>
      <c r="I6" s="44"/>
      <c r="J6" s="55" t="s">
        <v>9</v>
      </c>
    </row>
    <row r="7" spans="2:39" s="5" customFormat="1" ht="14.4" x14ac:dyDescent="0.3">
      <c r="B7" s="18" t="s">
        <v>10</v>
      </c>
      <c r="C7" s="45" t="s">
        <v>11</v>
      </c>
      <c r="D7" s="94">
        <f>'Measure 1 PreW &amp; Weather Budget'!D13+'Measure 2 EV Charging EVSE'!D13+'Measure 3 Support Public Trans.'!D13+'Measure 5 Waste Reduction'!D13+'Measure 6 Workforce Development'!D13+'Measure 4 DrinkWasteH20 Energy'!D9</f>
        <v>199504.65599999999</v>
      </c>
      <c r="E7" s="94">
        <f>'Measure 1 PreW &amp; Weather Budget'!E13+'Measure 2 EV Charging EVSE'!E13+'Measure 3 Support Public Trans.'!E13+'Measure 5 Waste Reduction'!E13+'Measure 6 Workforce Development'!E13+'Measure 4 DrinkWasteH20 Energy'!E9</f>
        <v>208044.42750000002</v>
      </c>
      <c r="F7" s="94">
        <f>'Measure 1 PreW &amp; Weather Budget'!F13+'Measure 2 EV Charging EVSE'!F13+'Measure 3 Support Public Trans.'!F13+'Measure 5 Waste Reduction'!F13+'Measure 6 Workforce Development'!F13+'Measure 4 DrinkWasteH20 Energy'!F9</f>
        <v>216870.61500000002</v>
      </c>
      <c r="G7" s="94">
        <f>'Measure 1 PreW &amp; Weather Budget'!G13+'Measure 2 EV Charging EVSE'!G13+'Measure 3 Support Public Trans.'!G13+'Measure 5 Waste Reduction'!G13+'Measure 6 Workforce Development'!G13+'Measure 4 DrinkWasteH20 Energy'!G9</f>
        <v>226039.90500000003</v>
      </c>
      <c r="H7" s="94">
        <f>'Measure 1 PreW &amp; Weather Budget'!H13+'Measure 2 EV Charging EVSE'!H13+'Measure 3 Support Public Trans.'!H13+'Measure 5 Waste Reduction'!H13+'Measure 6 Workforce Development'!H13+'Measure 4 DrinkWasteH20 Energy'!H9</f>
        <v>236118.16800000001</v>
      </c>
      <c r="I7" s="95"/>
      <c r="J7" s="94">
        <f>SUM(D7:I7)</f>
        <v>1086577.7715</v>
      </c>
      <c r="K7"/>
      <c r="L7"/>
      <c r="M7"/>
      <c r="N7"/>
      <c r="O7"/>
      <c r="P7"/>
      <c r="Q7"/>
      <c r="R7"/>
      <c r="S7"/>
      <c r="T7"/>
      <c r="U7"/>
      <c r="V7"/>
      <c r="W7"/>
      <c r="X7"/>
      <c r="Y7"/>
      <c r="Z7"/>
      <c r="AA7"/>
      <c r="AB7"/>
      <c r="AC7"/>
      <c r="AD7"/>
      <c r="AE7"/>
      <c r="AF7"/>
      <c r="AG7"/>
      <c r="AH7"/>
      <c r="AI7"/>
      <c r="AJ7"/>
      <c r="AK7"/>
      <c r="AL7"/>
      <c r="AM7"/>
    </row>
    <row r="8" spans="2:39" ht="14.4" x14ac:dyDescent="0.3">
      <c r="B8" s="19"/>
      <c r="C8" s="45" t="s">
        <v>12</v>
      </c>
      <c r="D8" s="94">
        <f>'Measure 1 PreW &amp; Weather Budget'!D25+'Measure 2 EV Charging EVSE'!D25+'Measure 3 Support Public Trans.'!D25+'Measure 5 Waste Reduction'!D25+'Measure 6 Workforce Development'!D25+'Measure 4 DrinkWasteH20 Energy'!D12</f>
        <v>118086.80588639999</v>
      </c>
      <c r="E8" s="94">
        <f>'Measure 1 PreW &amp; Weather Budget'!E25+'Measure 2 EV Charging EVSE'!E25+'Measure 3 Support Public Trans.'!E25+'Measure 5 Waste Reduction'!E25+'Measure 6 Workforce Development'!E25+'Measure 4 DrinkWasteH20 Energy'!E12</f>
        <v>123141.49663724999</v>
      </c>
      <c r="F8" s="94">
        <f>'Measure 1 PreW &amp; Weather Budget'!F25+'Measure 2 EV Charging EVSE'!F25+'Measure 3 Support Public Trans.'!F25+'Measure 5 Waste Reduction'!F25+'Measure 6 Workforce Development'!F25+'Measure 4 DrinkWasteH20 Energy'!F12</f>
        <v>128365.7170185</v>
      </c>
      <c r="G8" s="94">
        <f>'Measure 1 PreW &amp; Weather Budget'!G25+'Measure 2 EV Charging EVSE'!G25+'Measure 3 Support Public Trans.'!G25+'Measure 5 Waste Reduction'!G25+'Measure 6 Workforce Development'!G25+'Measure 4 DrinkWasteH20 Energy'!G12</f>
        <v>133793.01976950001</v>
      </c>
      <c r="H8" s="94">
        <f>'Measure 1 PreW &amp; Weather Budget'!H25+'Measure 2 EV Charging EVSE'!H25+'Measure 3 Support Public Trans.'!H25+'Measure 5 Waste Reduction'!H25+'Measure 6 Workforce Development'!H25+'Measure 4 DrinkWasteH20 Energy'!H12</f>
        <v>139758.3436392</v>
      </c>
      <c r="I8" s="95"/>
      <c r="J8" s="94">
        <f t="shared" ref="J8:J14" si="0">SUM(D8:I8)</f>
        <v>643145.38295084995</v>
      </c>
    </row>
    <row r="9" spans="2:39" ht="14.4" x14ac:dyDescent="0.3">
      <c r="B9" s="19"/>
      <c r="C9" s="45" t="s">
        <v>13</v>
      </c>
      <c r="D9" s="94">
        <f>'Measure 1 PreW &amp; Weather Budget'!D31+'Measure 2 EV Charging EVSE'!D30+'Measure 3 Support Public Trans.'!D30+'Measure 5 Waste Reduction'!D30+'Measure 6 Workforce Development'!D30+'Measure 4 DrinkWasteH20 Energy'!D18</f>
        <v>4358</v>
      </c>
      <c r="E9" s="94">
        <f>'Measure 1 PreW &amp; Weather Budget'!E31+'Measure 2 EV Charging EVSE'!E30+'Measure 3 Support Public Trans.'!E30+'Measure 5 Waste Reduction'!E30+'Measure 6 Workforce Development'!E30+'Measure 4 DrinkWasteH20 Energy'!E18</f>
        <v>4358</v>
      </c>
      <c r="F9" s="94">
        <f>'Measure 1 PreW &amp; Weather Budget'!F31+'Measure 2 EV Charging EVSE'!F30+'Measure 3 Support Public Trans.'!F30+'Measure 5 Waste Reduction'!F30+'Measure 6 Workforce Development'!F30+'Measure 4 DrinkWasteH20 Energy'!F18</f>
        <v>4358</v>
      </c>
      <c r="G9" s="94">
        <f>'Measure 1 PreW &amp; Weather Budget'!G31+'Measure 2 EV Charging EVSE'!G30+'Measure 3 Support Public Trans.'!G30+'Measure 5 Waste Reduction'!G30+'Measure 6 Workforce Development'!G30+'Measure 4 DrinkWasteH20 Energy'!G18</f>
        <v>4358</v>
      </c>
      <c r="H9" s="94">
        <f>'Measure 1 PreW &amp; Weather Budget'!H31+'Measure 2 EV Charging EVSE'!H30+'Measure 3 Support Public Trans.'!H30+'Measure 5 Waste Reduction'!H30+'Measure 6 Workforce Development'!H30+'Measure 4 DrinkWasteH20 Energy'!H18</f>
        <v>3085</v>
      </c>
      <c r="I9" s="95"/>
      <c r="J9" s="94">
        <f t="shared" si="0"/>
        <v>20517</v>
      </c>
    </row>
    <row r="10" spans="2:39" ht="14.4" x14ac:dyDescent="0.3">
      <c r="B10" s="19"/>
      <c r="C10" s="45" t="s">
        <v>14</v>
      </c>
      <c r="D10" s="94">
        <f>'Measure 1 PreW &amp; Weather Budget'!D34+'Measure 2 EV Charging EVSE'!D33+'Measure 3 Support Public Trans.'!D33+'Measure 5 Waste Reduction'!D34+'Measure 6 Workforce Development'!D34+'Measure 4 DrinkWasteH20 Energy'!D21</f>
        <v>0</v>
      </c>
      <c r="E10" s="94">
        <f>'Measure 1 PreW &amp; Weather Budget'!E34+'Measure 2 EV Charging EVSE'!E33+'Measure 3 Support Public Trans.'!E33+'Measure 5 Waste Reduction'!E34+'Measure 6 Workforce Development'!E34+'Measure 4 DrinkWasteH20 Energy'!E21</f>
        <v>0</v>
      </c>
      <c r="F10" s="94">
        <f>'Measure 1 PreW &amp; Weather Budget'!F34+'Measure 2 EV Charging EVSE'!F33+'Measure 3 Support Public Trans.'!F33+'Measure 5 Waste Reduction'!F34+'Measure 6 Workforce Development'!F34+'Measure 4 DrinkWasteH20 Energy'!F21</f>
        <v>0</v>
      </c>
      <c r="G10" s="94">
        <f>'Measure 1 PreW &amp; Weather Budget'!G34+'Measure 2 EV Charging EVSE'!G33+'Measure 3 Support Public Trans.'!G33+'Measure 5 Waste Reduction'!G34+'Measure 6 Workforce Development'!G34+'Measure 4 DrinkWasteH20 Energy'!G21</f>
        <v>0</v>
      </c>
      <c r="H10" s="94">
        <f>'Measure 1 PreW &amp; Weather Budget'!H34+'Measure 2 EV Charging EVSE'!H33+'Measure 3 Support Public Trans.'!H33+'Measure 5 Waste Reduction'!H34+'Measure 6 Workforce Development'!H34+'Measure 4 DrinkWasteH20 Energy'!H21</f>
        <v>0</v>
      </c>
      <c r="I10" s="95"/>
      <c r="J10" s="94">
        <f t="shared" si="0"/>
        <v>0</v>
      </c>
    </row>
    <row r="11" spans="2:39" ht="14.4" x14ac:dyDescent="0.3">
      <c r="B11" s="19"/>
      <c r="C11" s="45" t="s">
        <v>15</v>
      </c>
      <c r="D11" s="94">
        <f>'Measure 1 PreW &amp; Weather Budget'!D42+'Measure 2 EV Charging EVSE'!D41+'Measure 3 Support Public Trans.'!D41+'Measure 5 Waste Reduction'!D45+'Measure 6 Workforce Development'!D42+'Measure 4 DrinkWasteH20 Energy'!D21</f>
        <v>26361.5</v>
      </c>
      <c r="E11" s="94">
        <f>'Measure 1 PreW &amp; Weather Budget'!E42+'Measure 2 EV Charging EVSE'!E41+'Measure 3 Support Public Trans.'!E41+'Measure 5 Waste Reduction'!E45+'Measure 6 Workforce Development'!E42+'Measure 4 DrinkWasteH20 Energy'!E21</f>
        <v>20361.5</v>
      </c>
      <c r="F11" s="94">
        <f>'Measure 1 PreW &amp; Weather Budget'!F42+'Measure 2 EV Charging EVSE'!F41+'Measure 3 Support Public Trans.'!F41+'Measure 5 Waste Reduction'!F45+'Measure 6 Workforce Development'!F42+'Measure 4 DrinkWasteH20 Energy'!F21</f>
        <v>20361.5</v>
      </c>
      <c r="G11" s="94">
        <f>'Measure 1 PreW &amp; Weather Budget'!G42+'Measure 2 EV Charging EVSE'!G41+'Measure 3 Support Public Trans.'!G41+'Measure 5 Waste Reduction'!G45+'Measure 6 Workforce Development'!G42+'Measure 4 DrinkWasteH20 Energy'!G21</f>
        <v>20361.5</v>
      </c>
      <c r="H11" s="94">
        <f>'Measure 1 PreW &amp; Weather Budget'!H42+'Measure 2 EV Charging EVSE'!H41+'Measure 3 Support Public Trans.'!H41+'Measure 5 Waste Reduction'!H45+'Measure 6 Workforce Development'!H42+'Measure 4 DrinkWasteH20 Energy'!H21</f>
        <v>20361.5</v>
      </c>
      <c r="I11" s="95"/>
      <c r="J11" s="94">
        <f t="shared" si="0"/>
        <v>107807.5</v>
      </c>
    </row>
    <row r="12" spans="2:39" ht="14.4" x14ac:dyDescent="0.3">
      <c r="B12" s="19"/>
      <c r="C12" s="45" t="s">
        <v>16</v>
      </c>
      <c r="D12" s="94">
        <f>'Measure 1 PreW &amp; Weather Budget'!D46+'Measure 2 EV Charging EVSE'!D45+'Measure 3 Support Public Trans.'!D44+'Measure 5 Waste Reduction'!D48+'Measure 6 Workforce Development'!D45+'Measure 4 DrinkWasteH20 Energy'!D25</f>
        <v>1956772.4446772337</v>
      </c>
      <c r="E12" s="94">
        <f>'Measure 1 PreW &amp; Weather Budget'!E46+'Measure 2 EV Charging EVSE'!E45+'Measure 3 Support Public Trans.'!E44+'Measure 5 Waste Reduction'!E48+'Measure 6 Workforce Development'!E45+'Measure 4 DrinkWasteH20 Energy'!E25</f>
        <v>4791931.1116930842</v>
      </c>
      <c r="F12" s="94">
        <f>'Measure 1 PreW &amp; Weather Budget'!F46+'Measure 2 EV Charging EVSE'!F45+'Measure 3 Support Public Trans.'!F44+'Measure 5 Waste Reduction'!F48+'Measure 6 Workforce Development'!F45+'Measure 4 DrinkWasteH20 Energy'!F25</f>
        <v>4791931.1116930842</v>
      </c>
      <c r="G12" s="94">
        <f>'Measure 1 PreW &amp; Weather Budget'!G46+'Measure 2 EV Charging EVSE'!G45+'Measure 3 Support Public Trans.'!G44+'Measure 5 Waste Reduction'!G48+'Measure 6 Workforce Development'!G45+'Measure 4 DrinkWasteH20 Energy'!G25</f>
        <v>4791931.1116930842</v>
      </c>
      <c r="H12" s="94">
        <f>'Measure 1 PreW &amp; Weather Budget'!H46+'Measure 2 EV Charging EVSE'!H45+'Measure 3 Support Public Trans.'!H44+'Measure 5 Waste Reduction'!H48+'Measure 6 Workforce Development'!H45+'Measure 4 DrinkWasteH20 Energy'!H25</f>
        <v>2985158.6670158505</v>
      </c>
      <c r="I12" s="95"/>
      <c r="J12" s="94">
        <f t="shared" si="0"/>
        <v>19317724.446772337</v>
      </c>
    </row>
    <row r="13" spans="2:39" ht="14.4" x14ac:dyDescent="0.3">
      <c r="B13" s="19"/>
      <c r="C13" s="45" t="s">
        <v>17</v>
      </c>
      <c r="D13" s="94">
        <f>'Measure 1 PreW &amp; Weather Budget'!D56+'Measure 2 EV Charging EVSE'!D54+'Measure 3 Support Public Trans.'!D55+'Measure 5 Waste Reduction'!D56+'Measure 6 Workforce Development'!D56+'Measure 4 DrinkWasteH20 Energy'!D29</f>
        <v>2165292.6655840781</v>
      </c>
      <c r="E13" s="94">
        <f>'Measure 1 PreW &amp; Weather Budget'!E56+'Measure 2 EV Charging EVSE'!E54+'Measure 3 Support Public Trans.'!E55+'Measure 5 Waste Reduction'!E56+'Measure 6 Workforce Development'!E56+'Measure 4 DrinkWasteH20 Energy'!E29</f>
        <v>6942907.4169318089</v>
      </c>
      <c r="F13" s="94">
        <f>'Measure 1 PreW &amp; Weather Budget'!F56+'Measure 2 EV Charging EVSE'!F54+'Measure 3 Support Public Trans.'!F55+'Measure 5 Waste Reduction'!F56+'Measure 6 Workforce Development'!F56+'Measure 4 DrinkWasteH20 Energy'!F29</f>
        <v>7679210.6358724069</v>
      </c>
      <c r="G13" s="94">
        <f>'Measure 1 PreW &amp; Weather Budget'!G56+'Measure 2 EV Charging EVSE'!G54+'Measure 3 Support Public Trans.'!G55+'Measure 5 Waste Reduction'!G56+'Measure 6 Workforce Development'!G56+'Measure 4 DrinkWasteH20 Energy'!G29</f>
        <v>8180085.4314374672</v>
      </c>
      <c r="H13" s="94">
        <f>'Measure 1 PreW &amp; Weather Budget'!H56+'Measure 2 EV Charging EVSE'!H54+'Measure 3 Support Public Trans.'!H55+'Measure 5 Waste Reduction'!H56+'Measure 6 Workforce Development'!H56+'Measure 4 DrinkWasteH20 Energy'!H29</f>
        <v>3790136.4075046922</v>
      </c>
      <c r="I13" s="95"/>
      <c r="J13" s="94">
        <f t="shared" si="0"/>
        <v>28757632.557330456</v>
      </c>
    </row>
    <row r="14" spans="2:39" ht="14.4" x14ac:dyDescent="0.3">
      <c r="B14" s="20"/>
      <c r="C14" s="9" t="s">
        <v>18</v>
      </c>
      <c r="D14" s="65">
        <f>D13+D12+D11+D10+D9+D8+D7</f>
        <v>4470376.0721477121</v>
      </c>
      <c r="E14" s="65">
        <f>E13+E12+E11+E10+E9+E8+E7</f>
        <v>12090743.952762142</v>
      </c>
      <c r="F14" s="65">
        <f>F13+F12+F11+F10+F9+F8+F7</f>
        <v>12841097.579583991</v>
      </c>
      <c r="G14" s="65">
        <f>G13+G12+G11+G10+G9+G8+G7</f>
        <v>13356568.967900051</v>
      </c>
      <c r="H14" s="65">
        <f>H13+H12+H11+H10+H9+H8+H7</f>
        <v>7174618.0861597424</v>
      </c>
      <c r="I14"/>
      <c r="J14" s="65">
        <f t="shared" si="0"/>
        <v>49933404.658553638</v>
      </c>
    </row>
    <row r="15" spans="2:39" ht="14.4" x14ac:dyDescent="0.3">
      <c r="B15" s="53"/>
      <c r="D15"/>
      <c r="E15"/>
      <c r="H15"/>
      <c r="I15"/>
      <c r="J15" s="15" t="s">
        <v>19</v>
      </c>
    </row>
    <row r="16" spans="2:39" ht="20.100000000000001" customHeight="1" x14ac:dyDescent="0.3">
      <c r="B16" s="53"/>
      <c r="C16" s="9" t="s">
        <v>20</v>
      </c>
      <c r="D16" s="65">
        <f>'Measure 1 PreW &amp; Weather Budget'!D61+'Measure 2 EV Charging EVSE'!D59+'Measure 3 Support Public Trans.'!D60+'Measure 5 Waste Reduction'!D61+'Measure 6 Workforce Development'!D61+'Measure 4 DrinkWasteH20 Energy'!D35</f>
        <v>12227.271282626401</v>
      </c>
      <c r="E16" s="65">
        <f>'Measure 1 PreW &amp; Weather Budget'!E61+'Measure 2 EV Charging EVSE'!E59+'Measure 3 Support Public Trans.'!E60+'Measure 5 Waste Reduction'!E61+'Measure 6 Workforce Development'!E61+'Measure 4 DrinkWasteH20 Energy'!E35</f>
        <v>12750.658079284127</v>
      </c>
      <c r="F16" s="65">
        <f>'Measure 1 PreW &amp; Weather Budget'!F61+'Measure 2 EV Charging EVSE'!F59+'Measure 3 Support Public Trans.'!F60+'Measure 5 Waste Reduction'!F61+'Measure 6 Workforce Development'!F61+'Measure 4 DrinkWasteH20 Energy'!F35</f>
        <v>13291.598782712248</v>
      </c>
      <c r="G16" s="65">
        <f>'Measure 1 PreW &amp; Weather Budget'!G61+'Measure 2 EV Charging EVSE'!G59+'Measure 3 Support Public Trans.'!G60+'Measure 5 Waste Reduction'!G61+'Measure 6 Workforce Development'!G61+'Measure 4 DrinkWasteH20 Energy'!G35</f>
        <v>13853.567603625752</v>
      </c>
      <c r="H16" s="65">
        <f>'Measure 1 PreW &amp; Weather Budget'!H61+'Measure 2 EV Charging EVSE'!H59+'Measure 3 Support Public Trans.'!H60+'Measure 5 Waste Reduction'!H61+'Measure 6 Workforce Development'!H61+'Measure 4 DrinkWasteH20 Energy'!H35</f>
        <v>14471.245698109198</v>
      </c>
      <c r="I16"/>
      <c r="J16" s="65">
        <f>SUM(D16:H16)</f>
        <v>66594.341446357721</v>
      </c>
      <c r="K16" s="99"/>
    </row>
    <row r="17" spans="2:10" thickBot="1" x14ac:dyDescent="0.35">
      <c r="B17" s="53"/>
      <c r="D17"/>
      <c r="E17"/>
      <c r="H17"/>
      <c r="I17"/>
      <c r="J17" s="15" t="s">
        <v>19</v>
      </c>
    </row>
    <row r="18" spans="2:10" ht="30.9" customHeight="1" thickBot="1" x14ac:dyDescent="0.35">
      <c r="B18" s="52" t="s">
        <v>21</v>
      </c>
      <c r="C18" s="16"/>
      <c r="D18" s="46">
        <f>D14+D16</f>
        <v>4482603.3434303384</v>
      </c>
      <c r="E18" s="46">
        <f>E14+E16</f>
        <v>12103494.610841425</v>
      </c>
      <c r="F18" s="46">
        <f>F14+F16</f>
        <v>12854389.178366704</v>
      </c>
      <c r="G18" s="46">
        <f>G14+G16</f>
        <v>13370422.535503676</v>
      </c>
      <c r="H18" s="46">
        <f>H14+H16</f>
        <v>7189089.3318578517</v>
      </c>
      <c r="I18" s="47"/>
      <c r="J18" s="56">
        <f>J14+J16</f>
        <v>49999998.999999993</v>
      </c>
    </row>
    <row r="19" spans="2:10" ht="15" customHeight="1" x14ac:dyDescent="0.3">
      <c r="B19" s="6"/>
      <c r="D19" s="105"/>
      <c r="E19" s="105"/>
      <c r="F19" s="105"/>
      <c r="G19" s="105"/>
      <c r="H19" s="105"/>
    </row>
    <row r="20" spans="2:10" ht="15" customHeight="1" x14ac:dyDescent="0.35">
      <c r="B20" s="39" t="s">
        <v>22</v>
      </c>
      <c r="C20" s="40"/>
      <c r="D20" s="40"/>
      <c r="E20" s="113"/>
      <c r="F20" s="113"/>
      <c r="G20" s="28"/>
      <c r="H20"/>
      <c r="I20"/>
    </row>
    <row r="21" spans="2:10" ht="29.1" customHeight="1" x14ac:dyDescent="0.3">
      <c r="B21" s="41" t="s">
        <v>23</v>
      </c>
      <c r="C21" s="41" t="s">
        <v>24</v>
      </c>
      <c r="D21" s="48" t="s">
        <v>25</v>
      </c>
      <c r="E21" s="114" t="s">
        <v>26</v>
      </c>
      <c r="F21" s="114"/>
      <c r="H21"/>
      <c r="I21"/>
    </row>
    <row r="22" spans="2:10" ht="15" customHeight="1" x14ac:dyDescent="0.3">
      <c r="B22" s="45">
        <v>1</v>
      </c>
      <c r="C22" s="92" t="s">
        <v>71</v>
      </c>
      <c r="D22" s="93">
        <f>'Measure 1 PreW &amp; Weather Budget'!J63</f>
        <v>15000000</v>
      </c>
      <c r="E22" s="112">
        <f t="shared" ref="E22:E27" si="1">D22/D$29</f>
        <v>0.3000000060000001</v>
      </c>
      <c r="F22" s="112"/>
      <c r="H22"/>
      <c r="I22"/>
    </row>
    <row r="23" spans="2:10" ht="15" customHeight="1" x14ac:dyDescent="0.3">
      <c r="B23" s="45">
        <v>2</v>
      </c>
      <c r="C23" s="94" t="s">
        <v>72</v>
      </c>
      <c r="D23" s="93">
        <f>'Measure 2 EV Charging EVSE'!J61</f>
        <v>9999999.9999999981</v>
      </c>
      <c r="E23" s="112">
        <f t="shared" si="1"/>
        <v>0.20000000400000004</v>
      </c>
      <c r="F23" s="112"/>
      <c r="H23"/>
      <c r="I23"/>
    </row>
    <row r="24" spans="2:10" ht="15" customHeight="1" x14ac:dyDescent="0.3">
      <c r="B24" s="45">
        <v>3</v>
      </c>
      <c r="C24" s="94" t="s">
        <v>73</v>
      </c>
      <c r="D24" s="93">
        <f>'Measure 3 Support Public Trans.'!J62</f>
        <v>4999999.9999999991</v>
      </c>
      <c r="E24" s="112">
        <f t="shared" si="1"/>
        <v>0.10000000200000002</v>
      </c>
      <c r="F24" s="112"/>
      <c r="H24"/>
      <c r="I24"/>
    </row>
    <row r="25" spans="2:10" ht="31.95" customHeight="1" x14ac:dyDescent="0.3">
      <c r="B25" s="45">
        <v>4</v>
      </c>
      <c r="C25" s="92" t="s">
        <v>74</v>
      </c>
      <c r="D25" s="93">
        <f>'Measure 4 DrinkWasteH20 Energy'!J37</f>
        <v>9999999</v>
      </c>
      <c r="E25" s="112">
        <f t="shared" si="1"/>
        <v>0.19999998399999969</v>
      </c>
      <c r="F25" s="112"/>
      <c r="H25"/>
      <c r="I25"/>
    </row>
    <row r="26" spans="2:10" ht="15" customHeight="1" x14ac:dyDescent="0.3">
      <c r="B26" s="45">
        <v>5</v>
      </c>
      <c r="C26" s="94" t="s">
        <v>75</v>
      </c>
      <c r="D26" s="93">
        <f>'Measure 5 Waste Reduction'!J63</f>
        <v>5000000</v>
      </c>
      <c r="E26" s="112">
        <f t="shared" si="1"/>
        <v>0.10000000200000005</v>
      </c>
      <c r="F26" s="112"/>
      <c r="H26"/>
      <c r="I26"/>
    </row>
    <row r="27" spans="2:10" ht="15" customHeight="1" x14ac:dyDescent="0.3">
      <c r="B27" s="45">
        <v>6</v>
      </c>
      <c r="C27" s="94" t="s">
        <v>76</v>
      </c>
      <c r="D27" s="93">
        <f>'Measure 6 Workforce Development'!J63</f>
        <v>4999999.9999999991</v>
      </c>
      <c r="E27" s="112">
        <f t="shared" si="1"/>
        <v>0.10000000200000002</v>
      </c>
      <c r="F27" s="112"/>
      <c r="H27"/>
      <c r="I27"/>
    </row>
    <row r="28" spans="2:10" ht="15" customHeight="1" x14ac:dyDescent="0.3">
      <c r="B28" s="45"/>
      <c r="C28" s="94"/>
      <c r="D28" s="93"/>
      <c r="E28" s="112"/>
      <c r="F28" s="112"/>
      <c r="H28"/>
      <c r="I28"/>
    </row>
    <row r="29" spans="2:10" ht="15" customHeight="1" x14ac:dyDescent="0.3">
      <c r="B29" s="91" t="s">
        <v>27</v>
      </c>
      <c r="C29" s="94"/>
      <c r="D29" s="93">
        <f>SUM(D22:D28)</f>
        <v>49999999</v>
      </c>
      <c r="E29" s="112">
        <f>SUM(E22:E28)</f>
        <v>1</v>
      </c>
      <c r="F29" s="112"/>
      <c r="H29"/>
      <c r="I29"/>
    </row>
    <row r="30" spans="2:10" ht="15" customHeight="1" x14ac:dyDescent="0.3">
      <c r="H30"/>
      <c r="I30"/>
    </row>
    <row r="32" spans="2:10" ht="15" customHeight="1" x14ac:dyDescent="0.35">
      <c r="B32" s="39" t="s">
        <v>138</v>
      </c>
      <c r="C32" s="40"/>
      <c r="D32" s="40"/>
      <c r="E32" s="40"/>
      <c r="F32" s="40"/>
      <c r="G32" s="40"/>
      <c r="H32" s="40"/>
      <c r="I32" s="40"/>
      <c r="J32" s="54"/>
    </row>
    <row r="33" spans="2:11" ht="15" customHeight="1" x14ac:dyDescent="0.3">
      <c r="B33" s="90"/>
      <c r="C33" s="41" t="s">
        <v>3</v>
      </c>
      <c r="D33" s="41" t="s">
        <v>4</v>
      </c>
      <c r="E33" s="42" t="s">
        <v>5</v>
      </c>
      <c r="F33" s="42" t="s">
        <v>6</v>
      </c>
      <c r="G33" s="42" t="s">
        <v>7</v>
      </c>
      <c r="H33" s="43" t="s">
        <v>8</v>
      </c>
      <c r="I33" s="44"/>
      <c r="J33" s="55" t="s">
        <v>86</v>
      </c>
    </row>
    <row r="34" spans="2:11" ht="32.25" customHeight="1" x14ac:dyDescent="0.3">
      <c r="B34" s="89"/>
      <c r="C34" s="60" t="s">
        <v>77</v>
      </c>
      <c r="D34" s="94">
        <f>'Measure 1 PreW &amp; Weather Budget'!D8+'Measure 2 EV Charging EVSE'!D8+'Measure 3 Support Public Trans.'!D8+'Measure 5 Waste Reduction'!D8+'Measure 6 Workforce Development'!D8</f>
        <v>66571.83</v>
      </c>
      <c r="E34" s="94">
        <f>'Measure 1 PreW &amp; Weather Budget'!E8+'Measure 2 EV Charging EVSE'!E8+'Measure 3 Support Public Trans.'!E8+'Measure 5 Waste Reduction'!E8+'Measure 6 Workforce Development'!E8</f>
        <v>69455.88</v>
      </c>
      <c r="F34" s="94">
        <f>'Measure 1 PreW &amp; Weather Budget'!F8+'Measure 2 EV Charging EVSE'!F8+'Measure 3 Support Public Trans.'!F8+'Measure 5 Waste Reduction'!F8+'Measure 6 Workforce Development'!F8</f>
        <v>72578.61</v>
      </c>
      <c r="G34" s="94">
        <f>'Measure 1 PreW &amp; Weather Budget'!G8+'Measure 2 EV Charging EVSE'!G8+'Measure 3 Support Public Trans.'!G8+'Measure 5 Waste Reduction'!G8+'Measure 6 Workforce Development'!G8</f>
        <v>75761.009999999995</v>
      </c>
      <c r="H34" s="94">
        <f>'Measure 1 PreW &amp; Weather Budget'!H8+'Measure 2 EV Charging EVSE'!H8+'Measure 3 Support Public Trans.'!H8+'Measure 5 Waste Reduction'!H8+'Measure 6 Workforce Development'!H8</f>
        <v>79361.099999999991</v>
      </c>
      <c r="I34" s="95"/>
      <c r="J34" s="94"/>
    </row>
    <row r="35" spans="2:11" ht="30" customHeight="1" x14ac:dyDescent="0.3">
      <c r="B35" s="88"/>
      <c r="C35" s="60" t="s">
        <v>79</v>
      </c>
      <c r="D35" s="94">
        <f>'Measure 1 PreW &amp; Weather Budget'!D9+'Measure 2 EV Charging EVSE'!D9+'Measure 3 Support Public Trans.'!D9+'Measure 5 Waste Reduction'!D9+'Measure 6 Workforce Development'!D9</f>
        <v>61102.080000000009</v>
      </c>
      <c r="E35" s="94">
        <f>'Measure 1 PreW &amp; Weather Budget'!E9+'Measure 2 EV Charging EVSE'!E9+'Measure 3 Support Public Trans.'!E9+'Measure 5 Waste Reduction'!E9+'Measure 6 Workforce Development'!E9</f>
        <v>63827.010000000009</v>
      </c>
      <c r="F35" s="94">
        <f>'Measure 1 PreW &amp; Weather Budget'!F9+'Measure 2 EV Charging EVSE'!F9+'Measure 3 Support Public Trans.'!F9+'Measure 5 Waste Reduction'!F9+'Measure 6 Workforce Development'!F9</f>
        <v>66571.83</v>
      </c>
      <c r="G35" s="94">
        <f>'Measure 1 PreW &amp; Weather Budget'!G9+'Measure 2 EV Charging EVSE'!G9+'Measure 3 Support Public Trans.'!G9+'Measure 5 Waste Reduction'!G9+'Measure 6 Workforce Development'!G9</f>
        <v>69455.88</v>
      </c>
      <c r="H35" s="94">
        <f>'Measure 1 PreW &amp; Weather Budget'!H9+'Measure 2 EV Charging EVSE'!H9+'Measure 3 Support Public Trans.'!H9+'Measure 5 Waste Reduction'!H9+'Measure 6 Workforce Development'!H9</f>
        <v>72578.61</v>
      </c>
      <c r="I35" s="95"/>
      <c r="J35" s="94"/>
    </row>
    <row r="36" spans="2:11" ht="31.5" customHeight="1" x14ac:dyDescent="0.3">
      <c r="B36" s="88"/>
      <c r="C36" s="60" t="s">
        <v>78</v>
      </c>
      <c r="D36" s="94">
        <f>'Measure 1 PreW &amp; Weather Budget'!D10+'Measure 2 EV Charging EVSE'!D10+'Measure 3 Support Public Trans.'!D10+'Measure 5 Waste Reduction'!D10+'Measure 6 Workforce Development'!D10</f>
        <v>61102.080000000009</v>
      </c>
      <c r="E36" s="94">
        <f>'Measure 1 PreW &amp; Weather Budget'!E10+'Measure 2 EV Charging EVSE'!E10+'Measure 3 Support Public Trans.'!E10+'Measure 5 Waste Reduction'!E10+'Measure 6 Workforce Development'!E10</f>
        <v>63827.010000000009</v>
      </c>
      <c r="F36" s="94">
        <f>'Measure 1 PreW &amp; Weather Budget'!F10+'Measure 2 EV Charging EVSE'!F10+'Measure 3 Support Public Trans.'!F10+'Measure 5 Waste Reduction'!F10+'Measure 6 Workforce Development'!F10</f>
        <v>66571.83</v>
      </c>
      <c r="G36" s="94">
        <f>'Measure 1 PreW &amp; Weather Budget'!G10+'Measure 2 EV Charging EVSE'!G10+'Measure 3 Support Public Trans.'!G10+'Measure 5 Waste Reduction'!G10+'Measure 6 Workforce Development'!G10</f>
        <v>69455.88</v>
      </c>
      <c r="H36" s="94">
        <f>'Measure 1 PreW &amp; Weather Budget'!H10+'Measure 2 EV Charging EVSE'!H10+'Measure 3 Support Public Trans.'!H10+'Measure 5 Waste Reduction'!H10+'Measure 6 Workforce Development'!H10</f>
        <v>72578.61</v>
      </c>
      <c r="I36" s="95"/>
      <c r="J36" s="94"/>
    </row>
    <row r="37" spans="2:11" ht="31.5" customHeight="1" x14ac:dyDescent="0.3">
      <c r="B37" s="88"/>
      <c r="C37" s="60" t="s">
        <v>87</v>
      </c>
      <c r="D37" s="94">
        <f>'Measure 1 PreW &amp; Weather Budget'!D11+'Measure 2 EV Charging EVSE'!D11+'Measure 3 Support Public Trans.'!D11+'Measure 5 Waste Reduction'!D11+'Measure 6 Workforce Development'!D11</f>
        <v>4340.9925000000003</v>
      </c>
      <c r="E37" s="94">
        <f>'Measure 1 PreW &amp; Weather Budget'!E11+'Measure 2 EV Charging EVSE'!E11+'Measure 3 Support Public Trans.'!E11+'Measure 5 Waste Reduction'!E11+'Measure 6 Workforce Development'!E11</f>
        <v>4546.8540000000003</v>
      </c>
      <c r="F37" s="94">
        <f>'Measure 1 PreW &amp; Weather Budget'!F11+'Measure 2 EV Charging EVSE'!F11+'Measure 3 Support Public Trans.'!F11+'Measure 5 Waste Reduction'!F11+'Measure 6 Workforce Development'!F11</f>
        <v>4760.6714999999995</v>
      </c>
      <c r="G37" s="94">
        <f>'Measure 1 PreW &amp; Weather Budget'!G11+'Measure 2 EV Charging EVSE'!G11+'Measure 3 Support Public Trans.'!G11+'Measure 5 Waste Reduction'!G11+'Measure 6 Workforce Development'!G11</f>
        <v>4979.4615000000003</v>
      </c>
      <c r="H37" s="94">
        <f>'Measure 1 PreW &amp; Weather Budget'!H11+'Measure 2 EV Charging EVSE'!H11+'Measure 3 Support Public Trans.'!H11+'Measure 5 Waste Reduction'!H11+'Measure 6 Workforce Development'!H11</f>
        <v>5212.1745000000001</v>
      </c>
      <c r="I37" s="95"/>
      <c r="J37" s="94"/>
    </row>
    <row r="38" spans="2:11" ht="31.5" customHeight="1" x14ac:dyDescent="0.3">
      <c r="B38" s="88"/>
      <c r="C38" s="60" t="s">
        <v>40</v>
      </c>
      <c r="D38" s="94">
        <f>'Measure 1 PreW &amp; Weather Budget'!D12+'Measure 2 EV Charging EVSE'!D12+'Measure 3 Support Public Trans.'!D12+'Measure 5 Waste Reduction'!D12+'Measure 6 Workforce Development'!D12</f>
        <v>6387.6735000000008</v>
      </c>
      <c r="E38" s="94">
        <f>'Measure 1 PreW &amp; Weather Budget'!E12+'Measure 2 EV Charging EVSE'!E12+'Measure 3 Support Public Trans.'!E12+'Measure 5 Waste Reduction'!E12+'Measure 6 Workforce Development'!E12</f>
        <v>6387.6735000000008</v>
      </c>
      <c r="F38" s="94">
        <f>'Measure 1 PreW &amp; Weather Budget'!F12+'Measure 2 EV Charging EVSE'!F12+'Measure 3 Support Public Trans.'!F12+'Measure 5 Waste Reduction'!F12+'Measure 6 Workforce Development'!F12</f>
        <v>6387.6735000000008</v>
      </c>
      <c r="G38" s="94">
        <f>'Measure 1 PreW &amp; Weather Budget'!G12+'Measure 2 EV Charging EVSE'!G12+'Measure 3 Support Public Trans.'!G12+'Measure 5 Waste Reduction'!G12+'Measure 6 Workforce Development'!G12</f>
        <v>6387.6735000000008</v>
      </c>
      <c r="H38" s="94">
        <f>'Measure 1 PreW &amp; Weather Budget'!H12+'Measure 2 EV Charging EVSE'!H12+'Measure 3 Support Public Trans.'!H12+'Measure 5 Waste Reduction'!H12+'Measure 6 Workforce Development'!H12</f>
        <v>6387.6735000000008</v>
      </c>
      <c r="I38" s="95"/>
      <c r="J38" s="94"/>
      <c r="K38" s="106"/>
    </row>
    <row r="39" spans="2:11" ht="23.25" customHeight="1" x14ac:dyDescent="0.3">
      <c r="B39" s="88"/>
      <c r="C39" s="60" t="s">
        <v>99</v>
      </c>
      <c r="D39" s="94">
        <f>'Measure 1 PreW &amp; Weather Budget'!D15+'Measure 2 EV Charging EVSE'!D15+'Measure 3 Support Public Trans.'!D15+'Measure 5 Waste Reduction'!D15+'Measure 6 Workforce Development'!D15</f>
        <v>35103.325959000002</v>
      </c>
      <c r="E39" s="94">
        <f>'Measure 1 PreW &amp; Weather Budget'!E15+'Measure 2 EV Charging EVSE'!E15+'Measure 3 Support Public Trans.'!E15+'Measure 5 Waste Reduction'!E15+'Measure 6 Workforce Development'!E15</f>
        <v>36624.085524000002</v>
      </c>
      <c r="F39" s="94">
        <f>'Measure 1 PreW &amp; Weather Budget'!F15+'Measure 2 EV Charging EVSE'!F15+'Measure 3 Support Public Trans.'!F15+'Measure 5 Waste Reduction'!F15+'Measure 6 Workforce Development'!F15</f>
        <v>38270.701052999997</v>
      </c>
      <c r="G39" s="94">
        <f>'Measure 1 PreW &amp; Weather Budget'!G15+'Measure 2 EV Charging EVSE'!G15+'Measure 3 Support Public Trans.'!G15+'Measure 5 Waste Reduction'!G15+'Measure 6 Workforce Development'!G15</f>
        <v>39948.780572999996</v>
      </c>
      <c r="H39" s="94">
        <f>'Measure 1 PreW &amp; Weather Budget'!H15+'Measure 2 EV Charging EVSE'!H15+'Measure 3 Support Public Trans.'!H15+'Measure 5 Waste Reduction'!H15+'Measure 6 Workforce Development'!H15</f>
        <v>41847.108030000003</v>
      </c>
      <c r="I39" s="95"/>
      <c r="J39" s="96">
        <f>SUM(D39:H39)/SUM(D34:H34)</f>
        <v>0.52729999999999999</v>
      </c>
    </row>
    <row r="40" spans="2:11" ht="23.25" customHeight="1" x14ac:dyDescent="0.3">
      <c r="B40" s="88"/>
      <c r="C40" s="60" t="s">
        <v>100</v>
      </c>
      <c r="D40" s="94">
        <f>'Measure 1 PreW &amp; Weather Budget'!D16+'Measure 2 EV Charging EVSE'!D16+'Measure 3 Support Public Trans.'!D16+'Measure 5 Waste Reduction'!D16+'Measure 6 Workforce Development'!D16</f>
        <v>32219.126783999996</v>
      </c>
      <c r="E40" s="94">
        <f>'Measure 1 PreW &amp; Weather Budget'!E16+'Measure 2 EV Charging EVSE'!E16+'Measure 3 Support Public Trans.'!E16+'Measure 5 Waste Reduction'!E16+'Measure 6 Workforce Development'!E16</f>
        <v>33655.982373000006</v>
      </c>
      <c r="F40" s="94">
        <f>'Measure 1 PreW &amp; Weather Budget'!F16+'Measure 2 EV Charging EVSE'!F16+'Measure 3 Support Public Trans.'!F16+'Measure 5 Waste Reduction'!F16+'Measure 6 Workforce Development'!F16</f>
        <v>35103.325959000002</v>
      </c>
      <c r="G40" s="94">
        <f>'Measure 1 PreW &amp; Weather Budget'!G16+'Measure 2 EV Charging EVSE'!G16+'Measure 3 Support Public Trans.'!G16+'Measure 5 Waste Reduction'!G16+'Measure 6 Workforce Development'!G16</f>
        <v>36624.085524000002</v>
      </c>
      <c r="H40" s="94">
        <f>'Measure 1 PreW &amp; Weather Budget'!H16+'Measure 2 EV Charging EVSE'!H16+'Measure 3 Support Public Trans.'!H16+'Measure 5 Waste Reduction'!H16+'Measure 6 Workforce Development'!H16</f>
        <v>38270.701052999997</v>
      </c>
      <c r="I40" s="95"/>
      <c r="J40" s="96">
        <f>SUM(D40:H40)/SUM(D35:H35)</f>
        <v>0.52729999999999999</v>
      </c>
    </row>
    <row r="41" spans="2:11" ht="23.25" customHeight="1" x14ac:dyDescent="0.3">
      <c r="B41" s="88"/>
      <c r="C41" s="73" t="s">
        <v>101</v>
      </c>
      <c r="D41" s="94">
        <f>'Measure 1 PreW &amp; Weather Budget'!D17+'Measure 2 EV Charging EVSE'!D17+'Measure 3 Support Public Trans.'!D17+'Measure 5 Waste Reduction'!D17+'Measure 6 Workforce Development'!D17</f>
        <v>32219.126783999996</v>
      </c>
      <c r="E41" s="94">
        <f>'Measure 1 PreW &amp; Weather Budget'!E17+'Measure 2 EV Charging EVSE'!E17+'Measure 3 Support Public Trans.'!E17+'Measure 5 Waste Reduction'!E17+'Measure 6 Workforce Development'!E17</f>
        <v>33655.982373000006</v>
      </c>
      <c r="F41" s="94">
        <f>'Measure 1 PreW &amp; Weather Budget'!F17+'Measure 2 EV Charging EVSE'!F17+'Measure 3 Support Public Trans.'!F17+'Measure 5 Waste Reduction'!F17+'Measure 6 Workforce Development'!F17</f>
        <v>35103.325959000002</v>
      </c>
      <c r="G41" s="94">
        <f>'Measure 1 PreW &amp; Weather Budget'!G17+'Measure 2 EV Charging EVSE'!G17+'Measure 3 Support Public Trans.'!G17+'Measure 5 Waste Reduction'!G17+'Measure 6 Workforce Development'!G17</f>
        <v>36624.085524000002</v>
      </c>
      <c r="H41" s="94">
        <f>'Measure 1 PreW &amp; Weather Budget'!H17+'Measure 2 EV Charging EVSE'!H17+'Measure 3 Support Public Trans.'!H17+'Measure 5 Waste Reduction'!H17+'Measure 6 Workforce Development'!H17</f>
        <v>38270.701052999997</v>
      </c>
      <c r="I41" s="95"/>
      <c r="J41" s="96">
        <f>SUM(D41:H41)/SUM(D36:H36)</f>
        <v>0.52729999999999999</v>
      </c>
    </row>
    <row r="42" spans="2:11" ht="23.25" customHeight="1" x14ac:dyDescent="0.3">
      <c r="B42" s="88"/>
      <c r="C42" s="73" t="s">
        <v>102</v>
      </c>
      <c r="D42" s="94">
        <f>'Measure 1 PreW &amp; Weather Budget'!D18+'Measure 2 EV Charging EVSE'!D18+'Measure 3 Support Public Trans.'!D18+'Measure 5 Waste Reduction'!D18+'Measure 6 Workforce Development'!D18</f>
        <v>2289.0053452500001</v>
      </c>
      <c r="E42" s="94">
        <f>'Measure 1 PreW &amp; Weather Budget'!E18+'Measure 2 EV Charging EVSE'!E18+'Measure 3 Support Public Trans.'!E18+'Measure 5 Waste Reduction'!E18+'Measure 6 Workforce Development'!E18</f>
        <v>2397.5561142000001</v>
      </c>
      <c r="F42" s="94">
        <f>'Measure 1 PreW &amp; Weather Budget'!F18+'Measure 2 EV Charging EVSE'!F18+'Measure 3 Support Public Trans.'!F18+'Measure 5 Waste Reduction'!F18+'Measure 6 Workforce Development'!F18</f>
        <v>2510.3020819499998</v>
      </c>
      <c r="G42" s="94">
        <f>'Measure 1 PreW &amp; Weather Budget'!G18+'Measure 2 EV Charging EVSE'!G18+'Measure 3 Support Public Trans.'!G18+'Measure 5 Waste Reduction'!G18+'Measure 6 Workforce Development'!G18</f>
        <v>2625.6700489499999</v>
      </c>
      <c r="H42" s="94">
        <f>'Measure 1 PreW &amp; Weather Budget'!H18+'Measure 2 EV Charging EVSE'!H18+'Measure 3 Support Public Trans.'!H18+'Measure 5 Waste Reduction'!H18+'Measure 6 Workforce Development'!H18</f>
        <v>2748.3796138500002</v>
      </c>
      <c r="I42" s="95"/>
      <c r="J42" s="96">
        <f>SUM(D42:H42)/SUM(D37:H37)</f>
        <v>0.52729999999999999</v>
      </c>
    </row>
    <row r="43" spans="2:11" ht="23.25" customHeight="1" x14ac:dyDescent="0.3">
      <c r="B43" s="88"/>
      <c r="C43" s="73" t="s">
        <v>103</v>
      </c>
      <c r="D43" s="94">
        <f>'Measure 1 PreW &amp; Weather Budget'!D19+'Measure 2 EV Charging EVSE'!D19+'Measure 3 Support Public Trans.'!D19+'Measure 5 Waste Reduction'!D19+'Measure 6 Workforce Development'!D19</f>
        <v>3368.2202365500007</v>
      </c>
      <c r="E43" s="94">
        <f>'Measure 1 PreW &amp; Weather Budget'!E19+'Measure 2 EV Charging EVSE'!E19+'Measure 3 Support Public Trans.'!E19+'Measure 5 Waste Reduction'!E19+'Measure 6 Workforce Development'!E19</f>
        <v>3368.2202365500007</v>
      </c>
      <c r="F43" s="94">
        <f>'Measure 1 PreW &amp; Weather Budget'!F19+'Measure 2 EV Charging EVSE'!F19+'Measure 3 Support Public Trans.'!F19+'Measure 5 Waste Reduction'!F19+'Measure 6 Workforce Development'!F19</f>
        <v>3368.2202365500007</v>
      </c>
      <c r="G43" s="94">
        <f>'Measure 1 PreW &amp; Weather Budget'!G19+'Measure 2 EV Charging EVSE'!G19+'Measure 3 Support Public Trans.'!G19+'Measure 5 Waste Reduction'!G19+'Measure 6 Workforce Development'!G19</f>
        <v>3368.2202365500007</v>
      </c>
      <c r="H43" s="94">
        <f>'Measure 1 PreW &amp; Weather Budget'!H19+'Measure 2 EV Charging EVSE'!H19+'Measure 3 Support Public Trans.'!H19+'Measure 5 Waste Reduction'!H19+'Measure 6 Workforce Development'!H19</f>
        <v>3368.2202365500007</v>
      </c>
      <c r="I43"/>
      <c r="J43" s="96">
        <f>SUM(D43:H43)/SUM(D38:H38)</f>
        <v>0.5273000000000001</v>
      </c>
    </row>
    <row r="44" spans="2:11" ht="31.5" customHeight="1" x14ac:dyDescent="0.3">
      <c r="B44" s="88"/>
      <c r="C44" s="60" t="s">
        <v>104</v>
      </c>
      <c r="D44" s="94">
        <f>'Measure 1 PreW &amp; Weather Budget'!D20+'Measure 2 EV Charging EVSE'!D20+'Measure 3 Support Public Trans.'!D20+'Measure 5 Waste Reduction'!D20+'Measure 6 Workforce Development'!D20</f>
        <v>4300.540218000001</v>
      </c>
      <c r="E44" s="94">
        <f>'Measure 1 PreW &amp; Weather Budget'!E20+'Measure 2 EV Charging EVSE'!E20+'Measure 3 Support Public Trans.'!E20+'Measure 5 Waste Reduction'!E20+'Measure 6 Workforce Development'!E20</f>
        <v>4486.8498480000007</v>
      </c>
      <c r="F44" s="94">
        <f>'Measure 1 PreW &amp; Weather Budget'!F20+'Measure 2 EV Charging EVSE'!F20+'Measure 3 Support Public Trans.'!F20+'Measure 5 Waste Reduction'!F20+'Measure 6 Workforce Development'!F20</f>
        <v>4688.5782060000001</v>
      </c>
      <c r="G44" s="94">
        <f>'Measure 1 PreW &amp; Weather Budget'!G20+'Measure 2 EV Charging EVSE'!G20+'Measure 3 Support Public Trans.'!G20+'Measure 5 Waste Reduction'!G20+'Measure 6 Workforce Development'!G20</f>
        <v>4894.1612459999997</v>
      </c>
      <c r="H44" s="94">
        <f>'Measure 1 PreW &amp; Weather Budget'!H20+'Measure 2 EV Charging EVSE'!H20+'Measure 3 Support Public Trans.'!H20+'Measure 5 Waste Reduction'!H20+'Measure 6 Workforce Development'!H20</f>
        <v>5126.7270600000011</v>
      </c>
      <c r="I44"/>
      <c r="J44" s="96">
        <f>SUM(D44:H44)/SUM(D34:H34)</f>
        <v>6.4600000000000005E-2</v>
      </c>
    </row>
    <row r="45" spans="2:11" ht="31.5" customHeight="1" x14ac:dyDescent="0.3">
      <c r="B45" s="88"/>
      <c r="C45" s="60" t="s">
        <v>105</v>
      </c>
      <c r="D45" s="94">
        <f>'Measure 1 PreW &amp; Weather Budget'!D21+'Measure 2 EV Charging EVSE'!D21+'Measure 3 Support Public Trans.'!D21+'Measure 5 Waste Reduction'!D21+'Measure 6 Workforce Development'!D21</f>
        <v>3947.1943679999999</v>
      </c>
      <c r="E45" s="94">
        <f>'Measure 1 PreW &amp; Weather Budget'!E21+'Measure 2 EV Charging EVSE'!E21+'Measure 3 Support Public Trans.'!E21+'Measure 5 Waste Reduction'!E21+'Measure 6 Workforce Development'!E21</f>
        <v>4123.224846000001</v>
      </c>
      <c r="F45" s="94">
        <f>'Measure 1 PreW &amp; Weather Budget'!F21+'Measure 2 EV Charging EVSE'!F21+'Measure 3 Support Public Trans.'!F21+'Measure 5 Waste Reduction'!F21+'Measure 6 Workforce Development'!F21</f>
        <v>4300.540218000001</v>
      </c>
      <c r="G45" s="94">
        <f>'Measure 1 PreW &amp; Weather Budget'!G21+'Measure 2 EV Charging EVSE'!G21+'Measure 3 Support Public Trans.'!G21+'Measure 5 Waste Reduction'!G21+'Measure 6 Workforce Development'!G21</f>
        <v>4486.8498480000007</v>
      </c>
      <c r="H45" s="94">
        <f>'Measure 1 PreW &amp; Weather Budget'!H21+'Measure 2 EV Charging EVSE'!H21+'Measure 3 Support Public Trans.'!H21+'Measure 5 Waste Reduction'!H21+'Measure 6 Workforce Development'!H21</f>
        <v>4688.5782060000001</v>
      </c>
      <c r="I45"/>
      <c r="J45" s="96">
        <f t="shared" ref="J45:J48" si="2">SUM(D45:H45)/SUM(D35:H35)</f>
        <v>6.4600000000000019E-2</v>
      </c>
    </row>
    <row r="46" spans="2:11" ht="31.5" customHeight="1" x14ac:dyDescent="0.3">
      <c r="B46" s="88"/>
      <c r="C46" s="73" t="s">
        <v>106</v>
      </c>
      <c r="D46" s="94">
        <f>'Measure 1 PreW &amp; Weather Budget'!D22+'Measure 2 EV Charging EVSE'!D22+'Measure 3 Support Public Trans.'!D22+'Measure 5 Waste Reduction'!D22+'Measure 6 Workforce Development'!D22</f>
        <v>3947.1943679999999</v>
      </c>
      <c r="E46" s="94">
        <f>'Measure 1 PreW &amp; Weather Budget'!E22+'Measure 2 EV Charging EVSE'!E22+'Measure 3 Support Public Trans.'!E22+'Measure 5 Waste Reduction'!E22+'Measure 6 Workforce Development'!E22</f>
        <v>4123.224846000001</v>
      </c>
      <c r="F46" s="94">
        <f>'Measure 1 PreW &amp; Weather Budget'!F22+'Measure 2 EV Charging EVSE'!F22+'Measure 3 Support Public Trans.'!F22+'Measure 5 Waste Reduction'!F22+'Measure 6 Workforce Development'!F22</f>
        <v>4300.540218000001</v>
      </c>
      <c r="G46" s="94">
        <f>'Measure 1 PreW &amp; Weather Budget'!G22+'Measure 2 EV Charging EVSE'!G22+'Measure 3 Support Public Trans.'!G22+'Measure 5 Waste Reduction'!G22+'Measure 6 Workforce Development'!G22</f>
        <v>4486.8498480000007</v>
      </c>
      <c r="H46" s="94">
        <f>'Measure 1 PreW &amp; Weather Budget'!H22+'Measure 2 EV Charging EVSE'!H22+'Measure 3 Support Public Trans.'!H22+'Measure 5 Waste Reduction'!H22+'Measure 6 Workforce Development'!H22</f>
        <v>4688.5782060000001</v>
      </c>
      <c r="I46"/>
      <c r="J46" s="96">
        <f t="shared" si="2"/>
        <v>6.4600000000000019E-2</v>
      </c>
    </row>
    <row r="47" spans="2:11" ht="31.5" customHeight="1" x14ac:dyDescent="0.3">
      <c r="B47" s="88"/>
      <c r="C47" s="73" t="s">
        <v>107</v>
      </c>
      <c r="D47" s="94">
        <f>'Measure 1 PreW &amp; Weather Budget'!D23+'Measure 2 EV Charging EVSE'!D23+'Measure 3 Support Public Trans.'!D23+'Measure 5 Waste Reduction'!D23+'Measure 6 Workforce Development'!D23</f>
        <v>280.42811550000005</v>
      </c>
      <c r="E47" s="94">
        <f>'Measure 1 PreW &amp; Weather Budget'!E23+'Measure 2 EV Charging EVSE'!E23+'Measure 3 Support Public Trans.'!E23+'Measure 5 Waste Reduction'!E23+'Measure 6 Workforce Development'!E23</f>
        <v>293.72676840000003</v>
      </c>
      <c r="F47" s="94">
        <f>'Measure 1 PreW &amp; Weather Budget'!F23+'Measure 2 EV Charging EVSE'!F23+'Measure 3 Support Public Trans.'!F23+'Measure 5 Waste Reduction'!F23+'Measure 6 Workforce Development'!F23</f>
        <v>307.53937889999997</v>
      </c>
      <c r="G47" s="94">
        <f>'Measure 1 PreW &amp; Weather Budget'!G23+'Measure 2 EV Charging EVSE'!G23+'Measure 3 Support Public Trans.'!G23+'Measure 5 Waste Reduction'!G23+'Measure 6 Workforce Development'!G23</f>
        <v>321.67321290000007</v>
      </c>
      <c r="H47" s="94">
        <f>'Measure 1 PreW &amp; Weather Budget'!H23+'Measure 2 EV Charging EVSE'!H23+'Measure 3 Support Public Trans.'!H23+'Measure 5 Waste Reduction'!H23+'Measure 6 Workforce Development'!H23</f>
        <v>336.70647270000006</v>
      </c>
      <c r="I47"/>
      <c r="J47" s="96">
        <f t="shared" si="2"/>
        <v>6.4599999999999991E-2</v>
      </c>
    </row>
    <row r="48" spans="2:11" ht="31.5" customHeight="1" x14ac:dyDescent="0.3">
      <c r="B48" s="88"/>
      <c r="C48" s="73" t="s">
        <v>108</v>
      </c>
      <c r="D48" s="94">
        <f>'Measure 1 PreW &amp; Weather Budget'!D24+'Measure 2 EV Charging EVSE'!D24+'Measure 3 Support Public Trans.'!D24+'Measure 5 Waste Reduction'!D24+'Measure 6 Workforce Development'!D24</f>
        <v>412.64370810000003</v>
      </c>
      <c r="E48" s="94">
        <f>'Measure 1 PreW &amp; Weather Budget'!E24+'Measure 2 EV Charging EVSE'!E24+'Measure 3 Support Public Trans.'!E24+'Measure 5 Waste Reduction'!E24+'Measure 6 Workforce Development'!E24</f>
        <v>412.64370810000003</v>
      </c>
      <c r="F48" s="94">
        <f>'Measure 1 PreW &amp; Weather Budget'!F24+'Measure 2 EV Charging EVSE'!F24+'Measure 3 Support Public Trans.'!F24+'Measure 5 Waste Reduction'!F24+'Measure 6 Workforce Development'!F24</f>
        <v>412.64370810000003</v>
      </c>
      <c r="G48" s="94">
        <f>'Measure 1 PreW &amp; Weather Budget'!G24+'Measure 2 EV Charging EVSE'!G24+'Measure 3 Support Public Trans.'!G24+'Measure 5 Waste Reduction'!G24+'Measure 6 Workforce Development'!G24</f>
        <v>412.64370810000003</v>
      </c>
      <c r="H48" s="94">
        <f>'Measure 1 PreW &amp; Weather Budget'!H24+'Measure 2 EV Charging EVSE'!H24+'Measure 3 Support Public Trans.'!H24+'Measure 5 Waste Reduction'!H24+'Measure 6 Workforce Development'!H24</f>
        <v>412.64370810000003</v>
      </c>
      <c r="I48"/>
      <c r="J48" s="96">
        <f t="shared" si="2"/>
        <v>6.4599999999999991E-2</v>
      </c>
    </row>
    <row r="49" spans="2:16" ht="15" customHeight="1" x14ac:dyDescent="0.3">
      <c r="B49" s="88"/>
      <c r="C49" s="60" t="s">
        <v>80</v>
      </c>
      <c r="D49" s="94">
        <f>'Measure 1 PreW &amp; Weather Budget'!D36+'Measure 2 EV Charging EVSE'!D35+'Measure 3 Support Public Trans.'!D35+'Measure 5 Waste Reduction'!D36+'Measure 6 Workforce Development'!D36</f>
        <v>2000</v>
      </c>
      <c r="E49" s="94">
        <f>'Measure 1 PreW &amp; Weather Budget'!E36+'Measure 2 EV Charging EVSE'!E35+'Measure 3 Support Public Trans.'!E35+'Measure 5 Waste Reduction'!E36+'Measure 6 Workforce Development'!E36</f>
        <v>0</v>
      </c>
      <c r="F49" s="94">
        <f>'Measure 1 PreW &amp; Weather Budget'!F36+'Measure 2 EV Charging EVSE'!F35+'Measure 3 Support Public Trans.'!F35+'Measure 5 Waste Reduction'!F36+'Measure 6 Workforce Development'!F36</f>
        <v>0</v>
      </c>
      <c r="G49" s="94">
        <f>'Measure 1 PreW &amp; Weather Budget'!G36+'Measure 2 EV Charging EVSE'!G35+'Measure 3 Support Public Trans.'!G35+'Measure 5 Waste Reduction'!G36+'Measure 6 Workforce Development'!G36</f>
        <v>0</v>
      </c>
      <c r="H49" s="94">
        <f>'Measure 1 PreW &amp; Weather Budget'!H36+'Measure 2 EV Charging EVSE'!H35+'Measure 3 Support Public Trans.'!H35+'Measure 5 Waste Reduction'!H36+'Measure 6 Workforce Development'!H36</f>
        <v>0</v>
      </c>
      <c r="I49"/>
    </row>
    <row r="50" spans="2:16" ht="15" customHeight="1" x14ac:dyDescent="0.3">
      <c r="B50" s="88"/>
      <c r="C50" s="60" t="s">
        <v>81</v>
      </c>
      <c r="D50" s="94">
        <f>'Measure 1 PreW &amp; Weather Budget'!D37+'Measure 2 EV Charging EVSE'!D36+'Measure 3 Support Public Trans.'!D36+'Measure 5 Waste Reduction'!D37+'Measure 6 Workforce Development'!D37</f>
        <v>2000</v>
      </c>
      <c r="E50" s="94">
        <f>'Measure 1 PreW &amp; Weather Budget'!E37+'Measure 2 EV Charging EVSE'!E36+'Measure 3 Support Public Trans.'!E36+'Measure 5 Waste Reduction'!E37+'Measure 6 Workforce Development'!E37</f>
        <v>0</v>
      </c>
      <c r="F50" s="94">
        <f>'Measure 1 PreW &amp; Weather Budget'!F37+'Measure 2 EV Charging EVSE'!F36+'Measure 3 Support Public Trans.'!F36+'Measure 5 Waste Reduction'!F37+'Measure 6 Workforce Development'!F37</f>
        <v>0</v>
      </c>
      <c r="G50" s="94">
        <f>'Measure 1 PreW &amp; Weather Budget'!G37+'Measure 2 EV Charging EVSE'!G36+'Measure 3 Support Public Trans.'!G36+'Measure 5 Waste Reduction'!G37+'Measure 6 Workforce Development'!G37</f>
        <v>0</v>
      </c>
      <c r="H50" s="94">
        <f>'Measure 1 PreW &amp; Weather Budget'!H37+'Measure 2 EV Charging EVSE'!H36+'Measure 3 Support Public Trans.'!H36+'Measure 5 Waste Reduction'!H37+'Measure 6 Workforce Development'!H37</f>
        <v>0</v>
      </c>
      <c r="I50"/>
    </row>
    <row r="51" spans="2:16" ht="15" customHeight="1" x14ac:dyDescent="0.3">
      <c r="B51" s="88"/>
      <c r="C51" s="60" t="s">
        <v>82</v>
      </c>
      <c r="D51" s="94">
        <f>'Measure 1 PreW &amp; Weather Budget'!D38+'Measure 2 EV Charging EVSE'!D37+'Measure 3 Support Public Trans.'!D37+'Measure 5 Waste Reduction'!D38+'Measure 6 Workforce Development'!D38</f>
        <v>2000</v>
      </c>
      <c r="E51" s="94">
        <f>'Measure 1 PreW &amp; Weather Budget'!E38+'Measure 2 EV Charging EVSE'!E37+'Measure 3 Support Public Trans.'!E37+'Measure 5 Waste Reduction'!E38+'Measure 6 Workforce Development'!E38</f>
        <v>0</v>
      </c>
      <c r="F51" s="94">
        <f>'Measure 1 PreW &amp; Weather Budget'!F38+'Measure 2 EV Charging EVSE'!F37+'Measure 3 Support Public Trans.'!F37+'Measure 5 Waste Reduction'!F38+'Measure 6 Workforce Development'!F38</f>
        <v>0</v>
      </c>
      <c r="G51" s="94">
        <f>'Measure 1 PreW &amp; Weather Budget'!G38+'Measure 2 EV Charging EVSE'!G37+'Measure 3 Support Public Trans.'!G37+'Measure 5 Waste Reduction'!G38+'Measure 6 Workforce Development'!G38</f>
        <v>0</v>
      </c>
      <c r="H51" s="94">
        <f>'Measure 1 PreW &amp; Weather Budget'!H38+'Measure 2 EV Charging EVSE'!H37+'Measure 3 Support Public Trans.'!H37+'Measure 5 Waste Reduction'!H38+'Measure 6 Workforce Development'!H38</f>
        <v>0</v>
      </c>
      <c r="I51"/>
    </row>
    <row r="52" spans="2:16" ht="15" customHeight="1" x14ac:dyDescent="0.3">
      <c r="B52" s="88"/>
      <c r="C52" s="60" t="s">
        <v>83</v>
      </c>
      <c r="D52" s="94">
        <f>'Measure 1 PreW &amp; Weather Budget'!D50+'Measure 2 EV Charging EVSE'!D48+'Measure 3 Support Public Trans.'!D49+'Measure 5 Waste Reduction'!D39+'Measure 6 Workforce Development'!D50</f>
        <v>300</v>
      </c>
      <c r="E52" s="94">
        <f>'Measure 1 PreW &amp; Weather Budget'!E50+'Measure 2 EV Charging EVSE'!E48+'Measure 3 Support Public Trans.'!E49+'Measure 5 Waste Reduction'!E39+'Measure 6 Workforce Development'!E50</f>
        <v>300</v>
      </c>
      <c r="F52" s="94">
        <f>'Measure 1 PreW &amp; Weather Budget'!F50+'Measure 2 EV Charging EVSE'!F48+'Measure 3 Support Public Trans.'!F49+'Measure 5 Waste Reduction'!F39+'Measure 6 Workforce Development'!F50</f>
        <v>300</v>
      </c>
      <c r="G52" s="94">
        <f>'Measure 1 PreW &amp; Weather Budget'!G50+'Measure 2 EV Charging EVSE'!G48+'Measure 3 Support Public Trans.'!G49+'Measure 5 Waste Reduction'!G39+'Measure 6 Workforce Development'!G50</f>
        <v>300</v>
      </c>
      <c r="H52" s="94">
        <f>'Measure 1 PreW &amp; Weather Budget'!H50+'Measure 2 EV Charging EVSE'!H48+'Measure 3 Support Public Trans.'!H49+'Measure 5 Waste Reduction'!H39+'Measure 6 Workforce Development'!H50</f>
        <v>300</v>
      </c>
      <c r="I52" s="1"/>
    </row>
    <row r="53" spans="2:16" ht="15" customHeight="1" x14ac:dyDescent="0.3">
      <c r="B53" s="88"/>
      <c r="C53" s="60" t="s">
        <v>84</v>
      </c>
      <c r="D53" s="94">
        <f>'Measure 1 PreW &amp; Weather Budget'!D51+'Measure 2 EV Charging EVSE'!D49+'Measure 3 Support Public Trans.'!D50+'Measure 5 Waste Reduction'!D40+'Measure 6 Workforce Development'!D51</f>
        <v>300</v>
      </c>
      <c r="E53" s="94">
        <f>'Measure 1 PreW &amp; Weather Budget'!E51+'Measure 2 EV Charging EVSE'!E49+'Measure 3 Support Public Trans.'!E50+'Measure 5 Waste Reduction'!E40+'Measure 6 Workforce Development'!E51</f>
        <v>300</v>
      </c>
      <c r="F53" s="94">
        <f>'Measure 1 PreW &amp; Weather Budget'!F51+'Measure 2 EV Charging EVSE'!F49+'Measure 3 Support Public Trans.'!F50+'Measure 5 Waste Reduction'!F40+'Measure 6 Workforce Development'!F51</f>
        <v>300</v>
      </c>
      <c r="G53" s="94">
        <f>'Measure 1 PreW &amp; Weather Budget'!G51+'Measure 2 EV Charging EVSE'!G49+'Measure 3 Support Public Trans.'!G50+'Measure 5 Waste Reduction'!G40+'Measure 6 Workforce Development'!G51</f>
        <v>300</v>
      </c>
      <c r="H53" s="94">
        <f>'Measure 1 PreW &amp; Weather Budget'!H51+'Measure 2 EV Charging EVSE'!H49+'Measure 3 Support Public Trans.'!H50+'Measure 5 Waste Reduction'!H40+'Measure 6 Workforce Development'!H51</f>
        <v>300</v>
      </c>
      <c r="I53"/>
    </row>
    <row r="54" spans="2:16" ht="15" customHeight="1" x14ac:dyDescent="0.3">
      <c r="B54" s="88"/>
      <c r="C54" s="60" t="s">
        <v>85</v>
      </c>
      <c r="D54" s="94">
        <f>'Measure 1 PreW &amp; Weather Budget'!D52+'Measure 2 EV Charging EVSE'!D50+'Measure 3 Support Public Trans.'!D51+'Measure 5 Waste Reduction'!D41+'Measure 6 Workforce Development'!D52</f>
        <v>300</v>
      </c>
      <c r="E54" s="94">
        <f>'Measure 1 PreW &amp; Weather Budget'!E52+'Measure 2 EV Charging EVSE'!E50+'Measure 3 Support Public Trans.'!E51+'Measure 5 Waste Reduction'!E41+'Measure 6 Workforce Development'!E52</f>
        <v>300</v>
      </c>
      <c r="F54" s="94">
        <f>'Measure 1 PreW &amp; Weather Budget'!F52+'Measure 2 EV Charging EVSE'!F50+'Measure 3 Support Public Trans.'!F51+'Measure 5 Waste Reduction'!F41+'Measure 6 Workforce Development'!F52</f>
        <v>300</v>
      </c>
      <c r="G54" s="94">
        <f>'Measure 1 PreW &amp; Weather Budget'!G52+'Measure 2 EV Charging EVSE'!G50+'Measure 3 Support Public Trans.'!G51+'Measure 5 Waste Reduction'!G41+'Measure 6 Workforce Development'!G52</f>
        <v>300</v>
      </c>
      <c r="H54" s="94">
        <f>'Measure 1 PreW &amp; Weather Budget'!H52+'Measure 2 EV Charging EVSE'!H50+'Measure 3 Support Public Trans.'!H51+'Measure 5 Waste Reduction'!H41+'Measure 6 Workforce Development'!H52</f>
        <v>300</v>
      </c>
      <c r="I54"/>
    </row>
    <row r="55" spans="2:16" ht="30" customHeight="1" x14ac:dyDescent="0.3">
      <c r="B55" s="88"/>
      <c r="C55" s="60" t="s">
        <v>113</v>
      </c>
      <c r="D55" s="94">
        <f>'Measure 1 PreW &amp; Weather Budget'!D39+'Measure 2 EV Charging EVSE'!D38+'Measure 3 Support Public Trans.'!D38+'Measure 5 Waste Reduction'!D42+'Measure 6 Workforce Development'!D39</f>
        <v>18249</v>
      </c>
      <c r="E55" s="94">
        <f>'Measure 1 PreW &amp; Weather Budget'!E39+'Measure 2 EV Charging EVSE'!E38+'Measure 3 Support Public Trans.'!E38+'Measure 5 Waste Reduction'!E42+'Measure 6 Workforce Development'!E39</f>
        <v>18249</v>
      </c>
      <c r="F55" s="94">
        <f>'Measure 1 PreW &amp; Weather Budget'!F39+'Measure 2 EV Charging EVSE'!F38+'Measure 3 Support Public Trans.'!F38+'Measure 5 Waste Reduction'!F42+'Measure 6 Workforce Development'!F39</f>
        <v>18249</v>
      </c>
      <c r="G55" s="94">
        <f>'Measure 1 PreW &amp; Weather Budget'!G39+'Measure 2 EV Charging EVSE'!G38+'Measure 3 Support Public Trans.'!G38+'Measure 5 Waste Reduction'!G42+'Measure 6 Workforce Development'!G39</f>
        <v>18249</v>
      </c>
      <c r="H55" s="94">
        <f>'Measure 1 PreW &amp; Weather Budget'!H39+'Measure 2 EV Charging EVSE'!H38+'Measure 3 Support Public Trans.'!H38+'Measure 5 Waste Reduction'!H42+'Measure 6 Workforce Development'!H39</f>
        <v>18249</v>
      </c>
      <c r="I55"/>
    </row>
    <row r="56" spans="2:16" ht="15" customHeight="1" x14ac:dyDescent="0.3">
      <c r="C56" s="58" t="s">
        <v>116</v>
      </c>
      <c r="D56" s="94">
        <f>SUM('Measure 1 PreW &amp; Weather Budget'!D54+'Measure 2 EV Charging EVSE'!D52+'Measure 3 Support Public Trans.'!D53+'Measure 5 Waste Reduction'!D54+'Measure 6 Workforce Development'!D54)</f>
        <v>12663</v>
      </c>
      <c r="E56" s="94">
        <f>SUM('Measure 1 PreW &amp; Weather Budget'!E54+'Measure 2 EV Charging EVSE'!E52+'Measure 3 Support Public Trans.'!E53+'Measure 5 Waste Reduction'!E54+'Measure 6 Workforce Development'!E54)</f>
        <v>12663</v>
      </c>
      <c r="F56" s="94">
        <f>SUM('Measure 1 PreW &amp; Weather Budget'!F54+'Measure 2 EV Charging EVSE'!F52+'Measure 3 Support Public Trans.'!F53+'Measure 5 Waste Reduction'!F54+'Measure 6 Workforce Development'!F54)</f>
        <v>12663</v>
      </c>
      <c r="G56" s="94">
        <f>SUM('Measure 1 PreW &amp; Weather Budget'!G54+'Measure 2 EV Charging EVSE'!G52+'Measure 3 Support Public Trans.'!G53+'Measure 5 Waste Reduction'!G54+'Measure 6 Workforce Development'!G54)</f>
        <v>12663</v>
      </c>
      <c r="H56" s="94">
        <f>SUM('Measure 1 PreW &amp; Weather Budget'!H54+'Measure 2 EV Charging EVSE'!H52+'Measure 3 Support Public Trans.'!H53+'Measure 5 Waste Reduction'!H54+'Measure 6 Workforce Development'!H54)</f>
        <v>12663</v>
      </c>
      <c r="I56" s="94"/>
      <c r="J56" s="108" t="s">
        <v>121</v>
      </c>
      <c r="K56" s="109"/>
      <c r="L56" s="109"/>
      <c r="M56" s="109"/>
      <c r="N56" s="110"/>
    </row>
    <row r="57" spans="2:16" ht="15" customHeight="1" x14ac:dyDescent="0.3">
      <c r="C57" s="60" t="s">
        <v>120</v>
      </c>
      <c r="D57" s="59">
        <f>'Measure 1 PreW &amp; Weather Budget'!D49+'Measure 2 EV Charging EVSE'!D47+'Measure 3 Support Public Trans.'!D48+'Measure 5 Waste Reduction'!D52+'Measure 6 Workforce Development'!D49</f>
        <v>19055.487713184</v>
      </c>
      <c r="E57" s="94">
        <f>'Measure 1 PreW &amp; Weather Budget'!E49+'Measure 2 EV Charging EVSE'!E47+'Measure 3 Support Public Trans.'!E48+'Measure 5 Waste Reduction'!E52+'Measure 6 Workforce Development'!E49</f>
        <v>19871.155448235</v>
      </c>
      <c r="F57" s="94">
        <f>'Measure 1 PreW &amp; Weather Budget'!F49+'Measure 2 EV Charging EVSE'!F47+'Measure 3 Support Public Trans.'!F48+'Measure 5 Waste Reduction'!F52+'Measure 6 Workforce Development'!F49</f>
        <v>20714.179921110001</v>
      </c>
      <c r="G57" s="94">
        <f>'Measure 1 PreW &amp; Weather Budget'!G49+'Measure 2 EV Charging EVSE'!G47+'Measure 3 Support Public Trans.'!G48+'Measure 5 Waste Reduction'!G52+'Measure 6 Workforce Development'!G49</f>
        <v>21589.975486170002</v>
      </c>
      <c r="H57" s="94">
        <f>'Measure 1 PreW &amp; Weather Budget'!H49+'Measure 2 EV Charging EVSE'!H47+'Measure 3 Support Public Trans.'!H48+'Measure 5 Waste Reduction'!H52+'Measure 6 Workforce Development'!H49</f>
        <v>22552.590698352</v>
      </c>
      <c r="I57" s="94"/>
      <c r="J57" s="101">
        <f>D57/SUM(D7:D8)</f>
        <v>0.06</v>
      </c>
      <c r="K57" s="101">
        <f>E57/SUM(E7:E8)</f>
        <v>6.0000000000000005E-2</v>
      </c>
      <c r="L57" s="101">
        <f>F57/SUM(F7:F8)</f>
        <v>0.06</v>
      </c>
      <c r="M57" s="101">
        <f>G57/SUM(G7:G8)</f>
        <v>0.06</v>
      </c>
      <c r="N57" s="101">
        <f>H57/SUM(H7:H8)</f>
        <v>5.9999999999999991E-2</v>
      </c>
      <c r="O57" s="100"/>
      <c r="P57" s="100"/>
    </row>
    <row r="58" spans="2:16" ht="15" customHeight="1" x14ac:dyDescent="0.3">
      <c r="C58" s="58" t="s">
        <v>126</v>
      </c>
      <c r="D58" s="94">
        <f>'Measure 1 PreW &amp; Weather Budget'!D53+'Measure 2 EV Charging EVSE'!D51+'Measure 3 Support Public Trans.'!D52+'Measure 4 DrinkWasteH20 Energy'!D28+'Measure 5 Waste Reduction'!D53+'Measure 6 Workforce Development'!D53</f>
        <v>49999.998999999996</v>
      </c>
      <c r="E58" s="94">
        <f>'Measure 1 PreW &amp; Weather Budget'!E53+'Measure 2 EV Charging EVSE'!E51+'Measure 3 Support Public Trans.'!E52+'Measure 4 DrinkWasteH20 Energy'!E28+'Measure 5 Waste Reduction'!E53+'Measure 6 Workforce Development'!E53</f>
        <v>49999.998999999996</v>
      </c>
      <c r="F58" s="94">
        <f>'Measure 1 PreW &amp; Weather Budget'!F53+'Measure 2 EV Charging EVSE'!F51+'Measure 3 Support Public Trans.'!F52+'Measure 4 DrinkWasteH20 Energy'!F28+'Measure 5 Waste Reduction'!F53+'Measure 6 Workforce Development'!F53</f>
        <v>49999.998999999996</v>
      </c>
      <c r="G58" s="94">
        <f>'Measure 1 PreW &amp; Weather Budget'!G53+'Measure 2 EV Charging EVSE'!G51+'Measure 3 Support Public Trans.'!G52+'Measure 4 DrinkWasteH20 Energy'!G28+'Measure 5 Waste Reduction'!G53+'Measure 6 Workforce Development'!G53</f>
        <v>49999.998999999996</v>
      </c>
      <c r="H58" s="94">
        <f>'Measure 1 PreW &amp; Weather Budget'!H53+'Measure 2 EV Charging EVSE'!H51+'Measure 3 Support Public Trans.'!H52+'Measure 4 DrinkWasteH20 Energy'!H28+'Measure 5 Waste Reduction'!H53+'Measure 6 Workforce Development'!H53</f>
        <v>49999.998999999996</v>
      </c>
    </row>
    <row r="59" spans="2:16" ht="27" customHeight="1" x14ac:dyDescent="0.3">
      <c r="C59" s="58" t="s">
        <v>132</v>
      </c>
      <c r="D59" s="94">
        <f>'Measure 1 PreW &amp; Weather Budget'!D55+'Measure 2 EV Charging EVSE'!D53+'Measure 3 Support Public Trans.'!D54+'Measure 4 DrinkWasteH20 Energy'!D34+'Measure 5 Waste Reduction'!D55+'Measure 6 Workforce Development'!D55</f>
        <v>96.4</v>
      </c>
      <c r="E59" s="94">
        <f>'Measure 1 PreW &amp; Weather Budget'!E55+'Measure 2 EV Charging EVSE'!E53+'Measure 3 Support Public Trans.'!E54+'Measure 4 DrinkWasteH20 Energy'!E34+'Measure 5 Waste Reduction'!E55+'Measure 6 Workforce Development'!E55</f>
        <v>96.4</v>
      </c>
      <c r="F59" s="94">
        <f>'Measure 1 PreW &amp; Weather Budget'!F55+'Measure 2 EV Charging EVSE'!F53+'Measure 3 Support Public Trans.'!F54+'Measure 4 DrinkWasteH20 Energy'!F34+'Measure 5 Waste Reduction'!F55+'Measure 6 Workforce Development'!F55</f>
        <v>96.4</v>
      </c>
      <c r="G59" s="94">
        <f>'Measure 1 PreW &amp; Weather Budget'!G55+'Measure 2 EV Charging EVSE'!G53+'Measure 3 Support Public Trans.'!G54+'Measure 4 DrinkWasteH20 Energy'!G34+'Measure 5 Waste Reduction'!G55+'Measure 6 Workforce Development'!G55</f>
        <v>96.4</v>
      </c>
      <c r="H59" s="94">
        <f>'Measure 1 PreW &amp; Weather Budget'!H55+'Measure 2 EV Charging EVSE'!H53+'Measure 3 Support Public Trans.'!H54+'Measure 4 DrinkWasteH20 Energy'!H34+'Measure 5 Waste Reduction'!H55+'Measure 6 Workforce Development'!H55</f>
        <v>96.4</v>
      </c>
    </row>
    <row r="60" spans="2:16" ht="15" customHeight="1" x14ac:dyDescent="0.3">
      <c r="C60" s="58" t="s">
        <v>139</v>
      </c>
      <c r="D60" s="94">
        <f>'Measure 1 PreW &amp; Weather Budget'!D27+'Measure 2 EV Charging EVSE'!D27+'Measure 3 Support Public Trans.'!D27+'Measure 5 Waste Reduction'!D27+'Measure 6 Workforce Development'!D27</f>
        <v>3400</v>
      </c>
      <c r="E60" s="94">
        <f>'Measure 1 PreW &amp; Weather Budget'!E27+'Measure 2 EV Charging EVSE'!E27+'Measure 3 Support Public Trans.'!E27+'Measure 5 Waste Reduction'!E27+'Measure 6 Workforce Development'!E27</f>
        <v>3400</v>
      </c>
      <c r="F60" s="94">
        <f>'Measure 1 PreW &amp; Weather Budget'!F27+'Measure 2 EV Charging EVSE'!F27+'Measure 3 Support Public Trans.'!F27+'Measure 5 Waste Reduction'!F27+'Measure 6 Workforce Development'!F27</f>
        <v>3400</v>
      </c>
      <c r="G60" s="94">
        <f>'Measure 1 PreW &amp; Weather Budget'!G27+'Measure 2 EV Charging EVSE'!G27+'Measure 3 Support Public Trans.'!G27+'Measure 5 Waste Reduction'!G27+'Measure 6 Workforce Development'!G27</f>
        <v>3400</v>
      </c>
      <c r="H60" s="94">
        <f>'Measure 1 PreW &amp; Weather Budget'!H27+'Measure 2 EV Charging EVSE'!H27+'Measure 3 Support Public Trans.'!H27+'Measure 5 Waste Reduction'!H27+'Measure 6 Workforce Development'!H27</f>
        <v>1500</v>
      </c>
    </row>
  </sheetData>
  <mergeCells count="12">
    <mergeCell ref="J56:N56"/>
    <mergeCell ref="B3:J3"/>
    <mergeCell ref="E27:F27"/>
    <mergeCell ref="E28:F28"/>
    <mergeCell ref="E29:F29"/>
    <mergeCell ref="E20:F20"/>
    <mergeCell ref="E21:F21"/>
    <mergeCell ref="E22:F22"/>
    <mergeCell ref="E23:F23"/>
    <mergeCell ref="E24:F24"/>
    <mergeCell ref="E26:F26"/>
    <mergeCell ref="E25:F25"/>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78"/>
  <sheetViews>
    <sheetView showGridLines="0" topLeftCell="A43" zoomScale="85" zoomScaleNormal="85" workbookViewId="0">
      <selection activeCell="D48" sqref="D48"/>
    </sheetView>
  </sheetViews>
  <sheetFormatPr defaultColWidth="9.109375" defaultRowHeight="14.4" x14ac:dyDescent="0.3"/>
  <cols>
    <col min="1" max="1" width="3.109375" customWidth="1"/>
    <col min="2" max="2" width="10.109375" customWidth="1"/>
    <col min="3" max="3" width="46" customWidth="1"/>
    <col min="4" max="4" width="12.441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3.5546875" customWidth="1"/>
    <col min="12" max="12" width="14.88671875" bestFit="1" customWidth="1"/>
    <col min="13" max="13" width="12.6640625" bestFit="1" customWidth="1"/>
    <col min="14" max="14" width="11.33203125" bestFit="1" customWidth="1"/>
  </cols>
  <sheetData>
    <row r="2" spans="2:39" ht="23.4" x14ac:dyDescent="0.45">
      <c r="B2" s="24" t="s">
        <v>89</v>
      </c>
    </row>
    <row r="3" spans="2:39" x14ac:dyDescent="0.3">
      <c r="B3" s="5" t="s">
        <v>28</v>
      </c>
    </row>
    <row r="4" spans="2:39" x14ac:dyDescent="0.3">
      <c r="B4" s="5"/>
    </row>
    <row r="5" spans="2:39" ht="18" x14ac:dyDescent="0.35">
      <c r="B5" s="30" t="s">
        <v>1</v>
      </c>
      <c r="C5" s="31"/>
      <c r="D5" s="31"/>
      <c r="E5" s="31"/>
      <c r="F5" s="31"/>
      <c r="G5" s="31"/>
      <c r="H5" s="31"/>
      <c r="I5" s="31"/>
      <c r="J5" s="32"/>
    </row>
    <row r="6" spans="2:39" ht="28.8" x14ac:dyDescent="0.3">
      <c r="B6" s="33" t="s">
        <v>2</v>
      </c>
      <c r="C6" s="33" t="s">
        <v>3</v>
      </c>
      <c r="D6" s="33" t="s">
        <v>4</v>
      </c>
      <c r="E6" s="34" t="s">
        <v>5</v>
      </c>
      <c r="F6" s="34" t="s">
        <v>6</v>
      </c>
      <c r="G6" s="34" t="s">
        <v>7</v>
      </c>
      <c r="H6" s="35" t="s">
        <v>8</v>
      </c>
      <c r="I6" s="36"/>
      <c r="J6" s="37" t="s">
        <v>9</v>
      </c>
    </row>
    <row r="7" spans="2:39" s="5" customFormat="1" ht="28.8" x14ac:dyDescent="0.3">
      <c r="B7" s="57" t="s">
        <v>10</v>
      </c>
      <c r="C7" s="74" t="s">
        <v>42</v>
      </c>
      <c r="D7" s="10">
        <f>15000000/40000000</f>
        <v>0.375</v>
      </c>
      <c r="E7" s="10">
        <f>15000000/40000000</f>
        <v>0.375</v>
      </c>
      <c r="F7" s="10">
        <f>15000000/40000000</f>
        <v>0.375</v>
      </c>
      <c r="G7" s="10">
        <f>15000000/40000000</f>
        <v>0.375</v>
      </c>
      <c r="H7" s="10">
        <f>15000000/40000000</f>
        <v>0.375</v>
      </c>
      <c r="I7" s="7"/>
      <c r="J7" s="8" t="s">
        <v>30</v>
      </c>
      <c r="K7"/>
      <c r="L7"/>
      <c r="M7"/>
      <c r="N7"/>
      <c r="O7"/>
      <c r="P7"/>
      <c r="Q7"/>
      <c r="R7"/>
      <c r="S7"/>
      <c r="T7"/>
      <c r="U7"/>
      <c r="V7"/>
      <c r="W7"/>
      <c r="X7"/>
      <c r="Y7"/>
      <c r="Z7"/>
      <c r="AA7"/>
      <c r="AB7"/>
      <c r="AC7"/>
      <c r="AD7"/>
      <c r="AE7"/>
      <c r="AF7"/>
      <c r="AG7"/>
      <c r="AH7"/>
      <c r="AI7"/>
      <c r="AJ7"/>
      <c r="AK7"/>
      <c r="AL7"/>
      <c r="AM7"/>
    </row>
    <row r="8" spans="2:39" ht="43.2" x14ac:dyDescent="0.3">
      <c r="B8" s="19"/>
      <c r="C8" s="60" t="s">
        <v>93</v>
      </c>
      <c r="D8" s="61">
        <f>(33.47*1950)*D7*1.02</f>
        <v>24964.436249999999</v>
      </c>
      <c r="E8" s="61">
        <f>(34.92*1950)*E7*1.02</f>
        <v>26045.955000000002</v>
      </c>
      <c r="F8" s="61">
        <f>(36.49*1950)*F7*1.02</f>
        <v>27216.978750000002</v>
      </c>
      <c r="G8" s="61">
        <f>(38.09*1950)*G7*1.02</f>
        <v>28410.37875</v>
      </c>
      <c r="H8" s="61">
        <f>(39.9*1950)*H7*1.02</f>
        <v>29760.412500000002</v>
      </c>
      <c r="I8" s="62"/>
      <c r="J8" s="61">
        <f>SUM(D8:H8)</f>
        <v>136398.16125</v>
      </c>
    </row>
    <row r="9" spans="2:39" ht="43.2" x14ac:dyDescent="0.3">
      <c r="B9" s="19"/>
      <c r="C9" s="60" t="s">
        <v>95</v>
      </c>
      <c r="D9" s="61">
        <f>(30.72*1950)*D7*1.02</f>
        <v>22913.279999999999</v>
      </c>
      <c r="E9" s="61">
        <f>(32.09*1950)*E7*1.02</f>
        <v>23935.128750000003</v>
      </c>
      <c r="F9" s="61">
        <f>(33.47*1950)*F7*1.02</f>
        <v>24964.436249999999</v>
      </c>
      <c r="G9" s="61">
        <f>(34.92*1950)*G7*1.02</f>
        <v>26045.955000000002</v>
      </c>
      <c r="H9" s="61">
        <f>(36.49*1950)*H7*1.02</f>
        <v>27216.978750000002</v>
      </c>
      <c r="I9" s="63"/>
      <c r="J9" s="61">
        <f>SUM(D9:H9)</f>
        <v>125075.77875</v>
      </c>
    </row>
    <row r="10" spans="2:39" ht="43.2" x14ac:dyDescent="0.3">
      <c r="B10" s="19"/>
      <c r="C10" s="60" t="s">
        <v>96</v>
      </c>
      <c r="D10" s="61">
        <f>(30.72*1950)*D7*1.02</f>
        <v>22913.279999999999</v>
      </c>
      <c r="E10" s="61">
        <f>(32.09*1950)*E7*1.02</f>
        <v>23935.128750000003</v>
      </c>
      <c r="F10" s="61">
        <f>(33.47*1950)*F7*1.02</f>
        <v>24964.436249999999</v>
      </c>
      <c r="G10" s="61">
        <f>(34.92*1950)*G7*1.02</f>
        <v>26045.955000000002</v>
      </c>
      <c r="H10" s="61">
        <f>(36.49*1950)*H7*1.02</f>
        <v>27216.978750000002</v>
      </c>
      <c r="I10" s="63"/>
      <c r="J10" s="61">
        <f>SUM(D10:H10)</f>
        <v>125075.77875</v>
      </c>
    </row>
    <row r="11" spans="2:39" ht="42.6" customHeight="1" x14ac:dyDescent="0.3">
      <c r="B11" s="19"/>
      <c r="C11" s="60" t="s">
        <v>127</v>
      </c>
      <c r="D11" s="61">
        <f>(43.65*1950)*D7*0.05*1.02</f>
        <v>1627.8721875000001</v>
      </c>
      <c r="E11" s="61">
        <f>(45.72*1950)*E7*0.05*1.02</f>
        <v>1705.07025</v>
      </c>
      <c r="F11" s="61">
        <f>(47.87*1950)*F7*0.05*1.02</f>
        <v>1785.2518125000001</v>
      </c>
      <c r="G11" s="61">
        <f>(50.07*1950)*G7*0.05*1.02</f>
        <v>1867.2980625</v>
      </c>
      <c r="H11" s="61">
        <f>(52.41*1950)*H7*0.05*1.02</f>
        <v>1954.5654375000001</v>
      </c>
      <c r="I11" s="63"/>
      <c r="J11" s="61">
        <f>SUM(D11:H11)</f>
        <v>8940.0577499999999</v>
      </c>
    </row>
    <row r="12" spans="2:39" ht="43.2" x14ac:dyDescent="0.3">
      <c r="B12" s="19"/>
      <c r="C12" s="60" t="s">
        <v>128</v>
      </c>
      <c r="D12" s="61">
        <f>(64.23*1950)*0.05*D7*1.02</f>
        <v>2395.3775625000003</v>
      </c>
      <c r="E12" s="61">
        <f>(64.23*1950)*0.05*E7*1.02</f>
        <v>2395.3775625000003</v>
      </c>
      <c r="F12" s="61">
        <f>(64.23*1950)*0.05*F7*1.02</f>
        <v>2395.3775625000003</v>
      </c>
      <c r="G12" s="61">
        <f>(64.23*1950)*0.05*G7*1.02</f>
        <v>2395.3775625000003</v>
      </c>
      <c r="H12" s="61">
        <f>(64.23*1950)*0.05*H7*1.02</f>
        <v>2395.3775625000003</v>
      </c>
      <c r="I12" s="63"/>
      <c r="J12" s="61">
        <f>SUM(D12:H12)</f>
        <v>11976.887812500001</v>
      </c>
    </row>
    <row r="13" spans="2:39" x14ac:dyDescent="0.3">
      <c r="B13" s="19"/>
      <c r="C13" s="9" t="s">
        <v>11</v>
      </c>
      <c r="D13" s="65">
        <f>SUM(D8:D12)</f>
        <v>74814.245999999999</v>
      </c>
      <c r="E13" s="65">
        <f>SUM(E8:E12)</f>
        <v>78016.660312500011</v>
      </c>
      <c r="F13" s="65">
        <f>SUM(F8:F12)</f>
        <v>81326.480625000011</v>
      </c>
      <c r="G13" s="65">
        <f>SUM(G8:G12)</f>
        <v>84764.96437500001</v>
      </c>
      <c r="H13" s="65">
        <f>SUM(H8:H12)</f>
        <v>88544.312999999995</v>
      </c>
      <c r="I13"/>
      <c r="J13" s="65">
        <f>SUM(J8:J12)</f>
        <v>407466.66431249998</v>
      </c>
    </row>
    <row r="14" spans="2:39" x14ac:dyDescent="0.3">
      <c r="B14" s="19"/>
      <c r="C14" s="12" t="s">
        <v>31</v>
      </c>
      <c r="D14" s="11" t="s">
        <v>30</v>
      </c>
      <c r="E14" s="10"/>
      <c r="F14" s="10"/>
      <c r="G14" s="10"/>
      <c r="H14" s="10"/>
      <c r="J14" s="8" t="s">
        <v>30</v>
      </c>
    </row>
    <row r="15" spans="2:39" ht="28.8" x14ac:dyDescent="0.3">
      <c r="B15" s="19"/>
      <c r="C15" s="60" t="s">
        <v>99</v>
      </c>
      <c r="D15" s="61">
        <f t="shared" ref="D15:H19" si="0">D8*0.5273</f>
        <v>13163.747234625</v>
      </c>
      <c r="E15" s="61">
        <f t="shared" si="0"/>
        <v>13734.0320715</v>
      </c>
      <c r="F15" s="61">
        <f t="shared" si="0"/>
        <v>14351.512894875001</v>
      </c>
      <c r="G15" s="61">
        <f t="shared" si="0"/>
        <v>14980.792714875</v>
      </c>
      <c r="H15" s="61">
        <f t="shared" si="0"/>
        <v>15692.665511250001</v>
      </c>
      <c r="I15" s="63"/>
      <c r="J15" s="61">
        <f>SUM(D15:H15)</f>
        <v>71922.750427124993</v>
      </c>
    </row>
    <row r="16" spans="2:39" ht="28.8" x14ac:dyDescent="0.3">
      <c r="B16" s="19"/>
      <c r="C16" s="60" t="s">
        <v>100</v>
      </c>
      <c r="D16" s="61">
        <f t="shared" si="0"/>
        <v>12082.172543999999</v>
      </c>
      <c r="E16" s="61">
        <f t="shared" si="0"/>
        <v>12620.993389875002</v>
      </c>
      <c r="F16" s="61">
        <f t="shared" si="0"/>
        <v>13163.747234625</v>
      </c>
      <c r="G16" s="61">
        <f t="shared" si="0"/>
        <v>13734.0320715</v>
      </c>
      <c r="H16" s="61">
        <f t="shared" si="0"/>
        <v>14351.512894875001</v>
      </c>
      <c r="I16" s="63"/>
      <c r="J16" s="61">
        <f t="shared" ref="J16:J24" si="1">SUM(D16:H16)</f>
        <v>65952.458134875007</v>
      </c>
    </row>
    <row r="17" spans="2:10" ht="28.8" x14ac:dyDescent="0.3">
      <c r="B17" s="19"/>
      <c r="C17" s="73" t="s">
        <v>101</v>
      </c>
      <c r="D17" s="61">
        <f t="shared" si="0"/>
        <v>12082.172543999999</v>
      </c>
      <c r="E17" s="61">
        <f t="shared" si="0"/>
        <v>12620.993389875002</v>
      </c>
      <c r="F17" s="61">
        <f t="shared" si="0"/>
        <v>13163.747234625</v>
      </c>
      <c r="G17" s="61">
        <f t="shared" si="0"/>
        <v>13734.0320715</v>
      </c>
      <c r="H17" s="61">
        <f t="shared" si="0"/>
        <v>14351.512894875001</v>
      </c>
      <c r="I17" s="63"/>
      <c r="J17" s="61">
        <f>SUM(D17:H17)</f>
        <v>65952.458134875007</v>
      </c>
    </row>
    <row r="18" spans="2:10" ht="28.8" x14ac:dyDescent="0.3">
      <c r="B18" s="19"/>
      <c r="C18" s="73" t="s">
        <v>102</v>
      </c>
      <c r="D18" s="61">
        <f t="shared" si="0"/>
        <v>858.37700446874999</v>
      </c>
      <c r="E18" s="61">
        <f t="shared" si="0"/>
        <v>899.08354282499999</v>
      </c>
      <c r="F18" s="61">
        <f t="shared" si="0"/>
        <v>941.36328073125003</v>
      </c>
      <c r="G18" s="61">
        <f t="shared" si="0"/>
        <v>984.62626835624997</v>
      </c>
      <c r="H18" s="61">
        <f t="shared" si="0"/>
        <v>1030.6423551937501</v>
      </c>
      <c r="I18" s="63"/>
      <c r="J18" s="61">
        <f>SUM(D18:H18)</f>
        <v>4714.0924515750003</v>
      </c>
    </row>
    <row r="19" spans="2:10" ht="28.8" x14ac:dyDescent="0.3">
      <c r="B19" s="19"/>
      <c r="C19" s="73" t="s">
        <v>103</v>
      </c>
      <c r="D19" s="61">
        <f t="shared" si="0"/>
        <v>1263.0825887062501</v>
      </c>
      <c r="E19" s="61">
        <f t="shared" si="0"/>
        <v>1263.0825887062501</v>
      </c>
      <c r="F19" s="61">
        <f t="shared" si="0"/>
        <v>1263.0825887062501</v>
      </c>
      <c r="G19" s="61">
        <f t="shared" si="0"/>
        <v>1263.0825887062501</v>
      </c>
      <c r="H19" s="61">
        <f t="shared" si="0"/>
        <v>1263.0825887062501</v>
      </c>
      <c r="I19" s="63"/>
      <c r="J19" s="61">
        <f t="shared" si="1"/>
        <v>6315.4129435312507</v>
      </c>
    </row>
    <row r="20" spans="2:10" ht="28.8" x14ac:dyDescent="0.3">
      <c r="B20" s="19"/>
      <c r="C20" s="60" t="s">
        <v>104</v>
      </c>
      <c r="D20" s="61">
        <f t="shared" ref="D20:H24" si="2">D8*0.0646</f>
        <v>1612.70258175</v>
      </c>
      <c r="E20" s="61">
        <f t="shared" si="2"/>
        <v>1682.5686930000002</v>
      </c>
      <c r="F20" s="61">
        <f t="shared" si="2"/>
        <v>1758.2168272500003</v>
      </c>
      <c r="G20" s="61">
        <f t="shared" si="2"/>
        <v>1835.3104672500001</v>
      </c>
      <c r="H20" s="61">
        <f t="shared" si="2"/>
        <v>1922.5226475000002</v>
      </c>
      <c r="I20" s="63"/>
      <c r="J20" s="61">
        <f t="shared" si="1"/>
        <v>8811.3212167500005</v>
      </c>
    </row>
    <row r="21" spans="2:10" ht="28.8" x14ac:dyDescent="0.3">
      <c r="B21" s="19"/>
      <c r="C21" s="60" t="s">
        <v>105</v>
      </c>
      <c r="D21" s="61">
        <f t="shared" si="2"/>
        <v>1480.1978879999999</v>
      </c>
      <c r="E21" s="61">
        <f t="shared" si="2"/>
        <v>1546.2093172500004</v>
      </c>
      <c r="F21" s="61">
        <f t="shared" si="2"/>
        <v>1612.70258175</v>
      </c>
      <c r="G21" s="61">
        <f t="shared" si="2"/>
        <v>1682.5686930000002</v>
      </c>
      <c r="H21" s="61">
        <f t="shared" si="2"/>
        <v>1758.2168272500003</v>
      </c>
      <c r="I21" s="63"/>
      <c r="J21" s="61">
        <f t="shared" si="1"/>
        <v>8079.8953072500008</v>
      </c>
    </row>
    <row r="22" spans="2:10" ht="28.8" x14ac:dyDescent="0.3">
      <c r="B22" s="19"/>
      <c r="C22" s="73" t="s">
        <v>106</v>
      </c>
      <c r="D22" s="61">
        <f t="shared" si="2"/>
        <v>1480.1978879999999</v>
      </c>
      <c r="E22" s="61">
        <f t="shared" si="2"/>
        <v>1546.2093172500004</v>
      </c>
      <c r="F22" s="61">
        <f t="shared" si="2"/>
        <v>1612.70258175</v>
      </c>
      <c r="G22" s="61">
        <f t="shared" si="2"/>
        <v>1682.5686930000002</v>
      </c>
      <c r="H22" s="61">
        <f t="shared" si="2"/>
        <v>1758.2168272500003</v>
      </c>
      <c r="I22" s="63"/>
      <c r="J22" s="61">
        <f t="shared" si="1"/>
        <v>8079.8953072500008</v>
      </c>
    </row>
    <row r="23" spans="2:10" ht="28.8" x14ac:dyDescent="0.3">
      <c r="B23" s="19"/>
      <c r="C23" s="73" t="s">
        <v>107</v>
      </c>
      <c r="D23" s="61">
        <f t="shared" si="2"/>
        <v>105.16054331250001</v>
      </c>
      <c r="E23" s="61">
        <f t="shared" si="2"/>
        <v>110.14753815</v>
      </c>
      <c r="F23" s="61">
        <f t="shared" si="2"/>
        <v>115.32726708750002</v>
      </c>
      <c r="G23" s="61">
        <f t="shared" si="2"/>
        <v>120.62745483750001</v>
      </c>
      <c r="H23" s="61">
        <f t="shared" si="2"/>
        <v>126.26492726250002</v>
      </c>
      <c r="I23" s="63"/>
      <c r="J23" s="61">
        <f t="shared" si="1"/>
        <v>577.52773065000008</v>
      </c>
    </row>
    <row r="24" spans="2:10" ht="28.8" x14ac:dyDescent="0.3">
      <c r="B24" s="19"/>
      <c r="C24" s="73" t="s">
        <v>108</v>
      </c>
      <c r="D24" s="61">
        <f t="shared" si="2"/>
        <v>154.74139053750002</v>
      </c>
      <c r="E24" s="61">
        <f t="shared" si="2"/>
        <v>154.74139053750002</v>
      </c>
      <c r="F24" s="61">
        <f t="shared" si="2"/>
        <v>154.74139053750002</v>
      </c>
      <c r="G24" s="61">
        <f t="shared" si="2"/>
        <v>154.74139053750002</v>
      </c>
      <c r="H24" s="61">
        <f t="shared" si="2"/>
        <v>154.74139053750002</v>
      </c>
      <c r="I24" s="63"/>
      <c r="J24" s="61">
        <f t="shared" si="1"/>
        <v>773.70695268750012</v>
      </c>
    </row>
    <row r="25" spans="2:10" x14ac:dyDescent="0.3">
      <c r="B25" s="19"/>
      <c r="C25" s="9" t="s">
        <v>12</v>
      </c>
      <c r="D25" s="65">
        <f>SUM(D15:D24)</f>
        <v>44282.552207400011</v>
      </c>
      <c r="E25" s="65">
        <f>SUM(E15:E24)</f>
        <v>46178.061238968759</v>
      </c>
      <c r="F25" s="65">
        <f>SUM(F15:F24)</f>
        <v>48137.143881937511</v>
      </c>
      <c r="G25" s="65">
        <f>SUM(G15:G24)</f>
        <v>50172.382413562504</v>
      </c>
      <c r="H25" s="65">
        <f>SUM(H15:H24)</f>
        <v>52409.378864699996</v>
      </c>
      <c r="I25"/>
      <c r="J25" s="65">
        <f>SUM(J15:J24)</f>
        <v>241179.51860656877</v>
      </c>
    </row>
    <row r="26" spans="2:10" x14ac:dyDescent="0.3">
      <c r="B26" s="19"/>
      <c r="C26" s="12" t="s">
        <v>32</v>
      </c>
      <c r="D26" s="11" t="s">
        <v>30</v>
      </c>
      <c r="E26" s="10"/>
      <c r="F26" s="10"/>
      <c r="G26" s="10"/>
      <c r="H26" s="10"/>
      <c r="J26" s="8" t="s">
        <v>30</v>
      </c>
    </row>
    <row r="27" spans="2:10" ht="43.2" x14ac:dyDescent="0.3">
      <c r="B27" s="19"/>
      <c r="C27" s="58" t="s">
        <v>59</v>
      </c>
      <c r="D27" s="66">
        <v>500</v>
      </c>
      <c r="E27" s="66">
        <v>500</v>
      </c>
      <c r="F27" s="66">
        <v>500</v>
      </c>
      <c r="G27" s="66">
        <v>500</v>
      </c>
      <c r="H27" s="66">
        <v>500</v>
      </c>
      <c r="I27"/>
      <c r="J27" s="59"/>
    </row>
    <row r="28" spans="2:10" ht="28.8" x14ac:dyDescent="0.3">
      <c r="B28" s="19"/>
      <c r="C28" s="58" t="s">
        <v>94</v>
      </c>
      <c r="D28" s="59">
        <f>D27*0.67</f>
        <v>335</v>
      </c>
      <c r="E28" s="59">
        <f>E27*0.67</f>
        <v>335</v>
      </c>
      <c r="F28" s="59">
        <f>F27*0.67</f>
        <v>335</v>
      </c>
      <c r="G28" s="59">
        <f>G27*0.67</f>
        <v>335</v>
      </c>
      <c r="H28" s="59">
        <f>H27*0.67</f>
        <v>335</v>
      </c>
      <c r="I28" s="28"/>
      <c r="J28" s="59">
        <f>SUM(D28:H28)</f>
        <v>1675</v>
      </c>
    </row>
    <row r="29" spans="2:10" x14ac:dyDescent="0.3">
      <c r="B29" s="19"/>
      <c r="C29" s="58" t="s">
        <v>39</v>
      </c>
      <c r="D29" s="59">
        <v>80</v>
      </c>
      <c r="E29" s="59">
        <v>80</v>
      </c>
      <c r="F29" s="59">
        <v>80</v>
      </c>
      <c r="G29" s="59">
        <v>80</v>
      </c>
      <c r="H29" s="59">
        <v>80</v>
      </c>
      <c r="I29" s="28"/>
      <c r="J29" s="59">
        <f t="shared" ref="J29" si="3">SUM(D29:H29)</f>
        <v>400</v>
      </c>
    </row>
    <row r="30" spans="2:10" ht="28.8" x14ac:dyDescent="0.3">
      <c r="B30" s="19"/>
      <c r="C30" s="84" t="s">
        <v>140</v>
      </c>
      <c r="D30" s="59">
        <f>2000*D7</f>
        <v>750</v>
      </c>
      <c r="E30" s="59">
        <f t="shared" ref="E30:H30" si="4">2000*E7</f>
        <v>750</v>
      </c>
      <c r="F30" s="59">
        <f t="shared" si="4"/>
        <v>750</v>
      </c>
      <c r="G30" s="59">
        <f t="shared" si="4"/>
        <v>750</v>
      </c>
      <c r="H30" s="59">
        <f t="shared" si="4"/>
        <v>750</v>
      </c>
      <c r="I30" s="28"/>
      <c r="J30" s="59">
        <f t="shared" ref="J30" si="5">SUM(D30:H30)</f>
        <v>3750</v>
      </c>
    </row>
    <row r="31" spans="2:10" x14ac:dyDescent="0.3">
      <c r="B31" s="19"/>
      <c r="C31" s="9" t="s">
        <v>13</v>
      </c>
      <c r="D31" s="65">
        <f>SUM(D28:D30)</f>
        <v>1165</v>
      </c>
      <c r="E31" s="65">
        <f>SUM(E28:E30)</f>
        <v>1165</v>
      </c>
      <c r="F31" s="65">
        <f>SUM(F28:F30)</f>
        <v>1165</v>
      </c>
      <c r="G31" s="65">
        <f>SUM(G28:G30)</f>
        <v>1165</v>
      </c>
      <c r="H31" s="65">
        <f>SUM(H28:H30)</f>
        <v>1165</v>
      </c>
      <c r="I31"/>
      <c r="J31" s="65">
        <f>SUM(J27:J30)</f>
        <v>5825</v>
      </c>
    </row>
    <row r="32" spans="2:10" x14ac:dyDescent="0.3">
      <c r="B32" s="19"/>
      <c r="C32" s="12" t="s">
        <v>33</v>
      </c>
      <c r="D32" s="59"/>
      <c r="E32" s="66"/>
      <c r="F32" s="66"/>
      <c r="G32" s="66"/>
      <c r="H32" s="66"/>
      <c r="I32"/>
      <c r="J32" s="59" t="s">
        <v>19</v>
      </c>
    </row>
    <row r="33" spans="2:13" x14ac:dyDescent="0.3">
      <c r="B33" s="19"/>
      <c r="C33" s="77" t="s">
        <v>58</v>
      </c>
      <c r="D33" s="59"/>
      <c r="E33" s="66"/>
      <c r="F33" s="66"/>
      <c r="G33" s="66"/>
      <c r="H33" s="66"/>
      <c r="I33"/>
      <c r="J33" s="59">
        <f>SUM(D33:H33)</f>
        <v>0</v>
      </c>
    </row>
    <row r="34" spans="2:13" x14ac:dyDescent="0.3">
      <c r="B34" s="19"/>
      <c r="C34" s="9" t="s">
        <v>14</v>
      </c>
      <c r="D34" s="67">
        <f>SUM(D33:D33)</f>
        <v>0</v>
      </c>
      <c r="E34" s="67">
        <f>SUM(E33:E33)</f>
        <v>0</v>
      </c>
      <c r="F34" s="67">
        <f>SUM(F33:F33)</f>
        <v>0</v>
      </c>
      <c r="G34" s="67">
        <f>SUM(G33:G33)</f>
        <v>0</v>
      </c>
      <c r="H34" s="67">
        <f>SUM(H33:H33)</f>
        <v>0</v>
      </c>
      <c r="I34"/>
      <c r="J34" s="65">
        <f>SUM(J33:J33)</f>
        <v>0</v>
      </c>
    </row>
    <row r="35" spans="2:13" x14ac:dyDescent="0.3">
      <c r="B35" s="19"/>
      <c r="C35" s="12" t="s">
        <v>35</v>
      </c>
      <c r="D35" s="66" t="s">
        <v>30</v>
      </c>
      <c r="E35" s="66"/>
      <c r="F35" s="66"/>
      <c r="G35" s="66"/>
      <c r="H35" s="66"/>
      <c r="I35"/>
      <c r="J35" s="59"/>
    </row>
    <row r="36" spans="2:13" ht="28.8" x14ac:dyDescent="0.3">
      <c r="B36" s="19"/>
      <c r="C36" s="60" t="s">
        <v>43</v>
      </c>
      <c r="D36" s="59">
        <f>2000*D7</f>
        <v>750</v>
      </c>
      <c r="E36" s="59">
        <v>0</v>
      </c>
      <c r="F36" s="59">
        <v>0</v>
      </c>
      <c r="G36" s="59">
        <v>0</v>
      </c>
      <c r="H36" s="59">
        <v>0</v>
      </c>
      <c r="I36"/>
      <c r="J36" s="59">
        <f t="shared" ref="J36:J49" si="6">SUM(D36:H36)</f>
        <v>750</v>
      </c>
    </row>
    <row r="37" spans="2:13" ht="28.8" x14ac:dyDescent="0.3">
      <c r="B37" s="19"/>
      <c r="C37" s="60" t="s">
        <v>44</v>
      </c>
      <c r="D37" s="59">
        <f>2000*D7</f>
        <v>750</v>
      </c>
      <c r="E37" s="59">
        <v>0</v>
      </c>
      <c r="F37" s="59">
        <v>0</v>
      </c>
      <c r="G37" s="59">
        <v>0</v>
      </c>
      <c r="H37" s="59">
        <v>0</v>
      </c>
      <c r="I37" s="28"/>
      <c r="J37" s="59">
        <f t="shared" si="6"/>
        <v>750</v>
      </c>
    </row>
    <row r="38" spans="2:13" ht="28.8" x14ac:dyDescent="0.3">
      <c r="B38" s="19"/>
      <c r="C38" s="60" t="s">
        <v>45</v>
      </c>
      <c r="D38" s="59">
        <f>2000*D7</f>
        <v>750</v>
      </c>
      <c r="E38" s="59">
        <v>0</v>
      </c>
      <c r="F38" s="59">
        <v>0</v>
      </c>
      <c r="G38" s="59">
        <v>0</v>
      </c>
      <c r="H38" s="59">
        <v>0</v>
      </c>
      <c r="I38" s="28"/>
      <c r="J38" s="59">
        <f t="shared" si="6"/>
        <v>750</v>
      </c>
    </row>
    <row r="39" spans="2:13" ht="28.8" x14ac:dyDescent="0.3">
      <c r="B39" s="19"/>
      <c r="C39" s="60" t="s">
        <v>111</v>
      </c>
      <c r="D39" s="59">
        <f>3*6083*D7</f>
        <v>6843.375</v>
      </c>
      <c r="E39" s="59">
        <f>3*6083*E7</f>
        <v>6843.375</v>
      </c>
      <c r="F39" s="59">
        <f>3*6083*F7</f>
        <v>6843.375</v>
      </c>
      <c r="G39" s="59">
        <f>3*6083*G7</f>
        <v>6843.375</v>
      </c>
      <c r="H39" s="59">
        <f>3*6083*H7</f>
        <v>6843.375</v>
      </c>
      <c r="I39" s="28"/>
      <c r="J39" s="59">
        <f t="shared" si="6"/>
        <v>34216.875</v>
      </c>
    </row>
    <row r="40" spans="2:13" x14ac:dyDescent="0.3">
      <c r="B40" s="19"/>
      <c r="C40" s="60" t="s">
        <v>143</v>
      </c>
      <c r="D40" s="59">
        <f>500*D7</f>
        <v>187.5</v>
      </c>
      <c r="E40" s="59">
        <f>500*E7</f>
        <v>187.5</v>
      </c>
      <c r="F40" s="59">
        <f>500*F7</f>
        <v>187.5</v>
      </c>
      <c r="G40" s="59">
        <f>500*G7</f>
        <v>187.5</v>
      </c>
      <c r="H40" s="59">
        <f>500*H7</f>
        <v>187.5</v>
      </c>
      <c r="I40" s="28"/>
      <c r="J40" s="59">
        <f t="shared" si="6"/>
        <v>937.5</v>
      </c>
    </row>
    <row r="41" spans="2:13" x14ac:dyDescent="0.3">
      <c r="B41" s="19"/>
      <c r="C41" s="60" t="s">
        <v>144</v>
      </c>
      <c r="D41" s="59">
        <f>1500*D7</f>
        <v>562.5</v>
      </c>
      <c r="E41" s="59">
        <f>1500*E7</f>
        <v>562.5</v>
      </c>
      <c r="F41" s="59">
        <f>1500*F7</f>
        <v>562.5</v>
      </c>
      <c r="G41" s="59">
        <f>1500*G7</f>
        <v>562.5</v>
      </c>
      <c r="H41" s="59">
        <f>1500*H7</f>
        <v>562.5</v>
      </c>
      <c r="I41" s="28"/>
      <c r="J41" s="59">
        <f t="shared" si="6"/>
        <v>2812.5</v>
      </c>
    </row>
    <row r="42" spans="2:13" x14ac:dyDescent="0.3">
      <c r="B42" s="19"/>
      <c r="C42" s="9" t="s">
        <v>15</v>
      </c>
      <c r="D42" s="65">
        <f>SUM(D36:D41)</f>
        <v>9843.375</v>
      </c>
      <c r="E42" s="65">
        <f>SUM(E36:E41)</f>
        <v>7593.375</v>
      </c>
      <c r="F42" s="65">
        <f>SUM(F36:F41)</f>
        <v>7593.375</v>
      </c>
      <c r="G42" s="65">
        <f>SUM(G36:G41)</f>
        <v>7593.375</v>
      </c>
      <c r="H42" s="65">
        <f>SUM(H36:H41)</f>
        <v>7593.375</v>
      </c>
      <c r="I42"/>
      <c r="J42" s="65">
        <f>SUM(J36:J41)</f>
        <v>40216.875</v>
      </c>
    </row>
    <row r="43" spans="2:13" x14ac:dyDescent="0.3">
      <c r="B43" s="19"/>
      <c r="C43" s="12" t="s">
        <v>36</v>
      </c>
      <c r="D43" s="11" t="s">
        <v>30</v>
      </c>
      <c r="E43" s="10"/>
      <c r="F43" s="10"/>
      <c r="G43" s="10"/>
      <c r="H43" s="10"/>
      <c r="J43" s="13"/>
    </row>
    <row r="44" spans="2:13" ht="153.6" customHeight="1" x14ac:dyDescent="0.3">
      <c r="B44" s="19"/>
      <c r="C44" s="60" t="s">
        <v>110</v>
      </c>
      <c r="D44" s="107">
        <f>(15000000-SUM($J$13,$J$25,$J$31,$J$34,$J$42,$J$56,$J$61))*D45</f>
        <v>914080.96680634026</v>
      </c>
      <c r="E44" s="68">
        <f>(15000000-SUM($J$13,$J$25,$J$31,$J$34,$J$42,$J$56,$J$61))*E45</f>
        <v>2285202.4170158505</v>
      </c>
      <c r="F44" s="68">
        <f>(15000000-SUM($J$13,$J$25,$J$31,$J$34,$J$42,$J$56,$J$61))*F45</f>
        <v>2285202.4170158505</v>
      </c>
      <c r="G44" s="68">
        <f>(15000000-SUM($J$13,$J$25,$J$31,$J$34,$J$42,$J$56,$J$61))*G45</f>
        <v>2285202.4170158505</v>
      </c>
      <c r="H44" s="68">
        <f>(15000000-SUM($J$13,$J$25,$J$31,$J$34,$J$42,$J$56,$J$61))*H45</f>
        <v>1371121.4502095103</v>
      </c>
      <c r="I44" s="29"/>
      <c r="J44" s="81">
        <f>SUM(D44:H44)</f>
        <v>9140809.6680634022</v>
      </c>
      <c r="L44" s="28"/>
      <c r="M44" s="98"/>
    </row>
    <row r="45" spans="2:13" x14ac:dyDescent="0.3">
      <c r="B45" s="19"/>
      <c r="C45" s="60" t="s">
        <v>57</v>
      </c>
      <c r="D45" s="64">
        <v>0.1</v>
      </c>
      <c r="E45" s="64">
        <v>0.25</v>
      </c>
      <c r="F45" s="64">
        <v>0.25</v>
      </c>
      <c r="G45" s="64">
        <v>0.25</v>
      </c>
      <c r="H45" s="64">
        <v>0.15</v>
      </c>
      <c r="J45" s="81" t="s">
        <v>34</v>
      </c>
    </row>
    <row r="46" spans="2:13" x14ac:dyDescent="0.3">
      <c r="B46" s="19"/>
      <c r="C46" s="9" t="s">
        <v>16</v>
      </c>
      <c r="D46" s="65">
        <f>SUM(D44:D44)</f>
        <v>914080.96680634026</v>
      </c>
      <c r="E46" s="65">
        <f>SUM(E44:E44)</f>
        <v>2285202.4170158505</v>
      </c>
      <c r="F46" s="65">
        <f>SUM(F44:F44)</f>
        <v>2285202.4170158505</v>
      </c>
      <c r="G46" s="65">
        <f>SUM(G44:G44)</f>
        <v>2285202.4170158505</v>
      </c>
      <c r="H46" s="65">
        <f>SUM(H44:H44)</f>
        <v>1371121.4502095103</v>
      </c>
      <c r="I46"/>
      <c r="J46" s="65">
        <f>SUM(J44:J44)</f>
        <v>9140809.6680634022</v>
      </c>
    </row>
    <row r="47" spans="2:13" x14ac:dyDescent="0.3">
      <c r="B47" s="19"/>
      <c r="C47" s="12" t="s">
        <v>37</v>
      </c>
      <c r="D47" s="11" t="s">
        <v>30</v>
      </c>
      <c r="E47" s="10"/>
      <c r="F47" s="10"/>
      <c r="G47" s="10"/>
      <c r="H47" s="10"/>
      <c r="J47" s="13"/>
    </row>
    <row r="48" spans="2:13" ht="43.2" x14ac:dyDescent="0.3">
      <c r="B48" s="19"/>
      <c r="C48" s="60" t="s">
        <v>69</v>
      </c>
      <c r="D48" s="61">
        <f>5000000*D45</f>
        <v>500000</v>
      </c>
      <c r="E48" s="61">
        <f t="shared" ref="E48:H48" si="7">5000000*E45</f>
        <v>1250000</v>
      </c>
      <c r="F48" s="61">
        <f t="shared" si="7"/>
        <v>1250000</v>
      </c>
      <c r="G48" s="61">
        <f t="shared" si="7"/>
        <v>1250000</v>
      </c>
      <c r="H48" s="61">
        <f t="shared" si="7"/>
        <v>750000</v>
      </c>
      <c r="I48"/>
      <c r="J48" s="59">
        <f>SUM(D48:H48)</f>
        <v>5000000</v>
      </c>
    </row>
    <row r="49" spans="2:14" ht="28.8" x14ac:dyDescent="0.3">
      <c r="B49" s="19"/>
      <c r="C49" s="60" t="s">
        <v>117</v>
      </c>
      <c r="D49" s="59">
        <f>SUM(D13,D25)*0.06</f>
        <v>7145.8078924440006</v>
      </c>
      <c r="E49" s="59">
        <f>SUM(E13,E25)*0.06</f>
        <v>7451.6832930881255</v>
      </c>
      <c r="F49" s="59">
        <f>SUM(F13,F25)*0.06</f>
        <v>7767.8174704162502</v>
      </c>
      <c r="G49" s="59">
        <f>SUM(G13,G25)*0.06</f>
        <v>8096.2408073137503</v>
      </c>
      <c r="H49" s="59">
        <f>SUM(H13,H25)*0.06</f>
        <v>8457.2215118820004</v>
      </c>
      <c r="I49"/>
      <c r="J49" s="59">
        <f t="shared" si="6"/>
        <v>38918.770975144129</v>
      </c>
    </row>
    <row r="50" spans="2:14" ht="28.8" x14ac:dyDescent="0.3">
      <c r="B50" s="19"/>
      <c r="C50" s="60" t="s">
        <v>47</v>
      </c>
      <c r="D50" s="59">
        <f>300*D7</f>
        <v>112.5</v>
      </c>
      <c r="E50" s="59">
        <f>300*E7</f>
        <v>112.5</v>
      </c>
      <c r="F50" s="59">
        <f>300*F7</f>
        <v>112.5</v>
      </c>
      <c r="G50" s="59">
        <f>300*G7</f>
        <v>112.5</v>
      </c>
      <c r="H50" s="59">
        <f>300*H7</f>
        <v>112.5</v>
      </c>
      <c r="I50" s="28"/>
      <c r="J50" s="59">
        <f>SUM(D50:H50)</f>
        <v>562.5</v>
      </c>
    </row>
    <row r="51" spans="2:14" ht="28.8" x14ac:dyDescent="0.3">
      <c r="B51" s="19"/>
      <c r="C51" s="60" t="s">
        <v>46</v>
      </c>
      <c r="D51" s="59">
        <f>300*D7</f>
        <v>112.5</v>
      </c>
      <c r="E51" s="59">
        <f>300*E7</f>
        <v>112.5</v>
      </c>
      <c r="F51" s="59">
        <f>300*F7</f>
        <v>112.5</v>
      </c>
      <c r="G51" s="59">
        <f>300*G7</f>
        <v>112.5</v>
      </c>
      <c r="H51" s="59">
        <f>300*H7</f>
        <v>112.5</v>
      </c>
      <c r="I51" s="28"/>
      <c r="J51" s="59">
        <f>SUM(D51:H51)</f>
        <v>562.5</v>
      </c>
    </row>
    <row r="52" spans="2:14" ht="28.8" x14ac:dyDescent="0.3">
      <c r="B52" s="19"/>
      <c r="C52" s="60" t="s">
        <v>48</v>
      </c>
      <c r="D52" s="59">
        <f>300*D7</f>
        <v>112.5</v>
      </c>
      <c r="E52" s="59">
        <f>300*E7</f>
        <v>112.5</v>
      </c>
      <c r="F52" s="59">
        <f>300*F7</f>
        <v>112.5</v>
      </c>
      <c r="G52" s="59">
        <f>300*G7</f>
        <v>112.5</v>
      </c>
      <c r="H52" s="59">
        <f>300*H7</f>
        <v>112.5</v>
      </c>
      <c r="I52" s="28"/>
      <c r="J52" s="59">
        <f>SUM(D52:H52)</f>
        <v>562.5</v>
      </c>
    </row>
    <row r="53" spans="2:14" ht="28.8" x14ac:dyDescent="0.3">
      <c r="B53" s="19"/>
      <c r="C53" s="58" t="s">
        <v>122</v>
      </c>
      <c r="D53" s="81">
        <f>15000000*0.001</f>
        <v>15000</v>
      </c>
      <c r="E53" s="81">
        <f t="shared" ref="E53:H53" si="8">15000000*0.001</f>
        <v>15000</v>
      </c>
      <c r="F53" s="81">
        <f t="shared" si="8"/>
        <v>15000</v>
      </c>
      <c r="G53" s="81">
        <f t="shared" si="8"/>
        <v>15000</v>
      </c>
      <c r="H53" s="81">
        <f t="shared" si="8"/>
        <v>15000</v>
      </c>
      <c r="I53"/>
      <c r="J53" s="59">
        <f>SUM(D53:H53)</f>
        <v>75000</v>
      </c>
    </row>
    <row r="54" spans="2:14" ht="28.8" x14ac:dyDescent="0.3">
      <c r="B54" s="19"/>
      <c r="C54" s="58" t="s">
        <v>148</v>
      </c>
      <c r="D54" s="97">
        <f>3*4221*D7</f>
        <v>4748.625</v>
      </c>
      <c r="E54" s="97">
        <f>3*4221*E7</f>
        <v>4748.625</v>
      </c>
      <c r="F54" s="97">
        <f>3*4221*F7</f>
        <v>4748.625</v>
      </c>
      <c r="G54" s="97">
        <f>3*4221*G7</f>
        <v>4748.625</v>
      </c>
      <c r="H54" s="97">
        <f>3*4221*H7</f>
        <v>4748.625</v>
      </c>
      <c r="I54"/>
      <c r="J54" s="59">
        <f>SUM(D54:H54)</f>
        <v>23743.125</v>
      </c>
      <c r="L54" s="102"/>
      <c r="M54" s="98"/>
      <c r="N54" s="103"/>
    </row>
    <row r="55" spans="2:14" ht="28.8" x14ac:dyDescent="0.3">
      <c r="B55" s="19"/>
      <c r="C55" s="58" t="s">
        <v>133</v>
      </c>
      <c r="D55" s="81">
        <f>32*(3*0.375)</f>
        <v>36</v>
      </c>
      <c r="E55" s="81">
        <f t="shared" ref="E55:H55" si="9">32*(3*0.375)</f>
        <v>36</v>
      </c>
      <c r="F55" s="81">
        <f t="shared" si="9"/>
        <v>36</v>
      </c>
      <c r="G55" s="81">
        <f t="shared" si="9"/>
        <v>36</v>
      </c>
      <c r="H55" s="81">
        <f t="shared" si="9"/>
        <v>36</v>
      </c>
      <c r="I55"/>
      <c r="J55" s="59">
        <f t="shared" ref="J55" si="10">SUM(D55:H55)</f>
        <v>180</v>
      </c>
    </row>
    <row r="56" spans="2:14" x14ac:dyDescent="0.3">
      <c r="B56" s="20"/>
      <c r="C56" s="9" t="s">
        <v>17</v>
      </c>
      <c r="D56" s="65">
        <f>SUM(D48:D55)</f>
        <v>527267.93289244408</v>
      </c>
      <c r="E56" s="65">
        <f>SUM(E48:E55)</f>
        <v>1277573.8082930881</v>
      </c>
      <c r="F56" s="65">
        <f>SUM(F48:F55)</f>
        <v>1277889.9424704162</v>
      </c>
      <c r="G56" s="65">
        <f>SUM(G48:G55)</f>
        <v>1278218.3658073137</v>
      </c>
      <c r="H56" s="65">
        <f>SUM(H48:H55)</f>
        <v>778579.34651188203</v>
      </c>
      <c r="I56"/>
      <c r="J56" s="65">
        <f>SUM(J48:J55)</f>
        <v>5139529.3959751446</v>
      </c>
    </row>
    <row r="57" spans="2:14" x14ac:dyDescent="0.3">
      <c r="B57" s="20"/>
      <c r="C57" s="9" t="s">
        <v>18</v>
      </c>
      <c r="D57" s="65">
        <f>SUM(D56,D46,D42,D34,D31,D25,D13)</f>
        <v>1571454.0729061845</v>
      </c>
      <c r="E57" s="65">
        <f>SUM(E56,E46,E42,E34,E31,E25,E13)</f>
        <v>3695729.3218604075</v>
      </c>
      <c r="F57" s="65">
        <f>SUM(F56,F46,F42,F34,F31,F25,F13)</f>
        <v>3701314.3589932043</v>
      </c>
      <c r="G57" s="65">
        <f>SUM(G56,G46,G42,G34,G31,G25,G13)</f>
        <v>3707116.5046117264</v>
      </c>
      <c r="H57" s="65">
        <f>SUM(H56,H46,H42,H34,H31,H25,H13)</f>
        <v>2299412.8635860924</v>
      </c>
      <c r="I57"/>
      <c r="J57" s="65">
        <f>SUM(D57:H57)</f>
        <v>14975027.121957615</v>
      </c>
    </row>
    <row r="58" spans="2:14" x14ac:dyDescent="0.3">
      <c r="B58" s="6"/>
      <c r="D58"/>
      <c r="E58"/>
      <c r="H58"/>
      <c r="I58"/>
      <c r="J58" t="s">
        <v>19</v>
      </c>
    </row>
    <row r="59" spans="2:14" ht="28.8" x14ac:dyDescent="0.3">
      <c r="B59" s="57" t="s">
        <v>38</v>
      </c>
      <c r="C59" s="14" t="s">
        <v>38</v>
      </c>
      <c r="D59" s="15"/>
      <c r="E59" s="15"/>
      <c r="F59" s="15"/>
      <c r="G59" s="15"/>
      <c r="H59" s="15"/>
      <c r="I59"/>
      <c r="J59" s="15" t="s">
        <v>19</v>
      </c>
    </row>
    <row r="60" spans="2:14" ht="47.4" customHeight="1" x14ac:dyDescent="0.3">
      <c r="B60" s="19"/>
      <c r="C60" s="58" t="s">
        <v>112</v>
      </c>
      <c r="D60" s="97">
        <f>SUM(D25,D13)*0.0385</f>
        <v>4585.2267309849003</v>
      </c>
      <c r="E60" s="97">
        <f>SUM(E25,E13)*0.0385</f>
        <v>4781.4967797315476</v>
      </c>
      <c r="F60" s="97">
        <f>SUM(F25,F13)*0.0385</f>
        <v>4984.3495435170944</v>
      </c>
      <c r="G60" s="97">
        <f>SUM(G25,G13)*0.0385</f>
        <v>5195.0878513596572</v>
      </c>
      <c r="H60" s="97">
        <f>SUM(H25,H13)*0.0385</f>
        <v>5426.7171367909496</v>
      </c>
      <c r="I60"/>
      <c r="J60" s="59">
        <f>SUM(D60:H60)</f>
        <v>24972.878042384153</v>
      </c>
    </row>
    <row r="61" spans="2:14" x14ac:dyDescent="0.3">
      <c r="B61" s="20"/>
      <c r="C61" s="9" t="s">
        <v>20</v>
      </c>
      <c r="D61" s="65">
        <f>SUM(D60:D60)</f>
        <v>4585.2267309849003</v>
      </c>
      <c r="E61" s="65">
        <f>SUM(E60:E60)</f>
        <v>4781.4967797315476</v>
      </c>
      <c r="F61" s="65">
        <f>SUM(F60:F60)</f>
        <v>4984.3495435170944</v>
      </c>
      <c r="G61" s="65">
        <f>SUM(G60:G60)</f>
        <v>5195.0878513596572</v>
      </c>
      <c r="H61" s="65">
        <f>SUM(H60:H60)</f>
        <v>5426.7171367909496</v>
      </c>
      <c r="I61"/>
      <c r="J61" s="65">
        <f>SUM(J60:J60)</f>
        <v>24972.878042384153</v>
      </c>
    </row>
    <row r="62" spans="2:14" ht="15" thickBot="1" x14ac:dyDescent="0.35">
      <c r="B62" s="6"/>
      <c r="D62"/>
      <c r="E62"/>
      <c r="H62"/>
      <c r="I62"/>
      <c r="J62" t="s">
        <v>19</v>
      </c>
    </row>
    <row r="63" spans="2:14" s="1" customFormat="1" ht="29.4" thickBot="1" x14ac:dyDescent="0.35">
      <c r="B63" s="16" t="s">
        <v>21</v>
      </c>
      <c r="C63" s="16"/>
      <c r="D63" s="69">
        <f>SUM(D61,D57)</f>
        <v>1576039.2996371693</v>
      </c>
      <c r="E63" s="69">
        <f>SUM(E61,E57)</f>
        <v>3700510.818640139</v>
      </c>
      <c r="F63" s="69">
        <f>SUM(F61,F57)</f>
        <v>3706298.7085367213</v>
      </c>
      <c r="G63" s="69">
        <f>SUM(G61,G57)</f>
        <v>3712311.5924630859</v>
      </c>
      <c r="H63" s="69">
        <f>SUM(H61,H57)</f>
        <v>2304839.5807228833</v>
      </c>
      <c r="I63"/>
      <c r="J63" s="69">
        <f>SUM(J61,J57)</f>
        <v>15000000</v>
      </c>
      <c r="K63" s="104">
        <f>SUM(D63:H63)</f>
        <v>14999999.999999998</v>
      </c>
    </row>
    <row r="64" spans="2:14"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row r="77" spans="2:2" x14ac:dyDescent="0.3">
      <c r="B77" s="6"/>
    </row>
    <row r="78" spans="2:2" x14ac:dyDescent="0.3">
      <c r="B78" s="6"/>
    </row>
  </sheetData>
  <pageMargins left="0.25" right="0.25" top="0.75" bottom="0.75" header="0.3" footer="0.3"/>
  <pageSetup scale="54" orientation="portrait" r:id="rId1"/>
  <ignoredErrors>
    <ignoredError sqref="J30 J37 J44"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4D4C8-B8AE-4142-B7D6-7F7F19B31DFD}">
  <sheetPr>
    <tabColor theme="9" tint="0.39997558519241921"/>
    <pageSetUpPr fitToPage="1"/>
  </sheetPr>
  <dimension ref="B2:AM76"/>
  <sheetViews>
    <sheetView showGridLines="0" topLeftCell="A37" zoomScale="85" zoomScaleNormal="85" workbookViewId="0">
      <selection activeCell="A33" sqref="A33:XFD33"/>
    </sheetView>
  </sheetViews>
  <sheetFormatPr defaultColWidth="9.109375" defaultRowHeight="14.4" x14ac:dyDescent="0.3"/>
  <cols>
    <col min="1" max="1" width="3.109375" customWidth="1"/>
    <col min="2" max="2" width="10.109375" customWidth="1"/>
    <col min="3" max="3" width="46.6640625" customWidth="1"/>
    <col min="4" max="4" width="12.441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2.33203125" customWidth="1"/>
  </cols>
  <sheetData>
    <row r="2" spans="2:39" ht="23.4" x14ac:dyDescent="0.45">
      <c r="B2" s="24" t="s">
        <v>88</v>
      </c>
    </row>
    <row r="3" spans="2:39" x14ac:dyDescent="0.3">
      <c r="B3" s="5" t="s">
        <v>28</v>
      </c>
    </row>
    <row r="4" spans="2:39" x14ac:dyDescent="0.3">
      <c r="B4" s="5"/>
    </row>
    <row r="5" spans="2:39" ht="18" x14ac:dyDescent="0.35">
      <c r="B5" s="30" t="s">
        <v>1</v>
      </c>
      <c r="C5" s="31"/>
      <c r="D5" s="31"/>
      <c r="E5" s="31"/>
      <c r="F5" s="31"/>
      <c r="G5" s="31"/>
      <c r="H5" s="31"/>
      <c r="I5" s="31"/>
      <c r="J5" s="32"/>
    </row>
    <row r="6" spans="2:39" ht="28.8" x14ac:dyDescent="0.3">
      <c r="B6" s="33" t="s">
        <v>2</v>
      </c>
      <c r="C6" s="33" t="s">
        <v>3</v>
      </c>
      <c r="D6" s="33" t="s">
        <v>4</v>
      </c>
      <c r="E6" s="34" t="s">
        <v>5</v>
      </c>
      <c r="F6" s="34" t="s">
        <v>6</v>
      </c>
      <c r="G6" s="34" t="s">
        <v>7</v>
      </c>
      <c r="H6" s="35" t="s">
        <v>8</v>
      </c>
      <c r="I6" s="36"/>
      <c r="J6" s="37" t="s">
        <v>9</v>
      </c>
    </row>
    <row r="7" spans="2:39" s="5" customFormat="1" ht="28.8" x14ac:dyDescent="0.3">
      <c r="B7" s="57" t="s">
        <v>10</v>
      </c>
      <c r="C7" s="74" t="s">
        <v>42</v>
      </c>
      <c r="D7" s="10">
        <f>10000000/40000000</f>
        <v>0.25</v>
      </c>
      <c r="E7" s="10">
        <f>10000000/40000000</f>
        <v>0.25</v>
      </c>
      <c r="F7" s="10">
        <f>10000000/40000000</f>
        <v>0.25</v>
      </c>
      <c r="G7" s="10">
        <f>10000000/40000000</f>
        <v>0.25</v>
      </c>
      <c r="H7" s="10">
        <f>10000000/40000000</f>
        <v>0.25</v>
      </c>
      <c r="I7" s="7"/>
      <c r="J7" s="8" t="s">
        <v>30</v>
      </c>
      <c r="K7"/>
      <c r="L7"/>
      <c r="M7"/>
      <c r="N7"/>
      <c r="O7"/>
      <c r="P7"/>
      <c r="Q7"/>
      <c r="R7"/>
      <c r="S7"/>
      <c r="T7"/>
      <c r="U7"/>
      <c r="V7"/>
      <c r="W7"/>
      <c r="X7"/>
      <c r="Y7"/>
      <c r="Z7"/>
      <c r="AA7"/>
      <c r="AB7"/>
      <c r="AC7"/>
      <c r="AD7"/>
      <c r="AE7"/>
      <c r="AF7"/>
      <c r="AG7"/>
      <c r="AH7"/>
      <c r="AI7"/>
      <c r="AJ7"/>
      <c r="AK7"/>
      <c r="AL7"/>
      <c r="AM7"/>
    </row>
    <row r="8" spans="2:39" ht="43.2" x14ac:dyDescent="0.3">
      <c r="B8" s="19"/>
      <c r="C8" s="60" t="s">
        <v>93</v>
      </c>
      <c r="D8" s="61">
        <f>(33.47*1950)*D7*1.02</f>
        <v>16642.9575</v>
      </c>
      <c r="E8" s="61">
        <f>(34.92*1950)*E7*1.02</f>
        <v>17363.97</v>
      </c>
      <c r="F8" s="61">
        <f>(36.49*1950)*F7*1.02</f>
        <v>18144.6525</v>
      </c>
      <c r="G8" s="61">
        <f>(38.09*1950)*G7*1.02</f>
        <v>18940.252499999999</v>
      </c>
      <c r="H8" s="61">
        <f>(39.9*1950)*H7*1.02</f>
        <v>19840.275000000001</v>
      </c>
      <c r="I8" s="62"/>
      <c r="J8" s="61">
        <f>SUM(D8:H8)</f>
        <v>90932.107500000013</v>
      </c>
    </row>
    <row r="9" spans="2:39" ht="43.2" x14ac:dyDescent="0.3">
      <c r="B9" s="19"/>
      <c r="C9" s="60" t="s">
        <v>95</v>
      </c>
      <c r="D9" s="61">
        <f>(30.72*1950)*D7*1.02</f>
        <v>15275.52</v>
      </c>
      <c r="E9" s="61">
        <f>(32.09*1950)*E7*1.02</f>
        <v>15956.752500000002</v>
      </c>
      <c r="F9" s="61">
        <f>(33.47*1950)*F7*1.02</f>
        <v>16642.9575</v>
      </c>
      <c r="G9" s="61">
        <f>(34.92*1950)*G7*1.02</f>
        <v>17363.97</v>
      </c>
      <c r="H9" s="61">
        <f>(36.49*1950)*H7*1.02</f>
        <v>18144.6525</v>
      </c>
      <c r="I9" s="63"/>
      <c r="J9" s="61">
        <f>SUM(D9:H9)</f>
        <v>83383.852500000008</v>
      </c>
    </row>
    <row r="10" spans="2:39" ht="43.2" x14ac:dyDescent="0.3">
      <c r="B10" s="19"/>
      <c r="C10" s="60" t="s">
        <v>96</v>
      </c>
      <c r="D10" s="61">
        <f>(30.72*1950)*D7*1.02</f>
        <v>15275.52</v>
      </c>
      <c r="E10" s="61">
        <f>(32.09*1950)*E7*1.02</f>
        <v>15956.752500000002</v>
      </c>
      <c r="F10" s="61">
        <f>(33.47*1950)*F7*1.02</f>
        <v>16642.9575</v>
      </c>
      <c r="G10" s="61">
        <f>(34.92*1950)*G7*1.02</f>
        <v>17363.97</v>
      </c>
      <c r="H10" s="61">
        <f>(36.49*1950)*H7*1.02</f>
        <v>18144.6525</v>
      </c>
      <c r="I10" s="63"/>
      <c r="J10" s="61">
        <f>SUM(D10:H10)</f>
        <v>83383.852500000008</v>
      </c>
    </row>
    <row r="11" spans="2:39" ht="43.2" customHeight="1" x14ac:dyDescent="0.3">
      <c r="B11" s="19"/>
      <c r="C11" s="60" t="s">
        <v>97</v>
      </c>
      <c r="D11" s="61">
        <f>(43.65*1950)*D7*0.05*1.02</f>
        <v>1085.2481250000001</v>
      </c>
      <c r="E11" s="61">
        <f>(45.72*1950)*E7*0.05*1.02</f>
        <v>1136.7135000000001</v>
      </c>
      <c r="F11" s="61">
        <f>(47.87*1950)*F7*0.05*1.02</f>
        <v>1190.1678749999999</v>
      </c>
      <c r="G11" s="61">
        <f>(50.07*1950)*G7*0.05*1.02</f>
        <v>1244.8653750000001</v>
      </c>
      <c r="H11" s="61">
        <f>(52.41*1950)*H7*0.05*1.02</f>
        <v>1303.043625</v>
      </c>
      <c r="I11" s="63"/>
      <c r="J11" s="61">
        <f>SUM(D11:H11)</f>
        <v>5960.0385000000006</v>
      </c>
    </row>
    <row r="12" spans="2:39" ht="43.2" x14ac:dyDescent="0.3">
      <c r="B12" s="19"/>
      <c r="C12" s="60" t="s">
        <v>98</v>
      </c>
      <c r="D12" s="61">
        <f>(64.23*1950)*0.05*D7*1.02</f>
        <v>1596.9183750000002</v>
      </c>
      <c r="E12" s="61">
        <f>(64.23*1950)*0.05*E7*1.02</f>
        <v>1596.9183750000002</v>
      </c>
      <c r="F12" s="61">
        <f>(64.23*1950)*0.05*F7*1.02</f>
        <v>1596.9183750000002</v>
      </c>
      <c r="G12" s="61">
        <f>(64.23*1950)*0.05*G7*1.02</f>
        <v>1596.9183750000002</v>
      </c>
      <c r="H12" s="61">
        <f>(64.23*1950)*0.05*H7*1.02</f>
        <v>1596.9183750000002</v>
      </c>
      <c r="I12" s="63"/>
      <c r="J12" s="61">
        <f>SUM(D12:H12)</f>
        <v>7984.591875000001</v>
      </c>
    </row>
    <row r="13" spans="2:39" x14ac:dyDescent="0.3">
      <c r="B13" s="19"/>
      <c r="C13" s="9" t="s">
        <v>11</v>
      </c>
      <c r="D13" s="65">
        <f>SUM(D8:D12)</f>
        <v>49876.163999999997</v>
      </c>
      <c r="E13" s="65">
        <f t="shared" ref="E13:H13" si="0">SUM(E8:E12)</f>
        <v>52011.106875000005</v>
      </c>
      <c r="F13" s="65">
        <f t="shared" si="0"/>
        <v>54217.653750000005</v>
      </c>
      <c r="G13" s="65">
        <f t="shared" si="0"/>
        <v>56509.976250000007</v>
      </c>
      <c r="H13" s="65">
        <f t="shared" si="0"/>
        <v>59029.542000000001</v>
      </c>
      <c r="I13"/>
      <c r="J13" s="65">
        <f>SUM(J8:J12)</f>
        <v>271644.44287500001</v>
      </c>
    </row>
    <row r="14" spans="2:39" x14ac:dyDescent="0.3">
      <c r="B14" s="19"/>
      <c r="C14" s="12" t="s">
        <v>31</v>
      </c>
      <c r="D14" s="11" t="s">
        <v>30</v>
      </c>
      <c r="E14" s="10"/>
      <c r="F14" s="10"/>
      <c r="G14" s="10"/>
      <c r="H14" s="10"/>
      <c r="J14" s="8" t="s">
        <v>30</v>
      </c>
    </row>
    <row r="15" spans="2:39" ht="28.8" x14ac:dyDescent="0.3">
      <c r="B15" s="19"/>
      <c r="C15" s="60" t="s">
        <v>99</v>
      </c>
      <c r="D15" s="61">
        <f>D8*0.5273</f>
        <v>8775.8314897500004</v>
      </c>
      <c r="E15" s="61">
        <f t="shared" ref="E15:H18" si="1">E8*0.5273</f>
        <v>9156.0213810000005</v>
      </c>
      <c r="F15" s="61">
        <f t="shared" si="1"/>
        <v>9567.6752632499993</v>
      </c>
      <c r="G15" s="61">
        <f t="shared" si="1"/>
        <v>9987.1951432499991</v>
      </c>
      <c r="H15" s="61">
        <f t="shared" si="1"/>
        <v>10461.777007500001</v>
      </c>
      <c r="I15" s="63"/>
      <c r="J15" s="61">
        <f>SUM(D15:H15)</f>
        <v>47948.50028475</v>
      </c>
    </row>
    <row r="16" spans="2:39" ht="28.8" x14ac:dyDescent="0.3">
      <c r="B16" s="19"/>
      <c r="C16" s="60" t="s">
        <v>100</v>
      </c>
      <c r="D16" s="61">
        <f>D9*0.5273</f>
        <v>8054.781696</v>
      </c>
      <c r="E16" s="61">
        <f t="shared" si="1"/>
        <v>8413.9955932500015</v>
      </c>
      <c r="F16" s="61">
        <f t="shared" si="1"/>
        <v>8775.8314897500004</v>
      </c>
      <c r="G16" s="61">
        <f t="shared" si="1"/>
        <v>9156.0213810000005</v>
      </c>
      <c r="H16" s="61">
        <f t="shared" si="1"/>
        <v>9567.6752632499993</v>
      </c>
      <c r="I16" s="63"/>
      <c r="J16" s="61">
        <f t="shared" ref="J16:J24" si="2">SUM(D16:H16)</f>
        <v>43968.30542325</v>
      </c>
    </row>
    <row r="17" spans="2:10" ht="28.8" x14ac:dyDescent="0.3">
      <c r="B17" s="19"/>
      <c r="C17" s="73" t="s">
        <v>101</v>
      </c>
      <c r="D17" s="61">
        <f>D10*0.5273</f>
        <v>8054.781696</v>
      </c>
      <c r="E17" s="61">
        <f t="shared" si="1"/>
        <v>8413.9955932500015</v>
      </c>
      <c r="F17" s="61">
        <f t="shared" si="1"/>
        <v>8775.8314897500004</v>
      </c>
      <c r="G17" s="61">
        <f t="shared" si="1"/>
        <v>9156.0213810000005</v>
      </c>
      <c r="H17" s="61">
        <f t="shared" si="1"/>
        <v>9567.6752632499993</v>
      </c>
      <c r="I17" s="63"/>
      <c r="J17" s="61">
        <f>SUM(D17:H17)</f>
        <v>43968.30542325</v>
      </c>
    </row>
    <row r="18" spans="2:10" ht="28.8" x14ac:dyDescent="0.3">
      <c r="B18" s="19"/>
      <c r="C18" s="73" t="s">
        <v>102</v>
      </c>
      <c r="D18" s="61">
        <f>D11*0.5273</f>
        <v>572.25133631250003</v>
      </c>
      <c r="E18" s="61">
        <f t="shared" si="1"/>
        <v>599.38902855000003</v>
      </c>
      <c r="F18" s="61">
        <f t="shared" si="1"/>
        <v>627.57552048749994</v>
      </c>
      <c r="G18" s="61">
        <f t="shared" si="1"/>
        <v>656.41751223749998</v>
      </c>
      <c r="H18" s="61">
        <f t="shared" si="1"/>
        <v>687.09490346250004</v>
      </c>
      <c r="I18" s="63"/>
      <c r="J18" s="61">
        <f>SUM(D18:H18)</f>
        <v>3142.72830105</v>
      </c>
    </row>
    <row r="19" spans="2:10" ht="28.8" x14ac:dyDescent="0.3">
      <c r="B19" s="19"/>
      <c r="C19" s="73" t="s">
        <v>103</v>
      </c>
      <c r="D19" s="61">
        <f>D12*0.5273</f>
        <v>842.05505913750005</v>
      </c>
      <c r="E19" s="61">
        <f>E12*0.5273</f>
        <v>842.05505913750005</v>
      </c>
      <c r="F19" s="61">
        <f>F12*0.5273</f>
        <v>842.05505913750005</v>
      </c>
      <c r="G19" s="61">
        <f>G12*0.5273</f>
        <v>842.05505913750005</v>
      </c>
      <c r="H19" s="61">
        <f>H12*0.5273</f>
        <v>842.05505913750005</v>
      </c>
      <c r="I19" s="63"/>
      <c r="J19" s="61">
        <f t="shared" si="2"/>
        <v>4210.2752956875001</v>
      </c>
    </row>
    <row r="20" spans="2:10" ht="28.8" x14ac:dyDescent="0.3">
      <c r="B20" s="19"/>
      <c r="C20" s="60" t="s">
        <v>104</v>
      </c>
      <c r="D20" s="61">
        <f>D8*0.0646</f>
        <v>1075.1350545</v>
      </c>
      <c r="E20" s="61">
        <f t="shared" ref="E20:H20" si="3">E8*0.0646</f>
        <v>1121.7124620000002</v>
      </c>
      <c r="F20" s="61">
        <f t="shared" si="3"/>
        <v>1172.1445515</v>
      </c>
      <c r="G20" s="61">
        <f t="shared" si="3"/>
        <v>1223.5403114999999</v>
      </c>
      <c r="H20" s="61">
        <f t="shared" si="3"/>
        <v>1281.6817650000003</v>
      </c>
      <c r="I20" s="63"/>
      <c r="J20" s="61">
        <f t="shared" si="2"/>
        <v>5874.2141445000007</v>
      </c>
    </row>
    <row r="21" spans="2:10" ht="28.8" x14ac:dyDescent="0.3">
      <c r="B21" s="19"/>
      <c r="C21" s="60" t="s">
        <v>105</v>
      </c>
      <c r="D21" s="61">
        <f t="shared" ref="D21:H24" si="4">D9*0.0646</f>
        <v>986.7985920000001</v>
      </c>
      <c r="E21" s="61">
        <f t="shared" si="4"/>
        <v>1030.8062115000002</v>
      </c>
      <c r="F21" s="61">
        <f t="shared" si="4"/>
        <v>1075.1350545</v>
      </c>
      <c r="G21" s="61">
        <f t="shared" si="4"/>
        <v>1121.7124620000002</v>
      </c>
      <c r="H21" s="61">
        <f t="shared" si="4"/>
        <v>1172.1445515</v>
      </c>
      <c r="I21" s="63"/>
      <c r="J21" s="61">
        <f t="shared" si="2"/>
        <v>5386.5968714999999</v>
      </c>
    </row>
    <row r="22" spans="2:10" ht="28.8" x14ac:dyDescent="0.3">
      <c r="B22" s="19"/>
      <c r="C22" s="73" t="s">
        <v>106</v>
      </c>
      <c r="D22" s="61">
        <f t="shared" si="4"/>
        <v>986.7985920000001</v>
      </c>
      <c r="E22" s="61">
        <f t="shared" si="4"/>
        <v>1030.8062115000002</v>
      </c>
      <c r="F22" s="61">
        <f t="shared" si="4"/>
        <v>1075.1350545</v>
      </c>
      <c r="G22" s="61">
        <f t="shared" si="4"/>
        <v>1121.7124620000002</v>
      </c>
      <c r="H22" s="61">
        <f t="shared" si="4"/>
        <v>1172.1445515</v>
      </c>
      <c r="I22" s="63"/>
      <c r="J22" s="61">
        <f t="shared" si="2"/>
        <v>5386.5968714999999</v>
      </c>
    </row>
    <row r="23" spans="2:10" ht="28.8" x14ac:dyDescent="0.3">
      <c r="B23" s="19"/>
      <c r="C23" s="73" t="s">
        <v>107</v>
      </c>
      <c r="D23" s="61">
        <f t="shared" si="4"/>
        <v>70.107028875000012</v>
      </c>
      <c r="E23" s="61">
        <f t="shared" si="4"/>
        <v>73.431692100000006</v>
      </c>
      <c r="F23" s="61">
        <f t="shared" si="4"/>
        <v>76.884844724999994</v>
      </c>
      <c r="G23" s="61">
        <f t="shared" si="4"/>
        <v>80.418303225000017</v>
      </c>
      <c r="H23" s="61">
        <f t="shared" si="4"/>
        <v>84.176618175000002</v>
      </c>
      <c r="I23" s="63"/>
      <c r="J23" s="61">
        <f t="shared" si="2"/>
        <v>385.01848710000002</v>
      </c>
    </row>
    <row r="24" spans="2:10" ht="28.8" x14ac:dyDescent="0.3">
      <c r="B24" s="19"/>
      <c r="C24" s="73" t="s">
        <v>108</v>
      </c>
      <c r="D24" s="61">
        <f>D12*0.0646</f>
        <v>103.16092702500002</v>
      </c>
      <c r="E24" s="61">
        <f t="shared" si="4"/>
        <v>103.16092702500002</v>
      </c>
      <c r="F24" s="61">
        <f t="shared" si="4"/>
        <v>103.16092702500002</v>
      </c>
      <c r="G24" s="61">
        <f t="shared" si="4"/>
        <v>103.16092702500002</v>
      </c>
      <c r="H24" s="61">
        <f>H12*0.0646</f>
        <v>103.16092702500002</v>
      </c>
      <c r="I24" s="63"/>
      <c r="J24" s="61">
        <f t="shared" si="2"/>
        <v>515.80463512500012</v>
      </c>
    </row>
    <row r="25" spans="2:10" x14ac:dyDescent="0.3">
      <c r="B25" s="19"/>
      <c r="C25" s="9" t="s">
        <v>12</v>
      </c>
      <c r="D25" s="65">
        <f>SUM(D15:D24)</f>
        <v>29521.701471599998</v>
      </c>
      <c r="E25" s="65">
        <f>SUM(E15:E24)</f>
        <v>30785.374159312498</v>
      </c>
      <c r="F25" s="65">
        <f>SUM(F15:F24)</f>
        <v>32091.429254625</v>
      </c>
      <c r="G25" s="65">
        <f>SUM(G15:G24)</f>
        <v>33448.254942374995</v>
      </c>
      <c r="H25" s="65">
        <f>SUM(H15:H24)</f>
        <v>34939.5859098</v>
      </c>
      <c r="I25"/>
      <c r="J25" s="65">
        <f>SUM(J15:J24)</f>
        <v>160786.34573771246</v>
      </c>
    </row>
    <row r="26" spans="2:10" x14ac:dyDescent="0.3">
      <c r="B26" s="19"/>
      <c r="C26" s="12" t="s">
        <v>32</v>
      </c>
      <c r="D26" s="11" t="s">
        <v>30</v>
      </c>
      <c r="E26" s="10"/>
      <c r="F26" s="10"/>
      <c r="G26" s="10"/>
      <c r="H26" s="10"/>
      <c r="J26" s="8" t="s">
        <v>30</v>
      </c>
    </row>
    <row r="27" spans="2:10" ht="43.2" x14ac:dyDescent="0.3">
      <c r="B27" s="19"/>
      <c r="C27" s="58" t="s">
        <v>59</v>
      </c>
      <c r="D27" s="66">
        <v>500</v>
      </c>
      <c r="E27" s="66">
        <v>500</v>
      </c>
      <c r="F27" s="66">
        <v>500</v>
      </c>
      <c r="G27" s="66">
        <v>500</v>
      </c>
      <c r="H27" s="66">
        <v>500</v>
      </c>
      <c r="I27"/>
      <c r="J27" s="59"/>
    </row>
    <row r="28" spans="2:10" ht="28.8" x14ac:dyDescent="0.3">
      <c r="B28" s="19"/>
      <c r="C28" s="58" t="s">
        <v>94</v>
      </c>
      <c r="D28" s="59">
        <f>D27*0.67</f>
        <v>335</v>
      </c>
      <c r="E28" s="59">
        <f>E27*0.67</f>
        <v>335</v>
      </c>
      <c r="F28" s="59">
        <f>F27*0.67</f>
        <v>335</v>
      </c>
      <c r="G28" s="59">
        <f>G27*0.67</f>
        <v>335</v>
      </c>
      <c r="H28" s="59">
        <f>H27*0.67</f>
        <v>335</v>
      </c>
      <c r="I28" s="28"/>
      <c r="J28" s="59">
        <f>SUM(D28:H28)</f>
        <v>1675</v>
      </c>
    </row>
    <row r="29" spans="2:10" ht="28.8" x14ac:dyDescent="0.3">
      <c r="B29" s="19"/>
      <c r="C29" s="84" t="s">
        <v>141</v>
      </c>
      <c r="D29" s="59">
        <f>2000*D7</f>
        <v>500</v>
      </c>
      <c r="E29" s="59">
        <f t="shared" ref="E29:H29" si="5">2000*E7</f>
        <v>500</v>
      </c>
      <c r="F29" s="59">
        <f t="shared" si="5"/>
        <v>500</v>
      </c>
      <c r="G29" s="59">
        <f t="shared" si="5"/>
        <v>500</v>
      </c>
      <c r="H29" s="59">
        <f t="shared" si="5"/>
        <v>500</v>
      </c>
      <c r="I29" s="28"/>
      <c r="J29" s="59">
        <f t="shared" ref="J29" si="6">SUM(D29:H29)</f>
        <v>2500</v>
      </c>
    </row>
    <row r="30" spans="2:10" x14ac:dyDescent="0.3">
      <c r="B30" s="19"/>
      <c r="C30" s="9" t="s">
        <v>13</v>
      </c>
      <c r="D30" s="65">
        <f>SUM(D28:D29)</f>
        <v>835</v>
      </c>
      <c r="E30" s="65">
        <f>SUM(E28:E29)</f>
        <v>835</v>
      </c>
      <c r="F30" s="65">
        <f>SUM(F28:F29)</f>
        <v>835</v>
      </c>
      <c r="G30" s="65">
        <f>SUM(G28:G29)</f>
        <v>835</v>
      </c>
      <c r="H30" s="65">
        <f>SUM(H28:H29)</f>
        <v>835</v>
      </c>
      <c r="I30"/>
      <c r="J30" s="65">
        <f>SUM(J27:J29)</f>
        <v>4175</v>
      </c>
    </row>
    <row r="31" spans="2:10" x14ac:dyDescent="0.3">
      <c r="B31" s="19"/>
      <c r="C31" s="12" t="s">
        <v>33</v>
      </c>
      <c r="D31" s="59"/>
      <c r="E31" s="66"/>
      <c r="F31" s="66"/>
      <c r="G31" s="66"/>
      <c r="H31" s="66"/>
      <c r="I31"/>
      <c r="J31" s="59" t="s">
        <v>19</v>
      </c>
    </row>
    <row r="32" spans="2:10" x14ac:dyDescent="0.3">
      <c r="B32" s="19"/>
      <c r="C32" s="77" t="s">
        <v>58</v>
      </c>
      <c r="D32" s="59"/>
      <c r="E32" s="66"/>
      <c r="F32" s="66"/>
      <c r="G32" s="66"/>
      <c r="H32" s="66"/>
      <c r="I32"/>
      <c r="J32" s="59">
        <f>SUM(D32:H32)</f>
        <v>0</v>
      </c>
    </row>
    <row r="33" spans="2:10" x14ac:dyDescent="0.3">
      <c r="B33" s="19"/>
      <c r="C33" s="9" t="s">
        <v>14</v>
      </c>
      <c r="D33" s="67">
        <f>SUM(D32:D32)</f>
        <v>0</v>
      </c>
      <c r="E33" s="67">
        <f>SUM(E32:E32)</f>
        <v>0</v>
      </c>
      <c r="F33" s="67">
        <f>SUM(F32:F32)</f>
        <v>0</v>
      </c>
      <c r="G33" s="67">
        <f>SUM(G32:G32)</f>
        <v>0</v>
      </c>
      <c r="H33" s="67">
        <f>SUM(H32:H32)</f>
        <v>0</v>
      </c>
      <c r="I33"/>
      <c r="J33" s="65">
        <f>SUM(J32:J32)</f>
        <v>0</v>
      </c>
    </row>
    <row r="34" spans="2:10" x14ac:dyDescent="0.3">
      <c r="B34" s="19"/>
      <c r="C34" s="12" t="s">
        <v>35</v>
      </c>
      <c r="D34" s="66" t="s">
        <v>30</v>
      </c>
      <c r="E34" s="66"/>
      <c r="F34" s="66"/>
      <c r="G34" s="66"/>
      <c r="H34" s="66"/>
      <c r="I34"/>
      <c r="J34" s="59"/>
    </row>
    <row r="35" spans="2:10" ht="28.8" x14ac:dyDescent="0.3">
      <c r="B35" s="19"/>
      <c r="C35" s="60" t="s">
        <v>63</v>
      </c>
      <c r="D35" s="59">
        <f>2000*D7</f>
        <v>500</v>
      </c>
      <c r="E35" s="59">
        <v>0</v>
      </c>
      <c r="F35" s="59">
        <v>0</v>
      </c>
      <c r="G35" s="59">
        <v>0</v>
      </c>
      <c r="H35" s="59">
        <v>0</v>
      </c>
      <c r="I35"/>
      <c r="J35" s="59">
        <f t="shared" ref="J35:J40" si="7">SUM(D35:H35)</f>
        <v>500</v>
      </c>
    </row>
    <row r="36" spans="2:10" ht="28.8" x14ac:dyDescent="0.3">
      <c r="B36" s="19"/>
      <c r="C36" s="60" t="s">
        <v>66</v>
      </c>
      <c r="D36" s="59">
        <f>2000*D7</f>
        <v>500</v>
      </c>
      <c r="E36" s="59">
        <v>0</v>
      </c>
      <c r="F36" s="59">
        <v>0</v>
      </c>
      <c r="G36" s="59">
        <v>0</v>
      </c>
      <c r="H36" s="59">
        <v>0</v>
      </c>
      <c r="I36" s="28"/>
      <c r="J36" s="59">
        <f t="shared" si="7"/>
        <v>500</v>
      </c>
    </row>
    <row r="37" spans="2:10" ht="28.8" x14ac:dyDescent="0.3">
      <c r="B37" s="19"/>
      <c r="C37" s="60" t="s">
        <v>64</v>
      </c>
      <c r="D37" s="59">
        <f>2000*D7</f>
        <v>500</v>
      </c>
      <c r="E37" s="59">
        <v>0</v>
      </c>
      <c r="F37" s="59">
        <v>0</v>
      </c>
      <c r="G37" s="59">
        <v>0</v>
      </c>
      <c r="H37" s="59">
        <v>0</v>
      </c>
      <c r="I37" s="28"/>
      <c r="J37" s="59">
        <f t="shared" si="7"/>
        <v>500</v>
      </c>
    </row>
    <row r="38" spans="2:10" ht="28.8" x14ac:dyDescent="0.3">
      <c r="B38" s="19"/>
      <c r="C38" s="60" t="s">
        <v>115</v>
      </c>
      <c r="D38" s="59">
        <f>3*6083*D7</f>
        <v>4562.25</v>
      </c>
      <c r="E38" s="59">
        <f>3*6083*E7</f>
        <v>4562.25</v>
      </c>
      <c r="F38" s="59">
        <f>3*6083*F7</f>
        <v>4562.25</v>
      </c>
      <c r="G38" s="59">
        <f>3*6083*G7</f>
        <v>4562.25</v>
      </c>
      <c r="H38" s="59">
        <f>3*6083*H7</f>
        <v>4562.25</v>
      </c>
      <c r="I38" s="28"/>
      <c r="J38" s="59">
        <f t="shared" si="7"/>
        <v>22811.25</v>
      </c>
    </row>
    <row r="39" spans="2:10" x14ac:dyDescent="0.3">
      <c r="B39" s="19"/>
      <c r="C39" s="60" t="s">
        <v>146</v>
      </c>
      <c r="D39" s="59">
        <f>500*D7</f>
        <v>125</v>
      </c>
      <c r="E39" s="59">
        <f>500*E7</f>
        <v>125</v>
      </c>
      <c r="F39" s="59">
        <f>500*F7</f>
        <v>125</v>
      </c>
      <c r="G39" s="59">
        <f>500*G7</f>
        <v>125</v>
      </c>
      <c r="H39" s="59">
        <f>500*H7</f>
        <v>125</v>
      </c>
      <c r="I39" s="28"/>
      <c r="J39" s="59">
        <f t="shared" si="7"/>
        <v>625</v>
      </c>
    </row>
    <row r="40" spans="2:10" x14ac:dyDescent="0.3">
      <c r="B40" s="19"/>
      <c r="C40" s="60" t="s">
        <v>145</v>
      </c>
      <c r="D40" s="59">
        <f>1500*D7</f>
        <v>375</v>
      </c>
      <c r="E40" s="59">
        <f>1500*E7</f>
        <v>375</v>
      </c>
      <c r="F40" s="59">
        <f>1500*F7</f>
        <v>375</v>
      </c>
      <c r="G40" s="59">
        <f>1500*G7</f>
        <v>375</v>
      </c>
      <c r="H40" s="59">
        <f>1500*H7</f>
        <v>375</v>
      </c>
      <c r="I40" s="28"/>
      <c r="J40" s="59">
        <f t="shared" si="7"/>
        <v>1875</v>
      </c>
    </row>
    <row r="41" spans="2:10" x14ac:dyDescent="0.3">
      <c r="B41" s="19"/>
      <c r="C41" s="9" t="s">
        <v>15</v>
      </c>
      <c r="D41" s="65">
        <f>SUM(D35:D40)</f>
        <v>6562.25</v>
      </c>
      <c r="E41" s="65">
        <f>SUM(E35:E40)</f>
        <v>5062.25</v>
      </c>
      <c r="F41" s="65">
        <f>SUM(F35:F40)</f>
        <v>5062.25</v>
      </c>
      <c r="G41" s="65">
        <f>SUM(G35:G40)</f>
        <v>5062.25</v>
      </c>
      <c r="H41" s="65">
        <f>SUM(H35:H40)</f>
        <v>5062.25</v>
      </c>
      <c r="I41"/>
      <c r="J41" s="65">
        <f>SUM(J35:J40)</f>
        <v>26811.25</v>
      </c>
    </row>
    <row r="42" spans="2:10" x14ac:dyDescent="0.3">
      <c r="B42" s="19"/>
      <c r="C42" s="12" t="s">
        <v>36</v>
      </c>
      <c r="D42" s="11" t="s">
        <v>30</v>
      </c>
      <c r="E42" s="10"/>
      <c r="F42" s="10"/>
      <c r="G42" s="10"/>
      <c r="H42" s="10"/>
      <c r="J42" s="13"/>
    </row>
    <row r="43" spans="2:10" ht="76.5" customHeight="1" x14ac:dyDescent="0.3">
      <c r="B43" s="19"/>
      <c r="C43" s="60" t="s">
        <v>109</v>
      </c>
      <c r="D43" s="59">
        <f>(10000000-SUM($J$41+$J$30+$J$25+$J$13+$J$59+$J$54))*D44</f>
        <v>942691.47787089355</v>
      </c>
      <c r="E43" s="59">
        <f>(10000000-SUM($J$41+$J$30+$J$25+$J$13+$J$59+$J$54))*E44</f>
        <v>2356728.6946772337</v>
      </c>
      <c r="F43" s="59">
        <f>(10000000-SUM($J$41+$J$30+$J$25+$J$13+$J$59+$J$54))*F44</f>
        <v>2356728.6946772337</v>
      </c>
      <c r="G43" s="59">
        <f>(10000000-SUM($J$41+$J$30+$J$25+$J$13+$J$59+$J$54))*G44</f>
        <v>2356728.6946772337</v>
      </c>
      <c r="H43" s="59">
        <f>(10000000-SUM($J$41+$J$30+$J$25+$J$13+$J$59+$J$54))*H44</f>
        <v>1414037.2168063403</v>
      </c>
      <c r="I43" s="29"/>
      <c r="J43" s="81">
        <f>SUM(D43:H43)</f>
        <v>9426914.7787089348</v>
      </c>
    </row>
    <row r="44" spans="2:10" x14ac:dyDescent="0.3">
      <c r="B44" s="19"/>
      <c r="C44" s="60" t="s">
        <v>57</v>
      </c>
      <c r="D44" s="64">
        <v>0.1</v>
      </c>
      <c r="E44" s="64">
        <v>0.25</v>
      </c>
      <c r="F44" s="64">
        <v>0.25</v>
      </c>
      <c r="G44" s="64">
        <v>0.25</v>
      </c>
      <c r="H44" s="64">
        <v>0.15</v>
      </c>
      <c r="I44" s="29"/>
      <c r="J44" s="13"/>
    </row>
    <row r="45" spans="2:10" x14ac:dyDescent="0.3">
      <c r="B45" s="19"/>
      <c r="C45" s="9" t="s">
        <v>16</v>
      </c>
      <c r="D45" s="65">
        <f>SUM(D43:D43)</f>
        <v>942691.47787089355</v>
      </c>
      <c r="E45" s="65">
        <f>SUM(E43:E43)</f>
        <v>2356728.6946772337</v>
      </c>
      <c r="F45" s="65">
        <f>SUM(F43:F43)</f>
        <v>2356728.6946772337</v>
      </c>
      <c r="G45" s="65">
        <f>SUM(G43:G43)</f>
        <v>2356728.6946772337</v>
      </c>
      <c r="H45" s="65">
        <f>SUM(H43:H43)</f>
        <v>1414037.2168063403</v>
      </c>
      <c r="I45"/>
      <c r="J45" s="65">
        <f>SUM(J43:J43)</f>
        <v>9426914.7787089348</v>
      </c>
    </row>
    <row r="46" spans="2:10" x14ac:dyDescent="0.3">
      <c r="B46" s="19"/>
      <c r="C46" s="12" t="s">
        <v>37</v>
      </c>
      <c r="D46" s="11" t="s">
        <v>30</v>
      </c>
      <c r="E46" s="10"/>
      <c r="F46" s="10"/>
      <c r="G46" s="10"/>
      <c r="H46" s="10"/>
      <c r="J46" s="13"/>
    </row>
    <row r="47" spans="2:10" ht="28.8" x14ac:dyDescent="0.3">
      <c r="B47" s="19"/>
      <c r="C47" s="60" t="s">
        <v>119</v>
      </c>
      <c r="D47" s="59">
        <f>SUM(D13,D25)*0.06</f>
        <v>4763.8719282960001</v>
      </c>
      <c r="E47" s="59">
        <f>SUM(E13,E25)*0.06</f>
        <v>4967.7888620587501</v>
      </c>
      <c r="F47" s="59">
        <f>SUM(F13,F25)*0.06</f>
        <v>5178.5449802775001</v>
      </c>
      <c r="G47" s="59">
        <f>SUM(G13,G25)*0.06</f>
        <v>5397.4938715425005</v>
      </c>
      <c r="H47" s="59">
        <f>SUM(H13,H25)*0.06</f>
        <v>5638.147674588</v>
      </c>
      <c r="I47"/>
      <c r="J47" s="59">
        <f t="shared" ref="J47" si="8">SUM(D47:H47)</f>
        <v>25945.847316762749</v>
      </c>
    </row>
    <row r="48" spans="2:10" ht="28.8" x14ac:dyDescent="0.3">
      <c r="B48" s="19"/>
      <c r="C48" s="60" t="s">
        <v>65</v>
      </c>
      <c r="D48" s="59">
        <f>300*D7</f>
        <v>75</v>
      </c>
      <c r="E48" s="59">
        <f>300*E7</f>
        <v>75</v>
      </c>
      <c r="F48" s="59">
        <f>300*F7</f>
        <v>75</v>
      </c>
      <c r="G48" s="59">
        <f>300*G7</f>
        <v>75</v>
      </c>
      <c r="H48" s="59">
        <f>300*H7</f>
        <v>75</v>
      </c>
      <c r="I48" s="28"/>
      <c r="J48" s="59">
        <f t="shared" ref="J48:J53" si="9">SUM(D48:H48)</f>
        <v>375</v>
      </c>
    </row>
    <row r="49" spans="2:11" ht="28.8" x14ac:dyDescent="0.3">
      <c r="B49" s="19"/>
      <c r="C49" s="60" t="s">
        <v>67</v>
      </c>
      <c r="D49" s="59">
        <f>300*D7</f>
        <v>75</v>
      </c>
      <c r="E49" s="59">
        <f>300*E7</f>
        <v>75</v>
      </c>
      <c r="F49" s="59">
        <f>300*F7</f>
        <v>75</v>
      </c>
      <c r="G49" s="59">
        <f>300*G7</f>
        <v>75</v>
      </c>
      <c r="H49" s="59">
        <f>300*H7</f>
        <v>75</v>
      </c>
      <c r="I49" s="28"/>
      <c r="J49" s="59">
        <f t="shared" si="9"/>
        <v>375</v>
      </c>
    </row>
    <row r="50" spans="2:11" ht="28.8" x14ac:dyDescent="0.3">
      <c r="B50" s="19"/>
      <c r="C50" s="60" t="s">
        <v>68</v>
      </c>
      <c r="D50" s="59">
        <f>300*D7</f>
        <v>75</v>
      </c>
      <c r="E50" s="59">
        <f>300*E7</f>
        <v>75</v>
      </c>
      <c r="F50" s="59">
        <f>300*F7</f>
        <v>75</v>
      </c>
      <c r="G50" s="59">
        <f>300*G7</f>
        <v>75</v>
      </c>
      <c r="H50" s="59">
        <f>300*H7</f>
        <v>75</v>
      </c>
      <c r="I50" s="28"/>
      <c r="J50" s="59">
        <f t="shared" si="9"/>
        <v>375</v>
      </c>
    </row>
    <row r="51" spans="2:11" ht="28.8" x14ac:dyDescent="0.3">
      <c r="B51" s="19"/>
      <c r="C51" s="58" t="s">
        <v>123</v>
      </c>
      <c r="D51" s="81">
        <f>10000000*0.001</f>
        <v>10000</v>
      </c>
      <c r="E51" s="81">
        <f t="shared" ref="E51:H51" si="10">10000000*0.001</f>
        <v>10000</v>
      </c>
      <c r="F51" s="81">
        <f t="shared" si="10"/>
        <v>10000</v>
      </c>
      <c r="G51" s="81">
        <f t="shared" si="10"/>
        <v>10000</v>
      </c>
      <c r="H51" s="81">
        <f t="shared" si="10"/>
        <v>10000</v>
      </c>
      <c r="I51"/>
      <c r="J51" s="59">
        <f t="shared" si="9"/>
        <v>50000</v>
      </c>
    </row>
    <row r="52" spans="2:11" ht="28.8" x14ac:dyDescent="0.3">
      <c r="B52" s="19"/>
      <c r="C52" s="58" t="s">
        <v>149</v>
      </c>
      <c r="D52" s="97">
        <f>3*4221*D7</f>
        <v>3165.75</v>
      </c>
      <c r="E52" s="97">
        <f t="shared" ref="E52:H52" si="11">3*4221*E7</f>
        <v>3165.75</v>
      </c>
      <c r="F52" s="97">
        <f t="shared" si="11"/>
        <v>3165.75</v>
      </c>
      <c r="G52" s="97">
        <f t="shared" si="11"/>
        <v>3165.75</v>
      </c>
      <c r="H52" s="97">
        <f t="shared" si="11"/>
        <v>3165.75</v>
      </c>
      <c r="I52"/>
      <c r="J52" s="59">
        <f t="shared" si="9"/>
        <v>15828.75</v>
      </c>
    </row>
    <row r="53" spans="2:11" ht="28.8" x14ac:dyDescent="0.3">
      <c r="B53" s="19"/>
      <c r="C53" s="58" t="s">
        <v>134</v>
      </c>
      <c r="D53" s="81">
        <f>32*(3*0.25)</f>
        <v>24</v>
      </c>
      <c r="E53" s="81">
        <f t="shared" ref="E53:H53" si="12">32*(3*0.25)</f>
        <v>24</v>
      </c>
      <c r="F53" s="81">
        <f t="shared" si="12"/>
        <v>24</v>
      </c>
      <c r="G53" s="81">
        <f t="shared" si="12"/>
        <v>24</v>
      </c>
      <c r="H53" s="81">
        <f t="shared" si="12"/>
        <v>24</v>
      </c>
      <c r="I53"/>
      <c r="J53" s="59">
        <f t="shared" si="9"/>
        <v>120</v>
      </c>
    </row>
    <row r="54" spans="2:11" x14ac:dyDescent="0.3">
      <c r="B54" s="20"/>
      <c r="C54" s="9" t="s">
        <v>17</v>
      </c>
      <c r="D54" s="65">
        <f>SUM(D47:D53)</f>
        <v>18178.621928296001</v>
      </c>
      <c r="E54" s="65">
        <f>SUM(E47:E53)</f>
        <v>18382.538862058751</v>
      </c>
      <c r="F54" s="65">
        <f>SUM(F47:F53)</f>
        <v>18593.2949802775</v>
      </c>
      <c r="G54" s="65">
        <f>SUM(G47:G53)</f>
        <v>18812.243871542501</v>
      </c>
      <c r="H54" s="65">
        <f>SUM(H47:H53)</f>
        <v>19052.897674587999</v>
      </c>
      <c r="I54"/>
      <c r="J54" s="65">
        <f>SUM(J47:J53)</f>
        <v>93019.597316762753</v>
      </c>
    </row>
    <row r="55" spans="2:11" x14ac:dyDescent="0.3">
      <c r="B55" s="20"/>
      <c r="C55" s="9" t="s">
        <v>18</v>
      </c>
      <c r="D55" s="65">
        <f>SUM(D54,D45,D41,D33,D30,D25,D13)</f>
        <v>1047665.2152707896</v>
      </c>
      <c r="E55" s="65">
        <f>SUM(E54,E45,E41,E33,E30,E25,E13)</f>
        <v>2463804.964573605</v>
      </c>
      <c r="F55" s="65">
        <f>SUM(F54,F45,F41,F33,F30,F25,F13)</f>
        <v>2467528.3226621361</v>
      </c>
      <c r="G55" s="65">
        <f>SUM(G54,G45,G41,G33,G30,G25,G13)</f>
        <v>2471396.4197411509</v>
      </c>
      <c r="H55" s="65">
        <f>SUM(H54,H45,H41,H33,H30,H25,H13)</f>
        <v>1532956.4923907281</v>
      </c>
      <c r="I55"/>
      <c r="J55" s="65">
        <f>SUM(D55:H55)</f>
        <v>9983351.4146384094</v>
      </c>
    </row>
    <row r="56" spans="2:11" x14ac:dyDescent="0.3">
      <c r="B56" s="6"/>
      <c r="D56"/>
      <c r="E56"/>
      <c r="H56"/>
      <c r="I56"/>
      <c r="J56" t="s">
        <v>19</v>
      </c>
    </row>
    <row r="57" spans="2:11" ht="28.8" x14ac:dyDescent="0.3">
      <c r="B57" s="57" t="s">
        <v>38</v>
      </c>
      <c r="C57" s="14" t="s">
        <v>38</v>
      </c>
      <c r="D57" s="15"/>
      <c r="E57" s="15"/>
      <c r="F57" s="15"/>
      <c r="G57" s="15"/>
      <c r="H57" s="15"/>
      <c r="I57"/>
      <c r="J57" s="15" t="s">
        <v>19</v>
      </c>
    </row>
    <row r="58" spans="2:11" ht="28.8" x14ac:dyDescent="0.3">
      <c r="B58" s="19"/>
      <c r="C58" s="58" t="s">
        <v>112</v>
      </c>
      <c r="D58" s="97">
        <f>SUM(D25,D13)*0.0385</f>
        <v>3056.8178206565999</v>
      </c>
      <c r="E58" s="97">
        <f>SUM(E25,E13)*0.0385</f>
        <v>3187.6645198210313</v>
      </c>
      <c r="F58" s="97">
        <f>SUM(F25,F13)*0.0385</f>
        <v>3322.8996956780625</v>
      </c>
      <c r="G58" s="97">
        <f>SUM(G25,G13)*0.0385</f>
        <v>3463.391900906438</v>
      </c>
      <c r="H58" s="97">
        <f>SUM(H25,H13)*0.0385</f>
        <v>3617.8114245273005</v>
      </c>
      <c r="I58"/>
      <c r="J58" s="59">
        <f>SUM(D58:H58)</f>
        <v>16648.58536158943</v>
      </c>
    </row>
    <row r="59" spans="2:11" x14ac:dyDescent="0.3">
      <c r="B59" s="20"/>
      <c r="C59" s="9" t="s">
        <v>20</v>
      </c>
      <c r="D59" s="65">
        <f>SUM(D58:D58)</f>
        <v>3056.8178206565999</v>
      </c>
      <c r="E59" s="65">
        <f>SUM(E58:E58)</f>
        <v>3187.6645198210313</v>
      </c>
      <c r="F59" s="65">
        <f>SUM(F58:F58)</f>
        <v>3322.8996956780625</v>
      </c>
      <c r="G59" s="65">
        <f>SUM(G58:G58)</f>
        <v>3463.391900906438</v>
      </c>
      <c r="H59" s="65">
        <f>SUM(H58:H58)</f>
        <v>3617.8114245273005</v>
      </c>
      <c r="I59"/>
      <c r="J59" s="65">
        <f>SUM(J58:J58)</f>
        <v>16648.58536158943</v>
      </c>
    </row>
    <row r="60" spans="2:11" ht="15" thickBot="1" x14ac:dyDescent="0.35">
      <c r="B60" s="6"/>
      <c r="D60"/>
      <c r="E60"/>
      <c r="H60"/>
      <c r="I60"/>
      <c r="J60" t="s">
        <v>19</v>
      </c>
    </row>
    <row r="61" spans="2:11" s="1" customFormat="1" ht="29.4" thickBot="1" x14ac:dyDescent="0.35">
      <c r="B61" s="16" t="s">
        <v>21</v>
      </c>
      <c r="C61" s="16"/>
      <c r="D61" s="69">
        <f>SUM(D59,D55)</f>
        <v>1050722.0330914462</v>
      </c>
      <c r="E61" s="69">
        <f>SUM(E59,E55)</f>
        <v>2466992.6290934258</v>
      </c>
      <c r="F61" s="69">
        <f>SUM(F59,F55)</f>
        <v>2470851.2223578142</v>
      </c>
      <c r="G61" s="69">
        <f>SUM(G59,G55)</f>
        <v>2474859.8116420573</v>
      </c>
      <c r="H61" s="69">
        <f>SUM(H59,H55)</f>
        <v>1536574.3038152554</v>
      </c>
      <c r="I61"/>
      <c r="J61" s="69">
        <f>SUM(J59,J55)</f>
        <v>9999999.9999999981</v>
      </c>
      <c r="K61" s="104">
        <f>SUM(D61:H61)</f>
        <v>9999999.9999999981</v>
      </c>
    </row>
    <row r="62" spans="2:11" x14ac:dyDescent="0.3">
      <c r="B62" s="6"/>
    </row>
    <row r="63" spans="2:11" x14ac:dyDescent="0.3">
      <c r="B63" s="6"/>
    </row>
    <row r="64" spans="2:11"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sheetData>
  <pageMargins left="0.25" right="0.25" top="0.75" bottom="0.75" header="0.3" footer="0.3"/>
  <pageSetup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B0582-D0AB-47CE-9A86-A7EEB7665C6A}">
  <sheetPr>
    <tabColor theme="9" tint="0.39997558519241921"/>
    <pageSetUpPr fitToPage="1"/>
  </sheetPr>
  <dimension ref="B2:AM77"/>
  <sheetViews>
    <sheetView showGridLines="0" topLeftCell="A35" zoomScale="85" zoomScaleNormal="85" workbookViewId="0">
      <selection activeCell="A33" sqref="A33:XFD33"/>
    </sheetView>
  </sheetViews>
  <sheetFormatPr defaultColWidth="9.109375" defaultRowHeight="14.4" x14ac:dyDescent="0.3"/>
  <cols>
    <col min="1" max="1" width="3.109375" customWidth="1"/>
    <col min="2" max="2" width="10.109375" customWidth="1"/>
    <col min="3" max="3" width="46.5546875" customWidth="1"/>
    <col min="4" max="4" width="12.441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1.33203125" customWidth="1"/>
  </cols>
  <sheetData>
    <row r="2" spans="2:39" ht="23.4" x14ac:dyDescent="0.45">
      <c r="B2" s="24" t="s">
        <v>90</v>
      </c>
    </row>
    <row r="3" spans="2:39" x14ac:dyDescent="0.3">
      <c r="B3" s="5" t="s">
        <v>28</v>
      </c>
    </row>
    <row r="4" spans="2:39" x14ac:dyDescent="0.3">
      <c r="B4" s="5"/>
    </row>
    <row r="5" spans="2:39" ht="18" x14ac:dyDescent="0.35">
      <c r="B5" s="30" t="s">
        <v>1</v>
      </c>
      <c r="C5" s="31"/>
      <c r="D5" s="31"/>
      <c r="E5" s="31"/>
      <c r="F5" s="31"/>
      <c r="G5" s="31"/>
      <c r="H5" s="31"/>
      <c r="I5" s="31"/>
      <c r="J5" s="32"/>
    </row>
    <row r="6" spans="2:39" ht="28.8" x14ac:dyDescent="0.3">
      <c r="B6" s="33" t="s">
        <v>2</v>
      </c>
      <c r="C6" s="33" t="s">
        <v>3</v>
      </c>
      <c r="D6" s="33" t="s">
        <v>4</v>
      </c>
      <c r="E6" s="34" t="s">
        <v>5</v>
      </c>
      <c r="F6" s="34" t="s">
        <v>6</v>
      </c>
      <c r="G6" s="34" t="s">
        <v>7</v>
      </c>
      <c r="H6" s="35" t="s">
        <v>8</v>
      </c>
      <c r="I6" s="36"/>
      <c r="J6" s="37" t="s">
        <v>9</v>
      </c>
    </row>
    <row r="7" spans="2:39" s="5" customFormat="1" ht="28.8" x14ac:dyDescent="0.3">
      <c r="B7" s="57" t="s">
        <v>10</v>
      </c>
      <c r="C7" s="74" t="s">
        <v>42</v>
      </c>
      <c r="D7" s="10">
        <f>5000000/40000000</f>
        <v>0.125</v>
      </c>
      <c r="E7" s="10">
        <f>5000000/40000000</f>
        <v>0.125</v>
      </c>
      <c r="F7" s="10">
        <f>5000000/40000000</f>
        <v>0.125</v>
      </c>
      <c r="G7" s="10">
        <f>5000000/40000000</f>
        <v>0.125</v>
      </c>
      <c r="H7" s="10">
        <f>5000000/40000000</f>
        <v>0.125</v>
      </c>
      <c r="I7" s="7"/>
      <c r="J7" s="8" t="s">
        <v>30</v>
      </c>
      <c r="K7"/>
      <c r="L7"/>
      <c r="M7"/>
      <c r="N7"/>
      <c r="O7"/>
      <c r="P7"/>
      <c r="Q7"/>
      <c r="R7"/>
      <c r="S7"/>
      <c r="T7"/>
      <c r="U7"/>
      <c r="V7"/>
      <c r="W7"/>
      <c r="X7"/>
      <c r="Y7"/>
      <c r="Z7"/>
      <c r="AA7"/>
      <c r="AB7"/>
      <c r="AC7"/>
      <c r="AD7"/>
      <c r="AE7"/>
      <c r="AF7"/>
      <c r="AG7"/>
      <c r="AH7"/>
      <c r="AI7"/>
      <c r="AJ7"/>
      <c r="AK7"/>
      <c r="AL7"/>
      <c r="AM7"/>
    </row>
    <row r="8" spans="2:39" ht="43.2" x14ac:dyDescent="0.3">
      <c r="B8" s="19"/>
      <c r="C8" s="60" t="s">
        <v>93</v>
      </c>
      <c r="D8" s="61">
        <f>(33.47*1950)*D7*1.02</f>
        <v>8321.4787500000002</v>
      </c>
      <c r="E8" s="61">
        <f>(34.92*1950)*E7*1.02</f>
        <v>8681.9850000000006</v>
      </c>
      <c r="F8" s="61">
        <f>(36.49*1950)*F7*1.02</f>
        <v>9072.3262500000001</v>
      </c>
      <c r="G8" s="61">
        <f>(38.09*1950)*G7*1.02</f>
        <v>9470.1262499999993</v>
      </c>
      <c r="H8" s="61">
        <f>(39.9*1950)*H7*1.02</f>
        <v>9920.1375000000007</v>
      </c>
      <c r="I8" s="62"/>
      <c r="J8" s="61">
        <f>SUM(D8:H8)</f>
        <v>45466.053750000006</v>
      </c>
    </row>
    <row r="9" spans="2:39" ht="43.2" x14ac:dyDescent="0.3">
      <c r="B9" s="19"/>
      <c r="C9" s="60" t="s">
        <v>95</v>
      </c>
      <c r="D9" s="61">
        <f>(30.72*1950)*D7*1.02</f>
        <v>7637.76</v>
      </c>
      <c r="E9" s="61">
        <f>(32.09*1950)*E7*1.02</f>
        <v>7978.3762500000012</v>
      </c>
      <c r="F9" s="61">
        <f>(33.47*1950)*F7*1.02</f>
        <v>8321.4787500000002</v>
      </c>
      <c r="G9" s="61">
        <f>(34.92*1950)*G7*1.02</f>
        <v>8681.9850000000006</v>
      </c>
      <c r="H9" s="61">
        <f>(36.49*1950)*H7*1.02</f>
        <v>9072.3262500000001</v>
      </c>
      <c r="I9" s="63"/>
      <c r="J9" s="61">
        <f>SUM(D9:H9)</f>
        <v>41691.926250000004</v>
      </c>
    </row>
    <row r="10" spans="2:39" ht="43.2" x14ac:dyDescent="0.3">
      <c r="B10" s="19"/>
      <c r="C10" s="60" t="s">
        <v>96</v>
      </c>
      <c r="D10" s="61">
        <f>(30.72*1950)*D7*1.02</f>
        <v>7637.76</v>
      </c>
      <c r="E10" s="61">
        <f>(32.09*1950)*E7*1.02</f>
        <v>7978.3762500000012</v>
      </c>
      <c r="F10" s="61">
        <f>(33.47*1950)*F7*1.02</f>
        <v>8321.4787500000002</v>
      </c>
      <c r="G10" s="61">
        <f>(34.92*1950)*G7*1.02</f>
        <v>8681.9850000000006</v>
      </c>
      <c r="H10" s="61">
        <f>(36.49*1950)*H7*1.02</f>
        <v>9072.3262500000001</v>
      </c>
      <c r="I10" s="63"/>
      <c r="J10" s="61">
        <f>SUM(D10:H10)</f>
        <v>41691.926250000004</v>
      </c>
    </row>
    <row r="11" spans="2:39" ht="57.6" x14ac:dyDescent="0.3">
      <c r="B11" s="19"/>
      <c r="C11" s="60" t="s">
        <v>129</v>
      </c>
      <c r="D11" s="61">
        <f>(43.65*1950)*D7*0.05*1.02</f>
        <v>542.62406250000004</v>
      </c>
      <c r="E11" s="61">
        <f>(45.72*1950)*E7*0.05*1.02</f>
        <v>568.35675000000003</v>
      </c>
      <c r="F11" s="61">
        <f>(47.87*1950)*F7*0.05*1.02</f>
        <v>595.08393749999993</v>
      </c>
      <c r="G11" s="61">
        <f>(50.07*1950)*G7*0.05*1.02</f>
        <v>622.43268750000004</v>
      </c>
      <c r="H11" s="61">
        <f>(52.41*1950)*H7*0.05*1.02</f>
        <v>651.52181250000001</v>
      </c>
      <c r="I11" s="63"/>
      <c r="J11" s="61">
        <f>SUM(D11:H11)</f>
        <v>2980.0192500000003</v>
      </c>
    </row>
    <row r="12" spans="2:39" ht="43.2" x14ac:dyDescent="0.3">
      <c r="B12" s="19"/>
      <c r="C12" s="60" t="s">
        <v>130</v>
      </c>
      <c r="D12" s="61">
        <f>(64.23*1950)*0.05*D7*1.02</f>
        <v>798.4591875000001</v>
      </c>
      <c r="E12" s="61">
        <f>(64.23*1950)*0.05*E7*1.02</f>
        <v>798.4591875000001</v>
      </c>
      <c r="F12" s="61">
        <f>(64.23*1950)*0.05*F7*1.02</f>
        <v>798.4591875000001</v>
      </c>
      <c r="G12" s="61">
        <f>(64.23*1950)*0.05*G7*1.02</f>
        <v>798.4591875000001</v>
      </c>
      <c r="H12" s="61">
        <f>(64.23*1950)*0.05*H7*1.02</f>
        <v>798.4591875000001</v>
      </c>
      <c r="I12" s="63"/>
      <c r="J12" s="61">
        <f>SUM(D12:H12)</f>
        <v>3992.2959375000005</v>
      </c>
    </row>
    <row r="13" spans="2:39" x14ac:dyDescent="0.3">
      <c r="B13" s="19"/>
      <c r="C13" s="9" t="s">
        <v>11</v>
      </c>
      <c r="D13" s="65">
        <f>SUM(D8:D12)</f>
        <v>24938.081999999999</v>
      </c>
      <c r="E13" s="65">
        <f t="shared" ref="E13:H13" si="0">SUM(E8:E12)</f>
        <v>26005.553437500002</v>
      </c>
      <c r="F13" s="65">
        <f t="shared" si="0"/>
        <v>27108.826875000002</v>
      </c>
      <c r="G13" s="65">
        <f t="shared" si="0"/>
        <v>28254.988125000003</v>
      </c>
      <c r="H13" s="65">
        <f t="shared" si="0"/>
        <v>29514.771000000001</v>
      </c>
      <c r="I13"/>
      <c r="J13" s="65">
        <f>SUM(J8:J12)</f>
        <v>135822.2214375</v>
      </c>
    </row>
    <row r="14" spans="2:39" x14ac:dyDescent="0.3">
      <c r="B14" s="19"/>
      <c r="C14" s="12" t="s">
        <v>31</v>
      </c>
      <c r="D14" s="11" t="s">
        <v>30</v>
      </c>
      <c r="E14" s="10"/>
      <c r="F14" s="10"/>
      <c r="G14" s="10"/>
      <c r="H14" s="10"/>
      <c r="J14" s="8" t="s">
        <v>30</v>
      </c>
    </row>
    <row r="15" spans="2:39" ht="28.8" x14ac:dyDescent="0.3">
      <c r="B15" s="19"/>
      <c r="C15" s="60" t="s">
        <v>99</v>
      </c>
      <c r="D15" s="61">
        <f>D8*0.5273</f>
        <v>4387.9157448750002</v>
      </c>
      <c r="E15" s="61">
        <f t="shared" ref="E15:H18" si="1">E8*0.5273</f>
        <v>4578.0106905000002</v>
      </c>
      <c r="F15" s="61">
        <f t="shared" si="1"/>
        <v>4783.8376316249996</v>
      </c>
      <c r="G15" s="61">
        <f t="shared" si="1"/>
        <v>4993.5975716249995</v>
      </c>
      <c r="H15" s="61">
        <f t="shared" si="1"/>
        <v>5230.8885037500004</v>
      </c>
      <c r="I15" s="63"/>
      <c r="J15" s="61">
        <f>SUM(D15:H15)</f>
        <v>23974.250142375</v>
      </c>
    </row>
    <row r="16" spans="2:39" ht="28.8" x14ac:dyDescent="0.3">
      <c r="B16" s="19"/>
      <c r="C16" s="60" t="s">
        <v>100</v>
      </c>
      <c r="D16" s="61">
        <f>D9*0.5273</f>
        <v>4027.390848</v>
      </c>
      <c r="E16" s="61">
        <f t="shared" si="1"/>
        <v>4206.9977966250008</v>
      </c>
      <c r="F16" s="61">
        <f t="shared" si="1"/>
        <v>4387.9157448750002</v>
      </c>
      <c r="G16" s="61">
        <f t="shared" si="1"/>
        <v>4578.0106905000002</v>
      </c>
      <c r="H16" s="61">
        <f t="shared" si="1"/>
        <v>4783.8376316249996</v>
      </c>
      <c r="I16" s="63"/>
      <c r="J16" s="61">
        <f t="shared" ref="J16:J24" si="2">SUM(D16:H16)</f>
        <v>21984.152711625</v>
      </c>
    </row>
    <row r="17" spans="2:10" ht="28.8" x14ac:dyDescent="0.3">
      <c r="B17" s="19"/>
      <c r="C17" s="73" t="s">
        <v>101</v>
      </c>
      <c r="D17" s="61">
        <f>D10*0.5273</f>
        <v>4027.390848</v>
      </c>
      <c r="E17" s="61">
        <f t="shared" si="1"/>
        <v>4206.9977966250008</v>
      </c>
      <c r="F17" s="61">
        <f t="shared" si="1"/>
        <v>4387.9157448750002</v>
      </c>
      <c r="G17" s="61">
        <f t="shared" si="1"/>
        <v>4578.0106905000002</v>
      </c>
      <c r="H17" s="61">
        <f t="shared" si="1"/>
        <v>4783.8376316249996</v>
      </c>
      <c r="I17" s="63"/>
      <c r="J17" s="61">
        <f>SUM(D17:H17)</f>
        <v>21984.152711625</v>
      </c>
    </row>
    <row r="18" spans="2:10" ht="28.8" x14ac:dyDescent="0.3">
      <c r="B18" s="19"/>
      <c r="C18" s="73" t="s">
        <v>102</v>
      </c>
      <c r="D18" s="61">
        <f>D11*0.5273</f>
        <v>286.12566815625001</v>
      </c>
      <c r="E18" s="61">
        <f t="shared" si="1"/>
        <v>299.69451427500002</v>
      </c>
      <c r="F18" s="61">
        <f t="shared" si="1"/>
        <v>313.78776024374997</v>
      </c>
      <c r="G18" s="61">
        <f t="shared" si="1"/>
        <v>328.20875611874999</v>
      </c>
      <c r="H18" s="61">
        <f t="shared" si="1"/>
        <v>343.54745173125002</v>
      </c>
      <c r="I18" s="63"/>
      <c r="J18" s="61">
        <f>SUM(D18:H18)</f>
        <v>1571.364150525</v>
      </c>
    </row>
    <row r="19" spans="2:10" ht="28.8" x14ac:dyDescent="0.3">
      <c r="B19" s="19"/>
      <c r="C19" s="73" t="s">
        <v>103</v>
      </c>
      <c r="D19" s="61">
        <f>D12*0.5273</f>
        <v>421.02752956875003</v>
      </c>
      <c r="E19" s="61">
        <f>E12*0.5273</f>
        <v>421.02752956875003</v>
      </c>
      <c r="F19" s="61">
        <f>F12*0.5273</f>
        <v>421.02752956875003</v>
      </c>
      <c r="G19" s="61">
        <f>G12*0.5273</f>
        <v>421.02752956875003</v>
      </c>
      <c r="H19" s="61">
        <f>H12*0.5273</f>
        <v>421.02752956875003</v>
      </c>
      <c r="I19" s="63"/>
      <c r="J19" s="61">
        <f t="shared" si="2"/>
        <v>2105.1376478437501</v>
      </c>
    </row>
    <row r="20" spans="2:10" ht="28.8" x14ac:dyDescent="0.3">
      <c r="B20" s="19"/>
      <c r="C20" s="60" t="s">
        <v>104</v>
      </c>
      <c r="D20" s="61">
        <f>D8*0.0646</f>
        <v>537.56752725000001</v>
      </c>
      <c r="E20" s="61">
        <f t="shared" ref="E20:H20" si="3">E8*0.0646</f>
        <v>560.85623100000009</v>
      </c>
      <c r="F20" s="61">
        <f t="shared" si="3"/>
        <v>586.07227575000002</v>
      </c>
      <c r="G20" s="61">
        <f t="shared" si="3"/>
        <v>611.77015574999996</v>
      </c>
      <c r="H20" s="61">
        <f t="shared" si="3"/>
        <v>640.84088250000013</v>
      </c>
      <c r="I20" s="63"/>
      <c r="J20" s="61">
        <f t="shared" si="2"/>
        <v>2937.1070722500003</v>
      </c>
    </row>
    <row r="21" spans="2:10" ht="28.8" x14ac:dyDescent="0.3">
      <c r="B21" s="19"/>
      <c r="C21" s="60" t="s">
        <v>105</v>
      </c>
      <c r="D21" s="61">
        <f t="shared" ref="D21:H24" si="4">D9*0.0646</f>
        <v>493.39929600000005</v>
      </c>
      <c r="E21" s="61">
        <f t="shared" si="4"/>
        <v>515.40310575000012</v>
      </c>
      <c r="F21" s="61">
        <f t="shared" si="4"/>
        <v>537.56752725000001</v>
      </c>
      <c r="G21" s="61">
        <f t="shared" si="4"/>
        <v>560.85623100000009</v>
      </c>
      <c r="H21" s="61">
        <f t="shared" si="4"/>
        <v>586.07227575000002</v>
      </c>
      <c r="I21" s="63"/>
      <c r="J21" s="61">
        <f t="shared" si="2"/>
        <v>2693.29843575</v>
      </c>
    </row>
    <row r="22" spans="2:10" ht="28.8" x14ac:dyDescent="0.3">
      <c r="B22" s="19"/>
      <c r="C22" s="73" t="s">
        <v>106</v>
      </c>
      <c r="D22" s="61">
        <f t="shared" si="4"/>
        <v>493.39929600000005</v>
      </c>
      <c r="E22" s="61">
        <f t="shared" si="4"/>
        <v>515.40310575000012</v>
      </c>
      <c r="F22" s="61">
        <f t="shared" si="4"/>
        <v>537.56752725000001</v>
      </c>
      <c r="G22" s="61">
        <f t="shared" si="4"/>
        <v>560.85623100000009</v>
      </c>
      <c r="H22" s="61">
        <f t="shared" si="4"/>
        <v>586.07227575000002</v>
      </c>
      <c r="I22" s="63"/>
      <c r="J22" s="61">
        <f t="shared" si="2"/>
        <v>2693.29843575</v>
      </c>
    </row>
    <row r="23" spans="2:10" ht="28.8" x14ac:dyDescent="0.3">
      <c r="B23" s="19"/>
      <c r="C23" s="73" t="s">
        <v>107</v>
      </c>
      <c r="D23" s="61">
        <f t="shared" si="4"/>
        <v>35.053514437500006</v>
      </c>
      <c r="E23" s="61">
        <f t="shared" si="4"/>
        <v>36.715846050000003</v>
      </c>
      <c r="F23" s="61">
        <f t="shared" si="4"/>
        <v>38.442422362499997</v>
      </c>
      <c r="G23" s="61">
        <f t="shared" si="4"/>
        <v>40.209151612500008</v>
      </c>
      <c r="H23" s="61">
        <f t="shared" si="4"/>
        <v>42.088309087500001</v>
      </c>
      <c r="I23" s="63"/>
      <c r="J23" s="61">
        <f t="shared" si="2"/>
        <v>192.50924355000001</v>
      </c>
    </row>
    <row r="24" spans="2:10" ht="28.8" x14ac:dyDescent="0.3">
      <c r="B24" s="19"/>
      <c r="C24" s="73" t="s">
        <v>108</v>
      </c>
      <c r="D24" s="61">
        <f>D12*0.0646</f>
        <v>51.58046351250001</v>
      </c>
      <c r="E24" s="61">
        <f t="shared" si="4"/>
        <v>51.58046351250001</v>
      </c>
      <c r="F24" s="61">
        <f t="shared" si="4"/>
        <v>51.58046351250001</v>
      </c>
      <c r="G24" s="61">
        <f t="shared" si="4"/>
        <v>51.58046351250001</v>
      </c>
      <c r="H24" s="61">
        <f>H12*0.0646</f>
        <v>51.58046351250001</v>
      </c>
      <c r="I24" s="63"/>
      <c r="J24" s="61">
        <f t="shared" si="2"/>
        <v>257.90231756250006</v>
      </c>
    </row>
    <row r="25" spans="2:10" x14ac:dyDescent="0.3">
      <c r="B25" s="19"/>
      <c r="C25" s="9" t="s">
        <v>12</v>
      </c>
      <c r="D25" s="65">
        <f>SUM(D15:D24)</f>
        <v>14760.850735799999</v>
      </c>
      <c r="E25" s="65">
        <f>SUM(E15:E24)</f>
        <v>15392.687079656249</v>
      </c>
      <c r="F25" s="65">
        <f>SUM(F15:F24)</f>
        <v>16045.7146273125</v>
      </c>
      <c r="G25" s="65">
        <f>SUM(G15:G24)</f>
        <v>16724.127471187498</v>
      </c>
      <c r="H25" s="65">
        <f>SUM(H15:H24)</f>
        <v>17469.7929549</v>
      </c>
      <c r="I25"/>
      <c r="J25" s="65">
        <f>SUM(J15:J24)</f>
        <v>80393.172868856229</v>
      </c>
    </row>
    <row r="26" spans="2:10" x14ac:dyDescent="0.3">
      <c r="B26" s="19"/>
      <c r="C26" s="12" t="s">
        <v>32</v>
      </c>
      <c r="D26" s="11" t="s">
        <v>30</v>
      </c>
      <c r="E26" s="10"/>
      <c r="F26" s="10"/>
      <c r="G26" s="10"/>
      <c r="H26" s="10"/>
      <c r="J26" s="8" t="s">
        <v>30</v>
      </c>
    </row>
    <row r="27" spans="2:10" ht="43.2" x14ac:dyDescent="0.3">
      <c r="B27" s="19"/>
      <c r="C27" s="58" t="s">
        <v>59</v>
      </c>
      <c r="D27" s="66">
        <v>250</v>
      </c>
      <c r="E27" s="66">
        <v>250</v>
      </c>
      <c r="F27" s="66">
        <v>250</v>
      </c>
      <c r="G27" s="66">
        <v>250</v>
      </c>
      <c r="H27" s="66">
        <v>250</v>
      </c>
      <c r="I27"/>
      <c r="J27" s="59"/>
    </row>
    <row r="28" spans="2:10" ht="28.8" x14ac:dyDescent="0.3">
      <c r="B28" s="19"/>
      <c r="C28" s="58" t="s">
        <v>137</v>
      </c>
      <c r="D28" s="59">
        <f>D27*0.67</f>
        <v>167.5</v>
      </c>
      <c r="E28" s="59">
        <f>E27*0.67</f>
        <v>167.5</v>
      </c>
      <c r="F28" s="59">
        <f>F27*0.67</f>
        <v>167.5</v>
      </c>
      <c r="G28" s="59">
        <f>G27*0.67</f>
        <v>167.5</v>
      </c>
      <c r="H28" s="59">
        <f>H27*0.67</f>
        <v>167.5</v>
      </c>
      <c r="I28" s="28"/>
      <c r="J28" s="59">
        <f>SUM(D28:H28)</f>
        <v>837.5</v>
      </c>
    </row>
    <row r="29" spans="2:10" ht="28.8" x14ac:dyDescent="0.3">
      <c r="B29" s="19"/>
      <c r="C29" s="84" t="s">
        <v>142</v>
      </c>
      <c r="D29" s="59">
        <f>2000*D7</f>
        <v>250</v>
      </c>
      <c r="E29" s="59">
        <f t="shared" ref="E29:H29" si="5">2000*E7</f>
        <v>250</v>
      </c>
      <c r="F29" s="59">
        <f t="shared" si="5"/>
        <v>250</v>
      </c>
      <c r="G29" s="59">
        <f t="shared" si="5"/>
        <v>250</v>
      </c>
      <c r="H29" s="59">
        <f t="shared" si="5"/>
        <v>250</v>
      </c>
      <c r="I29" s="28"/>
      <c r="J29" s="59">
        <f t="shared" ref="J29" si="6">SUM(D29:H29)</f>
        <v>1250</v>
      </c>
    </row>
    <row r="30" spans="2:10" x14ac:dyDescent="0.3">
      <c r="B30" s="19"/>
      <c r="C30" s="9" t="s">
        <v>13</v>
      </c>
      <c r="D30" s="65">
        <f>SUM(D28:D29)</f>
        <v>417.5</v>
      </c>
      <c r="E30" s="65">
        <f>SUM(E28:E29)</f>
        <v>417.5</v>
      </c>
      <c r="F30" s="65">
        <f>SUM(F28:F29)</f>
        <v>417.5</v>
      </c>
      <c r="G30" s="65">
        <f>SUM(G28:G29)</f>
        <v>417.5</v>
      </c>
      <c r="H30" s="65">
        <f>SUM(H28:H29)</f>
        <v>417.5</v>
      </c>
      <c r="I30"/>
      <c r="J30" s="65">
        <f>SUM(J27:J29)</f>
        <v>2087.5</v>
      </c>
    </row>
    <row r="31" spans="2:10" x14ac:dyDescent="0.3">
      <c r="B31" s="19"/>
      <c r="C31" s="12" t="s">
        <v>33</v>
      </c>
      <c r="D31" s="59"/>
      <c r="E31" s="66"/>
      <c r="F31" s="66"/>
      <c r="G31" s="66"/>
      <c r="H31" s="66"/>
      <c r="I31"/>
      <c r="J31" s="59" t="s">
        <v>19</v>
      </c>
    </row>
    <row r="32" spans="2:10" x14ac:dyDescent="0.3">
      <c r="B32" s="19"/>
      <c r="C32" s="77" t="s">
        <v>58</v>
      </c>
      <c r="D32" s="59"/>
      <c r="E32" s="66"/>
      <c r="F32" s="66"/>
      <c r="G32" s="66"/>
      <c r="H32" s="66"/>
      <c r="I32"/>
      <c r="J32" s="59">
        <f>SUM(D32:H32)</f>
        <v>0</v>
      </c>
    </row>
    <row r="33" spans="2:10" x14ac:dyDescent="0.3">
      <c r="B33" s="19"/>
      <c r="C33" s="9" t="s">
        <v>14</v>
      </c>
      <c r="D33" s="67">
        <f>SUM(D32:D32)</f>
        <v>0</v>
      </c>
      <c r="E33" s="67">
        <f>SUM(E32:E32)</f>
        <v>0</v>
      </c>
      <c r="F33" s="67">
        <f>SUM(F32:F32)</f>
        <v>0</v>
      </c>
      <c r="G33" s="67">
        <f>SUM(G32:G32)</f>
        <v>0</v>
      </c>
      <c r="H33" s="67">
        <f>SUM(H32:H32)</f>
        <v>0</v>
      </c>
      <c r="I33"/>
      <c r="J33" s="65">
        <f>SUM(J32:J32)</f>
        <v>0</v>
      </c>
    </row>
    <row r="34" spans="2:10" x14ac:dyDescent="0.3">
      <c r="B34" s="19"/>
      <c r="C34" s="12" t="s">
        <v>35</v>
      </c>
      <c r="D34" s="66" t="s">
        <v>30</v>
      </c>
      <c r="E34" s="66"/>
      <c r="F34" s="66"/>
      <c r="G34" s="66"/>
      <c r="H34" s="66"/>
      <c r="I34"/>
      <c r="J34" s="59"/>
    </row>
    <row r="35" spans="2:10" ht="28.8" x14ac:dyDescent="0.3">
      <c r="B35" s="19"/>
      <c r="C35" s="60" t="s">
        <v>49</v>
      </c>
      <c r="D35" s="59">
        <f>2000*D7</f>
        <v>250</v>
      </c>
      <c r="E35" s="59">
        <v>0</v>
      </c>
      <c r="F35" s="59">
        <v>0</v>
      </c>
      <c r="G35" s="59">
        <v>0</v>
      </c>
      <c r="H35" s="59">
        <v>0</v>
      </c>
      <c r="I35"/>
      <c r="J35" s="59">
        <f t="shared" ref="J35:J46" si="7">SUM(D35:H35)</f>
        <v>250</v>
      </c>
    </row>
    <row r="36" spans="2:10" ht="28.8" x14ac:dyDescent="0.3">
      <c r="B36" s="19"/>
      <c r="C36" s="60" t="s">
        <v>50</v>
      </c>
      <c r="D36" s="59">
        <f>2000*D7</f>
        <v>250</v>
      </c>
      <c r="E36" s="59">
        <v>0</v>
      </c>
      <c r="F36" s="59">
        <v>0</v>
      </c>
      <c r="G36" s="59">
        <v>0</v>
      </c>
      <c r="H36" s="59">
        <v>0</v>
      </c>
      <c r="I36" s="28"/>
      <c r="J36" s="59">
        <f t="shared" si="7"/>
        <v>250</v>
      </c>
    </row>
    <row r="37" spans="2:10" ht="28.8" x14ac:dyDescent="0.3">
      <c r="B37" s="19"/>
      <c r="C37" s="60" t="s">
        <v>51</v>
      </c>
      <c r="D37" s="59">
        <f>2000*D7</f>
        <v>250</v>
      </c>
      <c r="E37" s="59">
        <v>0</v>
      </c>
      <c r="F37" s="59">
        <v>0</v>
      </c>
      <c r="G37" s="59">
        <v>0</v>
      </c>
      <c r="H37" s="59">
        <v>0</v>
      </c>
      <c r="I37" s="28"/>
      <c r="J37" s="59">
        <f t="shared" si="7"/>
        <v>250</v>
      </c>
    </row>
    <row r="38" spans="2:10" ht="28.8" x14ac:dyDescent="0.3">
      <c r="B38" s="19"/>
      <c r="C38" s="60" t="s">
        <v>114</v>
      </c>
      <c r="D38" s="59">
        <f>3*6083*D7</f>
        <v>2281.125</v>
      </c>
      <c r="E38" s="59">
        <f>3*6083*E7</f>
        <v>2281.125</v>
      </c>
      <c r="F38" s="59">
        <f>3*6083*F7</f>
        <v>2281.125</v>
      </c>
      <c r="G38" s="59">
        <f>3*6083*G7</f>
        <v>2281.125</v>
      </c>
      <c r="H38" s="59">
        <f>3*6083*H7</f>
        <v>2281.125</v>
      </c>
      <c r="I38" s="28"/>
      <c r="J38" s="59">
        <f t="shared" si="7"/>
        <v>11405.625</v>
      </c>
    </row>
    <row r="39" spans="2:10" x14ac:dyDescent="0.3">
      <c r="B39" s="19"/>
      <c r="C39" s="60" t="s">
        <v>147</v>
      </c>
      <c r="D39" s="59">
        <f>500*D7</f>
        <v>62.5</v>
      </c>
      <c r="E39" s="59">
        <f>500*E7</f>
        <v>62.5</v>
      </c>
      <c r="F39" s="59">
        <f>500*F7</f>
        <v>62.5</v>
      </c>
      <c r="G39" s="59">
        <f>500*G7</f>
        <v>62.5</v>
      </c>
      <c r="H39" s="59">
        <f>500*H7</f>
        <v>62.5</v>
      </c>
      <c r="I39" s="28"/>
      <c r="J39" s="59">
        <f t="shared" si="7"/>
        <v>312.5</v>
      </c>
    </row>
    <row r="40" spans="2:10" x14ac:dyDescent="0.3">
      <c r="B40" s="19"/>
      <c r="C40" s="60" t="s">
        <v>144</v>
      </c>
      <c r="D40" s="59">
        <f>1500*D7</f>
        <v>187.5</v>
      </c>
      <c r="E40" s="59">
        <f>1500*E7</f>
        <v>187.5</v>
      </c>
      <c r="F40" s="59">
        <f>1500*F7</f>
        <v>187.5</v>
      </c>
      <c r="G40" s="59">
        <f>1500*G7</f>
        <v>187.5</v>
      </c>
      <c r="H40" s="59">
        <f>1500*H7</f>
        <v>187.5</v>
      </c>
      <c r="I40" s="28"/>
      <c r="J40" s="59">
        <f t="shared" si="7"/>
        <v>937.5</v>
      </c>
    </row>
    <row r="41" spans="2:10" x14ac:dyDescent="0.3">
      <c r="B41" s="19"/>
      <c r="C41" s="9" t="s">
        <v>15</v>
      </c>
      <c r="D41" s="65">
        <f>SUM(D35:D40)</f>
        <v>3281.125</v>
      </c>
      <c r="E41" s="65">
        <f>SUM(E35:E40)</f>
        <v>2531.125</v>
      </c>
      <c r="F41" s="65">
        <f>SUM(F35:F40)</f>
        <v>2531.125</v>
      </c>
      <c r="G41" s="65">
        <f>SUM(G35:G40)</f>
        <v>2531.125</v>
      </c>
      <c r="H41" s="65">
        <f>SUM(H35:H40)</f>
        <v>2531.125</v>
      </c>
      <c r="I41"/>
      <c r="J41" s="65">
        <f>SUM(J35:J40)</f>
        <v>13405.625</v>
      </c>
    </row>
    <row r="42" spans="2:10" x14ac:dyDescent="0.3">
      <c r="B42" s="19"/>
      <c r="C42" s="12" t="s">
        <v>36</v>
      </c>
      <c r="D42" s="11" t="s">
        <v>30</v>
      </c>
      <c r="E42" s="10"/>
      <c r="F42" s="10"/>
      <c r="G42" s="10"/>
      <c r="H42" s="10"/>
      <c r="J42" s="13"/>
    </row>
    <row r="43" spans="2:10" x14ac:dyDescent="0.3">
      <c r="B43" s="19"/>
      <c r="C43" s="60" t="s">
        <v>58</v>
      </c>
      <c r="D43" s="86"/>
      <c r="E43" s="86"/>
      <c r="F43" s="86"/>
      <c r="G43" s="86"/>
      <c r="H43" s="86"/>
      <c r="I43" s="79"/>
      <c r="J43" s="86">
        <f>SUM(D43:H43)</f>
        <v>0</v>
      </c>
    </row>
    <row r="44" spans="2:10" x14ac:dyDescent="0.3">
      <c r="B44" s="19"/>
      <c r="C44" s="9" t="s">
        <v>16</v>
      </c>
      <c r="D44" s="65">
        <f>SUM(D43)</f>
        <v>0</v>
      </c>
      <c r="E44" s="65">
        <f>SUM(E43)</f>
        <v>0</v>
      </c>
      <c r="F44" s="65">
        <f>SUM(F43)</f>
        <v>0</v>
      </c>
      <c r="G44" s="65">
        <f>SUM(G43)</f>
        <v>0</v>
      </c>
      <c r="H44" s="65">
        <f>SUM(H43)</f>
        <v>0</v>
      </c>
      <c r="I44"/>
      <c r="J44" s="65">
        <f>SUM(J43)</f>
        <v>0</v>
      </c>
    </row>
    <row r="45" spans="2:10" x14ac:dyDescent="0.3">
      <c r="B45" s="19"/>
      <c r="C45" s="12" t="s">
        <v>37</v>
      </c>
      <c r="D45" s="11" t="s">
        <v>30</v>
      </c>
      <c r="E45" s="10"/>
      <c r="F45" s="10"/>
      <c r="G45" s="10"/>
      <c r="H45" s="10"/>
      <c r="J45" s="13"/>
    </row>
    <row r="46" spans="2:10" ht="28.8" x14ac:dyDescent="0.3">
      <c r="B46" s="19"/>
      <c r="C46" s="60" t="s">
        <v>70</v>
      </c>
      <c r="D46" s="59">
        <f>(5000000-SUM($J$44,$J$41,$J$33,$J$30,$J$25,$J$13,$J$60,$J$48:$J$54))*D47</f>
        <v>471345.73893544677</v>
      </c>
      <c r="E46" s="59">
        <f>(5000000-SUM($J$44,$J$41,$J$33,$J$30,$J$25,$J$13,$J$60,$J$48:$J$54))*E47</f>
        <v>1178364.3473386168</v>
      </c>
      <c r="F46" s="59">
        <f>(5000000-SUM($J$44,$J$41,$J$33,$J$30,$J$25,$J$13,$J$60,$J$48:$J$54))*F47</f>
        <v>1178364.3473386168</v>
      </c>
      <c r="G46" s="59">
        <f>(5000000-SUM($J$44,$J$41,$J$33,$J$30,$J$25,$J$13,$J$60,$J$48:$J$54))*G47</f>
        <v>1178364.3473386168</v>
      </c>
      <c r="H46" s="59">
        <f>(5000000-SUM($J$44,$J$41,$J$33,$J$30,$J$25,$J$13,$J$60,$J$48:$J$54))*H47</f>
        <v>707018.60840317013</v>
      </c>
      <c r="J46" s="59">
        <f t="shared" si="7"/>
        <v>4713457.3893544674</v>
      </c>
    </row>
    <row r="47" spans="2:10" x14ac:dyDescent="0.3">
      <c r="B47" s="19"/>
      <c r="C47" s="12" t="s">
        <v>57</v>
      </c>
      <c r="D47" s="85">
        <v>0.1</v>
      </c>
      <c r="E47" s="87">
        <v>0.25</v>
      </c>
      <c r="F47" s="87">
        <v>0.25</v>
      </c>
      <c r="G47" s="87">
        <v>0.25</v>
      </c>
      <c r="H47" s="87">
        <v>0.15</v>
      </c>
      <c r="J47" s="13"/>
    </row>
    <row r="48" spans="2:10" ht="28.8" x14ac:dyDescent="0.3">
      <c r="B48" s="19"/>
      <c r="C48" s="60" t="s">
        <v>118</v>
      </c>
      <c r="D48" s="59">
        <f>SUM(D13,D25)*0.06</f>
        <v>2381.935964148</v>
      </c>
      <c r="E48" s="59">
        <f>SUM(E13,E25)*0.06</f>
        <v>2483.894431029375</v>
      </c>
      <c r="F48" s="59">
        <f>SUM(F13,F25)*0.06</f>
        <v>2589.2724901387501</v>
      </c>
      <c r="G48" s="59">
        <f>SUM(G13,G25)*0.06</f>
        <v>2698.7469357712503</v>
      </c>
      <c r="H48" s="59">
        <f>SUM(H13,H25)*0.06</f>
        <v>2819.073837294</v>
      </c>
      <c r="I48"/>
      <c r="J48" s="59">
        <f t="shared" ref="J48" si="8">SUM(D48:H48)</f>
        <v>12972.923658381374</v>
      </c>
    </row>
    <row r="49" spans="2:11" ht="28.8" x14ac:dyDescent="0.3">
      <c r="B49" s="19"/>
      <c r="C49" s="60" t="s">
        <v>52</v>
      </c>
      <c r="D49" s="59">
        <f>300*D7</f>
        <v>37.5</v>
      </c>
      <c r="E49" s="59">
        <f>300*E7</f>
        <v>37.5</v>
      </c>
      <c r="F49" s="59">
        <f>300*F7</f>
        <v>37.5</v>
      </c>
      <c r="G49" s="59">
        <f>300*G7</f>
        <v>37.5</v>
      </c>
      <c r="H49" s="59">
        <f>300*H7</f>
        <v>37.5</v>
      </c>
      <c r="I49" s="28"/>
      <c r="J49" s="59">
        <f t="shared" ref="J49:J54" si="9">SUM(D49:H49)</f>
        <v>187.5</v>
      </c>
    </row>
    <row r="50" spans="2:11" ht="28.8" x14ac:dyDescent="0.3">
      <c r="B50" s="19"/>
      <c r="C50" s="60" t="s">
        <v>53</v>
      </c>
      <c r="D50" s="59">
        <f>300*D7</f>
        <v>37.5</v>
      </c>
      <c r="E50" s="59">
        <f>300*E7</f>
        <v>37.5</v>
      </c>
      <c r="F50" s="59">
        <f>300*F7</f>
        <v>37.5</v>
      </c>
      <c r="G50" s="59">
        <f>300*G7</f>
        <v>37.5</v>
      </c>
      <c r="H50" s="59">
        <f>300*H7</f>
        <v>37.5</v>
      </c>
      <c r="I50" s="28"/>
      <c r="J50" s="59">
        <f t="shared" si="9"/>
        <v>187.5</v>
      </c>
    </row>
    <row r="51" spans="2:11" ht="28.8" x14ac:dyDescent="0.3">
      <c r="B51" s="19"/>
      <c r="C51" s="60" t="s">
        <v>62</v>
      </c>
      <c r="D51" s="59">
        <f>300*D7</f>
        <v>37.5</v>
      </c>
      <c r="E51" s="59">
        <f>300*E7</f>
        <v>37.5</v>
      </c>
      <c r="F51" s="59">
        <f>300*F7</f>
        <v>37.5</v>
      </c>
      <c r="G51" s="59">
        <f>300*G7</f>
        <v>37.5</v>
      </c>
      <c r="H51" s="59">
        <f>300*H7</f>
        <v>37.5</v>
      </c>
      <c r="I51" s="28"/>
      <c r="J51" s="59">
        <f t="shared" si="9"/>
        <v>187.5</v>
      </c>
    </row>
    <row r="52" spans="2:11" ht="28.8" x14ac:dyDescent="0.3">
      <c r="B52" s="19"/>
      <c r="C52" s="58" t="s">
        <v>124</v>
      </c>
      <c r="D52" s="81">
        <f>5000000*0.001</f>
        <v>5000</v>
      </c>
      <c r="E52" s="81">
        <f t="shared" ref="E52:H52" si="10">5000000*0.001</f>
        <v>5000</v>
      </c>
      <c r="F52" s="81">
        <f t="shared" si="10"/>
        <v>5000</v>
      </c>
      <c r="G52" s="81">
        <f t="shared" si="10"/>
        <v>5000</v>
      </c>
      <c r="H52" s="81">
        <f t="shared" si="10"/>
        <v>5000</v>
      </c>
      <c r="I52"/>
      <c r="J52" s="59">
        <f t="shared" si="9"/>
        <v>25000</v>
      </c>
    </row>
    <row r="53" spans="2:11" ht="28.8" x14ac:dyDescent="0.3">
      <c r="B53" s="19"/>
      <c r="C53" s="58" t="s">
        <v>150</v>
      </c>
      <c r="D53" s="97">
        <f>3*4221*D7</f>
        <v>1582.875</v>
      </c>
      <c r="E53" s="97">
        <f t="shared" ref="E53:H53" si="11">3*4221*E7</f>
        <v>1582.875</v>
      </c>
      <c r="F53" s="97">
        <f t="shared" si="11"/>
        <v>1582.875</v>
      </c>
      <c r="G53" s="97">
        <f t="shared" si="11"/>
        <v>1582.875</v>
      </c>
      <c r="H53" s="97">
        <f t="shared" si="11"/>
        <v>1582.875</v>
      </c>
      <c r="I53"/>
      <c r="J53" s="59">
        <f t="shared" si="9"/>
        <v>7914.375</v>
      </c>
    </row>
    <row r="54" spans="2:11" ht="28.8" x14ac:dyDescent="0.3">
      <c r="B54" s="19"/>
      <c r="C54" s="58" t="s">
        <v>135</v>
      </c>
      <c r="D54" s="81">
        <f>32*(3*0.125)</f>
        <v>12</v>
      </c>
      <c r="E54" s="81">
        <f t="shared" ref="E54:H54" si="12">32*(3*0.125)</f>
        <v>12</v>
      </c>
      <c r="F54" s="81">
        <f t="shared" si="12"/>
        <v>12</v>
      </c>
      <c r="G54" s="81">
        <f t="shared" si="12"/>
        <v>12</v>
      </c>
      <c r="H54" s="81">
        <f t="shared" si="12"/>
        <v>12</v>
      </c>
      <c r="I54"/>
      <c r="J54" s="59">
        <f t="shared" si="9"/>
        <v>60</v>
      </c>
    </row>
    <row r="55" spans="2:11" x14ac:dyDescent="0.3">
      <c r="B55" s="20"/>
      <c r="C55" s="9" t="s">
        <v>17</v>
      </c>
      <c r="D55" s="65">
        <f>SUM(D46,D48:D54)</f>
        <v>480435.0498995948</v>
      </c>
      <c r="E55" s="65">
        <f>SUM(E46,E48:E54)</f>
        <v>1187555.6167696463</v>
      </c>
      <c r="F55" s="65">
        <f>SUM(F46,F48:F54)</f>
        <v>1187660.9948287555</v>
      </c>
      <c r="G55" s="65">
        <f>SUM(G46,G48:G54)</f>
        <v>1187770.4692743882</v>
      </c>
      <c r="H55" s="65">
        <f>SUM(H46,H48:H54)</f>
        <v>716545.05724046414</v>
      </c>
      <c r="I55"/>
      <c r="J55" s="65">
        <f>SUM(J46,J48:J54)</f>
        <v>4759967.1880128486</v>
      </c>
    </row>
    <row r="56" spans="2:11" x14ac:dyDescent="0.3">
      <c r="B56" s="20"/>
      <c r="C56" s="9" t="s">
        <v>18</v>
      </c>
      <c r="D56" s="65">
        <f>SUM(D55,D44,D41,D33,D30,D25,D13)</f>
        <v>523832.60763539479</v>
      </c>
      <c r="E56" s="65">
        <f>SUM(E55,E44,E41,E33,E30,E25,E13)</f>
        <v>1231902.4822868025</v>
      </c>
      <c r="F56" s="65">
        <f>SUM(F55,F44,F41,F33,F30,F25,F13)</f>
        <v>1233764.161331068</v>
      </c>
      <c r="G56" s="65">
        <f>SUM(G55,G44,G41,G33,G30,G25,G13)</f>
        <v>1235698.2098705755</v>
      </c>
      <c r="H56" s="65">
        <f>SUM(H55,H44,H41,H33,H30,H25,H13)</f>
        <v>766478.24619536404</v>
      </c>
      <c r="I56"/>
      <c r="J56" s="65">
        <f>SUM(D56:H56)</f>
        <v>4991675.7073192047</v>
      </c>
    </row>
    <row r="57" spans="2:11" x14ac:dyDescent="0.3">
      <c r="B57" s="6"/>
      <c r="D57"/>
      <c r="E57"/>
      <c r="H57"/>
      <c r="I57"/>
      <c r="J57" t="s">
        <v>19</v>
      </c>
    </row>
    <row r="58" spans="2:11" ht="28.8" x14ac:dyDescent="0.3">
      <c r="B58" s="57" t="s">
        <v>38</v>
      </c>
      <c r="C58" s="14" t="s">
        <v>38</v>
      </c>
      <c r="D58" s="15"/>
      <c r="E58" s="15"/>
      <c r="F58" s="15"/>
      <c r="G58" s="15"/>
      <c r="H58" s="15"/>
      <c r="I58"/>
      <c r="J58" s="15" t="s">
        <v>19</v>
      </c>
    </row>
    <row r="59" spans="2:11" ht="51" customHeight="1" x14ac:dyDescent="0.3">
      <c r="B59" s="19"/>
      <c r="C59" s="58" t="s">
        <v>112</v>
      </c>
      <c r="D59" s="97">
        <f>SUM(D25,D13)*0.0385</f>
        <v>1528.4089103283</v>
      </c>
      <c r="E59" s="97">
        <f>SUM(E25,E13)*0.0385</f>
        <v>1593.8322599105156</v>
      </c>
      <c r="F59" s="97">
        <f>SUM(F25,F13)*0.0385</f>
        <v>1661.4498478390312</v>
      </c>
      <c r="G59" s="97">
        <f>SUM(G25,G13)*0.0385</f>
        <v>1731.695950453219</v>
      </c>
      <c r="H59" s="97">
        <f>SUM(H25,H13)*0.0385</f>
        <v>1808.9057122636502</v>
      </c>
      <c r="I59"/>
      <c r="J59" s="59">
        <f>SUM(D59:H59)</f>
        <v>8324.2926807947151</v>
      </c>
    </row>
    <row r="60" spans="2:11" x14ac:dyDescent="0.3">
      <c r="B60" s="20"/>
      <c r="C60" s="9" t="s">
        <v>20</v>
      </c>
      <c r="D60" s="65">
        <f>SUM(D59:D59)</f>
        <v>1528.4089103283</v>
      </c>
      <c r="E60" s="65">
        <f>SUM(E59:E59)</f>
        <v>1593.8322599105156</v>
      </c>
      <c r="F60" s="65">
        <f>SUM(F59:F59)</f>
        <v>1661.4498478390312</v>
      </c>
      <c r="G60" s="65">
        <f>SUM(G59:G59)</f>
        <v>1731.695950453219</v>
      </c>
      <c r="H60" s="65">
        <f>SUM(H59:H59)</f>
        <v>1808.9057122636502</v>
      </c>
      <c r="I60"/>
      <c r="J60" s="65">
        <f>SUM(J59:J59)</f>
        <v>8324.2926807947151</v>
      </c>
    </row>
    <row r="61" spans="2:11" ht="15" thickBot="1" x14ac:dyDescent="0.35">
      <c r="B61" s="6"/>
      <c r="D61"/>
      <c r="E61"/>
      <c r="H61"/>
      <c r="I61"/>
      <c r="J61" t="s">
        <v>19</v>
      </c>
    </row>
    <row r="62" spans="2:11" s="1" customFormat="1" ht="29.4" thickBot="1" x14ac:dyDescent="0.35">
      <c r="B62" s="16" t="s">
        <v>21</v>
      </c>
      <c r="C62" s="16"/>
      <c r="D62" s="69">
        <f>SUM(D60,D56)</f>
        <v>525361.01654572308</v>
      </c>
      <c r="E62" s="69">
        <f>SUM(E60,E56)</f>
        <v>1233496.3145467129</v>
      </c>
      <c r="F62" s="69">
        <f>SUM(F60,F56)</f>
        <v>1235425.6111789071</v>
      </c>
      <c r="G62" s="69">
        <f>SUM(G60,G56)</f>
        <v>1237429.9058210286</v>
      </c>
      <c r="H62" s="69">
        <f>SUM(H60,H56)</f>
        <v>768287.1519076277</v>
      </c>
      <c r="I62"/>
      <c r="J62" s="69">
        <f>SUM(J60,J56)</f>
        <v>4999999.9999999991</v>
      </c>
      <c r="K62" s="104">
        <f>SUM(D62:H62)</f>
        <v>4999999.9999999991</v>
      </c>
    </row>
    <row r="63" spans="2:11" x14ac:dyDescent="0.3">
      <c r="B63" s="6"/>
    </row>
    <row r="64" spans="2:11"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row r="77" spans="2:2" x14ac:dyDescent="0.3">
      <c r="B77" s="6"/>
    </row>
  </sheetData>
  <pageMargins left="0.25" right="0.25" top="0.75" bottom="0.75" header="0.3" footer="0.3"/>
  <pageSetup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52"/>
  <sheetViews>
    <sheetView showGridLines="0" topLeftCell="A18" zoomScale="85" zoomScaleNormal="85" workbookViewId="0">
      <selection activeCell="C34" sqref="C34"/>
    </sheetView>
  </sheetViews>
  <sheetFormatPr defaultColWidth="9.109375" defaultRowHeight="14.4" x14ac:dyDescent="0.3"/>
  <cols>
    <col min="1" max="1" width="3.109375" customWidth="1"/>
    <col min="2" max="2" width="11.109375" customWidth="1"/>
    <col min="3" max="3" width="48.5546875" customWidth="1"/>
    <col min="4" max="4" width="13.33203125" style="6" customWidth="1"/>
    <col min="5" max="5" width="13.109375" style="2" customWidth="1"/>
    <col min="6" max="7" width="13.109375" customWidth="1"/>
    <col min="8" max="8" width="12.88671875" style="2" customWidth="1"/>
    <col min="9" max="9" width="0.88671875" style="7" customWidth="1"/>
    <col min="10" max="10" width="14.5546875" customWidth="1"/>
    <col min="11" max="11" width="10.109375" customWidth="1"/>
  </cols>
  <sheetData>
    <row r="2" spans="2:39" ht="23.4" x14ac:dyDescent="0.45">
      <c r="B2" s="24" t="s">
        <v>41</v>
      </c>
    </row>
    <row r="3" spans="2:39" x14ac:dyDescent="0.3">
      <c r="B3" s="51" t="s">
        <v>28</v>
      </c>
    </row>
    <row r="4" spans="2:39" x14ac:dyDescent="0.3">
      <c r="B4" s="5"/>
    </row>
    <row r="5" spans="2:39" ht="18" x14ac:dyDescent="0.35">
      <c r="B5" s="30" t="s">
        <v>1</v>
      </c>
      <c r="C5" s="31"/>
      <c r="D5" s="31"/>
      <c r="E5" s="31"/>
      <c r="F5" s="31"/>
      <c r="G5" s="31"/>
      <c r="H5" s="31"/>
      <c r="I5" s="31"/>
      <c r="J5" s="32"/>
    </row>
    <row r="6" spans="2:39" x14ac:dyDescent="0.3">
      <c r="B6" s="33" t="s">
        <v>2</v>
      </c>
      <c r="C6" s="33" t="s">
        <v>3</v>
      </c>
      <c r="D6" s="33" t="s">
        <v>4</v>
      </c>
      <c r="E6" s="34" t="s">
        <v>5</v>
      </c>
      <c r="F6" s="34" t="s">
        <v>6</v>
      </c>
      <c r="G6" s="34" t="s">
        <v>7</v>
      </c>
      <c r="H6" s="35" t="s">
        <v>8</v>
      </c>
      <c r="I6" s="36"/>
      <c r="J6" s="37" t="s">
        <v>9</v>
      </c>
    </row>
    <row r="7" spans="2:39" s="5" customFormat="1" x14ac:dyDescent="0.3">
      <c r="B7" s="18" t="s">
        <v>10</v>
      </c>
      <c r="C7" s="22" t="s">
        <v>29</v>
      </c>
      <c r="D7" s="70"/>
      <c r="E7" s="70"/>
      <c r="F7" s="70"/>
      <c r="G7" s="70"/>
      <c r="H7" s="70"/>
      <c r="I7" s="7"/>
      <c r="J7" s="8" t="s">
        <v>30</v>
      </c>
      <c r="K7"/>
      <c r="L7"/>
      <c r="M7"/>
      <c r="N7"/>
      <c r="O7"/>
      <c r="P7"/>
      <c r="Q7"/>
      <c r="R7"/>
      <c r="S7"/>
      <c r="T7"/>
      <c r="U7"/>
      <c r="V7"/>
      <c r="W7"/>
      <c r="X7"/>
      <c r="Y7"/>
      <c r="Z7"/>
      <c r="AA7"/>
      <c r="AB7"/>
      <c r="AC7"/>
      <c r="AD7"/>
      <c r="AE7"/>
      <c r="AF7"/>
      <c r="AG7"/>
      <c r="AH7"/>
      <c r="AI7"/>
      <c r="AJ7"/>
      <c r="AK7"/>
      <c r="AL7"/>
      <c r="AM7"/>
    </row>
    <row r="8" spans="2:39" x14ac:dyDescent="0.3">
      <c r="B8" s="19"/>
      <c r="C8" s="84" t="s">
        <v>58</v>
      </c>
      <c r="D8" s="70">
        <v>0</v>
      </c>
      <c r="E8" s="70">
        <v>0</v>
      </c>
      <c r="F8" s="70">
        <v>0</v>
      </c>
      <c r="G8" s="70">
        <v>0</v>
      </c>
      <c r="H8" s="70">
        <v>0</v>
      </c>
      <c r="I8" s="29">
        <v>450000</v>
      </c>
      <c r="J8" s="59">
        <f>SUM(D8:H8)</f>
        <v>0</v>
      </c>
    </row>
    <row r="9" spans="2:39" x14ac:dyDescent="0.3">
      <c r="B9" s="19"/>
      <c r="C9" s="9" t="s">
        <v>11</v>
      </c>
      <c r="D9" s="71">
        <f t="shared" ref="D9:J9" si="0">SUM(D8:D8)</f>
        <v>0</v>
      </c>
      <c r="E9" s="71">
        <f t="shared" si="0"/>
        <v>0</v>
      </c>
      <c r="F9" s="71">
        <f t="shared" si="0"/>
        <v>0</v>
      </c>
      <c r="G9" s="71">
        <f t="shared" si="0"/>
        <v>0</v>
      </c>
      <c r="H9" s="71">
        <f t="shared" si="0"/>
        <v>0</v>
      </c>
      <c r="I9" s="7">
        <f t="shared" si="0"/>
        <v>450000</v>
      </c>
      <c r="J9" s="65">
        <f t="shared" si="0"/>
        <v>0</v>
      </c>
    </row>
    <row r="10" spans="2:39" x14ac:dyDescent="0.3">
      <c r="B10" s="19"/>
      <c r="C10" s="12" t="s">
        <v>31</v>
      </c>
      <c r="D10" s="72" t="s">
        <v>30</v>
      </c>
      <c r="E10" s="10"/>
      <c r="F10" s="10"/>
      <c r="G10" s="10"/>
      <c r="H10" s="10"/>
      <c r="J10" s="15" t="s">
        <v>30</v>
      </c>
    </row>
    <row r="11" spans="2:39" x14ac:dyDescent="0.3">
      <c r="B11" s="19"/>
      <c r="C11" s="84" t="s">
        <v>58</v>
      </c>
      <c r="D11" s="38"/>
      <c r="E11" s="38"/>
      <c r="F11" s="38"/>
      <c r="G11" s="38"/>
      <c r="H11" s="38"/>
      <c r="J11" s="59">
        <f>SUM(D11:H11)</f>
        <v>0</v>
      </c>
    </row>
    <row r="12" spans="2:39" x14ac:dyDescent="0.3">
      <c r="B12" s="19"/>
      <c r="C12" s="9" t="s">
        <v>12</v>
      </c>
      <c r="D12" s="71">
        <f t="shared" ref="D12:J12" si="1">SUM(D11:D11)</f>
        <v>0</v>
      </c>
      <c r="E12" s="71">
        <f t="shared" si="1"/>
        <v>0</v>
      </c>
      <c r="F12" s="71">
        <f t="shared" si="1"/>
        <v>0</v>
      </c>
      <c r="G12" s="71">
        <f t="shared" si="1"/>
        <v>0</v>
      </c>
      <c r="H12" s="71">
        <f t="shared" si="1"/>
        <v>0</v>
      </c>
      <c r="I12" s="7">
        <f t="shared" si="1"/>
        <v>0</v>
      </c>
      <c r="J12" s="65">
        <f t="shared" si="1"/>
        <v>0</v>
      </c>
    </row>
    <row r="13" spans="2:39" x14ac:dyDescent="0.3">
      <c r="B13" s="19"/>
      <c r="C13" s="12" t="s">
        <v>32</v>
      </c>
      <c r="D13" s="66" t="s">
        <v>30</v>
      </c>
      <c r="E13" s="66"/>
      <c r="F13" s="66"/>
      <c r="G13" s="66"/>
      <c r="H13" s="66"/>
      <c r="I13"/>
      <c r="J13" s="15" t="s">
        <v>30</v>
      </c>
    </row>
    <row r="14" spans="2:39" x14ac:dyDescent="0.3">
      <c r="B14" s="19"/>
      <c r="C14" s="84" t="s">
        <v>58</v>
      </c>
      <c r="D14" s="66"/>
      <c r="E14" s="66"/>
      <c r="F14" s="66"/>
      <c r="G14" s="66"/>
      <c r="H14" s="66"/>
      <c r="I14"/>
      <c r="J14" s="59">
        <f t="shared" ref="J14" si="2">SUM(D14:H14)</f>
        <v>0</v>
      </c>
    </row>
    <row r="15" spans="2:39" x14ac:dyDescent="0.3">
      <c r="B15" s="19"/>
      <c r="C15" s="9" t="s">
        <v>13</v>
      </c>
      <c r="D15" s="65">
        <f>SUM(D13:D14)</f>
        <v>0</v>
      </c>
      <c r="E15" s="65">
        <f>SUM(E13:E14)</f>
        <v>0</v>
      </c>
      <c r="F15" s="65">
        <f>SUM(F13:F14)</f>
        <v>0</v>
      </c>
      <c r="G15" s="65">
        <f>SUM(G13:G14)</f>
        <v>0</v>
      </c>
      <c r="H15" s="65">
        <f>SUM(H13:H14)</f>
        <v>0</v>
      </c>
      <c r="I15"/>
      <c r="J15" s="65">
        <f>SUM(J13:J14)</f>
        <v>0</v>
      </c>
    </row>
    <row r="16" spans="2:39" x14ac:dyDescent="0.3">
      <c r="B16" s="19"/>
      <c r="C16" s="12" t="s">
        <v>33</v>
      </c>
      <c r="D16" s="59"/>
      <c r="E16" s="66"/>
      <c r="F16" s="66"/>
      <c r="G16" s="66"/>
      <c r="H16" s="66"/>
      <c r="I16"/>
      <c r="J16" s="59" t="s">
        <v>19</v>
      </c>
    </row>
    <row r="17" spans="2:10" x14ac:dyDescent="0.3">
      <c r="B17" s="19"/>
      <c r="C17" s="84" t="s">
        <v>58</v>
      </c>
      <c r="D17" s="59"/>
      <c r="E17" s="66"/>
      <c r="F17" s="66"/>
      <c r="G17" s="66"/>
      <c r="H17" s="66"/>
      <c r="I17"/>
      <c r="J17" s="59">
        <f>SUM(D17:H17)</f>
        <v>0</v>
      </c>
    </row>
    <row r="18" spans="2:10" x14ac:dyDescent="0.3">
      <c r="B18" s="19"/>
      <c r="C18" s="9" t="s">
        <v>14</v>
      </c>
      <c r="D18" s="67">
        <f>SUM(D17:D17)</f>
        <v>0</v>
      </c>
      <c r="E18" s="67">
        <f>SUM(E17:E17)</f>
        <v>0</v>
      </c>
      <c r="F18" s="67">
        <f>SUM(F17:F17)</f>
        <v>0</v>
      </c>
      <c r="G18" s="67">
        <f>SUM(G17:G17)</f>
        <v>0</v>
      </c>
      <c r="H18" s="67">
        <f>SUM(H17:H17)</f>
        <v>0</v>
      </c>
      <c r="I18"/>
      <c r="J18" s="65">
        <f t="shared" ref="J18:J30" si="3">SUM(D18:H18)</f>
        <v>0</v>
      </c>
    </row>
    <row r="19" spans="2:10" x14ac:dyDescent="0.3">
      <c r="B19" s="19"/>
      <c r="C19" s="12" t="s">
        <v>35</v>
      </c>
      <c r="D19" s="66" t="s">
        <v>30</v>
      </c>
      <c r="E19" s="66"/>
      <c r="F19" s="66"/>
      <c r="G19" s="66"/>
      <c r="H19" s="66"/>
      <c r="I19"/>
      <c r="J19" s="59"/>
    </row>
    <row r="20" spans="2:10" x14ac:dyDescent="0.3">
      <c r="B20" s="19"/>
      <c r="C20" s="84" t="s">
        <v>58</v>
      </c>
      <c r="D20" s="59"/>
      <c r="E20" s="59"/>
      <c r="F20" s="59"/>
      <c r="G20" s="59"/>
      <c r="H20" s="59"/>
      <c r="I20" s="28">
        <v>5000</v>
      </c>
      <c r="J20" s="59">
        <f t="shared" si="3"/>
        <v>0</v>
      </c>
    </row>
    <row r="21" spans="2:10" x14ac:dyDescent="0.3">
      <c r="B21" s="19"/>
      <c r="C21" s="9" t="s">
        <v>15</v>
      </c>
      <c r="D21" s="65">
        <f>SUM(D20:D20)</f>
        <v>0</v>
      </c>
      <c r="E21" s="65">
        <f>SUM(E20:E20)</f>
        <v>0</v>
      </c>
      <c r="F21" s="65">
        <f>SUM(F20:F20)</f>
        <v>0</v>
      </c>
      <c r="G21" s="65">
        <f>SUM(G20:G20)</f>
        <v>0</v>
      </c>
      <c r="H21" s="65">
        <f>SUM(H20:H20)</f>
        <v>0</v>
      </c>
      <c r="I21"/>
      <c r="J21" s="65">
        <f t="shared" si="3"/>
        <v>0</v>
      </c>
    </row>
    <row r="22" spans="2:10" x14ac:dyDescent="0.3">
      <c r="B22" s="19"/>
      <c r="C22" s="12" t="s">
        <v>36</v>
      </c>
      <c r="D22" s="11" t="s">
        <v>30</v>
      </c>
      <c r="E22" s="10"/>
      <c r="F22" s="10"/>
      <c r="G22" s="10"/>
      <c r="H22" s="10"/>
      <c r="J22" s="13"/>
    </row>
    <row r="23" spans="2:10" ht="28.8" x14ac:dyDescent="0.3">
      <c r="B23" s="19"/>
      <c r="C23" s="60" t="s">
        <v>60</v>
      </c>
      <c r="D23" s="81">
        <v>100000</v>
      </c>
      <c r="E23" s="81">
        <v>150000</v>
      </c>
      <c r="F23" s="81">
        <v>150000</v>
      </c>
      <c r="G23" s="81">
        <v>150000</v>
      </c>
      <c r="H23" s="81">
        <v>200000</v>
      </c>
      <c r="I23" s="78">
        <v>5106000</v>
      </c>
      <c r="J23" s="81">
        <f t="shared" si="3"/>
        <v>750000</v>
      </c>
    </row>
    <row r="24" spans="2:10" x14ac:dyDescent="0.3">
      <c r="B24" s="19"/>
      <c r="C24" s="60"/>
      <c r="D24" s="81"/>
      <c r="E24" s="81"/>
      <c r="F24" s="81"/>
      <c r="G24" s="81"/>
      <c r="H24" s="81"/>
      <c r="I24" s="78">
        <v>22500000</v>
      </c>
      <c r="J24" s="81">
        <f t="shared" si="3"/>
        <v>0</v>
      </c>
    </row>
    <row r="25" spans="2:10" x14ac:dyDescent="0.3">
      <c r="B25" s="19"/>
      <c r="C25" s="9" t="s">
        <v>16</v>
      </c>
      <c r="D25" s="71">
        <f>SUM(D23:D24)</f>
        <v>100000</v>
      </c>
      <c r="E25" s="71">
        <f>SUM(E23:E24)</f>
        <v>150000</v>
      </c>
      <c r="F25" s="71">
        <f>SUM(F23:F24)</f>
        <v>150000</v>
      </c>
      <c r="G25" s="71">
        <f>SUM(G23:G24)</f>
        <v>150000</v>
      </c>
      <c r="H25" s="71">
        <f>SUM(H23:H24)</f>
        <v>200000</v>
      </c>
      <c r="I25" s="79"/>
      <c r="J25" s="71">
        <f t="shared" si="3"/>
        <v>750000</v>
      </c>
    </row>
    <row r="26" spans="2:10" x14ac:dyDescent="0.3">
      <c r="B26" s="19"/>
      <c r="C26" s="12" t="s">
        <v>37</v>
      </c>
      <c r="D26" s="80" t="s">
        <v>30</v>
      </c>
      <c r="E26" s="80"/>
      <c r="F26" s="80"/>
      <c r="G26" s="80"/>
      <c r="H26" s="80"/>
      <c r="I26" s="79"/>
      <c r="J26" s="81"/>
    </row>
    <row r="27" spans="2:10" ht="63" customHeight="1" x14ac:dyDescent="0.3">
      <c r="B27" s="19"/>
      <c r="C27" s="60" t="s">
        <v>61</v>
      </c>
      <c r="D27" s="81">
        <f>749999-D25-D28</f>
        <v>639999.00100000005</v>
      </c>
      <c r="E27" s="81">
        <f>2000000-E25-E28</f>
        <v>1840000.0009999999</v>
      </c>
      <c r="F27" s="81">
        <f>2500000-F25-F28</f>
        <v>2340000.0010000002</v>
      </c>
      <c r="G27" s="81">
        <f>3000000-G25-G28</f>
        <v>2840000.0010000002</v>
      </c>
      <c r="H27" s="81">
        <f>1750000-H25-H28</f>
        <v>1540000.0009999999</v>
      </c>
      <c r="I27" s="78">
        <v>375000</v>
      </c>
      <c r="J27" s="81">
        <f t="shared" si="3"/>
        <v>9199999.0050000008</v>
      </c>
    </row>
    <row r="28" spans="2:10" ht="28.8" x14ac:dyDescent="0.3">
      <c r="B28" s="19"/>
      <c r="C28" s="58" t="s">
        <v>125</v>
      </c>
      <c r="D28" s="81">
        <f>9999999*0.001</f>
        <v>9999.9989999999998</v>
      </c>
      <c r="E28" s="81">
        <f t="shared" ref="E28:H28" si="4">9999999*0.001</f>
        <v>9999.9989999999998</v>
      </c>
      <c r="F28" s="81">
        <f t="shared" si="4"/>
        <v>9999.9989999999998</v>
      </c>
      <c r="G28" s="81">
        <f t="shared" si="4"/>
        <v>9999.9989999999998</v>
      </c>
      <c r="H28" s="81">
        <f t="shared" si="4"/>
        <v>9999.9989999999998</v>
      </c>
      <c r="I28" s="79"/>
      <c r="J28" s="81">
        <f>SUM(D28:H28)</f>
        <v>49999.994999999995</v>
      </c>
    </row>
    <row r="29" spans="2:10" x14ac:dyDescent="0.3">
      <c r="B29" s="20"/>
      <c r="C29" s="9" t="s">
        <v>17</v>
      </c>
      <c r="D29" s="71">
        <f>SUM(D27:D28)</f>
        <v>649999</v>
      </c>
      <c r="E29" s="71">
        <f t="shared" ref="E29:H29" si="5">SUM(E27:E28)</f>
        <v>1850000</v>
      </c>
      <c r="F29" s="71">
        <f t="shared" si="5"/>
        <v>2350000</v>
      </c>
      <c r="G29" s="71">
        <f t="shared" si="5"/>
        <v>2850000</v>
      </c>
      <c r="H29" s="71">
        <f t="shared" si="5"/>
        <v>1550000</v>
      </c>
      <c r="I29" s="79"/>
      <c r="J29" s="71">
        <f>SUM(J27)</f>
        <v>9199999.0050000008</v>
      </c>
    </row>
    <row r="30" spans="2:10" x14ac:dyDescent="0.3">
      <c r="B30" s="20"/>
      <c r="C30" s="9" t="s">
        <v>18</v>
      </c>
      <c r="D30" s="71">
        <f>SUM(D29,D25,D21,D18,D15,D12,D9)</f>
        <v>749999</v>
      </c>
      <c r="E30" s="71">
        <f>SUM(E29,E25,E21,E18,E15,E12,E9)</f>
        <v>2000000</v>
      </c>
      <c r="F30" s="71">
        <f>SUM(F29,F25,F21,F18,F15,F12,F9)</f>
        <v>2500000</v>
      </c>
      <c r="G30" s="71">
        <f>SUM(G29,G25,G21,G18,G15,G12,G9)</f>
        <v>3000000</v>
      </c>
      <c r="H30" s="71">
        <f>SUM(H29,H25,H21,H18,H15,H12,H9)</f>
        <v>1750000</v>
      </c>
      <c r="I30" s="79"/>
      <c r="J30" s="71">
        <f t="shared" si="3"/>
        <v>9999999</v>
      </c>
    </row>
    <row r="31" spans="2:10" x14ac:dyDescent="0.3">
      <c r="B31" s="6"/>
      <c r="D31" s="79"/>
      <c r="E31" s="79"/>
      <c r="F31" s="79"/>
      <c r="G31" s="79"/>
      <c r="H31" s="79"/>
      <c r="I31" s="79"/>
      <c r="J31" s="79" t="s">
        <v>19</v>
      </c>
    </row>
    <row r="32" spans="2:10" ht="28.8" x14ac:dyDescent="0.3">
      <c r="B32" s="57" t="s">
        <v>38</v>
      </c>
      <c r="C32" s="14" t="s">
        <v>38</v>
      </c>
      <c r="D32" s="82"/>
      <c r="E32" s="82"/>
      <c r="F32" s="82"/>
      <c r="G32" s="82"/>
      <c r="H32" s="82"/>
      <c r="I32" s="79"/>
      <c r="J32" s="82" t="s">
        <v>19</v>
      </c>
    </row>
    <row r="33" spans="2:10" x14ac:dyDescent="0.3">
      <c r="B33" s="19"/>
      <c r="C33" t="s">
        <v>58</v>
      </c>
    </row>
    <row r="34" spans="2:10" x14ac:dyDescent="0.3">
      <c r="B34" s="19"/>
      <c r="C34" s="21"/>
      <c r="D34" s="80"/>
      <c r="E34" s="80"/>
      <c r="F34" s="80"/>
      <c r="G34" s="80"/>
      <c r="H34" s="80"/>
      <c r="I34" s="79"/>
      <c r="J34" s="81">
        <f t="shared" ref="J34:J35" si="6">SUM(D34:H34)</f>
        <v>0</v>
      </c>
    </row>
    <row r="35" spans="2:10" x14ac:dyDescent="0.3">
      <c r="B35" s="20"/>
      <c r="C35" s="9" t="s">
        <v>20</v>
      </c>
      <c r="D35" s="71">
        <f>SUM(D33:D34)</f>
        <v>0</v>
      </c>
      <c r="E35" s="71">
        <f>SUM(E33:E34)</f>
        <v>0</v>
      </c>
      <c r="F35" s="71">
        <f>SUM(F33:F34)</f>
        <v>0</v>
      </c>
      <c r="G35" s="71">
        <f>SUM(G33:G34)</f>
        <v>0</v>
      </c>
      <c r="H35" s="71">
        <f>SUM(H33:H34)</f>
        <v>0</v>
      </c>
      <c r="I35" s="79"/>
      <c r="J35" s="71">
        <f t="shared" si="6"/>
        <v>0</v>
      </c>
    </row>
    <row r="36" spans="2:10" ht="15" thickBot="1" x14ac:dyDescent="0.35">
      <c r="B36" s="6"/>
      <c r="D36" s="79"/>
      <c r="E36" s="79"/>
      <c r="F36" s="79"/>
      <c r="G36" s="79"/>
      <c r="H36" s="79"/>
      <c r="I36" s="79"/>
      <c r="J36" s="79" t="s">
        <v>19</v>
      </c>
    </row>
    <row r="37" spans="2:10" s="1" customFormat="1" ht="29.4" thickBot="1" x14ac:dyDescent="0.35">
      <c r="B37" s="16" t="s">
        <v>21</v>
      </c>
      <c r="C37" s="16"/>
      <c r="D37" s="83">
        <f>SUM(D35,D30)</f>
        <v>749999</v>
      </c>
      <c r="E37" s="83">
        <f t="shared" ref="E37:H37" si="7">SUM(E35,E30)</f>
        <v>2000000</v>
      </c>
      <c r="F37" s="83">
        <f t="shared" si="7"/>
        <v>2500000</v>
      </c>
      <c r="G37" s="83">
        <f t="shared" si="7"/>
        <v>3000000</v>
      </c>
      <c r="H37" s="83">
        <f t="shared" si="7"/>
        <v>1750000</v>
      </c>
      <c r="I37" s="79">
        <f>SUM(I35,I30)</f>
        <v>0</v>
      </c>
      <c r="J37" s="83">
        <f>SUM(J35,J30)</f>
        <v>9999999</v>
      </c>
    </row>
    <row r="38" spans="2:10" x14ac:dyDescent="0.3">
      <c r="B38" s="6"/>
    </row>
    <row r="39" spans="2:10" x14ac:dyDescent="0.3">
      <c r="B39" s="6"/>
    </row>
    <row r="40" spans="2:10" x14ac:dyDescent="0.3">
      <c r="B40" s="6"/>
    </row>
    <row r="41" spans="2:10" x14ac:dyDescent="0.3">
      <c r="B41" s="6"/>
    </row>
    <row r="42" spans="2:10" x14ac:dyDescent="0.3">
      <c r="B42" s="6"/>
    </row>
    <row r="43" spans="2:10" x14ac:dyDescent="0.3">
      <c r="B43" s="6"/>
    </row>
    <row r="44" spans="2:10" x14ac:dyDescent="0.3">
      <c r="B44" s="6"/>
    </row>
    <row r="45" spans="2:10" x14ac:dyDescent="0.3">
      <c r="B45" s="6"/>
    </row>
    <row r="46" spans="2:10" x14ac:dyDescent="0.3">
      <c r="B46" s="6"/>
    </row>
    <row r="47" spans="2:10" x14ac:dyDescent="0.3">
      <c r="B47" s="6"/>
    </row>
    <row r="48" spans="2:10" x14ac:dyDescent="0.3">
      <c r="B48" s="6"/>
    </row>
    <row r="49" spans="2:2" x14ac:dyDescent="0.3">
      <c r="B49" s="6"/>
    </row>
    <row r="50" spans="2:2" x14ac:dyDescent="0.3">
      <c r="B50" s="6"/>
    </row>
    <row r="51" spans="2:2" x14ac:dyDescent="0.3">
      <c r="B51" s="6"/>
    </row>
    <row r="52" spans="2:2" x14ac:dyDescent="0.3">
      <c r="B52" s="6"/>
    </row>
  </sheetData>
  <pageMargins left="0.7" right="0.7" top="0.75" bottom="0.75" header="0.3" footer="0.3"/>
  <pageSetup scale="86" fitToHeight="0" orientation="landscape" r:id="rId1"/>
  <ignoredErrors>
    <ignoredError sqref="J27 J23:J24 J2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CB6A4-B50F-4842-84DE-60AD33F9CC0B}">
  <sheetPr>
    <tabColor theme="9" tint="0.39997558519241921"/>
    <pageSetUpPr fitToPage="1"/>
  </sheetPr>
  <dimension ref="B2:AM78"/>
  <sheetViews>
    <sheetView showGridLines="0" tabSelected="1" topLeftCell="A36" zoomScale="85" zoomScaleNormal="85" workbookViewId="0">
      <selection activeCell="C50" sqref="C50"/>
    </sheetView>
  </sheetViews>
  <sheetFormatPr defaultColWidth="9.109375" defaultRowHeight="14.4" x14ac:dyDescent="0.3"/>
  <cols>
    <col min="1" max="1" width="3.109375" customWidth="1"/>
    <col min="2" max="2" width="10.109375" customWidth="1"/>
    <col min="3" max="3" width="46" customWidth="1"/>
    <col min="4" max="4" width="12.441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6.5546875" customWidth="1"/>
  </cols>
  <sheetData>
    <row r="2" spans="2:39" ht="23.4" x14ac:dyDescent="0.45">
      <c r="B2" s="24" t="s">
        <v>91</v>
      </c>
    </row>
    <row r="3" spans="2:39" x14ac:dyDescent="0.3">
      <c r="B3" s="5" t="s">
        <v>28</v>
      </c>
    </row>
    <row r="4" spans="2:39" x14ac:dyDescent="0.3">
      <c r="B4" s="5"/>
    </row>
    <row r="5" spans="2:39" ht="18" x14ac:dyDescent="0.35">
      <c r="B5" s="30" t="s">
        <v>1</v>
      </c>
      <c r="C5" s="31"/>
      <c r="D5" s="31"/>
      <c r="E5" s="31"/>
      <c r="F5" s="31"/>
      <c r="G5" s="31"/>
      <c r="H5" s="31"/>
      <c r="I5" s="31"/>
      <c r="J5" s="32"/>
    </row>
    <row r="6" spans="2:39" ht="28.8" x14ac:dyDescent="0.3">
      <c r="B6" s="33" t="s">
        <v>2</v>
      </c>
      <c r="C6" s="33" t="s">
        <v>3</v>
      </c>
      <c r="D6" s="33" t="s">
        <v>4</v>
      </c>
      <c r="E6" s="34" t="s">
        <v>5</v>
      </c>
      <c r="F6" s="34" t="s">
        <v>6</v>
      </c>
      <c r="G6" s="34" t="s">
        <v>7</v>
      </c>
      <c r="H6" s="35" t="s">
        <v>8</v>
      </c>
      <c r="I6" s="36"/>
      <c r="J6" s="37" t="s">
        <v>9</v>
      </c>
    </row>
    <row r="7" spans="2:39" s="5" customFormat="1" ht="28.8" x14ac:dyDescent="0.3">
      <c r="B7" s="57" t="s">
        <v>10</v>
      </c>
      <c r="C7" s="74" t="s">
        <v>54</v>
      </c>
      <c r="D7" s="10">
        <f>5000000/40000000</f>
        <v>0.125</v>
      </c>
      <c r="E7" s="10">
        <f>5000000/40000000</f>
        <v>0.125</v>
      </c>
      <c r="F7" s="10">
        <f>5000000/40000000</f>
        <v>0.125</v>
      </c>
      <c r="G7" s="10">
        <f>5000000/40000000</f>
        <v>0.125</v>
      </c>
      <c r="H7" s="10">
        <f>5000000/40000000</f>
        <v>0.125</v>
      </c>
      <c r="I7" s="7"/>
      <c r="J7" s="8" t="s">
        <v>30</v>
      </c>
      <c r="K7"/>
      <c r="L7"/>
      <c r="M7"/>
      <c r="N7"/>
      <c r="O7"/>
      <c r="P7"/>
      <c r="Q7"/>
      <c r="R7"/>
      <c r="S7"/>
      <c r="T7"/>
      <c r="U7"/>
      <c r="V7"/>
      <c r="W7"/>
      <c r="X7"/>
      <c r="Y7"/>
      <c r="Z7"/>
      <c r="AA7"/>
      <c r="AB7"/>
      <c r="AC7"/>
      <c r="AD7"/>
      <c r="AE7"/>
      <c r="AF7"/>
      <c r="AG7"/>
      <c r="AH7"/>
      <c r="AI7"/>
      <c r="AJ7"/>
      <c r="AK7"/>
      <c r="AL7"/>
      <c r="AM7"/>
    </row>
    <row r="8" spans="2:39" ht="43.2" x14ac:dyDescent="0.3">
      <c r="B8" s="19"/>
      <c r="C8" s="60" t="s">
        <v>93</v>
      </c>
      <c r="D8" s="61">
        <f>(33.47*1950)*D7*1.02</f>
        <v>8321.4787500000002</v>
      </c>
      <c r="E8" s="61">
        <f>(34.92*1950)*E7*1.02</f>
        <v>8681.9850000000006</v>
      </c>
      <c r="F8" s="61">
        <f>(36.49*1950)*F7*1.02</f>
        <v>9072.3262500000001</v>
      </c>
      <c r="G8" s="61">
        <f>(38.09*1950)*G7*1.02</f>
        <v>9470.1262499999993</v>
      </c>
      <c r="H8" s="61">
        <f>(39.9*1950)*H7*1.02</f>
        <v>9920.1375000000007</v>
      </c>
      <c r="I8" s="62"/>
      <c r="J8" s="61">
        <f>SUM(D8:H8)</f>
        <v>45466.053750000006</v>
      </c>
    </row>
    <row r="9" spans="2:39" ht="43.2" x14ac:dyDescent="0.3">
      <c r="B9" s="19"/>
      <c r="C9" s="60" t="s">
        <v>95</v>
      </c>
      <c r="D9" s="61">
        <f>(30.72*1950)*D7*1.02</f>
        <v>7637.76</v>
      </c>
      <c r="E9" s="61">
        <f>(32.09*1950)*E7*1.02</f>
        <v>7978.3762500000012</v>
      </c>
      <c r="F9" s="61">
        <f>(33.47*1950)*F7*1.02</f>
        <v>8321.4787500000002</v>
      </c>
      <c r="G9" s="61">
        <f>(34.92*1950)*G7*1.02</f>
        <v>8681.9850000000006</v>
      </c>
      <c r="H9" s="61">
        <f>(36.49*1950)*H7*1.02</f>
        <v>9072.3262500000001</v>
      </c>
      <c r="I9" s="63"/>
      <c r="J9" s="61">
        <f>SUM(D9:H9)</f>
        <v>41691.926250000004</v>
      </c>
    </row>
    <row r="10" spans="2:39" ht="43.2" x14ac:dyDescent="0.3">
      <c r="B10" s="19"/>
      <c r="C10" s="60" t="s">
        <v>96</v>
      </c>
      <c r="D10" s="61">
        <f>(30.72*1950)*D7*1.02</f>
        <v>7637.76</v>
      </c>
      <c r="E10" s="61">
        <f>(32.09*1950)*E7*1.02</f>
        <v>7978.3762500000012</v>
      </c>
      <c r="F10" s="61">
        <f>(33.47*1950)*F7*1.02</f>
        <v>8321.4787500000002</v>
      </c>
      <c r="G10" s="61">
        <f>(34.92*1950)*G7*1.02</f>
        <v>8681.9850000000006</v>
      </c>
      <c r="H10" s="61">
        <f>(36.49*1950)*H7*1.02</f>
        <v>9072.3262500000001</v>
      </c>
      <c r="I10" s="63"/>
      <c r="J10" s="61">
        <f>SUM(D10:H10)</f>
        <v>41691.926250000004</v>
      </c>
    </row>
    <row r="11" spans="2:39" ht="57.6" x14ac:dyDescent="0.3">
      <c r="B11" s="19"/>
      <c r="C11" s="60" t="s">
        <v>129</v>
      </c>
      <c r="D11" s="61">
        <f>(43.65*1950)*D7*0.05*1.02</f>
        <v>542.62406250000004</v>
      </c>
      <c r="E11" s="61">
        <f>(45.72*1950)*E7*0.05*1.02</f>
        <v>568.35675000000003</v>
      </c>
      <c r="F11" s="61">
        <f>(47.87*1950)*F7*0.05*1.02</f>
        <v>595.08393749999993</v>
      </c>
      <c r="G11" s="61">
        <f>(50.07*1950)*G7*0.05*1.02</f>
        <v>622.43268750000004</v>
      </c>
      <c r="H11" s="61">
        <f>(52.41*1950)*H7*0.05*1.02</f>
        <v>651.52181250000001</v>
      </c>
      <c r="I11" s="63"/>
      <c r="J11" s="61">
        <f>SUM(D11:H11)</f>
        <v>2980.0192500000003</v>
      </c>
    </row>
    <row r="12" spans="2:39" ht="43.2" x14ac:dyDescent="0.3">
      <c r="B12" s="19"/>
      <c r="C12" s="60" t="s">
        <v>130</v>
      </c>
      <c r="D12" s="61">
        <f>(64.23*1950)*0.05*D7*1.02</f>
        <v>798.4591875000001</v>
      </c>
      <c r="E12" s="61">
        <f>(64.23*1950)*0.05*E7*1.02</f>
        <v>798.4591875000001</v>
      </c>
      <c r="F12" s="61">
        <f>(64.23*1950)*0.05*F7*1.02</f>
        <v>798.4591875000001</v>
      </c>
      <c r="G12" s="61">
        <f>(64.23*1950)*0.05*G7*1.02</f>
        <v>798.4591875000001</v>
      </c>
      <c r="H12" s="61">
        <f>(64.23*1950)*0.05*H7*1.02</f>
        <v>798.4591875000001</v>
      </c>
      <c r="I12" s="63"/>
      <c r="J12" s="61">
        <f>SUM(D12:H12)</f>
        <v>3992.2959375000005</v>
      </c>
    </row>
    <row r="13" spans="2:39" x14ac:dyDescent="0.3">
      <c r="B13" s="19"/>
      <c r="C13" s="9" t="s">
        <v>11</v>
      </c>
      <c r="D13" s="65">
        <f>SUM(D8:D12)</f>
        <v>24938.081999999999</v>
      </c>
      <c r="E13" s="65">
        <f t="shared" ref="E13:H13" si="0">SUM(E8:E12)</f>
        <v>26005.553437500002</v>
      </c>
      <c r="F13" s="65">
        <f t="shared" si="0"/>
        <v>27108.826875000002</v>
      </c>
      <c r="G13" s="65">
        <f t="shared" si="0"/>
        <v>28254.988125000003</v>
      </c>
      <c r="H13" s="65">
        <f t="shared" si="0"/>
        <v>29514.771000000001</v>
      </c>
      <c r="I13"/>
      <c r="J13" s="65">
        <f>SUM(J8:J12)</f>
        <v>135822.2214375</v>
      </c>
    </row>
    <row r="14" spans="2:39" x14ac:dyDescent="0.3">
      <c r="B14" s="19"/>
      <c r="C14" s="12" t="s">
        <v>31</v>
      </c>
      <c r="D14" s="11" t="s">
        <v>30</v>
      </c>
      <c r="E14" s="10"/>
      <c r="F14" s="10"/>
      <c r="G14" s="10"/>
      <c r="H14" s="10"/>
      <c r="J14" s="8" t="s">
        <v>30</v>
      </c>
    </row>
    <row r="15" spans="2:39" ht="28.8" x14ac:dyDescent="0.3">
      <c r="B15" s="19"/>
      <c r="C15" s="60" t="s">
        <v>99</v>
      </c>
      <c r="D15" s="61">
        <f>D8*0.5273</f>
        <v>4387.9157448750002</v>
      </c>
      <c r="E15" s="61">
        <f t="shared" ref="E15:H18" si="1">E8*0.5273</f>
        <v>4578.0106905000002</v>
      </c>
      <c r="F15" s="61">
        <f t="shared" si="1"/>
        <v>4783.8376316249996</v>
      </c>
      <c r="G15" s="61">
        <f t="shared" si="1"/>
        <v>4993.5975716249995</v>
      </c>
      <c r="H15" s="61">
        <f t="shared" si="1"/>
        <v>5230.8885037500004</v>
      </c>
      <c r="I15" s="63"/>
      <c r="J15" s="61">
        <f>SUM(D15:H15)</f>
        <v>23974.250142375</v>
      </c>
    </row>
    <row r="16" spans="2:39" ht="28.8" x14ac:dyDescent="0.3">
      <c r="B16" s="19"/>
      <c r="C16" s="60" t="s">
        <v>100</v>
      </c>
      <c r="D16" s="61">
        <f>D9*0.5273</f>
        <v>4027.390848</v>
      </c>
      <c r="E16" s="61">
        <f t="shared" si="1"/>
        <v>4206.9977966250008</v>
      </c>
      <c r="F16" s="61">
        <f t="shared" si="1"/>
        <v>4387.9157448750002</v>
      </c>
      <c r="G16" s="61">
        <f t="shared" si="1"/>
        <v>4578.0106905000002</v>
      </c>
      <c r="H16" s="61">
        <f t="shared" si="1"/>
        <v>4783.8376316249996</v>
      </c>
      <c r="I16" s="63"/>
      <c r="J16" s="61">
        <f t="shared" ref="J16:J24" si="2">SUM(D16:H16)</f>
        <v>21984.152711625</v>
      </c>
    </row>
    <row r="17" spans="2:10" ht="28.8" x14ac:dyDescent="0.3">
      <c r="B17" s="19"/>
      <c r="C17" s="73" t="s">
        <v>101</v>
      </c>
      <c r="D17" s="61">
        <f>D10*0.5273</f>
        <v>4027.390848</v>
      </c>
      <c r="E17" s="61">
        <f t="shared" si="1"/>
        <v>4206.9977966250008</v>
      </c>
      <c r="F17" s="61">
        <f t="shared" si="1"/>
        <v>4387.9157448750002</v>
      </c>
      <c r="G17" s="61">
        <f t="shared" si="1"/>
        <v>4578.0106905000002</v>
      </c>
      <c r="H17" s="61">
        <f t="shared" si="1"/>
        <v>4783.8376316249996</v>
      </c>
      <c r="I17" s="63"/>
      <c r="J17" s="61">
        <f>SUM(D17:H17)</f>
        <v>21984.152711625</v>
      </c>
    </row>
    <row r="18" spans="2:10" ht="28.8" x14ac:dyDescent="0.3">
      <c r="B18" s="19"/>
      <c r="C18" s="73" t="s">
        <v>102</v>
      </c>
      <c r="D18" s="61">
        <f>D11*0.5273</f>
        <v>286.12566815625001</v>
      </c>
      <c r="E18" s="61">
        <f t="shared" si="1"/>
        <v>299.69451427500002</v>
      </c>
      <c r="F18" s="61">
        <f t="shared" si="1"/>
        <v>313.78776024374997</v>
      </c>
      <c r="G18" s="61">
        <f t="shared" si="1"/>
        <v>328.20875611874999</v>
      </c>
      <c r="H18" s="61">
        <f t="shared" si="1"/>
        <v>343.54745173125002</v>
      </c>
      <c r="I18" s="63"/>
      <c r="J18" s="61">
        <f>SUM(D18:H18)</f>
        <v>1571.364150525</v>
      </c>
    </row>
    <row r="19" spans="2:10" ht="28.8" x14ac:dyDescent="0.3">
      <c r="B19" s="19"/>
      <c r="C19" s="73" t="s">
        <v>103</v>
      </c>
      <c r="D19" s="61">
        <f>D12*0.5273</f>
        <v>421.02752956875003</v>
      </c>
      <c r="E19" s="61">
        <f>E12*0.5273</f>
        <v>421.02752956875003</v>
      </c>
      <c r="F19" s="61">
        <f>F12*0.5273</f>
        <v>421.02752956875003</v>
      </c>
      <c r="G19" s="61">
        <f>G12*0.5273</f>
        <v>421.02752956875003</v>
      </c>
      <c r="H19" s="61">
        <f>H12*0.5273</f>
        <v>421.02752956875003</v>
      </c>
      <c r="I19" s="63"/>
      <c r="J19" s="61">
        <f t="shared" si="2"/>
        <v>2105.1376478437501</v>
      </c>
    </row>
    <row r="20" spans="2:10" ht="28.8" x14ac:dyDescent="0.3">
      <c r="B20" s="19"/>
      <c r="C20" s="60" t="s">
        <v>104</v>
      </c>
      <c r="D20" s="61">
        <f>D8*0.0646</f>
        <v>537.56752725000001</v>
      </c>
      <c r="E20" s="61">
        <f t="shared" ref="E20:H20" si="3">E8*0.0646</f>
        <v>560.85623100000009</v>
      </c>
      <c r="F20" s="61">
        <f t="shared" si="3"/>
        <v>586.07227575000002</v>
      </c>
      <c r="G20" s="61">
        <f t="shared" si="3"/>
        <v>611.77015574999996</v>
      </c>
      <c r="H20" s="61">
        <f t="shared" si="3"/>
        <v>640.84088250000013</v>
      </c>
      <c r="I20" s="63"/>
      <c r="J20" s="61">
        <f t="shared" si="2"/>
        <v>2937.1070722500003</v>
      </c>
    </row>
    <row r="21" spans="2:10" ht="28.8" x14ac:dyDescent="0.3">
      <c r="B21" s="19"/>
      <c r="C21" s="60" t="s">
        <v>105</v>
      </c>
      <c r="D21" s="61">
        <f t="shared" ref="D21:H24" si="4">D9*0.0646</f>
        <v>493.39929600000005</v>
      </c>
      <c r="E21" s="61">
        <f t="shared" si="4"/>
        <v>515.40310575000012</v>
      </c>
      <c r="F21" s="61">
        <f t="shared" si="4"/>
        <v>537.56752725000001</v>
      </c>
      <c r="G21" s="61">
        <f t="shared" si="4"/>
        <v>560.85623100000009</v>
      </c>
      <c r="H21" s="61">
        <f t="shared" si="4"/>
        <v>586.07227575000002</v>
      </c>
      <c r="I21" s="63"/>
      <c r="J21" s="61">
        <f t="shared" si="2"/>
        <v>2693.29843575</v>
      </c>
    </row>
    <row r="22" spans="2:10" ht="28.8" x14ac:dyDescent="0.3">
      <c r="B22" s="19"/>
      <c r="C22" s="73" t="s">
        <v>106</v>
      </c>
      <c r="D22" s="61">
        <f t="shared" si="4"/>
        <v>493.39929600000005</v>
      </c>
      <c r="E22" s="61">
        <f t="shared" si="4"/>
        <v>515.40310575000012</v>
      </c>
      <c r="F22" s="61">
        <f t="shared" si="4"/>
        <v>537.56752725000001</v>
      </c>
      <c r="G22" s="61">
        <f t="shared" si="4"/>
        <v>560.85623100000009</v>
      </c>
      <c r="H22" s="61">
        <f t="shared" si="4"/>
        <v>586.07227575000002</v>
      </c>
      <c r="I22" s="63"/>
      <c r="J22" s="61">
        <f t="shared" si="2"/>
        <v>2693.29843575</v>
      </c>
    </row>
    <row r="23" spans="2:10" ht="28.8" x14ac:dyDescent="0.3">
      <c r="B23" s="19"/>
      <c r="C23" s="73" t="s">
        <v>107</v>
      </c>
      <c r="D23" s="61">
        <f t="shared" si="4"/>
        <v>35.053514437500006</v>
      </c>
      <c r="E23" s="61">
        <f t="shared" si="4"/>
        <v>36.715846050000003</v>
      </c>
      <c r="F23" s="61">
        <f t="shared" si="4"/>
        <v>38.442422362499997</v>
      </c>
      <c r="G23" s="61">
        <f t="shared" si="4"/>
        <v>40.209151612500008</v>
      </c>
      <c r="H23" s="61">
        <f t="shared" si="4"/>
        <v>42.088309087500001</v>
      </c>
      <c r="I23" s="63"/>
      <c r="J23" s="61">
        <f t="shared" si="2"/>
        <v>192.50924355000001</v>
      </c>
    </row>
    <row r="24" spans="2:10" ht="29.4" customHeight="1" x14ac:dyDescent="0.3">
      <c r="B24" s="19"/>
      <c r="C24" s="73" t="s">
        <v>108</v>
      </c>
      <c r="D24" s="61">
        <f>D12*0.0646</f>
        <v>51.58046351250001</v>
      </c>
      <c r="E24" s="61">
        <f t="shared" si="4"/>
        <v>51.58046351250001</v>
      </c>
      <c r="F24" s="61">
        <f t="shared" si="4"/>
        <v>51.58046351250001</v>
      </c>
      <c r="G24" s="61">
        <f t="shared" si="4"/>
        <v>51.58046351250001</v>
      </c>
      <c r="H24" s="61">
        <f>H12*0.0646</f>
        <v>51.58046351250001</v>
      </c>
      <c r="I24" s="63"/>
      <c r="J24" s="61">
        <f t="shared" si="2"/>
        <v>257.90231756250006</v>
      </c>
    </row>
    <row r="25" spans="2:10" x14ac:dyDescent="0.3">
      <c r="B25" s="19"/>
      <c r="C25" s="9" t="s">
        <v>12</v>
      </c>
      <c r="D25" s="65">
        <f>SUM(D15:D24)</f>
        <v>14760.850735799999</v>
      </c>
      <c r="E25" s="65">
        <f>SUM(E15:E24)</f>
        <v>15392.687079656249</v>
      </c>
      <c r="F25" s="65">
        <f>SUM(F15:F24)</f>
        <v>16045.7146273125</v>
      </c>
      <c r="G25" s="65">
        <f>SUM(G15:G24)</f>
        <v>16724.127471187498</v>
      </c>
      <c r="H25" s="65">
        <f>SUM(H15:H24)</f>
        <v>17469.7929549</v>
      </c>
      <c r="I25"/>
      <c r="J25" s="65">
        <f>SUM(J15:J24)</f>
        <v>80393.172868856229</v>
      </c>
    </row>
    <row r="26" spans="2:10" x14ac:dyDescent="0.3">
      <c r="B26" s="19"/>
      <c r="C26" s="12" t="s">
        <v>32</v>
      </c>
      <c r="D26" s="11" t="s">
        <v>30</v>
      </c>
      <c r="E26" s="10"/>
      <c r="F26" s="10"/>
      <c r="G26" s="10"/>
      <c r="H26" s="10"/>
      <c r="J26" s="8" t="s">
        <v>30</v>
      </c>
    </row>
    <row r="27" spans="2:10" ht="28.8" x14ac:dyDescent="0.3">
      <c r="B27" s="19"/>
      <c r="C27" s="58" t="s">
        <v>55</v>
      </c>
      <c r="D27" s="66">
        <v>1900</v>
      </c>
      <c r="E27" s="66">
        <v>1900</v>
      </c>
      <c r="F27" s="66">
        <v>1900</v>
      </c>
      <c r="G27" s="66">
        <v>1900</v>
      </c>
      <c r="H27" s="66">
        <v>0</v>
      </c>
      <c r="I27"/>
      <c r="J27" s="59"/>
    </row>
    <row r="28" spans="2:10" ht="28.8" x14ac:dyDescent="0.3">
      <c r="B28" s="19"/>
      <c r="C28" s="58" t="s">
        <v>136</v>
      </c>
      <c r="D28" s="59">
        <f>D27*0.67</f>
        <v>1273</v>
      </c>
      <c r="E28" s="59">
        <f>E27*0.67</f>
        <v>1273</v>
      </c>
      <c r="F28" s="59">
        <f>F27*0.67</f>
        <v>1273</v>
      </c>
      <c r="G28" s="59">
        <f>G27*0.67</f>
        <v>1273</v>
      </c>
      <c r="H28" s="59">
        <f>H27*0.67</f>
        <v>0</v>
      </c>
      <c r="I28" s="28"/>
      <c r="J28" s="59">
        <f>SUM(D28:H28)</f>
        <v>5092</v>
      </c>
    </row>
    <row r="29" spans="2:10" ht="28.8" x14ac:dyDescent="0.3">
      <c r="B29" s="19"/>
      <c r="C29" s="84" t="s">
        <v>142</v>
      </c>
      <c r="D29" s="59">
        <f>2000*D7</f>
        <v>250</v>
      </c>
      <c r="E29" s="59">
        <f t="shared" ref="E29:H29" si="5">2000*E7</f>
        <v>250</v>
      </c>
      <c r="F29" s="59">
        <f t="shared" si="5"/>
        <v>250</v>
      </c>
      <c r="G29" s="59">
        <f t="shared" si="5"/>
        <v>250</v>
      </c>
      <c r="H29" s="59">
        <f t="shared" si="5"/>
        <v>250</v>
      </c>
      <c r="I29" s="28"/>
      <c r="J29" s="59">
        <f t="shared" ref="J29" si="6">SUM(D29:H29)</f>
        <v>1250</v>
      </c>
    </row>
    <row r="30" spans="2:10" x14ac:dyDescent="0.3">
      <c r="B30" s="19"/>
      <c r="C30" s="9" t="s">
        <v>13</v>
      </c>
      <c r="D30" s="65">
        <f>SUM(D28:D29)</f>
        <v>1523</v>
      </c>
      <c r="E30" s="65">
        <f>SUM(E28:E29)</f>
        <v>1523</v>
      </c>
      <c r="F30" s="65">
        <f>SUM(F28:F29)</f>
        <v>1523</v>
      </c>
      <c r="G30" s="65">
        <f>SUM(G28:G29)</f>
        <v>1523</v>
      </c>
      <c r="H30" s="65">
        <f>SUM(H28:H29)</f>
        <v>250</v>
      </c>
      <c r="I30"/>
      <c r="J30" s="65">
        <f>SUM(J27:J29)</f>
        <v>6342</v>
      </c>
    </row>
    <row r="31" spans="2:10" x14ac:dyDescent="0.3">
      <c r="B31" s="19"/>
      <c r="C31" s="12" t="s">
        <v>33</v>
      </c>
      <c r="D31" s="59"/>
      <c r="E31" s="66"/>
      <c r="F31" s="66"/>
      <c r="G31" s="66"/>
      <c r="H31" s="66"/>
      <c r="I31"/>
      <c r="J31" s="59" t="s">
        <v>19</v>
      </c>
    </row>
    <row r="32" spans="2:10" x14ac:dyDescent="0.3">
      <c r="B32" s="19"/>
      <c r="C32" s="76" t="s">
        <v>58</v>
      </c>
      <c r="D32" s="59"/>
      <c r="E32" s="66"/>
      <c r="F32" s="66"/>
      <c r="G32" s="66"/>
      <c r="H32" s="66"/>
      <c r="I32"/>
      <c r="J32" s="59">
        <f>SUM(D32:H32)</f>
        <v>0</v>
      </c>
    </row>
    <row r="33" spans="2:10" x14ac:dyDescent="0.3">
      <c r="B33" s="19" t="s">
        <v>34</v>
      </c>
      <c r="C33" s="23" t="s">
        <v>34</v>
      </c>
      <c r="D33" s="66" t="s">
        <v>30</v>
      </c>
      <c r="E33" s="66"/>
      <c r="F33" s="66"/>
      <c r="G33" s="66"/>
      <c r="H33" s="66"/>
      <c r="I33"/>
      <c r="J33" s="59">
        <f t="shared" ref="J33:J44" si="7">SUM(D33:H33)</f>
        <v>0</v>
      </c>
    </row>
    <row r="34" spans="2:10" x14ac:dyDescent="0.3">
      <c r="B34" s="19"/>
      <c r="C34" s="9" t="s">
        <v>14</v>
      </c>
      <c r="D34" s="67">
        <f>SUM(D32:D33)</f>
        <v>0</v>
      </c>
      <c r="E34" s="67">
        <f t="shared" ref="E34:H34" si="8">SUM(E32:E33)</f>
        <v>0</v>
      </c>
      <c r="F34" s="67">
        <f t="shared" si="8"/>
        <v>0</v>
      </c>
      <c r="G34" s="67">
        <f t="shared" si="8"/>
        <v>0</v>
      </c>
      <c r="H34" s="67">
        <f t="shared" si="8"/>
        <v>0</v>
      </c>
      <c r="I34"/>
      <c r="J34" s="65">
        <f>SUM(J32:J33)</f>
        <v>0</v>
      </c>
    </row>
    <row r="35" spans="2:10" x14ac:dyDescent="0.3">
      <c r="B35" s="19"/>
      <c r="C35" s="12" t="s">
        <v>35</v>
      </c>
      <c r="D35" s="66" t="s">
        <v>30</v>
      </c>
      <c r="E35" s="66"/>
      <c r="F35" s="66"/>
      <c r="G35" s="66"/>
      <c r="H35" s="66"/>
      <c r="I35"/>
      <c r="J35" s="59"/>
    </row>
    <row r="36" spans="2:10" ht="28.8" x14ac:dyDescent="0.3">
      <c r="B36" s="19"/>
      <c r="C36" s="60" t="s">
        <v>49</v>
      </c>
      <c r="D36" s="59">
        <f>2000*D7</f>
        <v>250</v>
      </c>
      <c r="E36" s="59">
        <v>0</v>
      </c>
      <c r="F36" s="59">
        <v>0</v>
      </c>
      <c r="G36" s="59">
        <v>0</v>
      </c>
      <c r="H36" s="59">
        <v>0</v>
      </c>
      <c r="I36"/>
      <c r="J36" s="59">
        <f t="shared" si="7"/>
        <v>250</v>
      </c>
    </row>
    <row r="37" spans="2:10" ht="28.8" x14ac:dyDescent="0.3">
      <c r="B37" s="19"/>
      <c r="C37" s="60" t="s">
        <v>50</v>
      </c>
      <c r="D37" s="59">
        <f>2000*D7</f>
        <v>250</v>
      </c>
      <c r="E37" s="59">
        <v>0</v>
      </c>
      <c r="F37" s="59">
        <v>0</v>
      </c>
      <c r="G37" s="59">
        <v>0</v>
      </c>
      <c r="H37" s="59">
        <v>0</v>
      </c>
      <c r="I37" s="28"/>
      <c r="J37" s="59">
        <f t="shared" si="7"/>
        <v>250</v>
      </c>
    </row>
    <row r="38" spans="2:10" ht="28.8" x14ac:dyDescent="0.3">
      <c r="B38" s="19"/>
      <c r="C38" s="60" t="s">
        <v>51</v>
      </c>
      <c r="D38" s="59">
        <f>2000*D7</f>
        <v>250</v>
      </c>
      <c r="E38" s="59">
        <v>0</v>
      </c>
      <c r="F38" s="59">
        <v>0</v>
      </c>
      <c r="G38" s="59">
        <v>0</v>
      </c>
      <c r="H38" s="59">
        <v>0</v>
      </c>
      <c r="I38" s="28"/>
      <c r="J38" s="59">
        <f t="shared" si="7"/>
        <v>250</v>
      </c>
    </row>
    <row r="39" spans="2:10" ht="28.8" x14ac:dyDescent="0.3">
      <c r="B39" s="19"/>
      <c r="C39" s="60" t="s">
        <v>52</v>
      </c>
      <c r="D39" s="59">
        <f>300*D7</f>
        <v>37.5</v>
      </c>
      <c r="E39" s="59">
        <f>300*E7</f>
        <v>37.5</v>
      </c>
      <c r="F39" s="59">
        <f>300*F7</f>
        <v>37.5</v>
      </c>
      <c r="G39" s="59">
        <f>300*G7</f>
        <v>37.5</v>
      </c>
      <c r="H39" s="59">
        <f>300*H7</f>
        <v>37.5</v>
      </c>
      <c r="I39" s="28"/>
      <c r="J39" s="59">
        <f t="shared" si="7"/>
        <v>187.5</v>
      </c>
    </row>
    <row r="40" spans="2:10" ht="28.8" x14ac:dyDescent="0.3">
      <c r="B40" s="19"/>
      <c r="C40" s="60" t="s">
        <v>53</v>
      </c>
      <c r="D40" s="59">
        <f>300*D7</f>
        <v>37.5</v>
      </c>
      <c r="E40" s="59">
        <f>300*E7</f>
        <v>37.5</v>
      </c>
      <c r="F40" s="59">
        <f>300*F7</f>
        <v>37.5</v>
      </c>
      <c r="G40" s="59">
        <f>300*G7</f>
        <v>37.5</v>
      </c>
      <c r="H40" s="59">
        <f>300*H7</f>
        <v>37.5</v>
      </c>
      <c r="I40" s="28"/>
      <c r="J40" s="59">
        <f t="shared" si="7"/>
        <v>187.5</v>
      </c>
    </row>
    <row r="41" spans="2:10" ht="28.8" x14ac:dyDescent="0.3">
      <c r="B41" s="19"/>
      <c r="C41" s="60" t="s">
        <v>62</v>
      </c>
      <c r="D41" s="59">
        <f>300*D7</f>
        <v>37.5</v>
      </c>
      <c r="E41" s="59">
        <f>300*E7</f>
        <v>37.5</v>
      </c>
      <c r="F41" s="59">
        <f>300*F7</f>
        <v>37.5</v>
      </c>
      <c r="G41" s="59">
        <f>300*G7</f>
        <v>37.5</v>
      </c>
      <c r="H41" s="59">
        <f>300*H7</f>
        <v>37.5</v>
      </c>
      <c r="I41" s="28"/>
      <c r="J41" s="59">
        <f t="shared" si="7"/>
        <v>187.5</v>
      </c>
    </row>
    <row r="42" spans="2:10" ht="28.8" x14ac:dyDescent="0.3">
      <c r="B42" s="19"/>
      <c r="C42" s="60" t="s">
        <v>114</v>
      </c>
      <c r="D42" s="59">
        <f>3*6083*D7</f>
        <v>2281.125</v>
      </c>
      <c r="E42" s="59">
        <f t="shared" ref="E42:H42" si="9">3*6083*E7</f>
        <v>2281.125</v>
      </c>
      <c r="F42" s="59">
        <f t="shared" si="9"/>
        <v>2281.125</v>
      </c>
      <c r="G42" s="59">
        <f t="shared" si="9"/>
        <v>2281.125</v>
      </c>
      <c r="H42" s="59">
        <f t="shared" si="9"/>
        <v>2281.125</v>
      </c>
      <c r="I42" s="28"/>
      <c r="J42" s="59">
        <f t="shared" si="7"/>
        <v>11405.625</v>
      </c>
    </row>
    <row r="43" spans="2:10" x14ac:dyDescent="0.3">
      <c r="B43" s="19"/>
      <c r="C43" s="60" t="s">
        <v>147</v>
      </c>
      <c r="D43" s="59">
        <f>500*D7</f>
        <v>62.5</v>
      </c>
      <c r="E43" s="59">
        <f t="shared" ref="E43:H43" si="10">500*E7</f>
        <v>62.5</v>
      </c>
      <c r="F43" s="59">
        <f t="shared" si="10"/>
        <v>62.5</v>
      </c>
      <c r="G43" s="59">
        <f t="shared" si="10"/>
        <v>62.5</v>
      </c>
      <c r="H43" s="59">
        <f t="shared" si="10"/>
        <v>62.5</v>
      </c>
      <c r="I43" s="28"/>
      <c r="J43" s="59">
        <f t="shared" si="7"/>
        <v>312.5</v>
      </c>
    </row>
    <row r="44" spans="2:10" x14ac:dyDescent="0.3">
      <c r="B44" s="19"/>
      <c r="C44" s="60" t="s">
        <v>144</v>
      </c>
      <c r="D44" s="59">
        <f>1500*D7</f>
        <v>187.5</v>
      </c>
      <c r="E44" s="59">
        <f t="shared" ref="E44:H44" si="11">1500*E7</f>
        <v>187.5</v>
      </c>
      <c r="F44" s="59">
        <f t="shared" si="11"/>
        <v>187.5</v>
      </c>
      <c r="G44" s="59">
        <f t="shared" si="11"/>
        <v>187.5</v>
      </c>
      <c r="H44" s="59">
        <f t="shared" si="11"/>
        <v>187.5</v>
      </c>
      <c r="I44" s="28"/>
      <c r="J44" s="59">
        <f t="shared" si="7"/>
        <v>937.5</v>
      </c>
    </row>
    <row r="45" spans="2:10" x14ac:dyDescent="0.3">
      <c r="B45" s="19"/>
      <c r="C45" s="9" t="s">
        <v>15</v>
      </c>
      <c r="D45" s="65">
        <f>SUM(D36:D44)</f>
        <v>3393.625</v>
      </c>
      <c r="E45" s="65">
        <f>SUM(E36:E44)</f>
        <v>2643.625</v>
      </c>
      <c r="F45" s="65">
        <f>SUM(F36:F44)</f>
        <v>2643.625</v>
      </c>
      <c r="G45" s="65">
        <f>SUM(G36:G44)</f>
        <v>2643.625</v>
      </c>
      <c r="H45" s="65">
        <f>SUM(H36:H44)</f>
        <v>2643.625</v>
      </c>
      <c r="I45"/>
      <c r="J45" s="65">
        <f>SUM(J36:J44)</f>
        <v>13968.125</v>
      </c>
    </row>
    <row r="46" spans="2:10" x14ac:dyDescent="0.3">
      <c r="B46" s="19"/>
      <c r="C46" s="12" t="s">
        <v>36</v>
      </c>
      <c r="D46" s="11" t="s">
        <v>30</v>
      </c>
      <c r="E46" s="10"/>
      <c r="F46" s="10"/>
      <c r="G46" s="10"/>
      <c r="H46" s="10"/>
      <c r="J46" s="13"/>
    </row>
    <row r="47" spans="2:10" x14ac:dyDescent="0.3">
      <c r="B47" s="19"/>
      <c r="C47" s="60" t="s">
        <v>58</v>
      </c>
      <c r="D47" s="68"/>
      <c r="E47" s="68"/>
      <c r="F47" s="68"/>
      <c r="G47" s="68"/>
      <c r="H47" s="68"/>
      <c r="I47" s="29"/>
      <c r="J47" s="13">
        <f>SUM(D47:H47)</f>
        <v>0</v>
      </c>
    </row>
    <row r="48" spans="2:10" x14ac:dyDescent="0.3">
      <c r="B48" s="19"/>
      <c r="C48" s="9" t="s">
        <v>16</v>
      </c>
      <c r="D48" s="65">
        <f>SUM(D47:D47)</f>
        <v>0</v>
      </c>
      <c r="E48" s="65">
        <f>SUM(E47:E47)</f>
        <v>0</v>
      </c>
      <c r="F48" s="65">
        <f>SUM(F47:F47)</f>
        <v>0</v>
      </c>
      <c r="G48" s="65">
        <f>SUM(G47:G47)</f>
        <v>0</v>
      </c>
      <c r="H48" s="65">
        <f>SUM(H47:H47)</f>
        <v>0</v>
      </c>
      <c r="I48"/>
      <c r="J48" s="65">
        <f>SUM(J47:J47)</f>
        <v>0</v>
      </c>
    </row>
    <row r="49" spans="2:11" x14ac:dyDescent="0.3">
      <c r="B49" s="19"/>
      <c r="C49" s="12" t="s">
        <v>37</v>
      </c>
      <c r="D49" s="11" t="s">
        <v>30</v>
      </c>
      <c r="E49" s="10"/>
      <c r="F49" s="10"/>
      <c r="G49" s="10"/>
      <c r="H49" s="10"/>
      <c r="J49" s="13"/>
    </row>
    <row r="50" spans="2:11" ht="28.8" x14ac:dyDescent="0.3">
      <c r="B50" s="19"/>
      <c r="C50" s="60" t="s">
        <v>56</v>
      </c>
      <c r="D50" s="61">
        <v>0</v>
      </c>
      <c r="E50" s="61">
        <f>(5000000-SUM($J$48+$J$61+$J$45+$J$34+$J$30+$J$25+$J$13+SUM($J$52:$J$55)))*E51</f>
        <v>1412760.8668063402</v>
      </c>
      <c r="F50" s="61">
        <f>(5000000-SUM($J$48+$J$61+$J$45+$J$34+$J$30+$J$25+$J$13+SUM($J$52:$J$55)))*F51</f>
        <v>1648221.0112740635</v>
      </c>
      <c r="G50" s="61">
        <f>(5000000-SUM($J$48+$J$61+$J$45+$J$34+$J$30+$J$25+$J$13+SUM($J$52:$J$55)))*G51-1</f>
        <v>1648220.0112740635</v>
      </c>
      <c r="H50" s="61">
        <v>0</v>
      </c>
      <c r="I50"/>
      <c r="J50" s="59">
        <f>SUM(D50:H50)</f>
        <v>4709201.8893544674</v>
      </c>
    </row>
    <row r="51" spans="2:11" x14ac:dyDescent="0.3">
      <c r="B51" s="19"/>
      <c r="C51" s="60" t="s">
        <v>57</v>
      </c>
      <c r="D51" s="75">
        <v>0</v>
      </c>
      <c r="E51" s="75">
        <v>0.3</v>
      </c>
      <c r="F51" s="75">
        <v>0.35</v>
      </c>
      <c r="G51" s="75">
        <v>0.35</v>
      </c>
      <c r="H51" s="75">
        <v>0</v>
      </c>
      <c r="I51"/>
      <c r="J51" s="75">
        <f>SUM(D51:H51)</f>
        <v>0.99999999999999989</v>
      </c>
    </row>
    <row r="52" spans="2:11" ht="28.8" x14ac:dyDescent="0.3">
      <c r="B52" s="19"/>
      <c r="C52" s="60" t="s">
        <v>118</v>
      </c>
      <c r="D52" s="59">
        <f>SUM(D13,D25)*0.06</f>
        <v>2381.935964148</v>
      </c>
      <c r="E52" s="59">
        <f t="shared" ref="E52:H52" si="12">SUM(E13,E25)*0.06</f>
        <v>2483.894431029375</v>
      </c>
      <c r="F52" s="59">
        <f t="shared" si="12"/>
        <v>2589.2724901387501</v>
      </c>
      <c r="G52" s="59">
        <f t="shared" si="12"/>
        <v>2698.7469357712503</v>
      </c>
      <c r="H52" s="59">
        <f t="shared" si="12"/>
        <v>2819.073837294</v>
      </c>
      <c r="I52"/>
      <c r="J52" s="59">
        <f t="shared" ref="J52" si="13">SUM(D52:H52)</f>
        <v>12972.923658381374</v>
      </c>
    </row>
    <row r="53" spans="2:11" ht="28.8" x14ac:dyDescent="0.3">
      <c r="B53" s="19"/>
      <c r="C53" s="58" t="s">
        <v>124</v>
      </c>
      <c r="D53" s="81">
        <f>5000000*0.001</f>
        <v>5000</v>
      </c>
      <c r="E53" s="81">
        <f t="shared" ref="E53:H53" si="14">5000000*0.001</f>
        <v>5000</v>
      </c>
      <c r="F53" s="81">
        <f t="shared" si="14"/>
        <v>5000</v>
      </c>
      <c r="G53" s="81">
        <f t="shared" si="14"/>
        <v>5000</v>
      </c>
      <c r="H53" s="81">
        <f t="shared" si="14"/>
        <v>5000</v>
      </c>
      <c r="I53"/>
      <c r="J53" s="59">
        <f>SUM(D53:H53)</f>
        <v>25000</v>
      </c>
    </row>
    <row r="54" spans="2:11" ht="28.8" x14ac:dyDescent="0.3">
      <c r="B54" s="19"/>
      <c r="C54" s="58" t="s">
        <v>151</v>
      </c>
      <c r="D54" s="81">
        <f>3*4221*D7</f>
        <v>1582.875</v>
      </c>
      <c r="E54" s="81">
        <f t="shared" ref="E54:H54" si="15">3*4221*E7</f>
        <v>1582.875</v>
      </c>
      <c r="F54" s="81">
        <f t="shared" si="15"/>
        <v>1582.875</v>
      </c>
      <c r="G54" s="81">
        <f t="shared" si="15"/>
        <v>1582.875</v>
      </c>
      <c r="H54" s="81">
        <f t="shared" si="15"/>
        <v>1582.875</v>
      </c>
      <c r="I54"/>
      <c r="J54" s="59">
        <f>SUM(D54:H54)</f>
        <v>7914.375</v>
      </c>
    </row>
    <row r="55" spans="2:11" ht="28.8" x14ac:dyDescent="0.3">
      <c r="B55" s="19"/>
      <c r="C55" s="58" t="s">
        <v>135</v>
      </c>
      <c r="D55" s="81">
        <f>32*(3*0.125)</f>
        <v>12</v>
      </c>
      <c r="E55" s="81">
        <f t="shared" ref="E55:H55" si="16">32*(3*0.125)</f>
        <v>12</v>
      </c>
      <c r="F55" s="81">
        <f t="shared" si="16"/>
        <v>12</v>
      </c>
      <c r="G55" s="81">
        <f t="shared" si="16"/>
        <v>12</v>
      </c>
      <c r="H55" s="81">
        <f t="shared" si="16"/>
        <v>12</v>
      </c>
      <c r="I55"/>
      <c r="J55" s="59">
        <f>SUM(D55:H55)</f>
        <v>60</v>
      </c>
    </row>
    <row r="56" spans="2:11" x14ac:dyDescent="0.3">
      <c r="B56" s="20"/>
      <c r="C56" s="9" t="s">
        <v>17</v>
      </c>
      <c r="D56" s="65">
        <f>SUM(D50:D55)</f>
        <v>8976.8109641480005</v>
      </c>
      <c r="E56" s="65">
        <f>SUM(E50:E55)</f>
        <v>1421839.9362373697</v>
      </c>
      <c r="F56" s="65">
        <f>SUM(F50:F55)</f>
        <v>1657405.5087642022</v>
      </c>
      <c r="G56" s="65">
        <f>SUM(G50:G55)</f>
        <v>1657513.9832098349</v>
      </c>
      <c r="H56" s="65">
        <f>SUM(H50:H55)</f>
        <v>9413.9488372939995</v>
      </c>
      <c r="I56"/>
      <c r="J56" s="65">
        <f>SUM(J50)</f>
        <v>4709201.8893544674</v>
      </c>
    </row>
    <row r="57" spans="2:11" x14ac:dyDescent="0.3">
      <c r="B57" s="20"/>
      <c r="C57" s="9" t="s">
        <v>18</v>
      </c>
      <c r="D57" s="65">
        <f>SUM(D56,D48,D45,D34,D30,D25,D13)</f>
        <v>53592.368699947998</v>
      </c>
      <c r="E57" s="65">
        <f>SUM(E56,E48,E45,E34,E30,E25,E13)</f>
        <v>1467404.8017545259</v>
      </c>
      <c r="F57" s="65">
        <f>SUM(F56,F48,F45,F34,F30,F25,F13)</f>
        <v>1704726.6752665148</v>
      </c>
      <c r="G57" s="65">
        <f>SUM(G56,G48,G45,G34,G30,G25,G13)</f>
        <v>1706659.7238060222</v>
      </c>
      <c r="H57" s="65">
        <f>SUM(H56,H48,H45,H34,H30,H25,H13)</f>
        <v>59292.137792194</v>
      </c>
      <c r="I57"/>
      <c r="J57" s="65">
        <f>SUM(D57:H57)</f>
        <v>4991675.7073192056</v>
      </c>
    </row>
    <row r="58" spans="2:11" x14ac:dyDescent="0.3">
      <c r="B58" s="6"/>
      <c r="D58"/>
      <c r="E58"/>
      <c r="H58"/>
      <c r="I58"/>
      <c r="J58" t="s">
        <v>19</v>
      </c>
    </row>
    <row r="59" spans="2:11" ht="28.8" x14ac:dyDescent="0.3">
      <c r="B59" s="57" t="s">
        <v>38</v>
      </c>
      <c r="C59" s="14" t="s">
        <v>38</v>
      </c>
      <c r="D59" s="15"/>
      <c r="E59" s="15"/>
      <c r="F59" s="15"/>
      <c r="G59" s="15"/>
      <c r="H59" s="15"/>
      <c r="I59"/>
      <c r="J59" s="15" t="s">
        <v>19</v>
      </c>
    </row>
    <row r="60" spans="2:11" ht="46.5" customHeight="1" x14ac:dyDescent="0.3">
      <c r="B60" s="19"/>
      <c r="C60" s="58" t="s">
        <v>112</v>
      </c>
      <c r="D60" s="97">
        <f>SUM(D25,D13)*0.0385</f>
        <v>1528.4089103283</v>
      </c>
      <c r="E60" s="97">
        <f>SUM(E25,E13)*0.0385</f>
        <v>1593.8322599105156</v>
      </c>
      <c r="F60" s="97">
        <f>SUM(F25,F13)*0.0385</f>
        <v>1661.4498478390312</v>
      </c>
      <c r="G60" s="97">
        <f>SUM(G25,G13)*0.0385</f>
        <v>1731.695950453219</v>
      </c>
      <c r="H60" s="97">
        <f>SUM(H25,H13)*0.0385</f>
        <v>1808.9057122636502</v>
      </c>
      <c r="I60"/>
      <c r="J60" s="59">
        <f>SUM(D60:H60)</f>
        <v>8324.2926807947151</v>
      </c>
    </row>
    <row r="61" spans="2:11" x14ac:dyDescent="0.3">
      <c r="B61" s="20"/>
      <c r="C61" s="9" t="s">
        <v>20</v>
      </c>
      <c r="D61" s="65">
        <f>SUM(D60:D60)</f>
        <v>1528.4089103283</v>
      </c>
      <c r="E61" s="65">
        <f>SUM(E60:E60)</f>
        <v>1593.8322599105156</v>
      </c>
      <c r="F61" s="65">
        <f>SUM(F60:F60)</f>
        <v>1661.4498478390312</v>
      </c>
      <c r="G61" s="65">
        <f>SUM(G60:G60)</f>
        <v>1731.695950453219</v>
      </c>
      <c r="H61" s="65">
        <f>SUM(H60:H60)</f>
        <v>1808.9057122636502</v>
      </c>
      <c r="I61"/>
      <c r="J61" s="65">
        <f>SUM(J60:J60)</f>
        <v>8324.2926807947151</v>
      </c>
    </row>
    <row r="62" spans="2:11" ht="15" thickBot="1" x14ac:dyDescent="0.35">
      <c r="B62" s="6"/>
      <c r="D62"/>
      <c r="E62"/>
      <c r="H62"/>
      <c r="I62"/>
      <c r="J62" t="s">
        <v>19</v>
      </c>
    </row>
    <row r="63" spans="2:11" s="1" customFormat="1" ht="29.4" thickBot="1" x14ac:dyDescent="0.35">
      <c r="B63" s="16" t="s">
        <v>21</v>
      </c>
      <c r="C63" s="16"/>
      <c r="D63" s="69">
        <f>SUM(D61,D57)</f>
        <v>55120.777610276295</v>
      </c>
      <c r="E63" s="69">
        <f>SUM(E61,E57)</f>
        <v>1468998.6340144363</v>
      </c>
      <c r="F63" s="69">
        <f>SUM(F61,F57)</f>
        <v>1706388.1251143538</v>
      </c>
      <c r="G63" s="69">
        <f>SUM(G61,G57)</f>
        <v>1708391.4197564754</v>
      </c>
      <c r="H63" s="69">
        <f>SUM(H61,H57)</f>
        <v>61101.043504457652</v>
      </c>
      <c r="I63"/>
      <c r="J63" s="69">
        <f>SUM(J61,J57)</f>
        <v>5000000</v>
      </c>
      <c r="K63" s="104">
        <f>SUM(D63:H63)</f>
        <v>5000000</v>
      </c>
    </row>
    <row r="64" spans="2:11"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row r="77" spans="2:2" x14ac:dyDescent="0.3">
      <c r="B77" s="6"/>
    </row>
    <row r="78" spans="2:2" x14ac:dyDescent="0.3">
      <c r="B78" s="6"/>
    </row>
  </sheetData>
  <pageMargins left="0.25" right="0.25" top="0.75" bottom="0.75" header="0.3" footer="0.3"/>
  <pageSetup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7F412-8177-4CBF-BACF-4A50FBCE13F0}">
  <sheetPr>
    <tabColor theme="9" tint="0.39997558519241921"/>
    <pageSetUpPr fitToPage="1"/>
  </sheetPr>
  <dimension ref="B2:AM78"/>
  <sheetViews>
    <sheetView showGridLines="0" topLeftCell="A27" zoomScale="85" zoomScaleNormal="85" workbookViewId="0">
      <selection activeCell="A30" sqref="A30:XFD34"/>
    </sheetView>
  </sheetViews>
  <sheetFormatPr defaultColWidth="9.109375" defaultRowHeight="14.4" x14ac:dyDescent="0.3"/>
  <cols>
    <col min="1" max="1" width="3.109375" customWidth="1"/>
    <col min="2" max="2" width="10.109375" customWidth="1"/>
    <col min="3" max="3" width="46.6640625" customWidth="1"/>
    <col min="4" max="4" width="12.441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2.109375" customWidth="1"/>
  </cols>
  <sheetData>
    <row r="2" spans="2:39" ht="23.4" x14ac:dyDescent="0.45">
      <c r="B2" s="24" t="s">
        <v>92</v>
      </c>
    </row>
    <row r="3" spans="2:39" x14ac:dyDescent="0.3">
      <c r="B3" s="5" t="s">
        <v>28</v>
      </c>
    </row>
    <row r="4" spans="2:39" x14ac:dyDescent="0.3">
      <c r="B4" s="5"/>
    </row>
    <row r="5" spans="2:39" ht="18" x14ac:dyDescent="0.35">
      <c r="B5" s="30" t="s">
        <v>1</v>
      </c>
      <c r="C5" s="31"/>
      <c r="D5" s="31"/>
      <c r="E5" s="31"/>
      <c r="F5" s="31"/>
      <c r="G5" s="31"/>
      <c r="H5" s="31"/>
      <c r="I5" s="31"/>
      <c r="J5" s="32"/>
    </row>
    <row r="6" spans="2:39" ht="28.8" x14ac:dyDescent="0.3">
      <c r="B6" s="33" t="s">
        <v>2</v>
      </c>
      <c r="C6" s="33" t="s">
        <v>3</v>
      </c>
      <c r="D6" s="33" t="s">
        <v>4</v>
      </c>
      <c r="E6" s="34" t="s">
        <v>5</v>
      </c>
      <c r="F6" s="34" t="s">
        <v>6</v>
      </c>
      <c r="G6" s="34" t="s">
        <v>7</v>
      </c>
      <c r="H6" s="35" t="s">
        <v>8</v>
      </c>
      <c r="I6" s="36"/>
      <c r="J6" s="37" t="s">
        <v>9</v>
      </c>
    </row>
    <row r="7" spans="2:39" s="5" customFormat="1" ht="28.8" x14ac:dyDescent="0.3">
      <c r="B7" s="57" t="s">
        <v>10</v>
      </c>
      <c r="C7" s="74" t="s">
        <v>42</v>
      </c>
      <c r="D7" s="10">
        <f>5000000/40000000</f>
        <v>0.125</v>
      </c>
      <c r="E7" s="10">
        <f>5000000/40000000</f>
        <v>0.125</v>
      </c>
      <c r="F7" s="10">
        <f>5000000/40000000</f>
        <v>0.125</v>
      </c>
      <c r="G7" s="10">
        <f>5000000/40000000</f>
        <v>0.125</v>
      </c>
      <c r="H7" s="10">
        <f>5000000/40000000</f>
        <v>0.125</v>
      </c>
      <c r="I7" s="7"/>
      <c r="J7" s="8" t="s">
        <v>30</v>
      </c>
      <c r="K7"/>
      <c r="L7"/>
      <c r="M7"/>
      <c r="N7"/>
      <c r="O7"/>
      <c r="P7"/>
      <c r="Q7"/>
      <c r="R7"/>
      <c r="S7"/>
      <c r="T7"/>
      <c r="U7"/>
      <c r="V7"/>
      <c r="W7"/>
      <c r="X7"/>
      <c r="Y7"/>
      <c r="Z7"/>
      <c r="AA7"/>
      <c r="AB7"/>
      <c r="AC7"/>
      <c r="AD7"/>
      <c r="AE7"/>
      <c r="AF7"/>
      <c r="AG7"/>
      <c r="AH7"/>
      <c r="AI7"/>
      <c r="AJ7"/>
      <c r="AK7"/>
      <c r="AL7"/>
      <c r="AM7"/>
    </row>
    <row r="8" spans="2:39" ht="43.2" x14ac:dyDescent="0.3">
      <c r="B8" s="19"/>
      <c r="C8" s="60" t="s">
        <v>93</v>
      </c>
      <c r="D8" s="61">
        <f>(33.47*1950)*D7*1.02</f>
        <v>8321.4787500000002</v>
      </c>
      <c r="E8" s="61">
        <f>(34.92*1950)*E7*1.02</f>
        <v>8681.9850000000006</v>
      </c>
      <c r="F8" s="61">
        <f>(36.49*1950)*F7*1.02</f>
        <v>9072.3262500000001</v>
      </c>
      <c r="G8" s="61">
        <f>(38.09*1950)*G7*1.02</f>
        <v>9470.1262499999993</v>
      </c>
      <c r="H8" s="61">
        <f>(39.9*1950)*H7*1.02</f>
        <v>9920.1375000000007</v>
      </c>
      <c r="I8" s="62"/>
      <c r="J8" s="61">
        <f>SUM(D8:H8)</f>
        <v>45466.053750000006</v>
      </c>
    </row>
    <row r="9" spans="2:39" ht="43.2" x14ac:dyDescent="0.3">
      <c r="B9" s="19"/>
      <c r="C9" s="60" t="s">
        <v>95</v>
      </c>
      <c r="D9" s="61">
        <f>(30.72*1950)*D7*1.02</f>
        <v>7637.76</v>
      </c>
      <c r="E9" s="61">
        <f>(32.09*1950)*E7*1.02</f>
        <v>7978.3762500000012</v>
      </c>
      <c r="F9" s="61">
        <f>(33.47*1950)*F7*1.02</f>
        <v>8321.4787500000002</v>
      </c>
      <c r="G9" s="61">
        <f>(34.92*1950)*G7*1.02</f>
        <v>8681.9850000000006</v>
      </c>
      <c r="H9" s="61">
        <f>(36.49*1950)*H7*1.02</f>
        <v>9072.3262500000001</v>
      </c>
      <c r="I9" s="63"/>
      <c r="J9" s="61">
        <f>SUM(D9:H9)</f>
        <v>41691.926250000004</v>
      </c>
    </row>
    <row r="10" spans="2:39" ht="43.2" x14ac:dyDescent="0.3">
      <c r="B10" s="19"/>
      <c r="C10" s="60" t="s">
        <v>96</v>
      </c>
      <c r="D10" s="61">
        <f>(30.72*1950)*D7*1.02</f>
        <v>7637.76</v>
      </c>
      <c r="E10" s="61">
        <f>(32.09*1950)*E7*1.02</f>
        <v>7978.3762500000012</v>
      </c>
      <c r="F10" s="61">
        <f>(33.47*1950)*F7*1.02</f>
        <v>8321.4787500000002</v>
      </c>
      <c r="G10" s="61">
        <f>(34.92*1950)*G7*1.02</f>
        <v>8681.9850000000006</v>
      </c>
      <c r="H10" s="61">
        <f>(36.49*1950)*H7*1.02</f>
        <v>9072.3262500000001</v>
      </c>
      <c r="I10" s="63"/>
      <c r="J10" s="61">
        <f>SUM(D10:H10)</f>
        <v>41691.926250000004</v>
      </c>
    </row>
    <row r="11" spans="2:39" ht="57.6" x14ac:dyDescent="0.3">
      <c r="B11" s="19"/>
      <c r="C11" s="60" t="s">
        <v>129</v>
      </c>
      <c r="D11" s="61">
        <f>(43.65*1950)*D7*0.05*1.02</f>
        <v>542.62406250000004</v>
      </c>
      <c r="E11" s="61">
        <f>(45.72*1950)*E7*0.05*1.02</f>
        <v>568.35675000000003</v>
      </c>
      <c r="F11" s="61">
        <f>(47.87*1950)*F7*0.05*1.02</f>
        <v>595.08393749999993</v>
      </c>
      <c r="G11" s="61">
        <f>(50.07*1950)*G7*0.05*1.02</f>
        <v>622.43268750000004</v>
      </c>
      <c r="H11" s="61">
        <f>(52.41*1950)*H7*0.05*1.02</f>
        <v>651.52181250000001</v>
      </c>
      <c r="I11" s="63"/>
      <c r="J11" s="61">
        <f>SUM(D11:H11)</f>
        <v>2980.0192500000003</v>
      </c>
    </row>
    <row r="12" spans="2:39" ht="43.2" x14ac:dyDescent="0.3">
      <c r="B12" s="19"/>
      <c r="C12" s="60" t="s">
        <v>130</v>
      </c>
      <c r="D12" s="61">
        <f>(64.23*1950)*0.05*D7*1.02</f>
        <v>798.4591875000001</v>
      </c>
      <c r="E12" s="61">
        <f>(64.23*1950)*0.05*E7*1.02</f>
        <v>798.4591875000001</v>
      </c>
      <c r="F12" s="61">
        <f>(64.23*1950)*0.05*F7*1.02</f>
        <v>798.4591875000001</v>
      </c>
      <c r="G12" s="61">
        <f>(64.23*1950)*0.05*G7*1.02</f>
        <v>798.4591875000001</v>
      </c>
      <c r="H12" s="61">
        <f>(64.23*1950)*0.05*H7*1.02</f>
        <v>798.4591875000001</v>
      </c>
      <c r="I12" s="63"/>
      <c r="J12" s="61">
        <f>SUM(D12:H12)</f>
        <v>3992.2959375000005</v>
      </c>
    </row>
    <row r="13" spans="2:39" x14ac:dyDescent="0.3">
      <c r="B13" s="19"/>
      <c r="C13" s="9" t="s">
        <v>11</v>
      </c>
      <c r="D13" s="65">
        <f>SUM(D8:D12)</f>
        <v>24938.081999999999</v>
      </c>
      <c r="E13" s="65">
        <f t="shared" ref="E13:H13" si="0">SUM(E8:E12)</f>
        <v>26005.553437500002</v>
      </c>
      <c r="F13" s="65">
        <f t="shared" si="0"/>
        <v>27108.826875000002</v>
      </c>
      <c r="G13" s="65">
        <f t="shared" si="0"/>
        <v>28254.988125000003</v>
      </c>
      <c r="H13" s="65">
        <f t="shared" si="0"/>
        <v>29514.771000000001</v>
      </c>
      <c r="I13"/>
      <c r="J13" s="65">
        <f>SUM(J8:J12)</f>
        <v>135822.2214375</v>
      </c>
    </row>
    <row r="14" spans="2:39" x14ac:dyDescent="0.3">
      <c r="B14" s="19"/>
      <c r="C14" s="12" t="s">
        <v>31</v>
      </c>
      <c r="D14" s="11" t="s">
        <v>30</v>
      </c>
      <c r="E14" s="10"/>
      <c r="F14" s="10"/>
      <c r="G14" s="10"/>
      <c r="H14" s="10"/>
      <c r="J14" s="8" t="s">
        <v>30</v>
      </c>
    </row>
    <row r="15" spans="2:39" ht="28.8" x14ac:dyDescent="0.3">
      <c r="B15" s="19"/>
      <c r="C15" s="60" t="s">
        <v>99</v>
      </c>
      <c r="D15" s="61">
        <f>D8*0.5273</f>
        <v>4387.9157448750002</v>
      </c>
      <c r="E15" s="61">
        <f t="shared" ref="E15:H18" si="1">E8*0.5273</f>
        <v>4578.0106905000002</v>
      </c>
      <c r="F15" s="61">
        <f t="shared" si="1"/>
        <v>4783.8376316249996</v>
      </c>
      <c r="G15" s="61">
        <f t="shared" si="1"/>
        <v>4993.5975716249995</v>
      </c>
      <c r="H15" s="61">
        <f t="shared" si="1"/>
        <v>5230.8885037500004</v>
      </c>
      <c r="I15" s="63"/>
      <c r="J15" s="61">
        <f>SUM(D15:H15)</f>
        <v>23974.250142375</v>
      </c>
    </row>
    <row r="16" spans="2:39" ht="28.8" x14ac:dyDescent="0.3">
      <c r="B16" s="19"/>
      <c r="C16" s="60" t="s">
        <v>100</v>
      </c>
      <c r="D16" s="61">
        <f>D9*0.5273</f>
        <v>4027.390848</v>
      </c>
      <c r="E16" s="61">
        <f t="shared" si="1"/>
        <v>4206.9977966250008</v>
      </c>
      <c r="F16" s="61">
        <f t="shared" si="1"/>
        <v>4387.9157448750002</v>
      </c>
      <c r="G16" s="61">
        <f t="shared" si="1"/>
        <v>4578.0106905000002</v>
      </c>
      <c r="H16" s="61">
        <f t="shared" si="1"/>
        <v>4783.8376316249996</v>
      </c>
      <c r="I16" s="63"/>
      <c r="J16" s="61">
        <f t="shared" ref="J16:J24" si="2">SUM(D16:H16)</f>
        <v>21984.152711625</v>
      </c>
    </row>
    <row r="17" spans="2:10" ht="28.8" x14ac:dyDescent="0.3">
      <c r="B17" s="19"/>
      <c r="C17" s="73" t="s">
        <v>101</v>
      </c>
      <c r="D17" s="61">
        <f>D10*0.5273</f>
        <v>4027.390848</v>
      </c>
      <c r="E17" s="61">
        <f t="shared" si="1"/>
        <v>4206.9977966250008</v>
      </c>
      <c r="F17" s="61">
        <f t="shared" si="1"/>
        <v>4387.9157448750002</v>
      </c>
      <c r="G17" s="61">
        <f t="shared" si="1"/>
        <v>4578.0106905000002</v>
      </c>
      <c r="H17" s="61">
        <f t="shared" si="1"/>
        <v>4783.8376316249996</v>
      </c>
      <c r="I17" s="63"/>
      <c r="J17" s="61">
        <f>SUM(D17:H17)</f>
        <v>21984.152711625</v>
      </c>
    </row>
    <row r="18" spans="2:10" ht="28.8" x14ac:dyDescent="0.3">
      <c r="B18" s="19"/>
      <c r="C18" s="73" t="s">
        <v>102</v>
      </c>
      <c r="D18" s="61">
        <f>D11*0.5273</f>
        <v>286.12566815625001</v>
      </c>
      <c r="E18" s="61">
        <f t="shared" si="1"/>
        <v>299.69451427500002</v>
      </c>
      <c r="F18" s="61">
        <f t="shared" si="1"/>
        <v>313.78776024374997</v>
      </c>
      <c r="G18" s="61">
        <f t="shared" si="1"/>
        <v>328.20875611874999</v>
      </c>
      <c r="H18" s="61">
        <f t="shared" si="1"/>
        <v>343.54745173125002</v>
      </c>
      <c r="I18" s="63"/>
      <c r="J18" s="61">
        <f>SUM(D18:H18)</f>
        <v>1571.364150525</v>
      </c>
    </row>
    <row r="19" spans="2:10" ht="28.8" x14ac:dyDescent="0.3">
      <c r="B19" s="19"/>
      <c r="C19" s="73" t="s">
        <v>103</v>
      </c>
      <c r="D19" s="61">
        <f>D12*0.5273</f>
        <v>421.02752956875003</v>
      </c>
      <c r="E19" s="61">
        <f>E12*0.5273</f>
        <v>421.02752956875003</v>
      </c>
      <c r="F19" s="61">
        <f>F12*0.5273</f>
        <v>421.02752956875003</v>
      </c>
      <c r="G19" s="61">
        <f>G12*0.5273</f>
        <v>421.02752956875003</v>
      </c>
      <c r="H19" s="61">
        <f>H12*0.5273</f>
        <v>421.02752956875003</v>
      </c>
      <c r="I19" s="63"/>
      <c r="J19" s="61">
        <f t="shared" si="2"/>
        <v>2105.1376478437501</v>
      </c>
    </row>
    <row r="20" spans="2:10" ht="28.8" x14ac:dyDescent="0.3">
      <c r="B20" s="19"/>
      <c r="C20" s="60" t="s">
        <v>104</v>
      </c>
      <c r="D20" s="61">
        <f>D8*0.0646</f>
        <v>537.56752725000001</v>
      </c>
      <c r="E20" s="61">
        <f t="shared" ref="E20:H20" si="3">E8*0.0646</f>
        <v>560.85623100000009</v>
      </c>
      <c r="F20" s="61">
        <f t="shared" si="3"/>
        <v>586.07227575000002</v>
      </c>
      <c r="G20" s="61">
        <f t="shared" si="3"/>
        <v>611.77015574999996</v>
      </c>
      <c r="H20" s="61">
        <f t="shared" si="3"/>
        <v>640.84088250000013</v>
      </c>
      <c r="I20" s="63"/>
      <c r="J20" s="61">
        <f t="shared" si="2"/>
        <v>2937.1070722500003</v>
      </c>
    </row>
    <row r="21" spans="2:10" ht="28.8" x14ac:dyDescent="0.3">
      <c r="B21" s="19"/>
      <c r="C21" s="60" t="s">
        <v>105</v>
      </c>
      <c r="D21" s="61">
        <f t="shared" ref="D21:H24" si="4">D9*0.0646</f>
        <v>493.39929600000005</v>
      </c>
      <c r="E21" s="61">
        <f t="shared" si="4"/>
        <v>515.40310575000012</v>
      </c>
      <c r="F21" s="61">
        <f t="shared" si="4"/>
        <v>537.56752725000001</v>
      </c>
      <c r="G21" s="61">
        <f t="shared" si="4"/>
        <v>560.85623100000009</v>
      </c>
      <c r="H21" s="61">
        <f t="shared" si="4"/>
        <v>586.07227575000002</v>
      </c>
      <c r="I21" s="63"/>
      <c r="J21" s="61">
        <f t="shared" si="2"/>
        <v>2693.29843575</v>
      </c>
    </row>
    <row r="22" spans="2:10" ht="28.8" x14ac:dyDescent="0.3">
      <c r="B22" s="19"/>
      <c r="C22" s="73" t="s">
        <v>106</v>
      </c>
      <c r="D22" s="61">
        <f t="shared" si="4"/>
        <v>493.39929600000005</v>
      </c>
      <c r="E22" s="61">
        <f t="shared" si="4"/>
        <v>515.40310575000012</v>
      </c>
      <c r="F22" s="61">
        <f t="shared" si="4"/>
        <v>537.56752725000001</v>
      </c>
      <c r="G22" s="61">
        <f t="shared" si="4"/>
        <v>560.85623100000009</v>
      </c>
      <c r="H22" s="61">
        <f t="shared" si="4"/>
        <v>586.07227575000002</v>
      </c>
      <c r="I22" s="63"/>
      <c r="J22" s="61">
        <f t="shared" si="2"/>
        <v>2693.29843575</v>
      </c>
    </row>
    <row r="23" spans="2:10" ht="28.8" x14ac:dyDescent="0.3">
      <c r="B23" s="19"/>
      <c r="C23" s="73" t="s">
        <v>107</v>
      </c>
      <c r="D23" s="61">
        <f t="shared" si="4"/>
        <v>35.053514437500006</v>
      </c>
      <c r="E23" s="61">
        <f t="shared" si="4"/>
        <v>36.715846050000003</v>
      </c>
      <c r="F23" s="61">
        <f t="shared" si="4"/>
        <v>38.442422362499997</v>
      </c>
      <c r="G23" s="61">
        <f t="shared" si="4"/>
        <v>40.209151612500008</v>
      </c>
      <c r="H23" s="61">
        <f t="shared" si="4"/>
        <v>42.088309087500001</v>
      </c>
      <c r="I23" s="63"/>
      <c r="J23" s="61">
        <f t="shared" si="2"/>
        <v>192.50924355000001</v>
      </c>
    </row>
    <row r="24" spans="2:10" ht="28.8" x14ac:dyDescent="0.3">
      <c r="B24" s="19"/>
      <c r="C24" s="73" t="s">
        <v>108</v>
      </c>
      <c r="D24" s="61">
        <f>D12*0.0646</f>
        <v>51.58046351250001</v>
      </c>
      <c r="E24" s="61">
        <f t="shared" si="4"/>
        <v>51.58046351250001</v>
      </c>
      <c r="F24" s="61">
        <f t="shared" si="4"/>
        <v>51.58046351250001</v>
      </c>
      <c r="G24" s="61">
        <f t="shared" si="4"/>
        <v>51.58046351250001</v>
      </c>
      <c r="H24" s="61">
        <f>H12*0.0646</f>
        <v>51.58046351250001</v>
      </c>
      <c r="I24" s="63"/>
      <c r="J24" s="61">
        <f t="shared" si="2"/>
        <v>257.90231756250006</v>
      </c>
    </row>
    <row r="25" spans="2:10" x14ac:dyDescent="0.3">
      <c r="B25" s="19"/>
      <c r="C25" s="9" t="s">
        <v>12</v>
      </c>
      <c r="D25" s="65">
        <f>SUM(D15:D24)</f>
        <v>14760.850735799999</v>
      </c>
      <c r="E25" s="65">
        <f>SUM(E15:E24)</f>
        <v>15392.687079656249</v>
      </c>
      <c r="F25" s="65">
        <f>SUM(F15:F24)</f>
        <v>16045.7146273125</v>
      </c>
      <c r="G25" s="65">
        <f>SUM(G15:G24)</f>
        <v>16724.127471187498</v>
      </c>
      <c r="H25" s="65">
        <f>SUM(H15:H24)</f>
        <v>17469.7929549</v>
      </c>
      <c r="I25"/>
      <c r="J25" s="65">
        <f>SUM(J15:J24)</f>
        <v>80393.172868856229</v>
      </c>
    </row>
    <row r="26" spans="2:10" x14ac:dyDescent="0.3">
      <c r="B26" s="19"/>
      <c r="C26" s="12" t="s">
        <v>32</v>
      </c>
      <c r="D26" s="11" t="s">
        <v>30</v>
      </c>
      <c r="E26" s="10"/>
      <c r="F26" s="10"/>
      <c r="G26" s="10"/>
      <c r="H26" s="10"/>
      <c r="J26" s="8" t="s">
        <v>30</v>
      </c>
    </row>
    <row r="27" spans="2:10" ht="43.2" x14ac:dyDescent="0.3">
      <c r="B27" s="19"/>
      <c r="C27" s="58" t="s">
        <v>59</v>
      </c>
      <c r="D27" s="66">
        <v>250</v>
      </c>
      <c r="E27" s="66">
        <v>250</v>
      </c>
      <c r="F27" s="66">
        <v>250</v>
      </c>
      <c r="G27" s="66">
        <v>250</v>
      </c>
      <c r="H27" s="66">
        <v>250</v>
      </c>
      <c r="I27"/>
      <c r="J27" s="59"/>
    </row>
    <row r="28" spans="2:10" ht="28.8" x14ac:dyDescent="0.3">
      <c r="B28" s="19"/>
      <c r="C28" s="58" t="s">
        <v>94</v>
      </c>
      <c r="D28" s="59">
        <f>D27*0.67</f>
        <v>167.5</v>
      </c>
      <c r="E28" s="59">
        <f>E27*0.67</f>
        <v>167.5</v>
      </c>
      <c r="F28" s="59">
        <f>F27*0.67</f>
        <v>167.5</v>
      </c>
      <c r="G28" s="59">
        <f>G27*0.67</f>
        <v>167.5</v>
      </c>
      <c r="H28" s="59">
        <f>H27*0.67</f>
        <v>167.5</v>
      </c>
      <c r="I28" s="28"/>
      <c r="J28" s="59">
        <f>SUM(D28:H28)</f>
        <v>837.5</v>
      </c>
    </row>
    <row r="29" spans="2:10" ht="28.8" x14ac:dyDescent="0.3">
      <c r="B29" s="19"/>
      <c r="C29" s="84" t="s">
        <v>142</v>
      </c>
      <c r="D29" s="59">
        <f>2000*D7</f>
        <v>250</v>
      </c>
      <c r="E29" s="59">
        <f t="shared" ref="E29:H29" si="5">2000*E7</f>
        <v>250</v>
      </c>
      <c r="F29" s="59">
        <f t="shared" si="5"/>
        <v>250</v>
      </c>
      <c r="G29" s="59">
        <f t="shared" si="5"/>
        <v>250</v>
      </c>
      <c r="H29" s="59">
        <f t="shared" si="5"/>
        <v>250</v>
      </c>
      <c r="I29" s="28"/>
      <c r="J29" s="59">
        <f t="shared" ref="J29" si="6">SUM(D29:H29)</f>
        <v>1250</v>
      </c>
    </row>
    <row r="30" spans="2:10" x14ac:dyDescent="0.3">
      <c r="B30" s="19"/>
      <c r="C30" s="9" t="s">
        <v>13</v>
      </c>
      <c r="D30" s="65">
        <f>SUM(D28:D29)</f>
        <v>417.5</v>
      </c>
      <c r="E30" s="65">
        <f>SUM(E28:E29)</f>
        <v>417.5</v>
      </c>
      <c r="F30" s="65">
        <f>SUM(F28:F29)</f>
        <v>417.5</v>
      </c>
      <c r="G30" s="65">
        <f>SUM(G28:G29)</f>
        <v>417.5</v>
      </c>
      <c r="H30" s="65">
        <f>SUM(H28:H29)</f>
        <v>417.5</v>
      </c>
      <c r="I30"/>
      <c r="J30" s="65">
        <f>SUM(J27:J29)</f>
        <v>2087.5</v>
      </c>
    </row>
    <row r="31" spans="2:10" x14ac:dyDescent="0.3">
      <c r="B31" s="19"/>
      <c r="C31" s="12" t="s">
        <v>33</v>
      </c>
      <c r="D31" s="59"/>
      <c r="E31" s="66"/>
      <c r="F31" s="66"/>
      <c r="G31" s="66"/>
      <c r="H31" s="66"/>
      <c r="I31"/>
      <c r="J31" s="59" t="s">
        <v>19</v>
      </c>
    </row>
    <row r="32" spans="2:10" x14ac:dyDescent="0.3">
      <c r="B32" s="19"/>
      <c r="C32" s="77" t="s">
        <v>58</v>
      </c>
      <c r="D32" s="59"/>
      <c r="E32" s="66"/>
      <c r="F32" s="66"/>
      <c r="G32" s="66"/>
      <c r="H32" s="66"/>
      <c r="I32"/>
      <c r="J32" s="59">
        <f>SUM(D32:H32)</f>
        <v>0</v>
      </c>
    </row>
    <row r="33" spans="2:10" x14ac:dyDescent="0.3">
      <c r="B33" s="19" t="s">
        <v>34</v>
      </c>
      <c r="C33" s="23" t="s">
        <v>34</v>
      </c>
      <c r="D33" s="66" t="s">
        <v>30</v>
      </c>
      <c r="E33" s="66"/>
      <c r="F33" s="66"/>
      <c r="G33" s="66"/>
      <c r="H33" s="66"/>
      <c r="I33"/>
      <c r="J33" s="59">
        <f t="shared" ref="J33:J47" si="7">SUM(D33:H33)</f>
        <v>0</v>
      </c>
    </row>
    <row r="34" spans="2:10" x14ac:dyDescent="0.3">
      <c r="B34" s="19"/>
      <c r="C34" s="9" t="s">
        <v>14</v>
      </c>
      <c r="D34" s="67">
        <f>SUM(D32:D33)</f>
        <v>0</v>
      </c>
      <c r="E34" s="67">
        <f t="shared" ref="E34:H34" si="8">SUM(E32:E33)</f>
        <v>0</v>
      </c>
      <c r="F34" s="67">
        <f t="shared" si="8"/>
        <v>0</v>
      </c>
      <c r="G34" s="67">
        <f t="shared" si="8"/>
        <v>0</v>
      </c>
      <c r="H34" s="67">
        <f t="shared" si="8"/>
        <v>0</v>
      </c>
      <c r="I34"/>
      <c r="J34" s="65">
        <f>SUM(J32:J33)</f>
        <v>0</v>
      </c>
    </row>
    <row r="35" spans="2:10" x14ac:dyDescent="0.3">
      <c r="B35" s="19"/>
      <c r="C35" s="12" t="s">
        <v>35</v>
      </c>
      <c r="D35" s="66" t="s">
        <v>30</v>
      </c>
      <c r="E35" s="66"/>
      <c r="F35" s="66"/>
      <c r="G35" s="66"/>
      <c r="H35" s="66"/>
      <c r="I35"/>
      <c r="J35" s="59"/>
    </row>
    <row r="36" spans="2:10" ht="28.8" x14ac:dyDescent="0.3">
      <c r="B36" s="19"/>
      <c r="C36" s="60" t="s">
        <v>49</v>
      </c>
      <c r="D36" s="59">
        <f>2000*D7</f>
        <v>250</v>
      </c>
      <c r="E36" s="59">
        <v>0</v>
      </c>
      <c r="F36" s="59">
        <v>0</v>
      </c>
      <c r="G36" s="59">
        <v>0</v>
      </c>
      <c r="H36" s="59">
        <v>0</v>
      </c>
      <c r="I36"/>
      <c r="J36" s="59">
        <f t="shared" si="7"/>
        <v>250</v>
      </c>
    </row>
    <row r="37" spans="2:10" ht="28.8" x14ac:dyDescent="0.3">
      <c r="B37" s="19"/>
      <c r="C37" s="60" t="s">
        <v>50</v>
      </c>
      <c r="D37" s="59">
        <f>2000*D7</f>
        <v>250</v>
      </c>
      <c r="E37" s="59">
        <v>0</v>
      </c>
      <c r="F37" s="59">
        <v>0</v>
      </c>
      <c r="G37" s="59">
        <v>0</v>
      </c>
      <c r="H37" s="59">
        <v>0</v>
      </c>
      <c r="I37" s="28"/>
      <c r="J37" s="59">
        <f t="shared" si="7"/>
        <v>250</v>
      </c>
    </row>
    <row r="38" spans="2:10" ht="28.8" x14ac:dyDescent="0.3">
      <c r="B38" s="19"/>
      <c r="C38" s="60" t="s">
        <v>51</v>
      </c>
      <c r="D38" s="59">
        <f>2000*D7</f>
        <v>250</v>
      </c>
      <c r="E38" s="59">
        <v>0</v>
      </c>
      <c r="F38" s="59">
        <v>0</v>
      </c>
      <c r="G38" s="59">
        <v>0</v>
      </c>
      <c r="H38" s="59">
        <v>0</v>
      </c>
      <c r="I38" s="28"/>
      <c r="J38" s="59">
        <f t="shared" si="7"/>
        <v>250</v>
      </c>
    </row>
    <row r="39" spans="2:10" ht="28.8" x14ac:dyDescent="0.3">
      <c r="B39" s="19"/>
      <c r="C39" s="60" t="s">
        <v>114</v>
      </c>
      <c r="D39" s="59">
        <f>3*6083*D7</f>
        <v>2281.125</v>
      </c>
      <c r="E39" s="59">
        <f>3*6083*E7</f>
        <v>2281.125</v>
      </c>
      <c r="F39" s="59">
        <f>3*6083*F7</f>
        <v>2281.125</v>
      </c>
      <c r="G39" s="59">
        <f>3*6083*G7</f>
        <v>2281.125</v>
      </c>
      <c r="H39" s="59">
        <f>3*6083*H7</f>
        <v>2281.125</v>
      </c>
      <c r="I39" s="28"/>
      <c r="J39" s="59">
        <f t="shared" si="7"/>
        <v>11405.625</v>
      </c>
    </row>
    <row r="40" spans="2:10" x14ac:dyDescent="0.3">
      <c r="B40" s="19"/>
      <c r="C40" s="60" t="s">
        <v>147</v>
      </c>
      <c r="D40" s="59">
        <f>500*D7</f>
        <v>62.5</v>
      </c>
      <c r="E40" s="59">
        <f>500*E7</f>
        <v>62.5</v>
      </c>
      <c r="F40" s="59">
        <f>500*F7</f>
        <v>62.5</v>
      </c>
      <c r="G40" s="59">
        <f>500*G7</f>
        <v>62.5</v>
      </c>
      <c r="H40" s="59">
        <f>500*H7</f>
        <v>62.5</v>
      </c>
      <c r="I40" s="28"/>
      <c r="J40" s="59">
        <f t="shared" si="7"/>
        <v>312.5</v>
      </c>
    </row>
    <row r="41" spans="2:10" x14ac:dyDescent="0.3">
      <c r="B41" s="19"/>
      <c r="C41" s="60" t="s">
        <v>144</v>
      </c>
      <c r="D41" s="59">
        <f>1500*D7</f>
        <v>187.5</v>
      </c>
      <c r="E41" s="59">
        <f>1500*E7</f>
        <v>187.5</v>
      </c>
      <c r="F41" s="59">
        <f>1500*F7</f>
        <v>187.5</v>
      </c>
      <c r="G41" s="59">
        <f>1500*G7</f>
        <v>187.5</v>
      </c>
      <c r="H41" s="59">
        <f>1500*H7</f>
        <v>187.5</v>
      </c>
      <c r="I41" s="28"/>
      <c r="J41" s="59">
        <f t="shared" si="7"/>
        <v>937.5</v>
      </c>
    </row>
    <row r="42" spans="2:10" x14ac:dyDescent="0.3">
      <c r="B42" s="19"/>
      <c r="C42" s="9" t="s">
        <v>15</v>
      </c>
      <c r="D42" s="65">
        <f>SUM(D36:D41)</f>
        <v>3281.125</v>
      </c>
      <c r="E42" s="65">
        <f>SUM(E36:E41)</f>
        <v>2531.125</v>
      </c>
      <c r="F42" s="65">
        <f>SUM(F36:F41)</f>
        <v>2531.125</v>
      </c>
      <c r="G42" s="65">
        <f>SUM(G36:G41)</f>
        <v>2531.125</v>
      </c>
      <c r="H42" s="65">
        <f>SUM(H36:H41)</f>
        <v>2531.125</v>
      </c>
      <c r="I42"/>
      <c r="J42" s="65">
        <f>SUM(J36:J41)</f>
        <v>13405.625</v>
      </c>
    </row>
    <row r="43" spans="2:10" x14ac:dyDescent="0.3">
      <c r="B43" s="19"/>
      <c r="C43" s="12" t="s">
        <v>36</v>
      </c>
      <c r="D43" s="11" t="s">
        <v>30</v>
      </c>
      <c r="E43" s="10"/>
      <c r="F43" s="10"/>
      <c r="G43" s="10"/>
      <c r="H43" s="10"/>
      <c r="J43" s="13"/>
    </row>
    <row r="44" spans="2:10" x14ac:dyDescent="0.3">
      <c r="B44" s="19"/>
      <c r="C44" s="60" t="s">
        <v>58</v>
      </c>
      <c r="D44" s="86"/>
      <c r="E44" s="86"/>
      <c r="F44" s="86"/>
      <c r="G44" s="86"/>
      <c r="H44" s="86"/>
      <c r="I44" s="79"/>
      <c r="J44" s="86">
        <f>SUM(D44:H44)</f>
        <v>0</v>
      </c>
    </row>
    <row r="45" spans="2:10" x14ac:dyDescent="0.3">
      <c r="B45" s="19"/>
      <c r="C45" s="9" t="s">
        <v>16</v>
      </c>
      <c r="D45" s="65">
        <f>SUM(D44)</f>
        <v>0</v>
      </c>
      <c r="E45" s="65">
        <f>SUM(E44)</f>
        <v>0</v>
      </c>
      <c r="F45" s="65">
        <f>SUM(F44)</f>
        <v>0</v>
      </c>
      <c r="G45" s="65">
        <f>SUM(G44)</f>
        <v>0</v>
      </c>
      <c r="H45" s="65">
        <f>SUM(H44)</f>
        <v>0</v>
      </c>
      <c r="I45"/>
      <c r="J45" s="65">
        <f>SUM(J44)</f>
        <v>0</v>
      </c>
    </row>
    <row r="46" spans="2:10" x14ac:dyDescent="0.3">
      <c r="B46" s="19"/>
      <c r="C46" s="12" t="s">
        <v>37</v>
      </c>
      <c r="D46" s="11" t="s">
        <v>30</v>
      </c>
      <c r="E46" s="10"/>
      <c r="F46" s="10"/>
      <c r="G46" s="10"/>
      <c r="H46" s="10"/>
      <c r="J46" s="13"/>
    </row>
    <row r="47" spans="2:10" ht="28.8" x14ac:dyDescent="0.3">
      <c r="B47" s="19"/>
      <c r="C47" s="60" t="s">
        <v>70</v>
      </c>
      <c r="D47" s="59">
        <f>(5000000-(SUM($J$13,$J$25,$J$30,$J$42,$J$49:$J$55,$J$61)))*D48</f>
        <v>471345.53893544676</v>
      </c>
      <c r="E47" s="59">
        <f>(5000000-(SUM($J$13,$J$25,$J$30,$J$42,$J$49:$J$55,$J$61)))*E48</f>
        <v>1178363.8473386168</v>
      </c>
      <c r="F47" s="59">
        <f>(5000000-(SUM($J$13,$J$25,$J$30,$J$42,$J$49:$J$55,$J$61)))*F48</f>
        <v>1178363.8473386168</v>
      </c>
      <c r="G47" s="59">
        <f>(5000000-(SUM($J$13,$J$25,$J$30,$J$42,$J$49:$J$55,$J$61)))*G48</f>
        <v>1178363.8473386168</v>
      </c>
      <c r="H47" s="81">
        <f>(5000000-(SUM($J$13,$J$25,$J$30,$J$42,$J$49:$J$55,$J$61)))*H48</f>
        <v>707018.30840317009</v>
      </c>
      <c r="J47" s="59">
        <f t="shared" si="7"/>
        <v>4713455.3893544674</v>
      </c>
    </row>
    <row r="48" spans="2:10" x14ac:dyDescent="0.3">
      <c r="B48" s="19"/>
      <c r="C48" s="12" t="s">
        <v>57</v>
      </c>
      <c r="D48" s="85">
        <v>0.1</v>
      </c>
      <c r="E48" s="87">
        <v>0.25</v>
      </c>
      <c r="F48" s="87">
        <v>0.25</v>
      </c>
      <c r="G48" s="87">
        <v>0.25</v>
      </c>
      <c r="H48" s="87">
        <v>0.15</v>
      </c>
      <c r="J48" s="13"/>
    </row>
    <row r="49" spans="2:11" ht="28.8" x14ac:dyDescent="0.3">
      <c r="B49" s="19"/>
      <c r="C49" s="60" t="s">
        <v>118</v>
      </c>
      <c r="D49" s="59">
        <f>SUM(D13,D25)*0.06</f>
        <v>2381.935964148</v>
      </c>
      <c r="E49" s="59">
        <f>SUM(E13,E25)*0.06</f>
        <v>2483.894431029375</v>
      </c>
      <c r="F49" s="59">
        <f>SUM(F13,F25)*0.06</f>
        <v>2589.2724901387501</v>
      </c>
      <c r="G49" s="59">
        <f>SUM(G13,G25)*0.06</f>
        <v>2698.7469357712503</v>
      </c>
      <c r="H49" s="59">
        <f>SUM(H13,H25)*0.06</f>
        <v>2819.073837294</v>
      </c>
      <c r="I49"/>
      <c r="J49" s="59">
        <f t="shared" ref="J49:J55" si="9">SUM(D49:H49)</f>
        <v>12972.923658381374</v>
      </c>
    </row>
    <row r="50" spans="2:11" ht="28.8" x14ac:dyDescent="0.3">
      <c r="B50" s="19"/>
      <c r="C50" s="60" t="s">
        <v>52</v>
      </c>
      <c r="D50" s="59">
        <f>300*D7</f>
        <v>37.5</v>
      </c>
      <c r="E50" s="59">
        <f>300*E7</f>
        <v>37.5</v>
      </c>
      <c r="F50" s="59">
        <f>300*F7</f>
        <v>37.5</v>
      </c>
      <c r="G50" s="59">
        <f>300*G7</f>
        <v>37.5</v>
      </c>
      <c r="H50" s="59">
        <f>300*H7</f>
        <v>37.5</v>
      </c>
      <c r="I50" s="28"/>
      <c r="J50" s="59">
        <f t="shared" si="9"/>
        <v>187.5</v>
      </c>
    </row>
    <row r="51" spans="2:11" ht="28.8" x14ac:dyDescent="0.3">
      <c r="B51" s="19"/>
      <c r="C51" s="60" t="s">
        <v>53</v>
      </c>
      <c r="D51" s="59">
        <f>300*D7</f>
        <v>37.5</v>
      </c>
      <c r="E51" s="59">
        <f>300*E7</f>
        <v>37.5</v>
      </c>
      <c r="F51" s="59">
        <f>300*F7</f>
        <v>37.5</v>
      </c>
      <c r="G51" s="59">
        <f>300*G7</f>
        <v>37.5</v>
      </c>
      <c r="H51" s="59">
        <f>300*H7</f>
        <v>37.5</v>
      </c>
      <c r="I51" s="28"/>
      <c r="J51" s="59">
        <f t="shared" si="9"/>
        <v>187.5</v>
      </c>
    </row>
    <row r="52" spans="2:11" ht="28.8" x14ac:dyDescent="0.3">
      <c r="B52" s="19"/>
      <c r="C52" s="60" t="s">
        <v>62</v>
      </c>
      <c r="D52" s="59">
        <f>300*D7</f>
        <v>37.5</v>
      </c>
      <c r="E52" s="59">
        <f>300*E7</f>
        <v>37.5</v>
      </c>
      <c r="F52" s="59">
        <f>300*F7</f>
        <v>37.5</v>
      </c>
      <c r="G52" s="59">
        <f>300*G7</f>
        <v>37.5</v>
      </c>
      <c r="H52" s="59">
        <f>300*H7</f>
        <v>37.5</v>
      </c>
      <c r="I52" s="28"/>
      <c r="J52" s="59">
        <f t="shared" si="9"/>
        <v>187.5</v>
      </c>
    </row>
    <row r="53" spans="2:11" ht="28.8" x14ac:dyDescent="0.3">
      <c r="B53" s="19"/>
      <c r="C53" s="58" t="s">
        <v>124</v>
      </c>
      <c r="D53" s="81">
        <f>5000000*0.001</f>
        <v>5000</v>
      </c>
      <c r="E53" s="81">
        <f t="shared" ref="E53:H53" si="10">5000000*0.001</f>
        <v>5000</v>
      </c>
      <c r="F53" s="81">
        <f t="shared" si="10"/>
        <v>5000</v>
      </c>
      <c r="G53" s="81">
        <f t="shared" si="10"/>
        <v>5000</v>
      </c>
      <c r="H53" s="81">
        <f t="shared" si="10"/>
        <v>5000</v>
      </c>
      <c r="I53"/>
      <c r="J53" s="59">
        <f t="shared" si="9"/>
        <v>25000</v>
      </c>
    </row>
    <row r="54" spans="2:11" ht="28.8" x14ac:dyDescent="0.3">
      <c r="B54" s="19"/>
      <c r="C54" s="58" t="s">
        <v>151</v>
      </c>
      <c r="D54" s="81">
        <f>3*4221*D7</f>
        <v>1582.875</v>
      </c>
      <c r="E54" s="81">
        <f t="shared" ref="E54:H54" si="11">3*4221*E7</f>
        <v>1582.875</v>
      </c>
      <c r="F54" s="81">
        <f t="shared" si="11"/>
        <v>1582.875</v>
      </c>
      <c r="G54" s="81">
        <f t="shared" si="11"/>
        <v>1582.875</v>
      </c>
      <c r="H54" s="81">
        <f t="shared" si="11"/>
        <v>1582.875</v>
      </c>
      <c r="I54"/>
      <c r="J54" s="59">
        <f t="shared" si="9"/>
        <v>7914.375</v>
      </c>
    </row>
    <row r="55" spans="2:11" ht="28.8" x14ac:dyDescent="0.3">
      <c r="B55" s="19"/>
      <c r="C55" s="58" t="s">
        <v>131</v>
      </c>
      <c r="D55" s="81">
        <f>32*(3*0.125)+32*(2*0.00625)</f>
        <v>12.4</v>
      </c>
      <c r="E55" s="81">
        <f t="shared" ref="E55:H55" si="12">32*(3*0.125)+32*(2*0.00625)</f>
        <v>12.4</v>
      </c>
      <c r="F55" s="81">
        <f t="shared" si="12"/>
        <v>12.4</v>
      </c>
      <c r="G55" s="81">
        <f t="shared" si="12"/>
        <v>12.4</v>
      </c>
      <c r="H55" s="81">
        <f t="shared" si="12"/>
        <v>12.4</v>
      </c>
      <c r="I55"/>
      <c r="J55" s="59">
        <f t="shared" si="9"/>
        <v>62</v>
      </c>
    </row>
    <row r="56" spans="2:11" x14ac:dyDescent="0.3">
      <c r="B56" s="20"/>
      <c r="C56" s="9" t="s">
        <v>17</v>
      </c>
      <c r="D56" s="65">
        <f>SUM(D47,D49:D55)</f>
        <v>480435.24989959481</v>
      </c>
      <c r="E56" s="65">
        <f>SUM(E47,E49:E55)</f>
        <v>1187555.5167696462</v>
      </c>
      <c r="F56" s="65">
        <f>SUM(F47,F49:F55)</f>
        <v>1187660.8948287554</v>
      </c>
      <c r="G56" s="65">
        <f>SUM(G47,G49:G55)</f>
        <v>1187770.3692743881</v>
      </c>
      <c r="H56" s="65">
        <f>SUM(H47,H49:H55)</f>
        <v>716545.15724046412</v>
      </c>
      <c r="I56"/>
      <c r="J56" s="65">
        <f>SUM(J47,J49:J55)</f>
        <v>4759967.1880128486</v>
      </c>
    </row>
    <row r="57" spans="2:11" x14ac:dyDescent="0.3">
      <c r="B57" s="20"/>
      <c r="C57" s="9" t="s">
        <v>18</v>
      </c>
      <c r="D57" s="65">
        <f>SUM(D56,D45,D42,D34,D30,D25,D13)</f>
        <v>523832.8076353948</v>
      </c>
      <c r="E57" s="65">
        <f>SUM(E56,E45,E42,E34,E30,E25,E13)</f>
        <v>1231902.3822868024</v>
      </c>
      <c r="F57" s="65">
        <f>SUM(F56,F45,F42,F34,F30,F25,F13)</f>
        <v>1233764.0613310679</v>
      </c>
      <c r="G57" s="65">
        <f>SUM(G56,G45,G42,G34,G30,G25,G13)</f>
        <v>1235698.1098705754</v>
      </c>
      <c r="H57" s="65">
        <f>SUM(H56,H45,H42,H34,H30,H25,H13)</f>
        <v>766478.34619536402</v>
      </c>
      <c r="I57"/>
      <c r="J57" s="65">
        <f>SUM(D57:H57)</f>
        <v>4991675.7073192047</v>
      </c>
    </row>
    <row r="58" spans="2:11" x14ac:dyDescent="0.3">
      <c r="B58" s="6"/>
      <c r="D58"/>
      <c r="E58"/>
      <c r="H58"/>
      <c r="I58"/>
      <c r="J58" t="s">
        <v>19</v>
      </c>
    </row>
    <row r="59" spans="2:11" ht="28.8" x14ac:dyDescent="0.3">
      <c r="B59" s="57" t="s">
        <v>38</v>
      </c>
      <c r="C59" s="14" t="s">
        <v>38</v>
      </c>
      <c r="D59" s="15"/>
      <c r="E59" s="15"/>
      <c r="F59" s="15"/>
      <c r="G59" s="15"/>
      <c r="H59" s="15"/>
      <c r="I59"/>
      <c r="J59" s="15" t="s">
        <v>19</v>
      </c>
    </row>
    <row r="60" spans="2:11" ht="28.8" x14ac:dyDescent="0.3">
      <c r="B60" s="19"/>
      <c r="C60" s="58" t="s">
        <v>112</v>
      </c>
      <c r="D60" s="81">
        <f>SUM(D25,D13)*0.0385</f>
        <v>1528.4089103283</v>
      </c>
      <c r="E60" s="81">
        <f t="shared" ref="E60:H60" si="13">SUM(E25,E13)*0.0385</f>
        <v>1593.8322599105156</v>
      </c>
      <c r="F60" s="81">
        <f t="shared" si="13"/>
        <v>1661.4498478390312</v>
      </c>
      <c r="G60" s="81">
        <f t="shared" si="13"/>
        <v>1731.695950453219</v>
      </c>
      <c r="H60" s="81">
        <f t="shared" si="13"/>
        <v>1808.9057122636502</v>
      </c>
      <c r="I60" s="81"/>
      <c r="J60" s="81">
        <f>SUM(D60:H60)</f>
        <v>8324.2926807947151</v>
      </c>
    </row>
    <row r="61" spans="2:11" x14ac:dyDescent="0.3">
      <c r="B61" s="20"/>
      <c r="C61" s="9" t="s">
        <v>20</v>
      </c>
      <c r="D61" s="65">
        <f>SUM(D60:D60)</f>
        <v>1528.4089103283</v>
      </c>
      <c r="E61" s="65">
        <f>SUM(E60:E60)</f>
        <v>1593.8322599105156</v>
      </c>
      <c r="F61" s="65">
        <f>SUM(F60:F60)</f>
        <v>1661.4498478390312</v>
      </c>
      <c r="G61" s="65">
        <f>SUM(G60:G60)</f>
        <v>1731.695950453219</v>
      </c>
      <c r="H61" s="65">
        <f>SUM(H60:H60)</f>
        <v>1808.9057122636502</v>
      </c>
      <c r="I61"/>
      <c r="J61" s="65">
        <f>SUM(J60:J60)</f>
        <v>8324.2926807947151</v>
      </c>
    </row>
    <row r="62" spans="2:11" ht="15" thickBot="1" x14ac:dyDescent="0.35">
      <c r="B62" s="6"/>
      <c r="D62"/>
      <c r="E62"/>
      <c r="H62"/>
      <c r="I62"/>
      <c r="J62" t="s">
        <v>19</v>
      </c>
    </row>
    <row r="63" spans="2:11" s="1" customFormat="1" ht="29.4" thickBot="1" x14ac:dyDescent="0.35">
      <c r="B63" s="16" t="s">
        <v>21</v>
      </c>
      <c r="C63" s="16"/>
      <c r="D63" s="69">
        <f>SUM(D61,D57)</f>
        <v>525361.21654572315</v>
      </c>
      <c r="E63" s="69">
        <f>SUM(E61,E57)</f>
        <v>1233496.2145467128</v>
      </c>
      <c r="F63" s="69">
        <f>SUM(F61,F57)</f>
        <v>1235425.511178907</v>
      </c>
      <c r="G63" s="69">
        <f>SUM(G61,G57)</f>
        <v>1237429.8058210285</v>
      </c>
      <c r="H63" s="69">
        <f>SUM(H61,H57)</f>
        <v>768287.25190762768</v>
      </c>
      <c r="I63"/>
      <c r="J63" s="69">
        <f>SUM(J61,J57)</f>
        <v>4999999.9999999991</v>
      </c>
      <c r="K63" s="104">
        <f>SUM(D63:H63)</f>
        <v>5000000</v>
      </c>
    </row>
    <row r="64" spans="2:11"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row r="77" spans="2:2" x14ac:dyDescent="0.3">
      <c r="B77" s="6"/>
    </row>
    <row r="78" spans="2:2" x14ac:dyDescent="0.3">
      <c r="B78" s="6"/>
    </row>
  </sheetData>
  <pageMargins left="0.25" right="0.25" top="0.75" bottom="0.75" header="0.3" footer="0.3"/>
  <pageSetup scale="5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Props1.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2.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3.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4.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A2572C9-94E8-4C6B-8BD4-9D0B9DF7E5A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Consolidated Budget</vt:lpstr>
      <vt:lpstr>Measure 1 PreW &amp; Weather Budget</vt:lpstr>
      <vt:lpstr>Measure 2 EV Charging EVSE</vt:lpstr>
      <vt:lpstr>Measure 3 Support Public Trans.</vt:lpstr>
      <vt:lpstr>Measure 4 DrinkWasteH20 Energy</vt:lpstr>
      <vt:lpstr>Measure 5 Waste Reduction</vt:lpstr>
      <vt:lpstr>Measure 6 Workforce Development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2024-03-31T15:22:22Z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