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newhavenct-my.sharepoint.com/personal/swinter_newhavenct_gov/Documents/OCS Shared Drive/Climate Pollution Reduction Grant/Implementation Grant/For Submission/"/>
    </mc:Choice>
  </mc:AlternateContent>
  <xr:revisionPtr revIDLastSave="0" documentId="8_{3FEEE45A-85B4-460B-9323-9CB8C5DDA004}" xr6:coauthVersionLast="47" xr6:coauthVersionMax="47" xr10:uidLastSave="{00000000-0000-0000-0000-000000000000}"/>
  <bookViews>
    <workbookView xWindow="780" yWindow="780" windowWidth="28860" windowHeight="13605" tabRatio="598" activeTab="1" xr2:uid="{8353AD0F-B7E3-47B9-B0A5-3E93926337B1}"/>
  </bookViews>
  <sheets>
    <sheet name="Emissions Summary" sheetId="9" r:id="rId1"/>
    <sheet name="Factor Sets" sheetId="6" r:id="rId2"/>
    <sheet name="Emissions Projection Factors" sheetId="12" r:id="rId3"/>
    <sheet name="Multifamily" sheetId="8" r:id="rId4"/>
    <sheet name="Union Station" sheetId="4" r:id="rId5"/>
    <sheet name="Union Electricity Consumption" sheetId="3" r:id="rId6"/>
    <sheet name="Union Gas Consumption" sheetId="1" r:id="rId7"/>
    <sheet name="CAPs &amp; HAPs" sheetId="15" r:id="rId8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6" i="4" l="1"/>
  <c r="U33" i="4"/>
  <c r="U34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8" i="4"/>
  <c r="AF37" i="8"/>
  <c r="AF35" i="8"/>
  <c r="AF10" i="8"/>
  <c r="AF11" i="8"/>
  <c r="AF12" i="8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34" i="8"/>
  <c r="AF9" i="8"/>
  <c r="AA6" i="12"/>
  <c r="AD6" i="12"/>
  <c r="AD5" i="12"/>
  <c r="AF6" i="12" s="1"/>
  <c r="C15" i="15"/>
  <c r="D15" i="15"/>
  <c r="AC5" i="12"/>
  <c r="AB5" i="12"/>
  <c r="AA9" i="12"/>
  <c r="B7" i="6"/>
  <c r="M28" i="12" s="1"/>
  <c r="N28" i="12" s="1"/>
  <c r="D11" i="15"/>
  <c r="D12" i="15"/>
  <c r="D13" i="15"/>
  <c r="C11" i="15"/>
  <c r="C12" i="15"/>
  <c r="C13" i="15"/>
  <c r="C14" i="15"/>
  <c r="D14" i="15" s="1"/>
  <c r="C16" i="15"/>
  <c r="D16" i="15" s="1"/>
  <c r="B17" i="15"/>
  <c r="C6" i="15"/>
  <c r="C7" i="15" s="1"/>
  <c r="C10" i="15" s="1"/>
  <c r="L22" i="9"/>
  <c r="E3" i="8"/>
  <c r="E4" i="8"/>
  <c r="E2" i="8"/>
  <c r="Y29" i="12"/>
  <c r="S28" i="12"/>
  <c r="M10" i="12"/>
  <c r="N10" i="12" s="1"/>
  <c r="D6" i="6"/>
  <c r="F19" i="9"/>
  <c r="G19" i="9"/>
  <c r="R7" i="6"/>
  <c r="R8" i="6"/>
  <c r="R6" i="6"/>
  <c r="R5" i="6"/>
  <c r="N38" i="12"/>
  <c r="I6" i="12"/>
  <c r="I7" i="12"/>
  <c r="I8" i="12"/>
  <c r="I9" i="12"/>
  <c r="I5" i="12"/>
  <c r="J3" i="4"/>
  <c r="K3" i="4" s="1"/>
  <c r="B3" i="4"/>
  <c r="C3" i="4" s="1"/>
  <c r="I18" i="3"/>
  <c r="D52" i="6"/>
  <c r="C52" i="6"/>
  <c r="K14" i="3"/>
  <c r="J17" i="3"/>
  <c r="J16" i="3"/>
  <c r="K11" i="3"/>
  <c r="K10" i="3"/>
  <c r="K9" i="3"/>
  <c r="K8" i="3"/>
  <c r="K7" i="3"/>
  <c r="K6" i="3"/>
  <c r="K5" i="3"/>
  <c r="J11" i="3"/>
  <c r="J12" i="3" s="1"/>
  <c r="G10" i="3"/>
  <c r="F74" i="12"/>
  <c r="F73" i="12"/>
  <c r="F72" i="12"/>
  <c r="F71" i="12"/>
  <c r="F70" i="12"/>
  <c r="F69" i="12"/>
  <c r="F68" i="12"/>
  <c r="F67" i="12"/>
  <c r="F66" i="12"/>
  <c r="F65" i="12"/>
  <c r="F64" i="12"/>
  <c r="F63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48" i="12"/>
  <c r="F6" i="12"/>
  <c r="G6" i="12" s="1"/>
  <c r="F7" i="12"/>
  <c r="G7" i="12" s="1"/>
  <c r="F8" i="12"/>
  <c r="G8" i="12" s="1"/>
  <c r="F9" i="12"/>
  <c r="F5" i="12"/>
  <c r="G5" i="12" s="1"/>
  <c r="C6" i="12"/>
  <c r="L6" i="12" s="1"/>
  <c r="C7" i="12"/>
  <c r="L7" i="12" s="1"/>
  <c r="C8" i="12"/>
  <c r="L8" i="12" s="1"/>
  <c r="C9" i="12"/>
  <c r="L9" i="12" s="1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5" i="12"/>
  <c r="L5" i="12" s="1"/>
  <c r="D16" i="6"/>
  <c r="D15" i="6"/>
  <c r="D19" i="6"/>
  <c r="B16" i="1"/>
  <c r="D21" i="6"/>
  <c r="D23" i="6"/>
  <c r="B20" i="6"/>
  <c r="D20" i="6" s="1"/>
  <c r="D14" i="6"/>
  <c r="D33" i="6"/>
  <c r="B36" i="6" s="1"/>
  <c r="B37" i="6" s="1"/>
  <c r="D47" i="6"/>
  <c r="N2" i="8" s="1"/>
  <c r="D48" i="6"/>
  <c r="N3" i="8" s="1"/>
  <c r="D49" i="6"/>
  <c r="N4" i="8" s="1"/>
  <c r="E6" i="1"/>
  <c r="C51" i="6" s="1"/>
  <c r="D51" i="6" s="1"/>
  <c r="J2" i="4" s="1"/>
  <c r="J4" i="8"/>
  <c r="C42" i="6"/>
  <c r="D4" i="8" s="1"/>
  <c r="C43" i="6"/>
  <c r="D3" i="8" s="1"/>
  <c r="C41" i="6"/>
  <c r="D2" i="8" s="1"/>
  <c r="J2" i="8"/>
  <c r="F2" i="4"/>
  <c r="B14" i="1"/>
  <c r="B15" i="1" s="1"/>
  <c r="B2" i="4" s="1"/>
  <c r="AE6" i="12" l="1"/>
  <c r="G9" i="12"/>
  <c r="AA8" i="12"/>
  <c r="D10" i="15"/>
  <c r="C17" i="15"/>
  <c r="AA5" i="12"/>
  <c r="S5" i="6"/>
  <c r="B4" i="6"/>
  <c r="V28" i="12" s="1"/>
  <c r="M4" i="12"/>
  <c r="D17" i="15"/>
  <c r="V29" i="12"/>
  <c r="Y28" i="12"/>
  <c r="Y32" i="12" s="1"/>
  <c r="A2" i="8"/>
  <c r="F2" i="8" s="1"/>
  <c r="C27" i="4"/>
  <c r="M29" i="4"/>
  <c r="H13" i="4"/>
  <c r="M28" i="4"/>
  <c r="E33" i="4"/>
  <c r="H28" i="4"/>
  <c r="H20" i="4"/>
  <c r="H12" i="4"/>
  <c r="M27" i="4"/>
  <c r="M19" i="4"/>
  <c r="M11" i="4"/>
  <c r="H22" i="4"/>
  <c r="M21" i="4"/>
  <c r="M20" i="4"/>
  <c r="H27" i="4"/>
  <c r="H19" i="4"/>
  <c r="H11" i="4"/>
  <c r="M26" i="4"/>
  <c r="M18" i="4"/>
  <c r="M10" i="4"/>
  <c r="M13" i="4"/>
  <c r="M8" i="4"/>
  <c r="M12" i="4"/>
  <c r="E23" i="4"/>
  <c r="H8" i="4"/>
  <c r="H26" i="4"/>
  <c r="H18" i="4"/>
  <c r="H10" i="4"/>
  <c r="M33" i="4"/>
  <c r="M25" i="4"/>
  <c r="M17" i="4"/>
  <c r="M9" i="4"/>
  <c r="H30" i="4"/>
  <c r="H29" i="4"/>
  <c r="H33" i="4"/>
  <c r="H25" i="4"/>
  <c r="H17" i="4"/>
  <c r="H9" i="4"/>
  <c r="M32" i="4"/>
  <c r="M24" i="4"/>
  <c r="M16" i="4"/>
  <c r="H21" i="4"/>
  <c r="H32" i="4"/>
  <c r="H24" i="4"/>
  <c r="H16" i="4"/>
  <c r="M31" i="4"/>
  <c r="M23" i="4"/>
  <c r="M15" i="4"/>
  <c r="H14" i="4"/>
  <c r="H31" i="4"/>
  <c r="H23" i="4"/>
  <c r="H15" i="4"/>
  <c r="M30" i="4"/>
  <c r="M22" i="4"/>
  <c r="M14" i="4"/>
  <c r="C12" i="4"/>
  <c r="C20" i="4"/>
  <c r="C28" i="4"/>
  <c r="C8" i="4"/>
  <c r="C13" i="4"/>
  <c r="C21" i="4"/>
  <c r="C29" i="4"/>
  <c r="C14" i="4"/>
  <c r="C22" i="4"/>
  <c r="C30" i="4"/>
  <c r="C15" i="4"/>
  <c r="C23" i="4"/>
  <c r="C31" i="4"/>
  <c r="C16" i="4"/>
  <c r="C24" i="4"/>
  <c r="C32" i="4"/>
  <c r="C9" i="4"/>
  <c r="C17" i="4"/>
  <c r="C25" i="4"/>
  <c r="C33" i="4"/>
  <c r="C10" i="4"/>
  <c r="C18" i="4"/>
  <c r="C26" i="4"/>
  <c r="C2" i="4"/>
  <c r="D2" i="4" s="1"/>
  <c r="C11" i="4"/>
  <c r="C19" i="4"/>
  <c r="J9" i="12"/>
  <c r="J6" i="12"/>
  <c r="J5" i="12"/>
  <c r="J8" i="12"/>
  <c r="J7" i="12"/>
  <c r="M3" i="4"/>
  <c r="N3" i="4" s="1"/>
  <c r="H2" i="4"/>
  <c r="D26" i="12"/>
  <c r="D18" i="12"/>
  <c r="D10" i="12"/>
  <c r="F75" i="12"/>
  <c r="D24" i="12"/>
  <c r="D16" i="12"/>
  <c r="D8" i="12"/>
  <c r="D34" i="12"/>
  <c r="D33" i="12"/>
  <c r="D25" i="12"/>
  <c r="D17" i="12"/>
  <c r="D9" i="12"/>
  <c r="D37" i="12"/>
  <c r="D29" i="12"/>
  <c r="D21" i="12"/>
  <c r="D13" i="12"/>
  <c r="D28" i="12"/>
  <c r="D32" i="12"/>
  <c r="D36" i="12"/>
  <c r="D12" i="12"/>
  <c r="D38" i="12"/>
  <c r="D30" i="12"/>
  <c r="D22" i="12"/>
  <c r="D14" i="12"/>
  <c r="D6" i="12"/>
  <c r="D31" i="12"/>
  <c r="D23" i="12"/>
  <c r="D15" i="12"/>
  <c r="D7" i="12"/>
  <c r="D19" i="12"/>
  <c r="D20" i="12"/>
  <c r="D35" i="12"/>
  <c r="D27" i="12"/>
  <c r="D11" i="12"/>
  <c r="B24" i="6"/>
  <c r="B22" i="6"/>
  <c r="D37" i="6"/>
  <c r="K2" i="4"/>
  <c r="N4" i="12" l="1"/>
  <c r="AA4" i="12"/>
  <c r="M18" i="12"/>
  <c r="S29" i="12"/>
  <c r="S31" i="12" s="1"/>
  <c r="V31" i="12"/>
  <c r="V32" i="12"/>
  <c r="Y31" i="12"/>
  <c r="F4" i="8"/>
  <c r="H30" i="8" s="1"/>
  <c r="F3" i="8"/>
  <c r="E10" i="12"/>
  <c r="F10" i="12" s="1"/>
  <c r="G10" i="12" s="1"/>
  <c r="H10" i="12"/>
  <c r="K10" i="12"/>
  <c r="K11" i="12" s="1"/>
  <c r="K12" i="12" s="1"/>
  <c r="K13" i="12" s="1"/>
  <c r="K14" i="12" s="1"/>
  <c r="K15" i="12" s="1"/>
  <c r="K16" i="12" s="1"/>
  <c r="K17" i="12" s="1"/>
  <c r="K18" i="12" s="1"/>
  <c r="K19" i="12" s="1"/>
  <c r="K20" i="12" s="1"/>
  <c r="K21" i="12" s="1"/>
  <c r="K22" i="12" s="1"/>
  <c r="K23" i="12" s="1"/>
  <c r="K24" i="12" s="1"/>
  <c r="K25" i="12" s="1"/>
  <c r="K26" i="12" s="1"/>
  <c r="K27" i="12" s="1"/>
  <c r="K28" i="12" s="1"/>
  <c r="K29" i="12" s="1"/>
  <c r="K30" i="12" s="1"/>
  <c r="K31" i="12" s="1"/>
  <c r="K32" i="12" s="1"/>
  <c r="K33" i="12" s="1"/>
  <c r="K34" i="12" s="1"/>
  <c r="K35" i="12" s="1"/>
  <c r="K36" i="12" s="1"/>
  <c r="K37" i="12" s="1"/>
  <c r="K38" i="12" s="1"/>
  <c r="M34" i="4"/>
  <c r="H36" i="4"/>
  <c r="M36" i="4"/>
  <c r="F23" i="4"/>
  <c r="F33" i="4"/>
  <c r="F13" i="4"/>
  <c r="H34" i="4"/>
  <c r="C36" i="4"/>
  <c r="C34" i="4"/>
  <c r="M2" i="4"/>
  <c r="N2" i="4" s="1"/>
  <c r="I2" i="4"/>
  <c r="S3" i="4"/>
  <c r="T3" i="4"/>
  <c r="X15" i="8" l="1"/>
  <c r="N18" i="12"/>
  <c r="AA7" i="12"/>
  <c r="H33" i="8"/>
  <c r="P25" i="8"/>
  <c r="L4" i="8"/>
  <c r="M4" i="8" s="1"/>
  <c r="H13" i="8"/>
  <c r="H20" i="8"/>
  <c r="X19" i="8"/>
  <c r="P29" i="8"/>
  <c r="P28" i="8"/>
  <c r="H28" i="8"/>
  <c r="P13" i="8"/>
  <c r="X31" i="8"/>
  <c r="X23" i="8"/>
  <c r="P22" i="8"/>
  <c r="X29" i="8"/>
  <c r="H11" i="8"/>
  <c r="X11" i="8"/>
  <c r="P21" i="8"/>
  <c r="X20" i="8"/>
  <c r="X18" i="8"/>
  <c r="P14" i="8"/>
  <c r="X9" i="8"/>
  <c r="P30" i="8"/>
  <c r="P12" i="8"/>
  <c r="H25" i="8"/>
  <c r="H17" i="8"/>
  <c r="H23" i="8"/>
  <c r="H15" i="8"/>
  <c r="P11" i="8"/>
  <c r="P20" i="8"/>
  <c r="X28" i="8"/>
  <c r="R3" i="4"/>
  <c r="E13" i="4"/>
  <c r="S32" i="12"/>
  <c r="M17" i="12" s="1"/>
  <c r="E12" i="4" s="1"/>
  <c r="P34" i="8"/>
  <c r="X33" i="8"/>
  <c r="P27" i="8"/>
  <c r="P19" i="8"/>
  <c r="X32" i="8"/>
  <c r="X30" i="8"/>
  <c r="X14" i="8"/>
  <c r="H32" i="8"/>
  <c r="H22" i="8"/>
  <c r="H12" i="8"/>
  <c r="O4" i="8"/>
  <c r="Q4" i="8" s="1"/>
  <c r="I34" i="8" s="1"/>
  <c r="P33" i="8"/>
  <c r="X25" i="8"/>
  <c r="P26" i="8"/>
  <c r="P18" i="8"/>
  <c r="X24" i="8"/>
  <c r="X22" i="8"/>
  <c r="X10" i="8"/>
  <c r="H24" i="8"/>
  <c r="H14" i="8"/>
  <c r="H10" i="8"/>
  <c r="X13" i="8"/>
  <c r="H16" i="8"/>
  <c r="H34" i="8"/>
  <c r="H9" i="8"/>
  <c r="X34" i="8"/>
  <c r="P32" i="8"/>
  <c r="P24" i="8"/>
  <c r="P16" i="8"/>
  <c r="P9" i="8"/>
  <c r="X21" i="8"/>
  <c r="X12" i="8"/>
  <c r="H18" i="8"/>
  <c r="H29" i="8"/>
  <c r="H27" i="8"/>
  <c r="G4" i="8"/>
  <c r="H4" i="8" s="1"/>
  <c r="I4" i="8" s="1"/>
  <c r="X17" i="8"/>
  <c r="P17" i="8"/>
  <c r="X16" i="8"/>
  <c r="X26" i="8"/>
  <c r="P31" i="8"/>
  <c r="P23" i="8"/>
  <c r="P15" i="8"/>
  <c r="X27" i="8"/>
  <c r="P10" i="8"/>
  <c r="H26" i="8"/>
  <c r="H31" i="8"/>
  <c r="H21" i="8"/>
  <c r="H19" i="8"/>
  <c r="E11" i="12"/>
  <c r="E12" i="12" s="1"/>
  <c r="F12" i="12" s="1"/>
  <c r="G12" i="12" s="1"/>
  <c r="H11" i="12"/>
  <c r="I10" i="12"/>
  <c r="C15" i="8"/>
  <c r="C23" i="8"/>
  <c r="C31" i="8"/>
  <c r="C16" i="8"/>
  <c r="C24" i="8"/>
  <c r="C32" i="8"/>
  <c r="C14" i="8"/>
  <c r="C22" i="8"/>
  <c r="C17" i="8"/>
  <c r="C25" i="8"/>
  <c r="C33" i="8"/>
  <c r="C30" i="8"/>
  <c r="C10" i="8"/>
  <c r="C18" i="8"/>
  <c r="C26" i="8"/>
  <c r="C34" i="8"/>
  <c r="C11" i="8"/>
  <c r="C19" i="8"/>
  <c r="C27" i="8"/>
  <c r="C9" i="8"/>
  <c r="C12" i="8"/>
  <c r="C20" i="8"/>
  <c r="C28" i="8"/>
  <c r="K9" i="8"/>
  <c r="C13" i="8"/>
  <c r="C21" i="8"/>
  <c r="C29" i="8"/>
  <c r="E24" i="8"/>
  <c r="E34" i="8"/>
  <c r="E14" i="8"/>
  <c r="S10" i="8"/>
  <c r="S13" i="8"/>
  <c r="S12" i="8"/>
  <c r="S9" i="8"/>
  <c r="S14" i="8"/>
  <c r="S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S18" i="8"/>
  <c r="S26" i="8"/>
  <c r="S34" i="8"/>
  <c r="S31" i="8"/>
  <c r="S16" i="8"/>
  <c r="S32" i="8"/>
  <c r="K11" i="8"/>
  <c r="S19" i="8"/>
  <c r="S27" i="8"/>
  <c r="S24" i="8"/>
  <c r="S25" i="8"/>
  <c r="S20" i="8"/>
  <c r="S28" i="8"/>
  <c r="S21" i="8"/>
  <c r="S29" i="8"/>
  <c r="S15" i="8"/>
  <c r="S23" i="8"/>
  <c r="K10" i="8"/>
  <c r="S22" i="8"/>
  <c r="S30" i="8"/>
  <c r="S17" i="8"/>
  <c r="S33" i="8"/>
  <c r="K33" i="8"/>
  <c r="K34" i="8"/>
  <c r="G3" i="8"/>
  <c r="G2" i="8"/>
  <c r="H2" i="8" s="1"/>
  <c r="R2" i="4"/>
  <c r="S2" i="4"/>
  <c r="O2" i="8"/>
  <c r="Q2" i="8" s="1"/>
  <c r="L2" i="8"/>
  <c r="O3" i="8"/>
  <c r="Q3" i="8" s="1"/>
  <c r="D12" i="4" l="1"/>
  <c r="I24" i="8"/>
  <c r="X37" i="8"/>
  <c r="H35" i="8"/>
  <c r="M15" i="12"/>
  <c r="N17" i="12"/>
  <c r="O18" i="12" s="1"/>
  <c r="M16" i="12"/>
  <c r="O2" i="4" s="1"/>
  <c r="P2" i="4" s="1"/>
  <c r="Q2" i="4" s="1"/>
  <c r="M14" i="12"/>
  <c r="M12" i="12"/>
  <c r="N12" i="12" s="1"/>
  <c r="E13" i="8"/>
  <c r="F12" i="4"/>
  <c r="M13" i="12"/>
  <c r="M11" i="12"/>
  <c r="N11" i="12" s="1"/>
  <c r="O11" i="12" s="1"/>
  <c r="X35" i="8"/>
  <c r="H37" i="8"/>
  <c r="P35" i="8"/>
  <c r="U4" i="8"/>
  <c r="I14" i="8"/>
  <c r="P37" i="8"/>
  <c r="I13" i="8"/>
  <c r="E13" i="12"/>
  <c r="F13" i="12" s="1"/>
  <c r="F11" i="12"/>
  <c r="G11" i="12" s="1"/>
  <c r="H12" i="12"/>
  <c r="I11" i="12"/>
  <c r="S37" i="8"/>
  <c r="T45" i="8" s="1"/>
  <c r="S35" i="8"/>
  <c r="K37" i="8"/>
  <c r="K35" i="8"/>
  <c r="C37" i="8"/>
  <c r="C35" i="8"/>
  <c r="D34" i="8"/>
  <c r="D24" i="8"/>
  <c r="D13" i="8"/>
  <c r="D14" i="8"/>
  <c r="F34" i="8"/>
  <c r="F13" i="8"/>
  <c r="F14" i="8"/>
  <c r="F24" i="8"/>
  <c r="I2" i="8"/>
  <c r="U2" i="8"/>
  <c r="V2" i="8"/>
  <c r="M2" i="8"/>
  <c r="U3" i="8"/>
  <c r="G13" i="12" l="1"/>
  <c r="L8" i="4" s="1"/>
  <c r="N8" i="4" s="1"/>
  <c r="E14" i="12"/>
  <c r="F14" i="12" s="1"/>
  <c r="G14" i="12" s="1"/>
  <c r="F3" i="4"/>
  <c r="H3" i="4" s="1"/>
  <c r="O12" i="12"/>
  <c r="O3" i="4"/>
  <c r="P3" i="4" s="1"/>
  <c r="Q3" i="4" s="1"/>
  <c r="D33" i="4"/>
  <c r="R4" i="8"/>
  <c r="S4" i="8" s="1"/>
  <c r="T4" i="8" s="1"/>
  <c r="N13" i="12"/>
  <c r="O13" i="12" s="1"/>
  <c r="E9" i="8"/>
  <c r="E8" i="4"/>
  <c r="F8" i="4" s="1"/>
  <c r="D13" i="4"/>
  <c r="J3" i="8"/>
  <c r="L3" i="8" s="1"/>
  <c r="M3" i="8" s="1"/>
  <c r="N16" i="12"/>
  <c r="O17" i="12" s="1"/>
  <c r="E10" i="4"/>
  <c r="F10" i="4" s="1"/>
  <c r="E11" i="8"/>
  <c r="F11" i="8" s="1"/>
  <c r="D23" i="4"/>
  <c r="R3" i="8"/>
  <c r="R2" i="8"/>
  <c r="S2" i="8" s="1"/>
  <c r="T2" i="8" s="1"/>
  <c r="I3" i="4"/>
  <c r="E11" i="4"/>
  <c r="E12" i="8"/>
  <c r="F12" i="8" s="1"/>
  <c r="N15" i="12"/>
  <c r="E9" i="4"/>
  <c r="F9" i="4" s="1"/>
  <c r="N14" i="12"/>
  <c r="O14" i="12" s="1"/>
  <c r="E10" i="8"/>
  <c r="F10" i="8" s="1"/>
  <c r="W9" i="8"/>
  <c r="Y9" i="8" s="1"/>
  <c r="R9" i="8"/>
  <c r="T9" i="8" s="1"/>
  <c r="H13" i="12"/>
  <c r="I12" i="12"/>
  <c r="R10" i="8"/>
  <c r="T10" i="8" s="1"/>
  <c r="L9" i="4"/>
  <c r="W10" i="8"/>
  <c r="Y10" i="8" s="1"/>
  <c r="S3" i="8"/>
  <c r="E15" i="12"/>
  <c r="F15" i="12" s="1"/>
  <c r="G15" i="12" l="1"/>
  <c r="L10" i="4" s="1"/>
  <c r="N10" i="4" s="1"/>
  <c r="O15" i="12"/>
  <c r="E34" i="4"/>
  <c r="F11" i="4"/>
  <c r="F34" i="4" s="1"/>
  <c r="E35" i="4" s="1"/>
  <c r="F9" i="8"/>
  <c r="F35" i="8" s="1"/>
  <c r="E35" i="8"/>
  <c r="O16" i="12"/>
  <c r="P13" i="12"/>
  <c r="Q13" i="12"/>
  <c r="H14" i="12"/>
  <c r="I13" i="12"/>
  <c r="N9" i="4"/>
  <c r="T3" i="8"/>
  <c r="E16" i="12"/>
  <c r="F16" i="12" s="1"/>
  <c r="R11" i="8" l="1"/>
  <c r="T11" i="8" s="1"/>
  <c r="L11" i="4"/>
  <c r="G16" i="12"/>
  <c r="W11" i="8"/>
  <c r="Y11" i="8" s="1"/>
  <c r="P14" i="12"/>
  <c r="P15" i="12" s="1"/>
  <c r="P16" i="12" s="1"/>
  <c r="P17" i="12" s="1"/>
  <c r="P18" i="12" s="1"/>
  <c r="AB6" i="12"/>
  <c r="Q14" i="12"/>
  <c r="Q15" i="12" s="1"/>
  <c r="Q16" i="12" s="1"/>
  <c r="Q17" i="12" s="1"/>
  <c r="Q18" i="12" s="1"/>
  <c r="AC7" i="12" s="1"/>
  <c r="AC6" i="12"/>
  <c r="E36" i="8"/>
  <c r="H15" i="12"/>
  <c r="I14" i="12"/>
  <c r="W12" i="8"/>
  <c r="R12" i="8"/>
  <c r="E17" i="12"/>
  <c r="F17" i="12" s="1"/>
  <c r="L12" i="4" l="1"/>
  <c r="G17" i="12"/>
  <c r="S6" i="6"/>
  <c r="AB7" i="12"/>
  <c r="H16" i="12"/>
  <c r="I15" i="12"/>
  <c r="W13" i="8"/>
  <c r="R13" i="8"/>
  <c r="E18" i="12"/>
  <c r="F18" i="12" s="1"/>
  <c r="G18" i="12" l="1"/>
  <c r="L13" i="4" s="1"/>
  <c r="L34" i="4" s="1"/>
  <c r="H17" i="12"/>
  <c r="I16" i="12"/>
  <c r="R14" i="8"/>
  <c r="E19" i="12"/>
  <c r="F19" i="12" s="1"/>
  <c r="G19" i="12" l="1"/>
  <c r="L14" i="4" s="1"/>
  <c r="W14" i="8"/>
  <c r="W35" i="8" s="1"/>
  <c r="H18" i="12"/>
  <c r="I17" i="12"/>
  <c r="R35" i="8"/>
  <c r="W15" i="8"/>
  <c r="R15" i="8"/>
  <c r="E20" i="12"/>
  <c r="F20" i="12" s="1"/>
  <c r="L15" i="4" l="1"/>
  <c r="G20" i="12"/>
  <c r="H19" i="12"/>
  <c r="I18" i="12"/>
  <c r="W16" i="8"/>
  <c r="R16" i="8"/>
  <c r="E21" i="12"/>
  <c r="F21" i="12" s="1"/>
  <c r="G21" i="12" l="1"/>
  <c r="L16" i="4" s="1"/>
  <c r="H20" i="12"/>
  <c r="I19" i="12"/>
  <c r="W17" i="8"/>
  <c r="R17" i="8"/>
  <c r="E22" i="12"/>
  <c r="F22" i="12" s="1"/>
  <c r="L17" i="4" l="1"/>
  <c r="G22" i="12"/>
  <c r="H21" i="12"/>
  <c r="I20" i="12"/>
  <c r="W18" i="8"/>
  <c r="R18" i="8"/>
  <c r="E23" i="12"/>
  <c r="F23" i="12" s="1"/>
  <c r="G23" i="12" l="1"/>
  <c r="L18" i="4" s="1"/>
  <c r="H22" i="12"/>
  <c r="I21" i="12"/>
  <c r="W19" i="8"/>
  <c r="R19" i="8"/>
  <c r="E24" i="12"/>
  <c r="F24" i="12" s="1"/>
  <c r="L19" i="4" l="1"/>
  <c r="G24" i="12"/>
  <c r="H23" i="12"/>
  <c r="I22" i="12"/>
  <c r="W20" i="8"/>
  <c r="R20" i="8"/>
  <c r="E25" i="12"/>
  <c r="F25" i="12" s="1"/>
  <c r="L20" i="4" l="1"/>
  <c r="G25" i="12"/>
  <c r="H24" i="12"/>
  <c r="I23" i="12"/>
  <c r="W21" i="8"/>
  <c r="R21" i="8"/>
  <c r="E26" i="12"/>
  <c r="F26" i="12" s="1"/>
  <c r="G26" i="12" l="1"/>
  <c r="L21" i="4" s="1"/>
  <c r="H25" i="12"/>
  <c r="I24" i="12"/>
  <c r="W22" i="8"/>
  <c r="R22" i="8"/>
  <c r="E27" i="12"/>
  <c r="F27" i="12" s="1"/>
  <c r="L22" i="4" l="1"/>
  <c r="G27" i="12"/>
  <c r="H26" i="12"/>
  <c r="I25" i="12"/>
  <c r="W23" i="8"/>
  <c r="R23" i="8"/>
  <c r="E28" i="12"/>
  <c r="F28" i="12" s="1"/>
  <c r="L23" i="4" l="1"/>
  <c r="G28" i="12"/>
  <c r="H27" i="12"/>
  <c r="I26" i="12"/>
  <c r="W24" i="8"/>
  <c r="R24" i="8"/>
  <c r="E29" i="12"/>
  <c r="F29" i="12" s="1"/>
  <c r="L24" i="4" l="1"/>
  <c r="G29" i="12"/>
  <c r="H28" i="12"/>
  <c r="I27" i="12"/>
  <c r="W25" i="8"/>
  <c r="R25" i="8"/>
  <c r="E30" i="12"/>
  <c r="F30" i="12" s="1"/>
  <c r="L25" i="4" l="1"/>
  <c r="G30" i="12"/>
  <c r="H29" i="12"/>
  <c r="I28" i="12"/>
  <c r="W26" i="8"/>
  <c r="R26" i="8"/>
  <c r="E31" i="12"/>
  <c r="F31" i="12" s="1"/>
  <c r="G31" i="12" l="1"/>
  <c r="L26" i="4" s="1"/>
  <c r="H30" i="12"/>
  <c r="I29" i="12"/>
  <c r="W27" i="8"/>
  <c r="R27" i="8"/>
  <c r="E32" i="12"/>
  <c r="F32" i="12" s="1"/>
  <c r="G32" i="12" l="1"/>
  <c r="L27" i="4" s="1"/>
  <c r="H31" i="12"/>
  <c r="I30" i="12"/>
  <c r="W28" i="8"/>
  <c r="R28" i="8"/>
  <c r="E33" i="12"/>
  <c r="F33" i="12" s="1"/>
  <c r="L28" i="4" l="1"/>
  <c r="G33" i="12"/>
  <c r="H32" i="12"/>
  <c r="I31" i="12"/>
  <c r="W29" i="8"/>
  <c r="R29" i="8"/>
  <c r="E34" i="12"/>
  <c r="F34" i="12" s="1"/>
  <c r="G34" i="12" l="1"/>
  <c r="L29" i="4" s="1"/>
  <c r="H33" i="12"/>
  <c r="I32" i="12"/>
  <c r="W30" i="8"/>
  <c r="R30" i="8"/>
  <c r="E35" i="12"/>
  <c r="F35" i="12" s="1"/>
  <c r="L30" i="4" l="1"/>
  <c r="G35" i="12"/>
  <c r="H34" i="12"/>
  <c r="I33" i="12"/>
  <c r="W31" i="8"/>
  <c r="R31" i="8"/>
  <c r="E36" i="12"/>
  <c r="F36" i="12" s="1"/>
  <c r="L31" i="4" l="1"/>
  <c r="G36" i="12"/>
  <c r="H35" i="12"/>
  <c r="I34" i="12"/>
  <c r="W32" i="8"/>
  <c r="R32" i="8"/>
  <c r="E37" i="12"/>
  <c r="F37" i="12" s="1"/>
  <c r="L32" i="4" l="1"/>
  <c r="G37" i="12"/>
  <c r="H36" i="12"/>
  <c r="I35" i="12"/>
  <c r="W33" i="8"/>
  <c r="R33" i="8"/>
  <c r="E38" i="12"/>
  <c r="F38" i="12" s="1"/>
  <c r="G38" i="12" l="1"/>
  <c r="L33" i="4" s="1"/>
  <c r="L36" i="4" s="1"/>
  <c r="H37" i="12"/>
  <c r="I36" i="12"/>
  <c r="W34" i="8"/>
  <c r="W37" i="8" s="1"/>
  <c r="R34" i="8"/>
  <c r="R37" i="8" s="1"/>
  <c r="H38" i="12" l="1"/>
  <c r="I38" i="12" s="1"/>
  <c r="I37" i="12"/>
  <c r="M19" i="12"/>
  <c r="N19" i="12" s="1"/>
  <c r="O19" i="12" s="1"/>
  <c r="M20" i="12"/>
  <c r="F16" i="8" s="1"/>
  <c r="M21" i="12"/>
  <c r="D17" i="8" s="1"/>
  <c r="M22" i="12"/>
  <c r="E18" i="8" s="1"/>
  <c r="M23" i="12"/>
  <c r="D19" i="8" s="1"/>
  <c r="M24" i="12"/>
  <c r="M25" i="12"/>
  <c r="D21" i="8" s="1"/>
  <c r="M26" i="12"/>
  <c r="D21" i="4" s="1"/>
  <c r="M27" i="12"/>
  <c r="N27" i="12" s="1"/>
  <c r="M30" i="12"/>
  <c r="D26" i="8" s="1"/>
  <c r="M31" i="12"/>
  <c r="N31" i="12" s="1"/>
  <c r="M32" i="12"/>
  <c r="M33" i="12"/>
  <c r="N33" i="12" s="1"/>
  <c r="M34" i="12"/>
  <c r="F30" i="8" s="1"/>
  <c r="M35" i="12"/>
  <c r="D30" i="4" s="1"/>
  <c r="M36" i="12"/>
  <c r="D31" i="4" s="1"/>
  <c r="M29" i="12"/>
  <c r="I25" i="8" s="1"/>
  <c r="M37" i="12"/>
  <c r="N37" i="12" s="1"/>
  <c r="P19" i="12" l="1"/>
  <c r="Q19" i="12"/>
  <c r="O38" i="12"/>
  <c r="O28" i="12"/>
  <c r="D23" i="8"/>
  <c r="D28" i="4"/>
  <c r="E33" i="8"/>
  <c r="D29" i="8"/>
  <c r="E25" i="4"/>
  <c r="F28" i="4"/>
  <c r="I22" i="8"/>
  <c r="E27" i="8"/>
  <c r="D32" i="8"/>
  <c r="D22" i="8"/>
  <c r="F27" i="8"/>
  <c r="D27" i="8"/>
  <c r="D31" i="8"/>
  <c r="D26" i="4"/>
  <c r="F20" i="4"/>
  <c r="I33" i="8"/>
  <c r="I31" i="8"/>
  <c r="F29" i="8"/>
  <c r="I27" i="8"/>
  <c r="F26" i="4"/>
  <c r="D16" i="8"/>
  <c r="J10" i="12"/>
  <c r="L10" i="12"/>
  <c r="E32" i="8"/>
  <c r="D15" i="4"/>
  <c r="F15" i="4"/>
  <c r="F25" i="4"/>
  <c r="E26" i="8"/>
  <c r="F32" i="4"/>
  <c r="D32" i="4"/>
  <c r="F31" i="4"/>
  <c r="D15" i="8"/>
  <c r="N24" i="12"/>
  <c r="F19" i="4"/>
  <c r="E19" i="4"/>
  <c r="F20" i="8"/>
  <c r="D20" i="8"/>
  <c r="E20" i="8"/>
  <c r="I20" i="8"/>
  <c r="D19" i="4"/>
  <c r="D33" i="8"/>
  <c r="N36" i="12"/>
  <c r="O37" i="12" s="1"/>
  <c r="E31" i="4"/>
  <c r="F32" i="8"/>
  <c r="N32" i="12"/>
  <c r="O32" i="12" s="1"/>
  <c r="D28" i="8"/>
  <c r="E27" i="4"/>
  <c r="E28" i="8"/>
  <c r="F27" i="4"/>
  <c r="D27" i="4"/>
  <c r="F28" i="8"/>
  <c r="I28" i="8"/>
  <c r="I32" i="8"/>
  <c r="N35" i="12"/>
  <c r="E31" i="8"/>
  <c r="F30" i="4"/>
  <c r="E30" i="4"/>
  <c r="F31" i="8"/>
  <c r="V3" i="8"/>
  <c r="N29" i="12"/>
  <c r="O29" i="12" s="1"/>
  <c r="D24" i="4"/>
  <c r="E24" i="4"/>
  <c r="F25" i="8"/>
  <c r="F24" i="4"/>
  <c r="E25" i="8"/>
  <c r="D25" i="8"/>
  <c r="E32" i="4"/>
  <c r="F33" i="8"/>
  <c r="N22" i="12"/>
  <c r="F18" i="8"/>
  <c r="F17" i="4"/>
  <c r="D18" i="8"/>
  <c r="E17" i="4"/>
  <c r="I18" i="8"/>
  <c r="D17" i="4"/>
  <c r="I30" i="8"/>
  <c r="E29" i="4"/>
  <c r="V4" i="8"/>
  <c r="N30" i="12"/>
  <c r="D25" i="4"/>
  <c r="I26" i="8"/>
  <c r="I23" i="8"/>
  <c r="E23" i="8"/>
  <c r="E22" i="8"/>
  <c r="E17" i="8"/>
  <c r="E16" i="4"/>
  <c r="N21" i="12"/>
  <c r="F17" i="8"/>
  <c r="D16" i="4"/>
  <c r="E21" i="8"/>
  <c r="F21" i="8"/>
  <c r="N25" i="12"/>
  <c r="I21" i="8"/>
  <c r="D20" i="4"/>
  <c r="E20" i="4"/>
  <c r="N26" i="12"/>
  <c r="E30" i="8"/>
  <c r="D22" i="4"/>
  <c r="F22" i="4"/>
  <c r="F19" i="8"/>
  <c r="N23" i="12"/>
  <c r="O23" i="12" s="1"/>
  <c r="F18" i="4"/>
  <c r="I19" i="8"/>
  <c r="E18" i="4"/>
  <c r="D30" i="8"/>
  <c r="F29" i="4"/>
  <c r="I29" i="8"/>
  <c r="E21" i="4"/>
  <c r="E19" i="8"/>
  <c r="I17" i="8"/>
  <c r="D29" i="4"/>
  <c r="F16" i="4"/>
  <c r="E29" i="8"/>
  <c r="E26" i="4"/>
  <c r="E22" i="4"/>
  <c r="F23" i="8"/>
  <c r="F21" i="4"/>
  <c r="F22" i="8"/>
  <c r="N34" i="12"/>
  <c r="O34" i="12" s="1"/>
  <c r="E28" i="4"/>
  <c r="F26" i="8"/>
  <c r="D18" i="4"/>
  <c r="E16" i="8"/>
  <c r="E14" i="4"/>
  <c r="N20" i="12"/>
  <c r="O20" i="12" s="1"/>
  <c r="I16" i="8"/>
  <c r="E15" i="4"/>
  <c r="F15" i="8"/>
  <c r="E15" i="8"/>
  <c r="I15" i="8"/>
  <c r="D14" i="4"/>
  <c r="F14" i="4"/>
  <c r="Q20" i="12" l="1"/>
  <c r="P20" i="12"/>
  <c r="O30" i="12"/>
  <c r="O24" i="12"/>
  <c r="O26" i="12"/>
  <c r="O21" i="12"/>
  <c r="O27" i="12"/>
  <c r="O35" i="12"/>
  <c r="O22" i="12"/>
  <c r="O25" i="12"/>
  <c r="O33" i="12"/>
  <c r="O36" i="12"/>
  <c r="O31" i="12"/>
  <c r="L11" i="12"/>
  <c r="E37" i="8"/>
  <c r="F37" i="8"/>
  <c r="F36" i="4"/>
  <c r="E36" i="4"/>
  <c r="P21" i="12" l="1"/>
  <c r="P22" i="12" s="1"/>
  <c r="P23" i="12" s="1"/>
  <c r="P24" i="12" s="1"/>
  <c r="P25" i="12" s="1"/>
  <c r="P26" i="12" s="1"/>
  <c r="P27" i="12" s="1"/>
  <c r="P28" i="12" s="1"/>
  <c r="AB8" i="12" s="1"/>
  <c r="Q21" i="12"/>
  <c r="Q22" i="12" s="1"/>
  <c r="Q23" i="12" s="1"/>
  <c r="Q24" i="12" s="1"/>
  <c r="Q25" i="12" s="1"/>
  <c r="Q26" i="12" s="1"/>
  <c r="Q27" i="12" s="1"/>
  <c r="Q28" i="12" s="1"/>
  <c r="M9" i="8"/>
  <c r="J8" i="4"/>
  <c r="O8" i="4"/>
  <c r="P8" i="4" s="1"/>
  <c r="U9" i="8"/>
  <c r="V9" i="8" s="1"/>
  <c r="E37" i="4"/>
  <c r="L12" i="12"/>
  <c r="J11" i="12"/>
  <c r="E38" i="8"/>
  <c r="Q29" i="12" l="1"/>
  <c r="Q30" i="12" s="1"/>
  <c r="Q31" i="12" s="1"/>
  <c r="Q32" i="12" s="1"/>
  <c r="Q33" i="12" s="1"/>
  <c r="Q34" i="12" s="1"/>
  <c r="Q35" i="12" s="1"/>
  <c r="Q36" i="12" s="1"/>
  <c r="Q37" i="12" s="1"/>
  <c r="Q38" i="12" s="1"/>
  <c r="AC9" i="12" s="1"/>
  <c r="AC8" i="12"/>
  <c r="P29" i="12"/>
  <c r="P30" i="12" s="1"/>
  <c r="P31" i="12" s="1"/>
  <c r="P32" i="12" s="1"/>
  <c r="P33" i="12" s="1"/>
  <c r="P34" i="12" s="1"/>
  <c r="P35" i="12" s="1"/>
  <c r="P36" i="12" s="1"/>
  <c r="P37" i="12" s="1"/>
  <c r="P38" i="12" s="1"/>
  <c r="S7" i="6"/>
  <c r="K8" i="4"/>
  <c r="T8" i="4" s="1"/>
  <c r="R8" i="4"/>
  <c r="U10" i="8"/>
  <c r="V10" i="8" s="1"/>
  <c r="O9" i="4"/>
  <c r="P9" i="4" s="1"/>
  <c r="M10" i="8"/>
  <c r="J9" i="4"/>
  <c r="N9" i="8"/>
  <c r="AD9" i="8" s="1"/>
  <c r="AA9" i="8"/>
  <c r="J12" i="12"/>
  <c r="L13" i="12"/>
  <c r="B9" i="8" s="1"/>
  <c r="S8" i="6" l="1"/>
  <c r="AB9" i="12"/>
  <c r="M11" i="8"/>
  <c r="J10" i="4"/>
  <c r="R9" i="4"/>
  <c r="K9" i="4"/>
  <c r="T9" i="4" s="1"/>
  <c r="AA10" i="8"/>
  <c r="N10" i="8"/>
  <c r="AD10" i="8" s="1"/>
  <c r="U11" i="8"/>
  <c r="V11" i="8" s="1"/>
  <c r="O10" i="4"/>
  <c r="P10" i="4" s="1"/>
  <c r="G9" i="8"/>
  <c r="B8" i="4"/>
  <c r="J13" i="12"/>
  <c r="L14" i="12"/>
  <c r="B10" i="8" s="1"/>
  <c r="K10" i="4" l="1"/>
  <c r="T10" i="4" s="1"/>
  <c r="R10" i="4"/>
  <c r="U12" i="8"/>
  <c r="V12" i="8" s="1"/>
  <c r="T12" i="8"/>
  <c r="O11" i="4"/>
  <c r="P11" i="4" s="1"/>
  <c r="N11" i="4"/>
  <c r="Y12" i="8"/>
  <c r="J11" i="4"/>
  <c r="K11" i="4" s="1"/>
  <c r="M12" i="8"/>
  <c r="AA11" i="8"/>
  <c r="N11" i="8"/>
  <c r="AD11" i="8" s="1"/>
  <c r="B9" i="4"/>
  <c r="G10" i="8"/>
  <c r="D9" i="8"/>
  <c r="D8" i="4"/>
  <c r="I9" i="8"/>
  <c r="L15" i="12"/>
  <c r="B11" i="8" s="1"/>
  <c r="O9" i="8"/>
  <c r="AB9" i="8" s="1"/>
  <c r="J9" i="8"/>
  <c r="G8" i="4"/>
  <c r="J14" i="12"/>
  <c r="T11" i="4" l="1"/>
  <c r="AA12" i="8"/>
  <c r="N12" i="8"/>
  <c r="AD12" i="8" s="1"/>
  <c r="T13" i="8"/>
  <c r="O12" i="4"/>
  <c r="P12" i="4"/>
  <c r="U13" i="8"/>
  <c r="N12" i="4"/>
  <c r="V13" i="8"/>
  <c r="Y13" i="8"/>
  <c r="M13" i="8"/>
  <c r="I12" i="4"/>
  <c r="Q13" i="8"/>
  <c r="L13" i="8"/>
  <c r="N13" i="8"/>
  <c r="K12" i="4"/>
  <c r="J12" i="4"/>
  <c r="R11" i="4"/>
  <c r="O10" i="8"/>
  <c r="Q10" i="8" s="1"/>
  <c r="J10" i="8"/>
  <c r="L10" i="8" s="1"/>
  <c r="G9" i="4"/>
  <c r="I9" i="4" s="1"/>
  <c r="J15" i="12"/>
  <c r="D9" i="4"/>
  <c r="I8" i="4"/>
  <c r="S8" i="4" s="1"/>
  <c r="L9" i="8"/>
  <c r="AC9" i="8" s="1"/>
  <c r="Q8" i="4"/>
  <c r="Q9" i="8"/>
  <c r="AE9" i="8" s="1"/>
  <c r="Z9" i="8"/>
  <c r="L16" i="12"/>
  <c r="B12" i="8" s="1"/>
  <c r="D10" i="8"/>
  <c r="B10" i="4"/>
  <c r="G11" i="8"/>
  <c r="I10" i="8"/>
  <c r="AE13" i="8" l="1"/>
  <c r="AC13" i="8"/>
  <c r="Z10" i="8"/>
  <c r="AD13" i="8"/>
  <c r="AC10" i="8"/>
  <c r="I13" i="4"/>
  <c r="N14" i="8"/>
  <c r="L14" i="8"/>
  <c r="J13" i="4"/>
  <c r="Q14" i="8"/>
  <c r="K13" i="4"/>
  <c r="M14" i="8"/>
  <c r="S12" i="4"/>
  <c r="AA13" i="8"/>
  <c r="R12" i="4"/>
  <c r="U14" i="8"/>
  <c r="U35" i="8" s="1"/>
  <c r="Y14" i="8"/>
  <c r="Y35" i="8" s="1"/>
  <c r="W36" i="8" s="1"/>
  <c r="T14" i="8"/>
  <c r="T35" i="8" s="1"/>
  <c r="V14" i="8"/>
  <c r="V35" i="8" s="1"/>
  <c r="P13" i="4"/>
  <c r="P34" i="4" s="1"/>
  <c r="O13" i="4"/>
  <c r="O34" i="4" s="1"/>
  <c r="N13" i="4"/>
  <c r="N34" i="4" s="1"/>
  <c r="L35" i="4" s="1"/>
  <c r="T12" i="4"/>
  <c r="Q9" i="4"/>
  <c r="AB10" i="8"/>
  <c r="AE10" i="8"/>
  <c r="V8" i="4"/>
  <c r="S9" i="4"/>
  <c r="J16" i="12"/>
  <c r="D11" i="8"/>
  <c r="L17" i="12"/>
  <c r="B13" i="8" s="1"/>
  <c r="J11" i="8"/>
  <c r="Z11" i="8" s="1"/>
  <c r="G10" i="4"/>
  <c r="O11" i="8"/>
  <c r="AB11" i="8" s="1"/>
  <c r="G12" i="8"/>
  <c r="B11" i="4"/>
  <c r="AG9" i="8"/>
  <c r="D10" i="4"/>
  <c r="I11" i="8"/>
  <c r="R36" i="8" l="1"/>
  <c r="B22" i="15"/>
  <c r="AG10" i="8"/>
  <c r="U36" i="8"/>
  <c r="K34" i="4"/>
  <c r="T13" i="4"/>
  <c r="T34" i="4" s="1"/>
  <c r="G6" i="9" s="1"/>
  <c r="I6" i="9" s="1"/>
  <c r="AE14" i="8"/>
  <c r="J34" i="4"/>
  <c r="R13" i="4"/>
  <c r="R34" i="4" s="1"/>
  <c r="E6" i="9" s="1"/>
  <c r="D19" i="9" s="1"/>
  <c r="AC14" i="8"/>
  <c r="V9" i="4"/>
  <c r="K14" i="4"/>
  <c r="M15" i="8"/>
  <c r="N15" i="8"/>
  <c r="I14" i="4"/>
  <c r="Q15" i="8"/>
  <c r="L15" i="8"/>
  <c r="J14" i="4"/>
  <c r="N35" i="8"/>
  <c r="AD14" i="8"/>
  <c r="AD35" i="8" s="1"/>
  <c r="O35" i="4"/>
  <c r="S13" i="4"/>
  <c r="Y15" i="8"/>
  <c r="N14" i="4"/>
  <c r="V15" i="8"/>
  <c r="O14" i="4"/>
  <c r="U15" i="8"/>
  <c r="P14" i="4"/>
  <c r="T15" i="8"/>
  <c r="M35" i="8"/>
  <c r="AA14" i="8"/>
  <c r="AA35" i="8" s="1"/>
  <c r="E10" i="9" s="1"/>
  <c r="D20" i="9" s="1"/>
  <c r="Q11" i="8"/>
  <c r="AE11" i="8" s="1"/>
  <c r="I10" i="4"/>
  <c r="S10" i="4" s="1"/>
  <c r="L11" i="8"/>
  <c r="AC11" i="8" s="1"/>
  <c r="D12" i="8"/>
  <c r="J17" i="12"/>
  <c r="I12" i="8"/>
  <c r="I35" i="8" s="1"/>
  <c r="L18" i="12"/>
  <c r="B14" i="8" s="1"/>
  <c r="O12" i="8"/>
  <c r="Q12" i="8" s="1"/>
  <c r="G11" i="4"/>
  <c r="I11" i="4" s="1"/>
  <c r="J12" i="8"/>
  <c r="L12" i="8" s="1"/>
  <c r="D11" i="4"/>
  <c r="Q10" i="4"/>
  <c r="G13" i="8"/>
  <c r="B12" i="4"/>
  <c r="E19" i="9" l="1"/>
  <c r="K18" i="9"/>
  <c r="T14" i="4"/>
  <c r="T35" i="4"/>
  <c r="AC15" i="8"/>
  <c r="N16" i="8"/>
  <c r="Q16" i="8"/>
  <c r="K15" i="4"/>
  <c r="L16" i="8"/>
  <c r="J15" i="4"/>
  <c r="I15" i="4"/>
  <c r="M16" i="8"/>
  <c r="R14" i="4"/>
  <c r="M36" i="8"/>
  <c r="AE15" i="8"/>
  <c r="S14" i="4"/>
  <c r="AD15" i="8"/>
  <c r="Y16" i="8"/>
  <c r="P15" i="4"/>
  <c r="V16" i="8"/>
  <c r="T16" i="8"/>
  <c r="N15" i="4"/>
  <c r="O15" i="4"/>
  <c r="U16" i="8"/>
  <c r="G10" i="9"/>
  <c r="AD36" i="8"/>
  <c r="AA15" i="8"/>
  <c r="J35" i="4"/>
  <c r="I37" i="8"/>
  <c r="Q11" i="4"/>
  <c r="Z12" i="8"/>
  <c r="S11" i="4"/>
  <c r="AG11" i="8"/>
  <c r="L19" i="12"/>
  <c r="B15" i="8" s="1"/>
  <c r="G12" i="4"/>
  <c r="Q12" i="4" s="1"/>
  <c r="V12" i="4" s="1"/>
  <c r="O13" i="8"/>
  <c r="AB13" i="8" s="1"/>
  <c r="J13" i="8"/>
  <c r="Z13" i="8" s="1"/>
  <c r="G14" i="8"/>
  <c r="B13" i="4"/>
  <c r="B35" i="8"/>
  <c r="AC12" i="8"/>
  <c r="D35" i="8"/>
  <c r="D37" i="8"/>
  <c r="I34" i="4"/>
  <c r="AE12" i="8"/>
  <c r="AE35" i="8" s="1"/>
  <c r="AB12" i="8"/>
  <c r="D36" i="4"/>
  <c r="D34" i="4"/>
  <c r="J18" i="12"/>
  <c r="V10" i="4"/>
  <c r="L35" i="8"/>
  <c r="Q35" i="8"/>
  <c r="E20" i="9" l="1"/>
  <c r="I10" i="9"/>
  <c r="K19" i="9" s="1"/>
  <c r="AC16" i="8"/>
  <c r="V11" i="4"/>
  <c r="S15" i="4"/>
  <c r="R15" i="4"/>
  <c r="AA16" i="8"/>
  <c r="V17" i="8"/>
  <c r="T17" i="8"/>
  <c r="Y17" i="8"/>
  <c r="U17" i="8"/>
  <c r="O16" i="4"/>
  <c r="N16" i="4"/>
  <c r="P16" i="4"/>
  <c r="T15" i="4"/>
  <c r="AE16" i="8"/>
  <c r="I16" i="4"/>
  <c r="J16" i="4"/>
  <c r="L17" i="8"/>
  <c r="M17" i="8"/>
  <c r="Q17" i="8"/>
  <c r="K16" i="4"/>
  <c r="N17" i="8"/>
  <c r="AD16" i="8"/>
  <c r="AG12" i="8"/>
  <c r="S34" i="4"/>
  <c r="G5" i="9" s="1"/>
  <c r="G9" i="9"/>
  <c r="G13" i="4"/>
  <c r="G34" i="4" s="1"/>
  <c r="G35" i="4" s="1"/>
  <c r="J14" i="8"/>
  <c r="Z14" i="8" s="1"/>
  <c r="O14" i="8"/>
  <c r="AB14" i="8" s="1"/>
  <c r="AB35" i="8" s="1"/>
  <c r="E9" i="9" s="1"/>
  <c r="F20" i="9" s="1"/>
  <c r="AG13" i="8"/>
  <c r="L20" i="12"/>
  <c r="B16" i="8" s="1"/>
  <c r="G15" i="8"/>
  <c r="B14" i="4"/>
  <c r="J19" i="12"/>
  <c r="AC35" i="8"/>
  <c r="B34" i="4"/>
  <c r="M39" i="4"/>
  <c r="G35" i="8"/>
  <c r="G36" i="8" s="1"/>
  <c r="B36" i="8"/>
  <c r="M40" i="8"/>
  <c r="I9" i="9" l="1"/>
  <c r="L19" i="9" s="1"/>
  <c r="B20" i="15"/>
  <c r="G20" i="9"/>
  <c r="G7" i="9"/>
  <c r="AC17" i="8"/>
  <c r="AD17" i="8"/>
  <c r="AE17" i="8"/>
  <c r="AA17" i="8"/>
  <c r="Q13" i="4"/>
  <c r="V13" i="4" s="1"/>
  <c r="R16" i="4"/>
  <c r="C19" i="9"/>
  <c r="L18" i="8"/>
  <c r="I17" i="4"/>
  <c r="J17" i="4"/>
  <c r="Q18" i="8"/>
  <c r="M18" i="8"/>
  <c r="N18" i="8"/>
  <c r="K17" i="4"/>
  <c r="T18" i="8"/>
  <c r="V18" i="8"/>
  <c r="O17" i="4"/>
  <c r="N17" i="4"/>
  <c r="U18" i="8"/>
  <c r="P17" i="4"/>
  <c r="Y18" i="8"/>
  <c r="S16" i="4"/>
  <c r="T16" i="4"/>
  <c r="O35" i="8"/>
  <c r="O36" i="8" s="1"/>
  <c r="L21" i="12"/>
  <c r="B17" i="8" s="1"/>
  <c r="J20" i="12"/>
  <c r="B15" i="4"/>
  <c r="G16" i="8"/>
  <c r="G14" i="4"/>
  <c r="Q14" i="4" s="1"/>
  <c r="V14" i="4" s="1"/>
  <c r="J15" i="8"/>
  <c r="Z15" i="8" s="1"/>
  <c r="O15" i="8"/>
  <c r="AB15" i="8" s="1"/>
  <c r="J35" i="8"/>
  <c r="B21" i="15" s="1"/>
  <c r="B39" i="4"/>
  <c r="M40" i="4" s="1"/>
  <c r="G8" i="9"/>
  <c r="AE36" i="8"/>
  <c r="AG14" i="8"/>
  <c r="Z35" i="8"/>
  <c r="E8" i="9" s="1"/>
  <c r="B35" i="4"/>
  <c r="B23" i="15" l="1"/>
  <c r="I8" i="9"/>
  <c r="J19" i="9" s="1"/>
  <c r="R17" i="4"/>
  <c r="Q34" i="4"/>
  <c r="E5" i="9" s="1"/>
  <c r="AD18" i="8"/>
  <c r="T17" i="4"/>
  <c r="P18" i="4"/>
  <c r="U19" i="8"/>
  <c r="N18" i="4"/>
  <c r="Y19" i="8"/>
  <c r="V19" i="8"/>
  <c r="T19" i="8"/>
  <c r="O18" i="4"/>
  <c r="AA18" i="8"/>
  <c r="AE18" i="8"/>
  <c r="S17" i="4"/>
  <c r="AC18" i="8"/>
  <c r="L19" i="8"/>
  <c r="J18" i="4"/>
  <c r="M19" i="8"/>
  <c r="N19" i="8"/>
  <c r="I18" i="4"/>
  <c r="Q19" i="8"/>
  <c r="K18" i="4"/>
  <c r="AC36" i="8"/>
  <c r="AG15" i="8"/>
  <c r="G15" i="4"/>
  <c r="Q15" i="4" s="1"/>
  <c r="V15" i="4" s="1"/>
  <c r="O16" i="8"/>
  <c r="AB16" i="8" s="1"/>
  <c r="J16" i="8"/>
  <c r="Z16" i="8" s="1"/>
  <c r="C20" i="9"/>
  <c r="G11" i="9"/>
  <c r="G12" i="9"/>
  <c r="L22" i="12"/>
  <c r="B18" i="8" s="1"/>
  <c r="B16" i="4"/>
  <c r="G17" i="8"/>
  <c r="B20" i="9"/>
  <c r="E11" i="9"/>
  <c r="AG35" i="8"/>
  <c r="B40" i="8"/>
  <c r="M41" i="8" s="1"/>
  <c r="J36" i="8"/>
  <c r="J21" i="12"/>
  <c r="S35" i="4" l="1"/>
  <c r="I11" i="9"/>
  <c r="E12" i="9"/>
  <c r="G13" i="9" s="1"/>
  <c r="I5" i="9"/>
  <c r="J18" i="9" s="1"/>
  <c r="V34" i="4"/>
  <c r="T18" i="4"/>
  <c r="R18" i="4"/>
  <c r="AE19" i="8"/>
  <c r="AA19" i="8"/>
  <c r="AC19" i="8"/>
  <c r="P19" i="4"/>
  <c r="Y20" i="8"/>
  <c r="V20" i="8"/>
  <c r="T20" i="8"/>
  <c r="O19" i="4"/>
  <c r="N19" i="4"/>
  <c r="U20" i="8"/>
  <c r="J19" i="4"/>
  <c r="L20" i="8"/>
  <c r="N20" i="8"/>
  <c r="M20" i="8"/>
  <c r="K19" i="4"/>
  <c r="I19" i="4"/>
  <c r="Q20" i="8"/>
  <c r="S18" i="4"/>
  <c r="AD19" i="8"/>
  <c r="G16" i="4"/>
  <c r="Q16" i="4" s="1"/>
  <c r="V16" i="4" s="1"/>
  <c r="J17" i="8"/>
  <c r="Z17" i="8" s="1"/>
  <c r="O17" i="8"/>
  <c r="AB17" i="8" s="1"/>
  <c r="AG16" i="8"/>
  <c r="L23" i="12"/>
  <c r="B19" i="8" s="1"/>
  <c r="E7" i="9"/>
  <c r="I7" i="9" s="1"/>
  <c r="B19" i="9"/>
  <c r="J22" i="12"/>
  <c r="G18" i="8"/>
  <c r="B17" i="4"/>
  <c r="I12" i="9" l="1"/>
  <c r="G14" i="9"/>
  <c r="S19" i="4"/>
  <c r="T19" i="4"/>
  <c r="AA20" i="8"/>
  <c r="L21" i="8"/>
  <c r="Q21" i="8"/>
  <c r="I20" i="4"/>
  <c r="M21" i="8"/>
  <c r="J20" i="4"/>
  <c r="N21" i="8"/>
  <c r="K20" i="4"/>
  <c r="AD20" i="8"/>
  <c r="AC20" i="8"/>
  <c r="O20" i="4"/>
  <c r="U21" i="8"/>
  <c r="P20" i="4"/>
  <c r="V21" i="8"/>
  <c r="Y21" i="8"/>
  <c r="T21" i="8"/>
  <c r="N20" i="4"/>
  <c r="R19" i="4"/>
  <c r="AE20" i="8"/>
  <c r="B18" i="4"/>
  <c r="G19" i="8"/>
  <c r="AG17" i="8"/>
  <c r="J23" i="12"/>
  <c r="G17" i="4"/>
  <c r="Q17" i="4" s="1"/>
  <c r="V17" i="4" s="1"/>
  <c r="O18" i="8"/>
  <c r="AB18" i="8" s="1"/>
  <c r="J18" i="8"/>
  <c r="Z18" i="8" s="1"/>
  <c r="L24" i="12"/>
  <c r="B20" i="8" s="1"/>
  <c r="S20" i="4" l="1"/>
  <c r="AG18" i="8"/>
  <c r="R20" i="4"/>
  <c r="T20" i="4"/>
  <c r="AA21" i="8"/>
  <c r="AD21" i="8"/>
  <c r="I21" i="4"/>
  <c r="J21" i="4"/>
  <c r="K21" i="4"/>
  <c r="M22" i="8"/>
  <c r="Q22" i="8"/>
  <c r="N22" i="8"/>
  <c r="L22" i="8"/>
  <c r="P21" i="4"/>
  <c r="V22" i="8"/>
  <c r="Y22" i="8"/>
  <c r="N21" i="4"/>
  <c r="U22" i="8"/>
  <c r="O21" i="4"/>
  <c r="T22" i="8"/>
  <c r="AE21" i="8"/>
  <c r="AC21" i="8"/>
  <c r="G18" i="4"/>
  <c r="Q18" i="4" s="1"/>
  <c r="V18" i="4" s="1"/>
  <c r="J19" i="8"/>
  <c r="Z19" i="8" s="1"/>
  <c r="O19" i="8"/>
  <c r="AB19" i="8" s="1"/>
  <c r="J24" i="12"/>
  <c r="L25" i="12"/>
  <c r="B21" i="8" s="1"/>
  <c r="B19" i="4"/>
  <c r="G20" i="8"/>
  <c r="AD22" i="8" l="1"/>
  <c r="T21" i="4"/>
  <c r="Q23" i="8"/>
  <c r="L23" i="8"/>
  <c r="M23" i="8"/>
  <c r="K22" i="4"/>
  <c r="N23" i="8"/>
  <c r="J22" i="4"/>
  <c r="I22" i="4"/>
  <c r="AE22" i="8"/>
  <c r="V23" i="8"/>
  <c r="O22" i="4"/>
  <c r="N22" i="4"/>
  <c r="P22" i="4"/>
  <c r="Y23" i="8"/>
  <c r="T23" i="8"/>
  <c r="U23" i="8"/>
  <c r="AA22" i="8"/>
  <c r="R21" i="4"/>
  <c r="S21" i="4"/>
  <c r="AC22" i="8"/>
  <c r="AG19" i="8"/>
  <c r="G19" i="4"/>
  <c r="Q19" i="4" s="1"/>
  <c r="V19" i="4" s="1"/>
  <c r="O20" i="8"/>
  <c r="AB20" i="8" s="1"/>
  <c r="J20" i="8"/>
  <c r="Z20" i="8" s="1"/>
  <c r="L26" i="12"/>
  <c r="B22" i="8" s="1"/>
  <c r="B20" i="4"/>
  <c r="G21" i="8"/>
  <c r="J25" i="12"/>
  <c r="AD23" i="8" l="1"/>
  <c r="R22" i="4"/>
  <c r="AA23" i="8"/>
  <c r="S22" i="4"/>
  <c r="O23" i="4"/>
  <c r="Y24" i="8"/>
  <c r="U24" i="8"/>
  <c r="N23" i="4"/>
  <c r="V24" i="8"/>
  <c r="P23" i="4"/>
  <c r="T24" i="8"/>
  <c r="T22" i="4"/>
  <c r="N24" i="8"/>
  <c r="K23" i="4"/>
  <c r="T23" i="4" s="1"/>
  <c r="I23" i="4"/>
  <c r="J23" i="4"/>
  <c r="M24" i="8"/>
  <c r="L24" i="8"/>
  <c r="Q24" i="8"/>
  <c r="AC23" i="8"/>
  <c r="AE23" i="8"/>
  <c r="AG20" i="8"/>
  <c r="L27" i="12"/>
  <c r="B23" i="8" s="1"/>
  <c r="J26" i="12"/>
  <c r="B21" i="4"/>
  <c r="G22" i="8"/>
  <c r="G20" i="4"/>
  <c r="Q20" i="4" s="1"/>
  <c r="V20" i="4" s="1"/>
  <c r="O21" i="8"/>
  <c r="AB21" i="8" s="1"/>
  <c r="J21" i="8"/>
  <c r="Z21" i="8" s="1"/>
  <c r="R23" i="4" l="1"/>
  <c r="AC24" i="8"/>
  <c r="AA24" i="8"/>
  <c r="S23" i="4"/>
  <c r="AD24" i="8"/>
  <c r="P24" i="4"/>
  <c r="V25" i="8"/>
  <c r="T25" i="8"/>
  <c r="N24" i="4"/>
  <c r="O24" i="4"/>
  <c r="Y25" i="8"/>
  <c r="U25" i="8"/>
  <c r="L25" i="8"/>
  <c r="Q25" i="8"/>
  <c r="K24" i="4"/>
  <c r="J24" i="4"/>
  <c r="I24" i="4"/>
  <c r="M25" i="8"/>
  <c r="N25" i="8"/>
  <c r="AE24" i="8"/>
  <c r="AG21" i="8"/>
  <c r="L28" i="12"/>
  <c r="B24" i="8" s="1"/>
  <c r="J27" i="12"/>
  <c r="G23" i="8"/>
  <c r="B22" i="4"/>
  <c r="G21" i="4"/>
  <c r="Q21" i="4" s="1"/>
  <c r="V21" i="4" s="1"/>
  <c r="O22" i="8"/>
  <c r="AB22" i="8" s="1"/>
  <c r="J22" i="8"/>
  <c r="Z22" i="8" s="1"/>
  <c r="T24" i="4" l="1"/>
  <c r="S24" i="4"/>
  <c r="AA25" i="8"/>
  <c r="R24" i="4"/>
  <c r="N25" i="4"/>
  <c r="U26" i="8"/>
  <c r="P25" i="4"/>
  <c r="T26" i="8"/>
  <c r="V26" i="8"/>
  <c r="Y26" i="8"/>
  <c r="O25" i="4"/>
  <c r="K25" i="4"/>
  <c r="I25" i="4"/>
  <c r="N26" i="8"/>
  <c r="M26" i="8"/>
  <c r="L26" i="8"/>
  <c r="Q26" i="8"/>
  <c r="J25" i="4"/>
  <c r="AE25" i="8"/>
  <c r="AC25" i="8"/>
  <c r="AD25" i="8"/>
  <c r="AG22" i="8"/>
  <c r="L29" i="12"/>
  <c r="B25" i="8" s="1"/>
  <c r="B23" i="4"/>
  <c r="G24" i="8"/>
  <c r="J28" i="12"/>
  <c r="G22" i="4"/>
  <c r="Q22" i="4" s="1"/>
  <c r="V22" i="4" s="1"/>
  <c r="J23" i="8"/>
  <c r="Z23" i="8" s="1"/>
  <c r="O23" i="8"/>
  <c r="AB23" i="8" s="1"/>
  <c r="R25" i="4" l="1"/>
  <c r="AA26" i="8"/>
  <c r="S25" i="4"/>
  <c r="AC26" i="8"/>
  <c r="AE26" i="8"/>
  <c r="AD26" i="8"/>
  <c r="O26" i="4"/>
  <c r="N26" i="4"/>
  <c r="Y27" i="8"/>
  <c r="V27" i="8"/>
  <c r="U27" i="8"/>
  <c r="T27" i="8"/>
  <c r="P26" i="4"/>
  <c r="N27" i="8"/>
  <c r="L27" i="8"/>
  <c r="Q27" i="8"/>
  <c r="J26" i="4"/>
  <c r="K26" i="4"/>
  <c r="M27" i="8"/>
  <c r="I26" i="4"/>
  <c r="T25" i="4"/>
  <c r="AG23" i="8"/>
  <c r="G23" i="4"/>
  <c r="Q23" i="4" s="1"/>
  <c r="V23" i="4" s="1"/>
  <c r="O24" i="8"/>
  <c r="AB24" i="8" s="1"/>
  <c r="J24" i="8"/>
  <c r="Z24" i="8" s="1"/>
  <c r="J29" i="12"/>
  <c r="L30" i="12"/>
  <c r="B26" i="8" s="1"/>
  <c r="B24" i="4"/>
  <c r="G25" i="8"/>
  <c r="AE27" i="8" l="1"/>
  <c r="AC27" i="8"/>
  <c r="T26" i="4"/>
  <c r="R26" i="4"/>
  <c r="AA27" i="8"/>
  <c r="AD27" i="8"/>
  <c r="T28" i="8"/>
  <c r="Y28" i="8"/>
  <c r="P27" i="4"/>
  <c r="U28" i="8"/>
  <c r="O27" i="4"/>
  <c r="N27" i="4"/>
  <c r="V28" i="8"/>
  <c r="I27" i="4"/>
  <c r="M28" i="8"/>
  <c r="L28" i="8"/>
  <c r="N28" i="8"/>
  <c r="J27" i="4"/>
  <c r="Q28" i="8"/>
  <c r="K27" i="4"/>
  <c r="S26" i="4"/>
  <c r="AG24" i="8"/>
  <c r="J30" i="12"/>
  <c r="G24" i="4"/>
  <c r="Q24" i="4" s="1"/>
  <c r="V24" i="4" s="1"/>
  <c r="O25" i="8"/>
  <c r="AB25" i="8" s="1"/>
  <c r="J25" i="8"/>
  <c r="Z25" i="8" s="1"/>
  <c r="G26" i="8"/>
  <c r="B25" i="4"/>
  <c r="L31" i="12"/>
  <c r="B27" i="8" s="1"/>
  <c r="AD28" i="8" l="1"/>
  <c r="AC28" i="8"/>
  <c r="S27" i="4"/>
  <c r="R27" i="4"/>
  <c r="T29" i="8"/>
  <c r="P28" i="4"/>
  <c r="N28" i="4"/>
  <c r="U29" i="8"/>
  <c r="Y29" i="8"/>
  <c r="O28" i="4"/>
  <c r="V29" i="8"/>
  <c r="K28" i="4"/>
  <c r="J28" i="4"/>
  <c r="L29" i="8"/>
  <c r="M29" i="8"/>
  <c r="Q29" i="8"/>
  <c r="I28" i="4"/>
  <c r="N29" i="8"/>
  <c r="AA28" i="8"/>
  <c r="T27" i="4"/>
  <c r="AE28" i="8"/>
  <c r="AG25" i="8"/>
  <c r="J31" i="12"/>
  <c r="B26" i="4"/>
  <c r="G27" i="8"/>
  <c r="J26" i="8"/>
  <c r="Z26" i="8" s="1"/>
  <c r="G25" i="4"/>
  <c r="Q25" i="4" s="1"/>
  <c r="V25" i="4" s="1"/>
  <c r="O26" i="8"/>
  <c r="AB26" i="8" s="1"/>
  <c r="L32" i="12"/>
  <c r="B28" i="8" s="1"/>
  <c r="AD29" i="8" l="1"/>
  <c r="AC29" i="8"/>
  <c r="S28" i="4"/>
  <c r="AA29" i="8"/>
  <c r="AE29" i="8"/>
  <c r="R28" i="4"/>
  <c r="Q30" i="8"/>
  <c r="M30" i="8"/>
  <c r="N30" i="8"/>
  <c r="I29" i="4"/>
  <c r="K29" i="4"/>
  <c r="L30" i="8"/>
  <c r="J29" i="4"/>
  <c r="U30" i="8"/>
  <c r="N29" i="4"/>
  <c r="T30" i="8"/>
  <c r="O29" i="4"/>
  <c r="V30" i="8"/>
  <c r="P29" i="4"/>
  <c r="Y30" i="8"/>
  <c r="T28" i="4"/>
  <c r="AG26" i="8"/>
  <c r="J32" i="12"/>
  <c r="G26" i="4"/>
  <c r="Q26" i="4" s="1"/>
  <c r="V26" i="4" s="1"/>
  <c r="J27" i="8"/>
  <c r="Z27" i="8" s="1"/>
  <c r="O27" i="8"/>
  <c r="AB27" i="8" s="1"/>
  <c r="B27" i="4"/>
  <c r="G28" i="8"/>
  <c r="L33" i="12"/>
  <c r="B29" i="8" s="1"/>
  <c r="AA30" i="8" l="1"/>
  <c r="AE30" i="8"/>
  <c r="S29" i="4"/>
  <c r="R29" i="4"/>
  <c r="AC30" i="8"/>
  <c r="T29" i="4"/>
  <c r="Y31" i="8"/>
  <c r="N30" i="4"/>
  <c r="O30" i="4"/>
  <c r="U31" i="8"/>
  <c r="T31" i="8"/>
  <c r="P30" i="4"/>
  <c r="V31" i="8"/>
  <c r="AD30" i="8"/>
  <c r="L31" i="8"/>
  <c r="Q31" i="8"/>
  <c r="M31" i="8"/>
  <c r="J30" i="4"/>
  <c r="I30" i="4"/>
  <c r="K30" i="4"/>
  <c r="N31" i="8"/>
  <c r="AG27" i="8"/>
  <c r="J33" i="12"/>
  <c r="L34" i="12"/>
  <c r="B30" i="8" s="1"/>
  <c r="G27" i="4"/>
  <c r="Q27" i="4" s="1"/>
  <c r="V27" i="4" s="1"/>
  <c r="J28" i="8"/>
  <c r="Z28" i="8" s="1"/>
  <c r="O28" i="8"/>
  <c r="AB28" i="8" s="1"/>
  <c r="G29" i="8"/>
  <c r="B28" i="4"/>
  <c r="AA31" i="8" l="1"/>
  <c r="T30" i="4"/>
  <c r="AE31" i="8"/>
  <c r="AC31" i="8"/>
  <c r="AD31" i="8"/>
  <c r="N31" i="4"/>
  <c r="V32" i="8"/>
  <c r="O31" i="4"/>
  <c r="P31" i="4"/>
  <c r="U32" i="8"/>
  <c r="Y32" i="8"/>
  <c r="T32" i="8"/>
  <c r="N32" i="8"/>
  <c r="K31" i="4"/>
  <c r="L32" i="8"/>
  <c r="Q32" i="8"/>
  <c r="M32" i="8"/>
  <c r="I31" i="4"/>
  <c r="J31" i="4"/>
  <c r="S30" i="4"/>
  <c r="R30" i="4"/>
  <c r="J34" i="12"/>
  <c r="J29" i="8"/>
  <c r="Z29" i="8" s="1"/>
  <c r="G28" i="4"/>
  <c r="Q28" i="4" s="1"/>
  <c r="V28" i="4" s="1"/>
  <c r="O29" i="8"/>
  <c r="AB29" i="8" s="1"/>
  <c r="AG28" i="8"/>
  <c r="L35" i="12"/>
  <c r="B31" i="8" s="1"/>
  <c r="G30" i="8"/>
  <c r="B29" i="4"/>
  <c r="R31" i="4" l="1"/>
  <c r="S31" i="4"/>
  <c r="AA32" i="8"/>
  <c r="I32" i="4"/>
  <c r="K32" i="4"/>
  <c r="N33" i="8"/>
  <c r="J32" i="4"/>
  <c r="M33" i="8"/>
  <c r="Q33" i="8"/>
  <c r="L33" i="8"/>
  <c r="AE32" i="8"/>
  <c r="AC32" i="8"/>
  <c r="T31" i="4"/>
  <c r="AD32" i="8"/>
  <c r="V33" i="8"/>
  <c r="U33" i="8"/>
  <c r="T33" i="8"/>
  <c r="P32" i="4"/>
  <c r="O32" i="4"/>
  <c r="Y33" i="8"/>
  <c r="N32" i="4"/>
  <c r="AG29" i="8"/>
  <c r="G31" i="8"/>
  <c r="B30" i="4"/>
  <c r="L36" i="12"/>
  <c r="B32" i="8" s="1"/>
  <c r="J35" i="12"/>
  <c r="O30" i="8"/>
  <c r="AB30" i="8" s="1"/>
  <c r="G29" i="4"/>
  <c r="Q29" i="4" s="1"/>
  <c r="V29" i="4" s="1"/>
  <c r="J30" i="8"/>
  <c r="Z30" i="8" s="1"/>
  <c r="AE33" i="8" l="1"/>
  <c r="R32" i="4"/>
  <c r="AC33" i="8"/>
  <c r="AA33" i="8"/>
  <c r="P33" i="4"/>
  <c r="P36" i="4" s="1"/>
  <c r="Y34" i="8"/>
  <c r="Y37" i="8" s="1"/>
  <c r="W38" i="8" s="1"/>
  <c r="O33" i="4"/>
  <c r="O36" i="4" s="1"/>
  <c r="V34" i="8"/>
  <c r="V37" i="8" s="1"/>
  <c r="N33" i="4"/>
  <c r="N36" i="4" s="1"/>
  <c r="L37" i="4" s="1"/>
  <c r="U34" i="8"/>
  <c r="U37" i="8" s="1"/>
  <c r="T34" i="8"/>
  <c r="T37" i="8" s="1"/>
  <c r="L34" i="8"/>
  <c r="M34" i="8"/>
  <c r="J33" i="4"/>
  <c r="N34" i="8"/>
  <c r="Q34" i="8"/>
  <c r="I33" i="4"/>
  <c r="K33" i="4"/>
  <c r="AD33" i="8"/>
  <c r="T32" i="4"/>
  <c r="S32" i="4"/>
  <c r="J36" i="12"/>
  <c r="L37" i="12"/>
  <c r="B33" i="8" s="1"/>
  <c r="L38" i="12"/>
  <c r="B34" i="8" s="1"/>
  <c r="G30" i="4"/>
  <c r="Q30" i="4" s="1"/>
  <c r="V30" i="4" s="1"/>
  <c r="O31" i="8"/>
  <c r="AB31" i="8" s="1"/>
  <c r="J31" i="8"/>
  <c r="Z31" i="8" s="1"/>
  <c r="AG30" i="8"/>
  <c r="B31" i="4"/>
  <c r="G32" i="8"/>
  <c r="R38" i="8" l="1"/>
  <c r="C22" i="15"/>
  <c r="D22" i="15" s="1"/>
  <c r="AG31" i="8"/>
  <c r="R33" i="4"/>
  <c r="R36" i="4" s="1"/>
  <c r="F6" i="9" s="1"/>
  <c r="D24" i="9" s="1"/>
  <c r="AE34" i="8"/>
  <c r="AE37" i="8" s="1"/>
  <c r="H9" i="9" s="1"/>
  <c r="J36" i="4"/>
  <c r="T33" i="4"/>
  <c r="T36" i="4" s="1"/>
  <c r="K36" i="4"/>
  <c r="S33" i="4"/>
  <c r="S36" i="4" s="1"/>
  <c r="H5" i="9" s="1"/>
  <c r="I36" i="4"/>
  <c r="U38" i="8"/>
  <c r="AD34" i="8"/>
  <c r="AD37" i="8" s="1"/>
  <c r="N37" i="8"/>
  <c r="AA34" i="8"/>
  <c r="AA37" i="8" s="1"/>
  <c r="F10" i="9" s="1"/>
  <c r="D25" i="9" s="1"/>
  <c r="M37" i="8"/>
  <c r="O37" i="4"/>
  <c r="AC34" i="8"/>
  <c r="AC37" i="8" s="1"/>
  <c r="L37" i="8"/>
  <c r="Q37" i="8"/>
  <c r="G31" i="4"/>
  <c r="Q31" i="4" s="1"/>
  <c r="V31" i="4" s="1"/>
  <c r="J32" i="8"/>
  <c r="Z32" i="8" s="1"/>
  <c r="O32" i="8"/>
  <c r="AB32" i="8" s="1"/>
  <c r="G34" i="8"/>
  <c r="B33" i="4"/>
  <c r="B32" i="4"/>
  <c r="G33" i="8"/>
  <c r="J37" i="12"/>
  <c r="J38" i="12"/>
  <c r="H8" i="9" l="1"/>
  <c r="AC11" i="12"/>
  <c r="AB11" i="12"/>
  <c r="AA11" i="12"/>
  <c r="G25" i="9"/>
  <c r="J37" i="4"/>
  <c r="M41" i="4"/>
  <c r="M38" i="8"/>
  <c r="AD38" i="8"/>
  <c r="H10" i="9"/>
  <c r="M42" i="8"/>
  <c r="T37" i="4"/>
  <c r="H6" i="9"/>
  <c r="AG32" i="8"/>
  <c r="J34" i="8"/>
  <c r="Z34" i="8" s="1"/>
  <c r="G33" i="4"/>
  <c r="O34" i="8"/>
  <c r="B36" i="4"/>
  <c r="G32" i="4"/>
  <c r="Q32" i="4" s="1"/>
  <c r="V32" i="4" s="1"/>
  <c r="O33" i="8"/>
  <c r="AB33" i="8" s="1"/>
  <c r="J33" i="8"/>
  <c r="Z33" i="8" s="1"/>
  <c r="G37" i="8"/>
  <c r="G38" i="8" s="1"/>
  <c r="C24" i="9"/>
  <c r="B37" i="8"/>
  <c r="C25" i="9"/>
  <c r="C20" i="15" l="1"/>
  <c r="D20" i="15" s="1"/>
  <c r="E24" i="9"/>
  <c r="J6" i="9"/>
  <c r="E25" i="9"/>
  <c r="J10" i="9"/>
  <c r="H11" i="9"/>
  <c r="H7" i="9"/>
  <c r="H12" i="9"/>
  <c r="O37" i="8"/>
  <c r="O38" i="8" s="1"/>
  <c r="G36" i="4"/>
  <c r="G37" i="4" s="1"/>
  <c r="AB34" i="8"/>
  <c r="AB37" i="8" s="1"/>
  <c r="AG33" i="8"/>
  <c r="B37" i="4"/>
  <c r="Q33" i="4"/>
  <c r="J37" i="8"/>
  <c r="Z37" i="8"/>
  <c r="B38" i="8"/>
  <c r="J38" i="8" l="1"/>
  <c r="C21" i="15"/>
  <c r="K23" i="9"/>
  <c r="K22" i="9"/>
  <c r="B42" i="8"/>
  <c r="M43" i="8" s="1"/>
  <c r="B41" i="4"/>
  <c r="M42" i="4" s="1"/>
  <c r="AG34" i="8"/>
  <c r="F9" i="9"/>
  <c r="AE38" i="8"/>
  <c r="F8" i="9"/>
  <c r="J8" i="9" s="1"/>
  <c r="J23" i="9" s="1"/>
  <c r="AC38" i="8"/>
  <c r="AG37" i="8"/>
  <c r="Q36" i="4"/>
  <c r="AA10" i="12" s="1"/>
  <c r="V33" i="4"/>
  <c r="AC10" i="12" l="1"/>
  <c r="AB10" i="12"/>
  <c r="D21" i="15"/>
  <c r="C23" i="15"/>
  <c r="D23" i="15" s="1"/>
  <c r="F25" i="9"/>
  <c r="J9" i="9"/>
  <c r="L23" i="9" s="1"/>
  <c r="F5" i="9"/>
  <c r="V36" i="4"/>
  <c r="S37" i="4"/>
  <c r="B25" i="9"/>
  <c r="F11" i="9"/>
  <c r="J11" i="9" s="1"/>
  <c r="F12" i="9" l="1"/>
  <c r="J5" i="9"/>
  <c r="J22" i="9" s="1"/>
  <c r="F7" i="9"/>
  <c r="J7" i="9" s="1"/>
  <c r="B24" i="9"/>
  <c r="H14" i="9" l="1"/>
  <c r="J12" i="9"/>
  <c r="H13" i="9"/>
</calcChain>
</file>

<file path=xl/sharedStrings.xml><?xml version="1.0" encoding="utf-8"?>
<sst xmlns="http://schemas.openxmlformats.org/spreadsheetml/2006/main" count="575" uniqueCount="330">
  <si>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</si>
  <si>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</si>
  <si>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</si>
  <si>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</si>
  <si>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</si>
  <si>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</si>
  <si>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</si>
  <si>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</si>
  <si>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</si>
  <si>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</si>
  <si>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</si>
  <si>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</si>
  <si>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</si>
  <si>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Start Date</t>
  </si>
  <si>
    <t>End Date</t>
  </si>
  <si>
    <t>Usage Total (kWh/MMBTU)</t>
  </si>
  <si>
    <t>Space Heating</t>
  </si>
  <si>
    <t>Water Heating</t>
  </si>
  <si>
    <t>Air Conditioning</t>
  </si>
  <si>
    <t xml:space="preserve">Total: </t>
  </si>
  <si>
    <t>Assumed GHP Efficiency</t>
  </si>
  <si>
    <t>Fuel Type</t>
  </si>
  <si>
    <t>Gas</t>
  </si>
  <si>
    <t>Electric</t>
  </si>
  <si>
    <t>?</t>
  </si>
  <si>
    <t>Assumed BAU Efficiency</t>
  </si>
  <si>
    <t>3 Boilers</t>
  </si>
  <si>
    <t>Boiler Year</t>
  </si>
  <si>
    <t>EGrid Subregion: NEWE Historical eGRID Data | US EPA</t>
  </si>
  <si>
    <t>Air Emissions (iso-ne.com)</t>
  </si>
  <si>
    <t>Year</t>
  </si>
  <si>
    <t>lbs CO2/MWh</t>
  </si>
  <si>
    <t>Units</t>
  </si>
  <si>
    <t>kWh</t>
  </si>
  <si>
    <t>Amount of Energy Required for End Use (MMBtu)</t>
  </si>
  <si>
    <t>kWh Consumed by GHP to Reach Required Energy</t>
  </si>
  <si>
    <t>kWh to MWh Conversion</t>
  </si>
  <si>
    <t>GHP</t>
  </si>
  <si>
    <t>Furnace</t>
  </si>
  <si>
    <t>GRID EMISSIONS FACTORS</t>
  </si>
  <si>
    <t>GAS EMISSIONS FACTORS</t>
  </si>
  <si>
    <t>CO2</t>
  </si>
  <si>
    <t>lbs/MMBtu</t>
  </si>
  <si>
    <t>https://www.eia.gov/environment/emissions/co2_vol_mass.php</t>
  </si>
  <si>
    <t>CH4</t>
  </si>
  <si>
    <t>Heating</t>
  </si>
  <si>
    <t>Cooling</t>
  </si>
  <si>
    <t>Slope</t>
  </si>
  <si>
    <t>CO2 
2022-2030</t>
  </si>
  <si>
    <t>Intercept</t>
  </si>
  <si>
    <t>Modeled on Linear Regression</t>
  </si>
  <si>
    <t>Assumed 90% Reduction from 2001</t>
  </si>
  <si>
    <t>TOTAL</t>
  </si>
  <si>
    <t>MMBtu</t>
  </si>
  <si>
    <t>Unit</t>
  </si>
  <si>
    <t>lb/MMBtu</t>
  </si>
  <si>
    <t>lb/MWh</t>
  </si>
  <si>
    <t>Chiller</t>
  </si>
  <si>
    <t xml:space="preserve">2028 CO2 Emissions Intensity </t>
  </si>
  <si>
    <t>2028 CO2 Grid Emissions Intensity (lb/MWh)</t>
  </si>
  <si>
    <t xml:space="preserve">2028 Grid CO2 Emissions (MT) </t>
  </si>
  <si>
    <t>2030 Grid CO2 Emissions (MT)</t>
  </si>
  <si>
    <t>2040 Grid CO2 Emissions (MT)</t>
  </si>
  <si>
    <t>2050 Grid CO2 Emissions (MT)</t>
  </si>
  <si>
    <t>PY2028 Emissions from BAU Equipment</t>
  </si>
  <si>
    <t>End Use</t>
  </si>
  <si>
    <t>Boilers</t>
  </si>
  <si>
    <t>PY2028 Grid Emissions from GHP</t>
  </si>
  <si>
    <t>Total</t>
  </si>
  <si>
    <t>GLOBAL WARMING POTENTIALS</t>
  </si>
  <si>
    <t>100-Year Global Warming Potentials</t>
  </si>
  <si>
    <t>N2O</t>
  </si>
  <si>
    <t>Linear Regression Model 2022-2030:</t>
  </si>
  <si>
    <t>Linear Regression Model 2030-2040:</t>
  </si>
  <si>
    <t>Linear Regression Model 2040-2050:</t>
  </si>
  <si>
    <t>Cumulative 2025-2030 Emissions</t>
  </si>
  <si>
    <t>Cumulative 2025-2050 Emissions</t>
  </si>
  <si>
    <t>MULTIFAMILY BUILDING SPECS</t>
  </si>
  <si>
    <t>Units:</t>
  </si>
  <si>
    <t>Square Footage</t>
  </si>
  <si>
    <t>median Energy Star source energy use intensity for multifamily housing</t>
  </si>
  <si>
    <t>kBtu/sqft</t>
  </si>
  <si>
    <t>MMBtu/sqft</t>
  </si>
  <si>
    <t>Annual Projected Energy Use</t>
  </si>
  <si>
    <t>HOUSEHOLD ENERGY CONSUMPTION BY END-USE</t>
  </si>
  <si>
    <t>EIA: Table CE3.2 Annual household site end-use consumption in the Northeast—totals and averages, 2020</t>
  </si>
  <si>
    <t>trillion Btu</t>
  </si>
  <si>
    <t>Share of Total</t>
  </si>
  <si>
    <t>Annual Energy Consumption (MMBtu)</t>
  </si>
  <si>
    <t>BAU PY2028 Emissions (June Start)</t>
  </si>
  <si>
    <t>GHP PY2028 Grid Emissions (June Start)</t>
  </si>
  <si>
    <t>MWh</t>
  </si>
  <si>
    <t>APPLIANCE EFFICIENCIES</t>
  </si>
  <si>
    <t>Multifamily</t>
  </si>
  <si>
    <t>A/C</t>
  </si>
  <si>
    <t>Water Heater</t>
  </si>
  <si>
    <t>Union Station</t>
  </si>
  <si>
    <t>Rating System</t>
  </si>
  <si>
    <t>Conversion to COP/EER</t>
  </si>
  <si>
    <t>Assumed Rating</t>
  </si>
  <si>
    <t>AFUE</t>
  </si>
  <si>
    <t>SEER</t>
  </si>
  <si>
    <t>UEF</t>
  </si>
  <si>
    <t>https://www.energystar.gov/sites/default/files/asset/document/ENERGY%20STAR%20MFNC%20National%20Program%20Requirements%20Version%201.2.pdf</t>
  </si>
  <si>
    <t>COP</t>
  </si>
  <si>
    <t>Average</t>
  </si>
  <si>
    <t>Change in emissions 2025-2030</t>
  </si>
  <si>
    <t>Total Cumulative Emisisons 2025-2050</t>
  </si>
  <si>
    <t>Change in emissions 2025-2050</t>
  </si>
  <si>
    <t>Source-Site Adjustment for Natural Gas</t>
  </si>
  <si>
    <t>Energystar Multifamily Site Energy Use Intensity</t>
  </si>
  <si>
    <t>Total Emissions Reductions</t>
  </si>
  <si>
    <t>Site</t>
  </si>
  <si>
    <t>End-Use</t>
  </si>
  <si>
    <t>Old System</t>
  </si>
  <si>
    <t>BAU Emissions 2025-2030</t>
  </si>
  <si>
    <t>BAU Emissions 2025-2050</t>
  </si>
  <si>
    <t>GHP Emissions 2025-2030</t>
  </si>
  <si>
    <t>GHP Emissions 2025-2050</t>
  </si>
  <si>
    <t>Space Cooling</t>
  </si>
  <si>
    <t>ALL</t>
  </si>
  <si>
    <t>Central Air</t>
  </si>
  <si>
    <t>3 Gas Boilers</t>
  </si>
  <si>
    <t>% Change</t>
  </si>
  <si>
    <t>MT</t>
  </si>
  <si>
    <t>N2O from Nat Gas, 2021</t>
  </si>
  <si>
    <t>CH4 from Nat Gas, 2021</t>
  </si>
  <si>
    <t>kt</t>
  </si>
  <si>
    <t>Combustion</t>
  </si>
  <si>
    <t>CO2 Factor</t>
  </si>
  <si>
    <t>N2O Factor</t>
  </si>
  <si>
    <t>CH4 factor</t>
  </si>
  <si>
    <t>Heat Content</t>
  </si>
  <si>
    <t>mmBtu/scf</t>
  </si>
  <si>
    <t>kg/mmBtu</t>
  </si>
  <si>
    <t>g/mmBtu</t>
  </si>
  <si>
    <t>MT/mmBtu</t>
  </si>
  <si>
    <t>Transmission</t>
  </si>
  <si>
    <t>tcf</t>
  </si>
  <si>
    <t>Natural Gas weight/volume factor</t>
  </si>
  <si>
    <t>https://www.cbs.nl/en-gb/our-services/methods/definitions/weight-units-energy#:~:text=Calculating%20weight%20from%20cubic%20metres,gas%3A%20variable%20dependent%20on%20composition.</t>
  </si>
  <si>
    <t>kg/m^3</t>
  </si>
  <si>
    <t>trillion kg</t>
  </si>
  <si>
    <t>https://www.epa.gov/system/files/documents/2023-04/US-GHG-Inventory-2023-Main-Text.pdf</t>
  </si>
  <si>
    <t>MMT</t>
  </si>
  <si>
    <t>Total NatGas Produced in US (tcf, 2021)</t>
  </si>
  <si>
    <t>Total NatGas Produced in US (2021)</t>
  </si>
  <si>
    <t>% CH4 Fugitive Emissions</t>
  </si>
  <si>
    <t>% N2O Fugitive Emissions</t>
  </si>
  <si>
    <t>https://www.epa.gov/system/files/documents/2023-04/emission-factors_sept2021.pdf</t>
  </si>
  <si>
    <t>GHG Reduction Goals</t>
  </si>
  <si>
    <t>Pollutant</t>
  </si>
  <si>
    <t>Authority</t>
  </si>
  <si>
    <t>Goal</t>
  </si>
  <si>
    <t>State</t>
  </si>
  <si>
    <t>https://portal.ct.gov/DEEP/Climate-Change/Connecticut-Legislation--Executive-Orders-on-Climate</t>
  </si>
  <si>
    <t>Federal</t>
  </si>
  <si>
    <t>Source</t>
  </si>
  <si>
    <t>No goal set, assume same as CO2</t>
  </si>
  <si>
    <t>https://www.epa.gov/system/files/documents/2023-12/epas-final-rule-for-oil-and-gas-operations.-overview-fact-sheet.pdf</t>
  </si>
  <si>
    <r>
      <rPr>
        <sz val="10"/>
        <rFont val="Times New Roman"/>
        <family val="1"/>
      </rPr>
      <t>Note: Values rounded to two significant figures. Totals may not appear to add correctly due to rounding.</t>
    </r>
  </si>
  <si>
    <r>
      <rPr>
        <b/>
        <sz val="10"/>
        <rFont val="Times New Roman"/>
        <family val="1"/>
      </rPr>
      <t xml:space="preserve">Methane
</t>
    </r>
    <r>
      <rPr>
        <b/>
        <vertAlign val="superscript"/>
        <sz val="10"/>
        <rFont val="Times New Roman"/>
        <family val="1"/>
      </rPr>
      <t>(metric tons CO</t>
    </r>
    <r>
      <rPr>
        <b/>
        <sz val="6.5"/>
        <rFont val="Times New Roman"/>
        <family val="1"/>
      </rPr>
      <t xml:space="preserve">2 </t>
    </r>
    <r>
      <rPr>
        <b/>
        <vertAlign val="superscript"/>
        <sz val="10"/>
        <rFont val="Times New Roman"/>
        <family val="1"/>
      </rPr>
      <t>Eq.)</t>
    </r>
  </si>
  <si>
    <r>
      <rPr>
        <b/>
        <sz val="10"/>
        <rFont val="Times New Roman"/>
        <family val="1"/>
      </rPr>
      <t>Year</t>
    </r>
  </si>
  <si>
    <t>Table 3-2        Projected Annual Reductions of Methane, VOC, and HAP Emission Reductions under the Final NSPS OOOOb and EG OOOOc, 2024  2038</t>
  </si>
  <si>
    <t>https://www.epa.gov/system/files/documents/2023-12/eo12866_oil-and-gas-nsps-eg-climate-review-2060-av16-ria-20231130.pdf</t>
  </si>
  <si>
    <t>HAP  [Reductions]
(short tons)</t>
  </si>
  <si>
    <t>VOC  [Reductions]
(short tons)</t>
  </si>
  <si>
    <t>Methane  [Reductions]
(short tons)</t>
  </si>
  <si>
    <t>Gas Consumption (energy content)</t>
  </si>
  <si>
    <t>1 ccf = 103,800 Btu = 0.1038 MMBtu = 2.931 cubic meter</t>
  </si>
  <si>
    <t>Annual Energy Consumption (MT)</t>
  </si>
  <si>
    <t>https://www.eia.gov/tools/faqs/faq.php?id=45&amp;t=8</t>
  </si>
  <si>
    <t>MT/m^3</t>
  </si>
  <si>
    <t>Annual Energy Consumption (cubic meter)</t>
  </si>
  <si>
    <t>2028 Combustion CO2 Emissions (MT)</t>
  </si>
  <si>
    <t>BAU PY2028 Energy Consumption (June Start, MT)</t>
  </si>
  <si>
    <t>Grid CO2 Emissions Intensity (lbs CO2/MWh)</t>
  </si>
  <si>
    <t>Grid CO2 Emissions Intensity (lbs CO2/MMBtu)</t>
  </si>
  <si>
    <t>https://www.eia.gov/energyexplained/natural-gas/where-our-natural-gas-comes-from.php</t>
  </si>
  <si>
    <t>80% below what they would be otherwise</t>
  </si>
  <si>
    <t>Annual Gas Production (tcf)</t>
  </si>
  <si>
    <t>https://www.eia.gov/outlooks/aeo/data/browser/#/?id=13-AEO2023&amp;cases=ref2023&amp;sourcekey=0</t>
  </si>
  <si>
    <t>Annual Gas Production (MMT)</t>
  </si>
  <si>
    <t>CH4 Emissions as % of Gas Production</t>
  </si>
  <si>
    <t xml:space="preserve">- </t>
  </si>
  <si>
    <t>Gas Production Year:Year Slope</t>
  </si>
  <si>
    <t>[Methane Reductions (MMT)]</t>
  </si>
  <si>
    <t>-</t>
  </si>
  <si>
    <t>CH4 Emissions from Natural Gas Systems, WITHOUT LEAD RULE (kt)</t>
  </si>
  <si>
    <t>CH4 Emissions from Natural Gas Systems, WITH LEAD RULE (MMT)</t>
  </si>
  <si>
    <t>ASSUME REDUCTIONS PLATEAU AT 2038</t>
  </si>
  <si>
    <t>Electricity Consumption</t>
  </si>
  <si>
    <t>Chiller Electricity Consumption</t>
  </si>
  <si>
    <t>Days</t>
  </si>
  <si>
    <t>On for</t>
  </si>
  <si>
    <t>hours in 2023</t>
  </si>
  <si>
    <t>460 Volt 60 Hz 3 Phase chiller</t>
  </si>
  <si>
    <t>Electricity Consumption (kWh)</t>
  </si>
  <si>
    <t>https://www.trane.com/commercial/north-america/us/en/products-systems/chillers/air-cooled-chillers/cgam.html</t>
  </si>
  <si>
    <t xml:space="preserve">Efficiencies range from 13.7-16.6 EER </t>
  </si>
  <si>
    <t>EER</t>
  </si>
  <si>
    <t>Avg EER:</t>
  </si>
  <si>
    <t>Converted to COP</t>
  </si>
  <si>
    <t>kW</t>
  </si>
  <si>
    <t>Capacity</t>
  </si>
  <si>
    <t>100 tons</t>
  </si>
  <si>
    <t>kWh (2023)</t>
  </si>
  <si>
    <t>2025 CO2 Emissions (MT)</t>
  </si>
  <si>
    <t xml:space="preserve">2025 CO2 Emissions Intensity </t>
  </si>
  <si>
    <t>N2O Emissions as % of Gas Production</t>
  </si>
  <si>
    <t>N2O Emissions from Natural Gas Systems (MMT)</t>
  </si>
  <si>
    <t>N2O Emissions from Natural Gas Systems (MT)</t>
  </si>
  <si>
    <t>Total Consumption (MMBtu &amp; kWh)</t>
  </si>
  <si>
    <t>N/A</t>
  </si>
  <si>
    <t>BAU Fuel</t>
  </si>
  <si>
    <t>Electricity</t>
  </si>
  <si>
    <t>N2O (MT CO2e)</t>
  </si>
  <si>
    <t>BAU</t>
  </si>
  <si>
    <t>CH4 (MT CO2e)</t>
  </si>
  <si>
    <t>MWh Consumed by GHP to Reach Required Energy</t>
  </si>
  <si>
    <t>BAU (Production)</t>
  </si>
  <si>
    <t>BAU (Combustion)</t>
  </si>
  <si>
    <t>GHP
(Grid)</t>
  </si>
  <si>
    <t>GHP 
(Grid)</t>
  </si>
  <si>
    <t>GHP (Grid)</t>
  </si>
  <si>
    <t>BAU (Grid)</t>
  </si>
  <si>
    <r>
      <rPr>
        <b/>
        <sz val="10"/>
        <rFont val="Times New Roman"/>
        <family val="1"/>
      </rPr>
      <t>Total</t>
    </r>
    <r>
      <rPr>
        <b/>
        <sz val="10"/>
        <rFont val="Times New Roman"/>
        <family val="1"/>
      </rPr>
      <t xml:space="preserve"> 2024-2038</t>
    </r>
  </si>
  <si>
    <t>CO2 (MT CO2e)</t>
  </si>
  <si>
    <t>CO2 Emissions from Natural Gas Systems (MMT)</t>
  </si>
  <si>
    <t>CO2 Emissions as % of Gas Production</t>
  </si>
  <si>
    <t>% Emissions Reduced (2025-2030)</t>
  </si>
  <si>
    <t>% Emissions Reduced (2025-2050)</t>
  </si>
  <si>
    <t>Total Cumulative Emissions 2025-2030</t>
  </si>
  <si>
    <t>BAU Emissions (MT CO2e)</t>
  </si>
  <si>
    <t>GHP Emissions (MT CO2e)</t>
  </si>
  <si>
    <t>Project Emissions (MT CO2e)</t>
  </si>
  <si>
    <t>--</t>
  </si>
  <si>
    <t>Furnaces</t>
  </si>
  <si>
    <t>Boiler 1</t>
  </si>
  <si>
    <t>Boiler 2</t>
  </si>
  <si>
    <t>Boiler 3</t>
  </si>
  <si>
    <t>2025-2050 Emissions Graph</t>
  </si>
  <si>
    <t>2025-2030 Emissions Graph</t>
  </si>
  <si>
    <t>BAU Value</t>
  </si>
  <si>
    <t>GHP Begins in June 2028, value is 1/2 BAU, 1/2 GHP</t>
  </si>
  <si>
    <t>Key:</t>
  </si>
  <si>
    <t>Heating (BAU)</t>
  </si>
  <si>
    <t>Cooling (BAU)</t>
  </si>
  <si>
    <t>Heating (GHP)</t>
  </si>
  <si>
    <t>Cooling (GHP)</t>
  </si>
  <si>
    <t>Water Heating (BAU)</t>
  </si>
  <si>
    <t>Water Heating (GHP)</t>
  </si>
  <si>
    <t>CPRG NOFO Appendix B</t>
  </si>
  <si>
    <t>2022 Coefficient</t>
  </si>
  <si>
    <t>2001 Coefficient</t>
  </si>
  <si>
    <t xml:space="preserve"> lb/MWh</t>
  </si>
  <si>
    <t>2040 Coefficient</t>
  </si>
  <si>
    <t>TWh</t>
  </si>
  <si>
    <t>Figure 12, p. 23 of https://portal.ct.gov/-/media/DEEP/energy/IRP/2020-IRP/Appendix-A1--Factor-Inputs-and-Assumptions.pdf</t>
  </si>
  <si>
    <t>Total 2040 CT Electrical Demand</t>
  </si>
  <si>
    <t>CT Fossil Fuel Output, 2040</t>
  </si>
  <si>
    <t>p. 18 of  https://portal.ct.gov/-/media/DEEP/energy/IRP/2020-IRP/Appendix-A1--Factor-Inputs-and-Assumptions.pdf</t>
  </si>
  <si>
    <t xml:space="preserve">Since 14% of electrical demand will be met through fossil fuels in 2040, it is reasonable to assume that despite the 2040 Net Zero emissions goal, there will be a small amount of greenhouse gasses released from the grid. We assume 10% of 2001 levels. </t>
  </si>
  <si>
    <t>PRODUCTION EMISSIONS</t>
  </si>
  <si>
    <t>COMBUSTION EMISSIONS</t>
  </si>
  <si>
    <t>Sources</t>
  </si>
  <si>
    <t>https://www.epa.gov/climateleadership/ghg-emission-factors-hub</t>
  </si>
  <si>
    <t>Gas Production</t>
  </si>
  <si>
    <t>Gas Production Outlook 2023-2050</t>
  </si>
  <si>
    <t>N2O Grid Emissions Intensity</t>
  </si>
  <si>
    <t>CH4 Grid Emissions Intensity</t>
  </si>
  <si>
    <t>CH4 Grid Emissions Intensity (lb/MWh)</t>
  </si>
  <si>
    <t>N2O Grid Emissions Intensity (lb/MWh)</t>
  </si>
  <si>
    <t>2050 Coefficient</t>
  </si>
  <si>
    <t>45% below 2001 levels by 2030, net zero by 2040</t>
  </si>
  <si>
    <t>Grid CO2 Emissions Intensity, Year:Year Slope</t>
  </si>
  <si>
    <t>Modeled on Federal Methane Rule Projections</t>
  </si>
  <si>
    <t>Modeled on State GHG Reduction Goals</t>
  </si>
  <si>
    <t>Modeled on EIA Gas Production Forecast</t>
  </si>
  <si>
    <t>Value from EPA/EIA or Simple Unit Conversion</t>
  </si>
  <si>
    <t>Chiller runs at full capacity for 6 months of the year, May through October</t>
  </si>
  <si>
    <t>We assume chiller runs 12 hours per day.</t>
  </si>
  <si>
    <t>ccf</t>
  </si>
  <si>
    <t>cubic meter</t>
  </si>
  <si>
    <t> Cost and Performance Analysis for Five Existing Geothermal Heat Pump-Based District Energy Systems in the United States (nrel.gov) </t>
  </si>
  <si>
    <t xml:space="preserve">Conservative estimate based on: </t>
  </si>
  <si>
    <t>Energy Star Source Energy Technical Reference</t>
  </si>
  <si>
    <t>2030 Coefficient (Goal: 45% below 2001 levels)</t>
  </si>
  <si>
    <t>Building Energy Use Intensity: Gas-Powered End-Uses</t>
  </si>
  <si>
    <t>Total Annual Building Energy Consumption</t>
  </si>
  <si>
    <t>Source-Site Adjustment</t>
  </si>
  <si>
    <t>Source-Site Adjustment for Electricity</t>
  </si>
  <si>
    <t>Difference (MT CO2e)</t>
  </si>
  <si>
    <t>Total (MT CO2e)</t>
  </si>
  <si>
    <t>Difference in Emissions, 2025-2030</t>
  </si>
  <si>
    <t>Difference in Emisisons, 2025-2050</t>
  </si>
  <si>
    <t>NOx</t>
  </si>
  <si>
    <t>CO</t>
  </si>
  <si>
    <t>https://portal.ct.gov/-/media/deep/climatechange/cprg/ct_pcap.pdf</t>
  </si>
  <si>
    <t>USATEN</t>
  </si>
  <si>
    <t>Heating Capacity</t>
  </si>
  <si>
    <t>Estimating Size Ratio of USATEN to Model "District Geothermal Pilot Installed in a Newly Constructed Neighborhood"</t>
  </si>
  <si>
    <t>Model from CTPCAP</t>
  </si>
  <si>
    <t>Boreholes</t>
  </si>
  <si>
    <t>Tons/Borehole</t>
  </si>
  <si>
    <t>tons</t>
  </si>
  <si>
    <t>Heating Capacity Ratio</t>
  </si>
  <si>
    <t>SO2</t>
  </si>
  <si>
    <t>CT PCAP: 2030 Annual Emissions Reductions in Newly Constructed Neighborhood (lbs)</t>
  </si>
  <si>
    <t>PM (filterable)</t>
  </si>
  <si>
    <t>PM (primary)</t>
  </si>
  <si>
    <t>GHG</t>
  </si>
  <si>
    <t>CAP</t>
  </si>
  <si>
    <t>USATEN Annual Emissions Reductions (lbs)</t>
  </si>
  <si>
    <t>USATEN Emissions Reductions, 2025-2050 (lbs)</t>
  </si>
  <si>
    <t>Modeling CAP Emissions Reductions</t>
  </si>
  <si>
    <t>USATEN Emissions Reductions by GHG</t>
  </si>
  <si>
    <t>USATEN Annual Emissions Reductions, 2025-2050 (MT CO2e)</t>
  </si>
  <si>
    <t>USATEN Annual Emissions Reductions, 2025-2030 (MT CO2e)</t>
  </si>
  <si>
    <t>(lb)</t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</si>
  <si>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</si>
  <si>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N</t>
    </r>
    <r>
      <rPr>
        <vertAlign val="subscript"/>
        <sz val="11"/>
        <color rgb="FF000000"/>
        <rFont val="Aptos Narrow"/>
        <family val="2"/>
      </rPr>
      <t>2</t>
    </r>
    <r>
      <rPr>
        <sz val="11"/>
        <color rgb="FF000000"/>
        <rFont val="Aptos Narrow"/>
        <family val="2"/>
      </rPr>
      <t>O</t>
    </r>
  </si>
  <si>
    <r>
      <t>CH</t>
    </r>
    <r>
      <rPr>
        <vertAlign val="subscript"/>
        <sz val="11"/>
        <color rgb="FF000000"/>
        <rFont val="Aptos Narrow"/>
        <family val="2"/>
      </rPr>
      <t>4</t>
    </r>
  </si>
  <si>
    <t xml:space="preserve">Assume net zero since CT has a zero emissions target for 2040, Massachusetts target is net zero 2050, Rhode Island renewable electricity 2033, and Maine 100% renewable energy 2050. </t>
  </si>
  <si>
    <t>Contribution to Overall Emissions: BAU 2025-2050</t>
  </si>
  <si>
    <t>Contribution to Overall Emissions: GHP 2025-2050</t>
  </si>
  <si>
    <t>Total Urban Toxics HAP</t>
  </si>
  <si>
    <t>Annual Change in Emissions (MT CO2e)</t>
  </si>
  <si>
    <t>Annual Change in Emissions (%)</t>
  </si>
  <si>
    <t>See "Union Station Gas Consumption"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</si>
</sst>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[$-10409]m/d/yyyy"/>
    <numFmt numFmtId="165" formatCode="[$-10409]#,##0;\-#,##0"/>
    <numFmt numFmtId="166" formatCode="0.0"/>
    <numFmt numFmtId="167" formatCode="0.0%"/>
    <numFmt numFmtId="168" formatCode="0.000000%"/>
    <numFmt numFmtId="169" formatCode="_(* #,##0.0000_);_(* \(#,##0.0000\);_(* &quot;-&quot;??_);_(@_)"/>
    <numFmt numFmtId="170" formatCode="_(* #,##0.000000_);_(* \(#,##0.000000\);_(* &quot;-&quot;??_);_(@_)"/>
    <numFmt numFmtId="171" formatCode="0.000"/>
    <numFmt numFmtId="172" formatCode="#,###.##"/>
    <numFmt numFmtId="173" formatCode="_(* #,##0_);_(* \(#,##0\);_(* &quot;-&quot;??_);_(@_)"/>
    <numFmt numFmtId="174" formatCode="0,000.0"/>
    <numFmt numFmtId="175" formatCode="0,000"/>
    <numFmt numFmtId="176" formatCode="#,###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FFFF"/>
      <name val="Tahoma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sz val="1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2"/>
    </font>
    <font>
      <b/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2"/>
    </font>
    <font>
      <b/>
      <vertAlign val="superscript"/>
      <sz val="10"/>
      <name val="Times New Roman"/>
      <family val="1"/>
    </font>
    <font>
      <b/>
      <sz val="6.5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sz val="11"/>
      <color theme="1"/>
      <name val="Aptos"/>
      <family val="2"/>
    </font>
    <font>
      <vertAlign val="subscript"/>
      <sz val="11"/>
      <color theme="1"/>
      <name val="Aptos"/>
      <family val="2"/>
    </font>
    <font>
      <sz val="11"/>
      <color rgb="FF000000"/>
      <name val="Aptos Narrow"/>
      <family val="2"/>
    </font>
    <font>
      <vertAlign val="subscript"/>
      <sz val="11"/>
      <color rgb="FF000000"/>
      <name val="Aptos Narrow"/>
      <family val="2"/>
    </font>
  </fonts>
  <fills count="17">
    <fill>
      <patternFill patternType="none"/>
    </fill>
    <fill>
      <patternFill patternType="gray125"/>
    </fill>
    <fill>
      <patternFill patternType="solid">
        <fgColor rgb="FF1C3A70"/>
        <bgColor rgb="FF1C3A70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A6A6A6"/>
        <bgColor indexed="64"/>
      </patternFill>
    </fill>
  </fills>
  <borders count="50">
    <border>
      <left/>
      <right/>
      <top/>
      <bottom/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</cellStyleXfs>
  <cellXfs count="342">
    <xf numFmtId="0" fontId="0" fillId="0" borderId="0" xfId="0"/>
    <xf numFmtId="0" fontId="2" fillId="0" borderId="0" xfId="0" applyFont="1"/>
    <xf numFmtId="14" fontId="0" fillId="0" borderId="0" xfId="0" applyNumberFormat="1"/>
    <xf numFmtId="0" fontId="4" fillId="0" borderId="0" xfId="3" applyFont="1"/>
    <xf numFmtId="0" fontId="5" fillId="2" borderId="1" xfId="3" applyFont="1" applyFill="1" applyBorder="1" applyAlignment="1">
      <alignment horizontal="center" vertical="center" readingOrder="1"/>
    </xf>
    <xf numFmtId="164" fontId="6" fillId="0" borderId="1" xfId="3" applyNumberFormat="1" applyFont="1" applyBorder="1" applyAlignment="1">
      <alignment horizontal="center" vertical="top" readingOrder="1"/>
    </xf>
    <xf numFmtId="165" fontId="6" fillId="0" borderId="1" xfId="3" applyNumberFormat="1" applyFont="1" applyBorder="1" applyAlignment="1">
      <alignment horizontal="right" vertical="top" readingOrder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3" fontId="0" fillId="0" borderId="0" xfId="1" applyFont="1"/>
    <xf numFmtId="0" fontId="7" fillId="0" borderId="0" xfId="4" applyAlignment="1">
      <alignment vertical="center"/>
    </xf>
    <xf numFmtId="43" fontId="0" fillId="0" borderId="0" xfId="0" applyNumberFormat="1"/>
    <xf numFmtId="0" fontId="9" fillId="0" borderId="0" xfId="0" applyFont="1"/>
    <xf numFmtId="0" fontId="9" fillId="3" borderId="0" xfId="0" applyFont="1" applyFill="1"/>
    <xf numFmtId="0" fontId="8" fillId="0" borderId="0" xfId="0" applyFont="1"/>
    <xf numFmtId="0" fontId="0" fillId="4" borderId="0" xfId="0" applyFill="1"/>
    <xf numFmtId="0" fontId="0" fillId="0" borderId="8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14" fontId="2" fillId="7" borderId="0" xfId="0" applyNumberFormat="1" applyFont="1" applyFill="1"/>
    <xf numFmtId="0" fontId="2" fillId="7" borderId="0" xfId="0" applyFont="1" applyFill="1"/>
    <xf numFmtId="14" fontId="0" fillId="4" borderId="0" xfId="0" applyNumberFormat="1" applyFill="1"/>
    <xf numFmtId="14" fontId="8" fillId="4" borderId="0" xfId="0" applyNumberFormat="1" applyFont="1" applyFill="1"/>
    <xf numFmtId="0" fontId="8" fillId="4" borderId="0" xfId="0" applyFont="1" applyFill="1"/>
    <xf numFmtId="9" fontId="0" fillId="0" borderId="0" xfId="2" applyFont="1"/>
    <xf numFmtId="166" fontId="0" fillId="0" borderId="0" xfId="0" applyNumberFormat="1"/>
    <xf numFmtId="0" fontId="7" fillId="0" borderId="0" xfId="4"/>
    <xf numFmtId="9" fontId="0" fillId="0" borderId="0" xfId="0" applyNumberFormat="1"/>
    <xf numFmtId="9" fontId="0" fillId="0" borderId="0" xfId="0" applyNumberFormat="1" applyAlignment="1">
      <alignment vertical="center"/>
    </xf>
    <xf numFmtId="166" fontId="0" fillId="0" borderId="7" xfId="0" applyNumberFormat="1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2" applyNumberFormat="1" applyFont="1"/>
    <xf numFmtId="168" fontId="0" fillId="0" borderId="0" xfId="2" applyNumberFormat="1" applyFont="1"/>
    <xf numFmtId="0" fontId="0" fillId="0" borderId="10" xfId="0" applyBorder="1"/>
    <xf numFmtId="3" fontId="13" fillId="0" borderId="20" xfId="0" applyNumberFormat="1" applyFont="1" applyBorder="1" applyAlignment="1">
      <alignment horizontal="right" vertical="top" shrinkToFit="1"/>
    </xf>
    <xf numFmtId="3" fontId="13" fillId="0" borderId="20" xfId="0" applyNumberFormat="1" applyFont="1" applyBorder="1" applyAlignment="1">
      <alignment horizontal="right" vertical="top" indent="2" shrinkToFit="1"/>
    </xf>
    <xf numFmtId="3" fontId="13" fillId="0" borderId="21" xfId="0" applyNumberFormat="1" applyFont="1" applyBorder="1" applyAlignment="1">
      <alignment horizontal="right" vertical="top" shrinkToFit="1"/>
    </xf>
    <xf numFmtId="3" fontId="13" fillId="0" borderId="21" xfId="0" applyNumberFormat="1" applyFont="1" applyBorder="1" applyAlignment="1">
      <alignment horizontal="right" vertical="top" indent="2" shrinkToFit="1"/>
    </xf>
    <xf numFmtId="1" fontId="16" fillId="0" borderId="21" xfId="0" applyNumberFormat="1" applyFont="1" applyBorder="1" applyAlignment="1">
      <alignment horizontal="left" vertical="top" indent="2" shrinkToFit="1"/>
    </xf>
    <xf numFmtId="3" fontId="13" fillId="0" borderId="0" xfId="0" applyNumberFormat="1" applyFont="1" applyAlignment="1">
      <alignment horizontal="right" vertical="top" shrinkToFit="1"/>
    </xf>
    <xf numFmtId="3" fontId="13" fillId="0" borderId="0" xfId="0" applyNumberFormat="1" applyFont="1" applyAlignment="1">
      <alignment horizontal="right" vertical="top" indent="2" shrinkToFit="1"/>
    </xf>
    <xf numFmtId="1" fontId="16" fillId="0" borderId="0" xfId="0" applyNumberFormat="1" applyFont="1" applyAlignment="1">
      <alignment horizontal="left" vertical="top" indent="2" shrinkToFit="1"/>
    </xf>
    <xf numFmtId="0" fontId="1" fillId="0" borderId="0" xfId="0" applyFont="1"/>
    <xf numFmtId="0" fontId="1" fillId="0" borderId="0" xfId="0" applyFont="1" applyAlignment="1">
      <alignment vertical="center"/>
    </xf>
    <xf numFmtId="0" fontId="11" fillId="0" borderId="0" xfId="0" applyFont="1" applyAlignment="1">
      <alignment horizontal="left" vertical="top" wrapText="1" indent="1"/>
    </xf>
    <xf numFmtId="0" fontId="14" fillId="0" borderId="0" xfId="0" applyFont="1" applyAlignment="1">
      <alignment horizontal="left" vertical="top" wrapText="1" indent="2"/>
    </xf>
    <xf numFmtId="0" fontId="14" fillId="0" borderId="22" xfId="0" applyFont="1" applyBorder="1" applyAlignment="1">
      <alignment horizontal="left" vertical="top" wrapText="1" indent="2"/>
    </xf>
    <xf numFmtId="0" fontId="15" fillId="0" borderId="22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3" fontId="0" fillId="0" borderId="0" xfId="1" applyFont="1" applyAlignment="1">
      <alignment wrapText="1"/>
    </xf>
    <xf numFmtId="43" fontId="0" fillId="0" borderId="0" xfId="0" applyNumberFormat="1" applyAlignment="1">
      <alignment wrapText="1"/>
    </xf>
    <xf numFmtId="169" fontId="0" fillId="0" borderId="0" xfId="0" applyNumberFormat="1"/>
    <xf numFmtId="9" fontId="0" fillId="0" borderId="0" xfId="2" applyFont="1" applyFill="1" applyBorder="1"/>
    <xf numFmtId="10" fontId="0" fillId="0" borderId="0" xfId="2" applyNumberFormat="1" applyFont="1" applyFill="1" applyBorder="1"/>
    <xf numFmtId="0" fontId="15" fillId="0" borderId="0" xfId="0" applyFont="1" applyAlignment="1">
      <alignment horizontal="center" vertical="top" wrapText="1"/>
    </xf>
    <xf numFmtId="1" fontId="16" fillId="4" borderId="0" xfId="0" applyNumberFormat="1" applyFont="1" applyFill="1" applyAlignment="1">
      <alignment horizontal="left" vertical="top" indent="2" shrinkToFit="1"/>
    </xf>
    <xf numFmtId="3" fontId="13" fillId="4" borderId="21" xfId="0" applyNumberFormat="1" applyFont="1" applyFill="1" applyBorder="1" applyAlignment="1">
      <alignment horizontal="right" vertical="top" indent="2" shrinkToFit="1"/>
    </xf>
    <xf numFmtId="3" fontId="13" fillId="4" borderId="21" xfId="0" applyNumberFormat="1" applyFont="1" applyFill="1" applyBorder="1" applyAlignment="1">
      <alignment horizontal="right" vertical="top" shrinkToFit="1"/>
    </xf>
    <xf numFmtId="1" fontId="16" fillId="4" borderId="21" xfId="0" applyNumberFormat="1" applyFont="1" applyFill="1" applyBorder="1" applyAlignment="1">
      <alignment horizontal="left" vertical="top" indent="2" shrinkToFit="1"/>
    </xf>
    <xf numFmtId="0" fontId="2" fillId="4" borderId="0" xfId="0" applyFont="1" applyFill="1"/>
    <xf numFmtId="0" fontId="20" fillId="0" borderId="0" xfId="3" applyFont="1"/>
    <xf numFmtId="0" fontId="20" fillId="8" borderId="24" xfId="3" applyFont="1" applyFill="1" applyBorder="1" applyAlignment="1">
      <alignment horizontal="right"/>
    </xf>
    <xf numFmtId="0" fontId="4" fillId="8" borderId="22" xfId="3" applyFont="1" applyFill="1" applyBorder="1" applyAlignment="1">
      <alignment horizontal="center" vertical="center"/>
    </xf>
    <xf numFmtId="0" fontId="20" fillId="8" borderId="23" xfId="3" applyFont="1" applyFill="1" applyBorder="1"/>
    <xf numFmtId="165" fontId="4" fillId="0" borderId="0" xfId="3" applyNumberFormat="1" applyFont="1"/>
    <xf numFmtId="43" fontId="4" fillId="0" borderId="0" xfId="1" applyFont="1"/>
    <xf numFmtId="46" fontId="4" fillId="0" borderId="0" xfId="3" applyNumberFormat="1" applyFont="1"/>
    <xf numFmtId="43" fontId="22" fillId="0" borderId="0" xfId="1" applyFont="1"/>
    <xf numFmtId="0" fontId="22" fillId="0" borderId="0" xfId="3" applyFont="1"/>
    <xf numFmtId="43" fontId="23" fillId="0" borderId="0" xfId="0" applyNumberFormat="1" applyFont="1" applyAlignment="1">
      <alignment vertical="center" wrapText="1"/>
    </xf>
    <xf numFmtId="43" fontId="0" fillId="0" borderId="0" xfId="0" applyNumberFormat="1" applyAlignment="1">
      <alignment vertical="center" wrapText="1"/>
    </xf>
    <xf numFmtId="43" fontId="0" fillId="0" borderId="7" xfId="0" applyNumberFormat="1" applyBorder="1"/>
    <xf numFmtId="0" fontId="0" fillId="0" borderId="0" xfId="2" applyNumberFormat="1" applyFont="1" applyFill="1" applyBorder="1"/>
    <xf numFmtId="0" fontId="0" fillId="0" borderId="0" xfId="0" applyAlignment="1">
      <alignment horizont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3" fontId="0" fillId="0" borderId="17" xfId="0" applyNumberFormat="1" applyBorder="1"/>
    <xf numFmtId="0" fontId="0" fillId="0" borderId="6" xfId="0" applyBorder="1" applyAlignment="1">
      <alignment horizontal="center"/>
    </xf>
    <xf numFmtId="169" fontId="0" fillId="0" borderId="6" xfId="0" applyNumberFormat="1" applyBorder="1"/>
    <xf numFmtId="169" fontId="0" fillId="0" borderId="7" xfId="0" applyNumberFormat="1" applyBorder="1"/>
    <xf numFmtId="169" fontId="0" fillId="0" borderId="30" xfId="0" applyNumberFormat="1" applyBorder="1"/>
    <xf numFmtId="0" fontId="0" fillId="0" borderId="30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170" fontId="0" fillId="0" borderId="34" xfId="0" applyNumberFormat="1" applyBorder="1"/>
    <xf numFmtId="43" fontId="0" fillId="0" borderId="6" xfId="0" applyNumberFormat="1" applyBorder="1"/>
    <xf numFmtId="43" fontId="0" fillId="10" borderId="18" xfId="0" applyNumberFormat="1" applyFill="1" applyBorder="1" applyAlignment="1">
      <alignment wrapText="1"/>
    </xf>
    <xf numFmtId="43" fontId="0" fillId="0" borderId="30" xfId="0" applyNumberFormat="1" applyBorder="1"/>
    <xf numFmtId="0" fontId="15" fillId="0" borderId="20" xfId="0" applyFont="1" applyBorder="1" applyAlignment="1">
      <alignment horizontal="left" vertical="top" wrapText="1" indent="1"/>
    </xf>
    <xf numFmtId="43" fontId="0" fillId="0" borderId="15" xfId="0" applyNumberFormat="1" applyBorder="1"/>
    <xf numFmtId="43" fontId="0" fillId="0" borderId="2" xfId="0" applyNumberFormat="1" applyBorder="1"/>
    <xf numFmtId="166" fontId="0" fillId="0" borderId="30" xfId="0" applyNumberFormat="1" applyBorder="1"/>
    <xf numFmtId="166" fontId="0" fillId="0" borderId="34" xfId="0" applyNumberFormat="1" applyBorder="1"/>
    <xf numFmtId="0" fontId="0" fillId="10" borderId="36" xfId="0" applyFill="1" applyBorder="1"/>
    <xf numFmtId="0" fontId="0" fillId="10" borderId="37" xfId="0" applyFill="1" applyBorder="1"/>
    <xf numFmtId="0" fontId="0" fillId="0" borderId="37" xfId="0" applyBorder="1"/>
    <xf numFmtId="0" fontId="7" fillId="7" borderId="0" xfId="4" applyNumberFormat="1" applyFill="1" applyBorder="1" applyAlignment="1">
      <alignment wrapText="1"/>
    </xf>
    <xf numFmtId="10" fontId="0" fillId="0" borderId="0" xfId="2" applyNumberFormat="1" applyFont="1" applyBorder="1"/>
    <xf numFmtId="0" fontId="0" fillId="0" borderId="0" xfId="2" applyNumberFormat="1" applyFont="1" applyBorder="1"/>
    <xf numFmtId="168" fontId="0" fillId="0" borderId="0" xfId="2" applyNumberFormat="1" applyFont="1" applyBorder="1"/>
    <xf numFmtId="0" fontId="0" fillId="7" borderId="0" xfId="0" applyFill="1"/>
    <xf numFmtId="167" fontId="0" fillId="0" borderId="0" xfId="2" applyNumberFormat="1" applyFont="1" applyBorder="1"/>
    <xf numFmtId="43" fontId="0" fillId="0" borderId="4" xfId="1" applyFont="1" applyBorder="1"/>
    <xf numFmtId="166" fontId="0" fillId="0" borderId="4" xfId="0" applyNumberFormat="1" applyBorder="1"/>
    <xf numFmtId="43" fontId="0" fillId="0" borderId="0" xfId="1" applyFont="1" applyFill="1" applyBorder="1"/>
    <xf numFmtId="9" fontId="0" fillId="0" borderId="17" xfId="2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43" fontId="0" fillId="0" borderId="3" xfId="0" applyNumberFormat="1" applyBorder="1"/>
    <xf numFmtId="43" fontId="0" fillId="0" borderId="32" xfId="0" applyNumberFormat="1" applyBorder="1"/>
    <xf numFmtId="9" fontId="0" fillId="0" borderId="6" xfId="2" applyFont="1" applyFill="1" applyBorder="1"/>
    <xf numFmtId="9" fontId="0" fillId="0" borderId="27" xfId="2" applyFont="1" applyFill="1" applyBorder="1"/>
    <xf numFmtId="0" fontId="0" fillId="0" borderId="7" xfId="0" applyBorder="1" applyAlignment="1">
      <alignment horizontal="center" wrapText="1"/>
    </xf>
    <xf numFmtId="9" fontId="0" fillId="0" borderId="7" xfId="2" applyFont="1" applyFill="1" applyBorder="1"/>
    <xf numFmtId="43" fontId="0" fillId="0" borderId="33" xfId="1" applyFont="1" applyBorder="1"/>
    <xf numFmtId="43" fontId="0" fillId="0" borderId="32" xfId="1" applyFont="1" applyBorder="1"/>
    <xf numFmtId="43" fontId="0" fillId="0" borderId="34" xfId="1" applyFont="1" applyFill="1" applyBorder="1"/>
    <xf numFmtId="43" fontId="0" fillId="0" borderId="30" xfId="1" applyFont="1" applyFill="1" applyBorder="1"/>
    <xf numFmtId="43" fontId="0" fillId="0" borderId="5" xfId="1" applyFont="1" applyBorder="1"/>
    <xf numFmtId="43" fontId="0" fillId="0" borderId="7" xfId="1" applyFont="1" applyFill="1" applyBorder="1"/>
    <xf numFmtId="43" fontId="0" fillId="0" borderId="3" xfId="1" applyFont="1" applyBorder="1"/>
    <xf numFmtId="43" fontId="0" fillId="0" borderId="6" xfId="1" applyFont="1" applyFill="1" applyBorder="1"/>
    <xf numFmtId="9" fontId="2" fillId="12" borderId="0" xfId="2" applyFont="1" applyFill="1" applyBorder="1" applyAlignment="1">
      <alignment horizontal="center" vertical="center"/>
    </xf>
    <xf numFmtId="9" fontId="2" fillId="12" borderId="17" xfId="2" applyFont="1" applyFill="1" applyBorder="1" applyAlignment="1">
      <alignment horizontal="center" vertical="center"/>
    </xf>
    <xf numFmtId="169" fontId="0" fillId="0" borderId="34" xfId="0" applyNumberFormat="1" applyBorder="1"/>
    <xf numFmtId="43" fontId="0" fillId="10" borderId="13" xfId="0" applyNumberFormat="1" applyFill="1" applyBorder="1" applyAlignment="1">
      <alignment horizontal="right" wrapText="1"/>
    </xf>
    <xf numFmtId="0" fontId="0" fillId="10" borderId="15" xfId="0" applyFill="1" applyBorder="1" applyAlignment="1">
      <alignment horizontal="right"/>
    </xf>
    <xf numFmtId="0" fontId="0" fillId="0" borderId="15" xfId="0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3" fontId="2" fillId="12" borderId="0" xfId="0" applyNumberFormat="1" applyFont="1" applyFill="1" applyAlignment="1">
      <alignment horizontal="center" vertical="center"/>
    </xf>
    <xf numFmtId="169" fontId="0" fillId="13" borderId="30" xfId="0" applyNumberFormat="1" applyFill="1" applyBorder="1"/>
    <xf numFmtId="169" fontId="0" fillId="13" borderId="7" xfId="0" applyNumberFormat="1" applyFill="1" applyBorder="1"/>
    <xf numFmtId="169" fontId="0" fillId="13" borderId="6" xfId="0" applyNumberFormat="1" applyFill="1" applyBorder="1"/>
    <xf numFmtId="169" fontId="0" fillId="13" borderId="0" xfId="0" applyNumberFormat="1" applyFill="1"/>
    <xf numFmtId="43" fontId="24" fillId="11" borderId="30" xfId="0" applyNumberFormat="1" applyFont="1" applyFill="1" applyBorder="1"/>
    <xf numFmtId="166" fontId="24" fillId="11" borderId="30" xfId="0" applyNumberFormat="1" applyFont="1" applyFill="1" applyBorder="1"/>
    <xf numFmtId="166" fontId="24" fillId="11" borderId="7" xfId="0" applyNumberFormat="1" applyFont="1" applyFill="1" applyBorder="1"/>
    <xf numFmtId="169" fontId="24" fillId="11" borderId="6" xfId="0" applyNumberFormat="1" applyFont="1" applyFill="1" applyBorder="1"/>
    <xf numFmtId="169" fontId="24" fillId="11" borderId="0" xfId="0" applyNumberFormat="1" applyFont="1" applyFill="1"/>
    <xf numFmtId="169" fontId="24" fillId="11" borderId="30" xfId="0" applyNumberFormat="1" applyFont="1" applyFill="1" applyBorder="1"/>
    <xf numFmtId="169" fontId="24" fillId="11" borderId="7" xfId="0" applyNumberFormat="1" applyFont="1" applyFill="1" applyBorder="1"/>
    <xf numFmtId="0" fontId="0" fillId="7" borderId="7" xfId="0" applyFill="1" applyBorder="1" applyAlignment="1">
      <alignment horizontal="center"/>
    </xf>
    <xf numFmtId="9" fontId="0" fillId="13" borderId="7" xfId="2" applyFont="1" applyFill="1" applyBorder="1"/>
    <xf numFmtId="9" fontId="24" fillId="11" borderId="7" xfId="2" applyFont="1" applyFill="1" applyBorder="1"/>
    <xf numFmtId="0" fontId="2" fillId="0" borderId="41" xfId="0" applyFont="1" applyBorder="1" applyAlignment="1">
      <alignment horizontal="left"/>
    </xf>
    <xf numFmtId="0" fontId="2" fillId="0" borderId="42" xfId="0" applyFont="1" applyBorder="1" applyAlignment="1">
      <alignment horizontal="left"/>
    </xf>
    <xf numFmtId="167" fontId="0" fillId="0" borderId="7" xfId="2" applyNumberFormat="1" applyFont="1" applyFill="1" applyBorder="1"/>
    <xf numFmtId="9" fontId="2" fillId="12" borderId="9" xfId="2" applyFont="1" applyFill="1" applyBorder="1" applyAlignment="1">
      <alignment horizontal="center"/>
    </xf>
    <xf numFmtId="43" fontId="23" fillId="0" borderId="0" xfId="0" quotePrefix="1" applyNumberFormat="1" applyFont="1" applyAlignment="1">
      <alignment vertical="center" wrapText="1"/>
    </xf>
    <xf numFmtId="0" fontId="0" fillId="7" borderId="6" xfId="0" applyFill="1" applyBorder="1"/>
    <xf numFmtId="9" fontId="0" fillId="7" borderId="0" xfId="2" applyFont="1" applyFill="1" applyBorder="1" applyAlignment="1"/>
    <xf numFmtId="43" fontId="0" fillId="10" borderId="19" xfId="0" applyNumberFormat="1" applyFill="1" applyBorder="1" applyAlignment="1">
      <alignment wrapText="1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9" fontId="0" fillId="7" borderId="29" xfId="2" applyFont="1" applyFill="1" applyBorder="1" applyAlignment="1"/>
    <xf numFmtId="43" fontId="24" fillId="11" borderId="7" xfId="0" applyNumberFormat="1" applyFont="1" applyFill="1" applyBorder="1"/>
    <xf numFmtId="9" fontId="0" fillId="7" borderId="17" xfId="2" applyFont="1" applyFill="1" applyBorder="1" applyAlignment="1"/>
    <xf numFmtId="9" fontId="0" fillId="0" borderId="17" xfId="2" applyFont="1" applyBorder="1"/>
    <xf numFmtId="0" fontId="11" fillId="0" borderId="0" xfId="0" applyFont="1" applyAlignment="1">
      <alignment horizontal="left" vertical="top" indent="1"/>
    </xf>
    <xf numFmtId="0" fontId="0" fillId="4" borderId="6" xfId="0" applyFill="1" applyBorder="1"/>
    <xf numFmtId="0" fontId="0" fillId="0" borderId="46" xfId="0" applyBorder="1"/>
    <xf numFmtId="9" fontId="0" fillId="13" borderId="47" xfId="2" applyFont="1" applyFill="1" applyBorder="1"/>
    <xf numFmtId="169" fontId="24" fillId="11" borderId="47" xfId="0" applyNumberFormat="1" applyFont="1" applyFill="1" applyBorder="1" applyAlignment="1">
      <alignment horizontal="center"/>
    </xf>
    <xf numFmtId="0" fontId="0" fillId="9" borderId="48" xfId="0" applyFill="1" applyBorder="1"/>
    <xf numFmtId="0" fontId="7" fillId="0" borderId="7" xfId="4" applyBorder="1"/>
    <xf numFmtId="0" fontId="0" fillId="0" borderId="9" xfId="0" applyBorder="1"/>
    <xf numFmtId="167" fontId="0" fillId="0" borderId="0" xfId="2" applyNumberFormat="1" applyFont="1"/>
    <xf numFmtId="0" fontId="0" fillId="6" borderId="6" xfId="0" applyFill="1" applyBorder="1"/>
    <xf numFmtId="0" fontId="0" fillId="6" borderId="0" xfId="0" applyFill="1"/>
    <xf numFmtId="9" fontId="0" fillId="0" borderId="0" xfId="2" applyFont="1" applyBorder="1"/>
    <xf numFmtId="2" fontId="0" fillId="0" borderId="0" xfId="0" applyNumberFormat="1"/>
    <xf numFmtId="1" fontId="0" fillId="0" borderId="0" xfId="0" applyNumberFormat="1"/>
    <xf numFmtId="1" fontId="1" fillId="0" borderId="0" xfId="0" applyNumberFormat="1" applyFont="1" applyAlignment="1">
      <alignment vertical="center"/>
    </xf>
    <xf numFmtId="0" fontId="0" fillId="0" borderId="15" xfId="0" applyBorder="1" applyAlignment="1">
      <alignment wrapText="1"/>
    </xf>
    <xf numFmtId="0" fontId="0" fillId="7" borderId="0" xfId="0" applyFill="1" applyAlignment="1">
      <alignment wrapText="1"/>
    </xf>
    <xf numFmtId="0" fontId="0" fillId="5" borderId="0" xfId="0" applyFill="1"/>
    <xf numFmtId="0" fontId="0" fillId="0" borderId="0" xfId="0" quotePrefix="1"/>
    <xf numFmtId="0" fontId="0" fillId="4" borderId="15" xfId="0" applyFill="1" applyBorder="1"/>
    <xf numFmtId="0" fontId="0" fillId="6" borderId="15" xfId="0" applyFill="1" applyBorder="1"/>
    <xf numFmtId="0" fontId="0" fillId="0" borderId="17" xfId="0" applyBorder="1"/>
    <xf numFmtId="167" fontId="0" fillId="0" borderId="17" xfId="2" applyNumberFormat="1" applyFont="1" applyBorder="1"/>
    <xf numFmtId="0" fontId="0" fillId="4" borderId="17" xfId="0" applyFill="1" applyBorder="1"/>
    <xf numFmtId="10" fontId="0" fillId="0" borderId="17" xfId="2" applyNumberFormat="1" applyFont="1" applyBorder="1"/>
    <xf numFmtId="0" fontId="2" fillId="0" borderId="0" xfId="0" applyFont="1" applyAlignment="1">
      <alignment wrapText="1"/>
    </xf>
    <xf numFmtId="168" fontId="0" fillId="0" borderId="0" xfId="2" applyNumberFormat="1" applyFont="1" applyFill="1" applyBorder="1"/>
    <xf numFmtId="168" fontId="0" fillId="0" borderId="17" xfId="2" applyNumberFormat="1" applyFont="1" applyFill="1" applyBorder="1"/>
    <xf numFmtId="0" fontId="7" fillId="7" borderId="15" xfId="4" applyNumberFormat="1" applyFill="1" applyBorder="1" applyAlignment="1">
      <alignment wrapText="1"/>
    </xf>
    <xf numFmtId="0" fontId="0" fillId="0" borderId="15" xfId="2" applyNumberFormat="1" applyFont="1" applyBorder="1"/>
    <xf numFmtId="0" fontId="0" fillId="0" borderId="6" xfId="0" applyBorder="1" applyAlignment="1">
      <alignment wrapText="1"/>
    </xf>
    <xf numFmtId="0" fontId="1" fillId="0" borderId="0" xfId="0" applyFont="1" applyAlignment="1">
      <alignment horizontal="left" vertical="center"/>
    </xf>
    <xf numFmtId="1" fontId="0" fillId="0" borderId="7" xfId="0" applyNumberFormat="1" applyBorder="1"/>
    <xf numFmtId="0" fontId="0" fillId="12" borderId="0" xfId="0" applyFill="1"/>
    <xf numFmtId="1" fontId="0" fillId="5" borderId="6" xfId="0" applyNumberFormat="1" applyFill="1" applyBorder="1"/>
    <xf numFmtId="1" fontId="0" fillId="12" borderId="6" xfId="0" applyNumberFormat="1" applyFill="1" applyBorder="1"/>
    <xf numFmtId="0" fontId="0" fillId="12" borderId="15" xfId="0" applyFill="1" applyBorder="1"/>
    <xf numFmtId="0" fontId="0" fillId="14" borderId="0" xfId="0" applyFill="1"/>
    <xf numFmtId="0" fontId="0" fillId="11" borderId="0" xfId="0" applyFill="1"/>
    <xf numFmtId="0" fontId="0" fillId="11" borderId="17" xfId="0" applyFill="1" applyBorder="1"/>
    <xf numFmtId="0" fontId="0" fillId="12" borderId="27" xfId="0" applyFill="1" applyBorder="1"/>
    <xf numFmtId="0" fontId="0" fillId="12" borderId="17" xfId="0" applyFill="1" applyBorder="1"/>
    <xf numFmtId="0" fontId="0" fillId="12" borderId="2" xfId="0" applyFill="1" applyBorder="1"/>
    <xf numFmtId="0" fontId="10" fillId="0" borderId="0" xfId="0" applyFont="1"/>
    <xf numFmtId="0" fontId="2" fillId="0" borderId="0" xfId="0" applyFont="1" applyAlignment="1">
      <alignment vertical="center"/>
    </xf>
    <xf numFmtId="172" fontId="0" fillId="0" borderId="0" xfId="0" applyNumberFormat="1"/>
    <xf numFmtId="0" fontId="0" fillId="15" borderId="0" xfId="0" applyFill="1"/>
    <xf numFmtId="0" fontId="2" fillId="0" borderId="11" xfId="0" applyFont="1" applyBorder="1"/>
    <xf numFmtId="0" fontId="2" fillId="0" borderId="12" xfId="0" applyFont="1" applyBorder="1"/>
    <xf numFmtId="172" fontId="2" fillId="0" borderId="12" xfId="0" applyNumberFormat="1" applyFont="1" applyBorder="1"/>
    <xf numFmtId="0" fontId="2" fillId="0" borderId="17" xfId="0" applyFont="1" applyBorder="1"/>
    <xf numFmtId="0" fontId="0" fillId="15" borderId="17" xfId="0" applyFill="1" applyBorder="1"/>
    <xf numFmtId="172" fontId="0" fillId="0" borderId="6" xfId="0" applyNumberFormat="1" applyBorder="1"/>
    <xf numFmtId="172" fontId="2" fillId="0" borderId="13" xfId="0" applyNumberFormat="1" applyFont="1" applyBorder="1"/>
    <xf numFmtId="172" fontId="0" fillId="15" borderId="15" xfId="0" applyNumberFormat="1" applyFill="1" applyBorder="1"/>
    <xf numFmtId="172" fontId="0" fillId="15" borderId="2" xfId="0" applyNumberFormat="1" applyFill="1" applyBorder="1"/>
    <xf numFmtId="172" fontId="0" fillId="0" borderId="7" xfId="0" applyNumberFormat="1" applyBorder="1"/>
    <xf numFmtId="172" fontId="0" fillId="0" borderId="9" xfId="0" applyNumberFormat="1" applyBorder="1"/>
    <xf numFmtId="172" fontId="0" fillId="0" borderId="10" xfId="0" applyNumberFormat="1" applyBorder="1"/>
    <xf numFmtId="173" fontId="0" fillId="0" borderId="0" xfId="1" applyNumberFormat="1" applyFont="1"/>
    <xf numFmtId="175" fontId="0" fillId="0" borderId="0" xfId="0" applyNumberFormat="1"/>
    <xf numFmtId="2" fontId="0" fillId="0" borderId="0" xfId="1" applyNumberFormat="1" applyFont="1"/>
    <xf numFmtId="174" fontId="0" fillId="0" borderId="0" xfId="1" applyNumberFormat="1" applyFont="1"/>
    <xf numFmtId="0" fontId="25" fillId="0" borderId="45" xfId="0" applyFont="1" applyBorder="1" applyAlignment="1">
      <alignment vertical="center" wrapText="1"/>
    </xf>
    <xf numFmtId="0" fontId="25" fillId="0" borderId="45" xfId="0" applyFont="1" applyBorder="1" applyAlignment="1">
      <alignment horizontal="center" vertical="center" wrapText="1"/>
    </xf>
    <xf numFmtId="1" fontId="25" fillId="0" borderId="45" xfId="0" applyNumberFormat="1" applyFont="1" applyBorder="1" applyAlignment="1">
      <alignment horizontal="center" vertical="center" wrapText="1"/>
    </xf>
    <xf numFmtId="0" fontId="0" fillId="0" borderId="45" xfId="0" applyBorder="1"/>
    <xf numFmtId="9" fontId="0" fillId="0" borderId="45" xfId="2" applyFont="1" applyBorder="1"/>
    <xf numFmtId="10" fontId="0" fillId="0" borderId="45" xfId="2" applyNumberFormat="1" applyFont="1" applyBorder="1"/>
    <xf numFmtId="167" fontId="0" fillId="0" borderId="45" xfId="2" applyNumberFormat="1" applyFont="1" applyBorder="1"/>
    <xf numFmtId="0" fontId="27" fillId="0" borderId="45" xfId="0" applyFont="1" applyBorder="1" applyAlignment="1">
      <alignment horizontal="center" vertical="center" wrapText="1"/>
    </xf>
    <xf numFmtId="1" fontId="27" fillId="0" borderId="45" xfId="0" applyNumberFormat="1" applyFont="1" applyBorder="1" applyAlignment="1">
      <alignment horizontal="center" vertical="center" wrapText="1"/>
    </xf>
    <xf numFmtId="171" fontId="25" fillId="0" borderId="45" xfId="0" applyNumberFormat="1" applyFont="1" applyBorder="1" applyAlignment="1">
      <alignment horizontal="center" vertical="center" wrapText="1"/>
    </xf>
    <xf numFmtId="176" fontId="0" fillId="0" borderId="0" xfId="1" applyNumberFormat="1" applyFont="1" applyFill="1" applyBorder="1"/>
    <xf numFmtId="176" fontId="0" fillId="0" borderId="0" xfId="0" applyNumberFormat="1"/>
    <xf numFmtId="176" fontId="0" fillId="15" borderId="0" xfId="0" applyNumberFormat="1" applyFill="1"/>
    <xf numFmtId="176" fontId="0" fillId="0" borderId="15" xfId="0" applyNumberFormat="1" applyBorder="1"/>
    <xf numFmtId="0" fontId="0" fillId="0" borderId="34" xfId="0" applyBorder="1"/>
    <xf numFmtId="1" fontId="0" fillId="0" borderId="0" xfId="1" applyNumberFormat="1" applyFont="1" applyFill="1" applyBorder="1"/>
    <xf numFmtId="169" fontId="24" fillId="11" borderId="0" xfId="0" applyNumberFormat="1" applyFont="1" applyFill="1" applyAlignment="1">
      <alignment horizontal="center"/>
    </xf>
    <xf numFmtId="0" fontId="0" fillId="7" borderId="34" xfId="0" applyFill="1" applyBorder="1" applyAlignment="1">
      <alignment horizontal="center"/>
    </xf>
    <xf numFmtId="1" fontId="0" fillId="13" borderId="34" xfId="0" applyNumberFormat="1" applyFill="1" applyBorder="1"/>
    <xf numFmtId="3" fontId="24" fillId="11" borderId="34" xfId="0" applyNumberFormat="1" applyFont="1" applyFill="1" applyBorder="1"/>
    <xf numFmtId="3" fontId="0" fillId="0" borderId="34" xfId="0" applyNumberFormat="1" applyBorder="1"/>
    <xf numFmtId="3" fontId="0" fillId="0" borderId="49" xfId="0" applyNumberFormat="1" applyBorder="1"/>
    <xf numFmtId="3" fontId="0" fillId="0" borderId="33" xfId="1" applyNumberFormat="1" applyFont="1" applyBorder="1"/>
    <xf numFmtId="3" fontId="0" fillId="7" borderId="34" xfId="0" applyNumberFormat="1" applyFill="1" applyBorder="1"/>
    <xf numFmtId="3" fontId="0" fillId="0" borderId="34" xfId="1" applyNumberFormat="1" applyFont="1" applyFill="1" applyBorder="1"/>
    <xf numFmtId="9" fontId="0" fillId="7" borderId="35" xfId="2" applyFont="1" applyFill="1" applyBorder="1"/>
    <xf numFmtId="169" fontId="0" fillId="0" borderId="9" xfId="0" applyNumberFormat="1" applyBorder="1"/>
    <xf numFmtId="1" fontId="0" fillId="13" borderId="0" xfId="0" applyNumberFormat="1" applyFill="1" applyAlignment="1">
      <alignment horizontal="right"/>
    </xf>
    <xf numFmtId="1" fontId="24" fillId="11" borderId="0" xfId="0" applyNumberFormat="1" applyFont="1" applyFill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9" xfId="0" applyNumberFormat="1" applyBorder="1" applyAlignment="1">
      <alignment horizontal="right"/>
    </xf>
    <xf numFmtId="1" fontId="0" fillId="0" borderId="0" xfId="1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" fillId="0" borderId="4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14" borderId="0" xfId="0" applyFill="1" applyAlignment="1">
      <alignment horizontal="center"/>
    </xf>
    <xf numFmtId="0" fontId="0" fillId="11" borderId="0" xfId="0" applyFill="1" applyAlignment="1">
      <alignment horizontal="left"/>
    </xf>
    <xf numFmtId="0" fontId="25" fillId="16" borderId="4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2" xfId="0" applyBorder="1" applyAlignment="1">
      <alignment horizontal="center"/>
    </xf>
    <xf numFmtId="9" fontId="2" fillId="13" borderId="8" xfId="2" applyFont="1" applyFill="1" applyBorder="1" applyAlignment="1">
      <alignment horizontal="center"/>
    </xf>
    <xf numFmtId="9" fontId="2" fillId="13" borderId="9" xfId="2" applyFont="1" applyFill="1" applyBorder="1" applyAlignment="1">
      <alignment horizontal="center"/>
    </xf>
    <xf numFmtId="43" fontId="2" fillId="13" borderId="6" xfId="1" applyFont="1" applyFill="1" applyBorder="1" applyAlignment="1">
      <alignment horizontal="center" vertical="center"/>
    </xf>
    <xf numFmtId="43" fontId="2" fillId="13" borderId="0" xfId="1" applyFont="1" applyFill="1" applyBorder="1" applyAlignment="1">
      <alignment horizontal="center" vertical="center"/>
    </xf>
    <xf numFmtId="9" fontId="2" fillId="7" borderId="6" xfId="2" applyFont="1" applyFill="1" applyBorder="1" applyAlignment="1"/>
    <xf numFmtId="9" fontId="2" fillId="7" borderId="0" xfId="2" applyFont="1" applyFill="1" applyBorder="1" applyAlignment="1"/>
    <xf numFmtId="0" fontId="0" fillId="0" borderId="5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9" fontId="0" fillId="0" borderId="6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9" fontId="0" fillId="0" borderId="30" xfId="2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0" xfId="0" applyFill="1" applyAlignment="1">
      <alignment horizontal="center"/>
    </xf>
    <xf numFmtId="9" fontId="0" fillId="7" borderId="34" xfId="2" applyFont="1" applyFill="1" applyBorder="1" applyAlignment="1">
      <alignment horizontal="center"/>
    </xf>
    <xf numFmtId="9" fontId="0" fillId="7" borderId="0" xfId="2" applyFont="1" applyFill="1" applyBorder="1" applyAlignment="1">
      <alignment horizontal="center"/>
    </xf>
    <xf numFmtId="9" fontId="0" fillId="7" borderId="35" xfId="2" applyFont="1" applyFill="1" applyBorder="1" applyAlignment="1">
      <alignment horizontal="center"/>
    </xf>
    <xf numFmtId="9" fontId="0" fillId="7" borderId="17" xfId="2" applyFont="1" applyFill="1" applyBorder="1" applyAlignment="1">
      <alignment horizontal="center"/>
    </xf>
    <xf numFmtId="9" fontId="2" fillId="12" borderId="9" xfId="2" applyFont="1" applyFill="1" applyBorder="1" applyAlignment="1">
      <alignment horizontal="center"/>
    </xf>
    <xf numFmtId="9" fontId="0" fillId="0" borderId="34" xfId="2" applyFont="1" applyBorder="1" applyAlignment="1">
      <alignment horizontal="center"/>
    </xf>
    <xf numFmtId="9" fontId="0" fillId="0" borderId="7" xfId="2" applyFont="1" applyBorder="1" applyAlignment="1">
      <alignment horizontal="center"/>
    </xf>
    <xf numFmtId="9" fontId="0" fillId="0" borderId="35" xfId="2" applyFont="1" applyBorder="1" applyAlignment="1">
      <alignment horizontal="center"/>
    </xf>
    <xf numFmtId="9" fontId="0" fillId="0" borderId="31" xfId="2" applyFont="1" applyBorder="1" applyAlignment="1">
      <alignment horizontal="center"/>
    </xf>
    <xf numFmtId="9" fontId="0" fillId="0" borderId="27" xfId="2" applyFont="1" applyBorder="1" applyAlignment="1">
      <alignment horizontal="center"/>
    </xf>
    <xf numFmtId="9" fontId="0" fillId="0" borderId="17" xfId="2" applyFont="1" applyBorder="1" applyAlignment="1">
      <alignment horizontal="center"/>
    </xf>
    <xf numFmtId="9" fontId="0" fillId="0" borderId="29" xfId="2" applyFont="1" applyBorder="1" applyAlignment="1">
      <alignment horizontal="center"/>
    </xf>
    <xf numFmtId="9" fontId="0" fillId="0" borderId="5" xfId="2" applyFont="1" applyBorder="1" applyAlignment="1">
      <alignment horizontal="center"/>
    </xf>
    <xf numFmtId="9" fontId="0" fillId="0" borderId="7" xfId="2" applyFont="1" applyFill="1" applyBorder="1" applyAlignment="1">
      <alignment horizontal="center"/>
    </xf>
    <xf numFmtId="9" fontId="0" fillId="0" borderId="29" xfId="2" applyFont="1" applyFill="1" applyBorder="1" applyAlignment="1">
      <alignment horizontal="center"/>
    </xf>
    <xf numFmtId="9" fontId="2" fillId="7" borderId="27" xfId="2" applyFont="1" applyFill="1" applyBorder="1" applyAlignment="1"/>
    <xf numFmtId="9" fontId="2" fillId="7" borderId="17" xfId="2" applyFont="1" applyFill="1" applyBorder="1" applyAlignment="1"/>
    <xf numFmtId="43" fontId="2" fillId="12" borderId="0" xfId="0" applyNumberFormat="1" applyFont="1" applyFill="1" applyAlignment="1">
      <alignment horizontal="center" vertical="center"/>
    </xf>
    <xf numFmtId="9" fontId="2" fillId="12" borderId="0" xfId="2" applyFont="1" applyFill="1" applyBorder="1" applyAlignment="1">
      <alignment horizontal="center" vertical="center"/>
    </xf>
    <xf numFmtId="9" fontId="2" fillId="12" borderId="17" xfId="2" applyFont="1" applyFill="1" applyBorder="1" applyAlignment="1">
      <alignment horizontal="center" vertical="center"/>
    </xf>
    <xf numFmtId="43" fontId="2" fillId="12" borderId="4" xfId="0" applyNumberFormat="1" applyFont="1" applyFill="1" applyBorder="1" applyAlignment="1">
      <alignment vertical="center"/>
    </xf>
    <xf numFmtId="9" fontId="2" fillId="12" borderId="0" xfId="2" applyFont="1" applyFill="1" applyBorder="1" applyAlignment="1">
      <alignment vertical="center"/>
    </xf>
    <xf numFmtId="43" fontId="2" fillId="12" borderId="0" xfId="0" applyNumberFormat="1" applyFont="1" applyFill="1" applyAlignment="1">
      <alignment vertical="center"/>
    </xf>
    <xf numFmtId="9" fontId="2" fillId="12" borderId="17" xfId="2" applyFont="1" applyFill="1" applyBorder="1" applyAlignment="1">
      <alignment vertical="center"/>
    </xf>
    <xf numFmtId="9" fontId="2" fillId="12" borderId="25" xfId="2" applyFont="1" applyFill="1" applyBorder="1" applyAlignment="1">
      <alignment horizontal="center"/>
    </xf>
    <xf numFmtId="0" fontId="22" fillId="0" borderId="0" xfId="3" applyFont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0" xfId="0" applyFill="1"/>
  </cellXfs>
  <cellStyles count="5">
    <cellStyle name="Comma" xfId="1" builtinId="3"/>
    <cellStyle name="Hyperlink" xfId="4" builtinId="8"/>
    <cellStyle name="Normal" xfId="0" builtinId="0"/>
    <cellStyle name="Normal 2" xfId="3" xr:uid="{B5204647-6ECF-44D0-8D19-8D3911F41765}"/>
    <cellStyle name="Percent" xfId="2" builtinId="5"/>
  </cellStyles>
  <dxfs count="0"/>
  <tableStyles count="0" defaultTableStyle="TableStyleMedium2" defaultPivotStyle="PivotStyleLight16"/>
  <colors>
    <mruColors>
      <color rgb="FFFF0000"/>
      <color rgb="FFCAEEFB"/>
      <color rgb="FFEF986D"/>
      <color rgb="FFFFFF99"/>
      <color rgb="FFCE08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Impact of Project on 2025-2030</a:t>
            </a:r>
            <a:r>
              <a:rPr lang="en-US" baseline="0"/>
              <a:t> GHG Emissions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38277093536981E-2"/>
          <c:y val="0.10252412219701475"/>
          <c:w val="0.90508294572024783"/>
          <c:h val="0.768110721315534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'Emissions Summary'!$A$19</c:f>
              <c:strCache>
                <c:ptCount val="1"/>
                <c:pt idx="0">
                  <c:v>Union Station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7741864723170204E-6"/>
                  <c:y val="2.2881086564963274E-3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60-4BE7-AAFE-AAA03B975D2F}"/>
                </c:ext>
              </c:extLst>
            </c:dLbl>
            <c:dLbl>
              <c:idx val="2"/>
              <c:layout>
                <c:manualLayout>
                  <c:x val="-5.7881419182647428E-2"/>
                  <c:y val="-7.603443846635044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160-4BE7-AAFE-AAA03B975D2F}"/>
                </c:ext>
              </c:extLst>
            </c:dLbl>
            <c:dLbl>
              <c:idx val="3"/>
              <c:layout>
                <c:manualLayout>
                  <c:x val="-6.9206044674904488E-2"/>
                  <c:y val="-7.1426290680511026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60-4BE7-AAFE-AAA03B975D2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60-4BE7-AAFE-AAA03B975D2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60-4BE7-AAFE-AAA03B975D2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'Emissions Summary'!$B$17:$G$18</c:f>
              <c:multiLvlStrCache>
                <c:ptCount val="6"/>
                <c:lvl>
                  <c:pt idx="0">
                    <c:v>BAU</c:v>
                  </c:pt>
                  <c:pt idx="1">
                    <c:v>GHP</c:v>
                  </c:pt>
                  <c:pt idx="2">
                    <c:v>BAU</c:v>
                  </c:pt>
                  <c:pt idx="3">
                    <c:v>GHP</c:v>
                  </c:pt>
                  <c:pt idx="4">
                    <c:v>BAU</c:v>
                  </c:pt>
                  <c:pt idx="5">
                    <c:v>GHP</c:v>
                  </c:pt>
                </c:lvl>
                <c:lvl>
                  <c:pt idx="0">
                    <c:v>Space Heating</c:v>
                  </c:pt>
                  <c:pt idx="2">
                    <c:v>Cooling</c:v>
                  </c:pt>
                  <c:pt idx="4">
                    <c:v>Water Heating</c:v>
                  </c:pt>
                </c:lvl>
              </c:multiLvlStrCache>
            </c:multiLvlStrRef>
          </c:cat>
          <c:val>
            <c:numRef>
              <c:f>'Emissions Summary'!$B$19:$G$19</c:f>
              <c:numCache>
                <c:formatCode>_(* #,##0.00_);_(* \(#,##0.00\);_(* "-"??_);_(@_)</c:formatCode>
                <c:ptCount val="6"/>
                <c:pt idx="0">
                  <c:v>1453.851028768976</c:v>
                </c:pt>
                <c:pt idx="1">
                  <c:v>939.89040434414881</c:v>
                </c:pt>
                <c:pt idx="2">
                  <c:v>264.65028653143372</c:v>
                </c:pt>
                <c:pt idx="3">
                  <c:v>225.22391624189746</c:v>
                </c:pt>
                <c:pt idx="4" formatCode="General">
                  <c:v>0</c:v>
                </c:pt>
                <c:pt idx="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60-4BE7-AAFE-AAA03B975D2F}"/>
            </c:ext>
          </c:extLst>
        </c:ser>
        <c:ser>
          <c:idx val="1"/>
          <c:order val="1"/>
          <c:tx>
            <c:strRef>
              <c:f>'Emissions Summary'!$A$20</c:f>
              <c:strCache>
                <c:ptCount val="1"/>
                <c:pt idx="0">
                  <c:v>Multifamily</c:v>
                </c:pt>
              </c:strCache>
            </c:strRef>
          </c:tx>
          <c:spPr>
            <a:solidFill>
              <a:srgbClr val="EF986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'Emissions Summary'!$B$17:$G$18</c:f>
              <c:multiLvlStrCache>
                <c:ptCount val="6"/>
                <c:lvl>
                  <c:pt idx="0">
                    <c:v>BAU</c:v>
                  </c:pt>
                  <c:pt idx="1">
                    <c:v>GHP</c:v>
                  </c:pt>
                  <c:pt idx="2">
                    <c:v>BAU</c:v>
                  </c:pt>
                  <c:pt idx="3">
                    <c:v>GHP</c:v>
                  </c:pt>
                  <c:pt idx="4">
                    <c:v>BAU</c:v>
                  </c:pt>
                  <c:pt idx="5">
                    <c:v>GHP</c:v>
                  </c:pt>
                </c:lvl>
                <c:lvl>
                  <c:pt idx="0">
                    <c:v>Space Heating</c:v>
                  </c:pt>
                  <c:pt idx="2">
                    <c:v>Cooling</c:v>
                  </c:pt>
                  <c:pt idx="4">
                    <c:v>Water Heating</c:v>
                  </c:pt>
                </c:lvl>
              </c:multiLvlStrCache>
            </c:multiLvlStrRef>
          </c:cat>
          <c:val>
            <c:numRef>
              <c:f>'Emissions Summary'!$B$20:$G$20</c:f>
              <c:numCache>
                <c:formatCode>_(* #,##0.00_);_(* \(#,##0.00\);_(* "-"??_);_(@_)</c:formatCode>
                <c:ptCount val="6"/>
                <c:pt idx="0">
                  <c:v>12727.078615940814</c:v>
                </c:pt>
                <c:pt idx="1">
                  <c:v>8574.3147112031384</c:v>
                </c:pt>
                <c:pt idx="2">
                  <c:v>2876.2406270228962</c:v>
                </c:pt>
                <c:pt idx="3">
                  <c:v>2516.3066333404431</c:v>
                </c:pt>
                <c:pt idx="4">
                  <c:v>3952.7786827666014</c:v>
                </c:pt>
                <c:pt idx="5">
                  <c:v>2655.9674153716501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60-4BE7-AAFE-AAA03B975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5164719"/>
        <c:axId val="1955163759"/>
      </c:barChart>
      <c:catAx>
        <c:axId val="195516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163759"/>
        <c:crosses val="autoZero"/>
        <c:auto val="1"/>
        <c:lblAlgn val="ctr"/>
        <c:lblOffset val="100"/>
        <c:noMultiLvlLbl val="0"/>
      </c:catAx>
      <c:valAx>
        <c:axId val="19551637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GHG Emissions</a:t>
                </a:r>
                <a:r>
                  <a:rPr lang="en-US" baseline="0"/>
                  <a:t> (MT CO2e)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164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/>
              <a:t>Union</a:t>
            </a:r>
            <a:r>
              <a:rPr lang="en-US" sz="2400" baseline="0"/>
              <a:t> Station CO2e Emissions 2025-2050 (BAU v. GHP) </a:t>
            </a:r>
            <a:endParaRPr lang="en-US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'Union Station'!$Q$6</c:f>
              <c:strCache>
                <c:ptCount val="1"/>
                <c:pt idx="0">
                  <c:v>Heating (BAU)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'Union Station'!$A$7:$A$33</c:f>
              <c:numCache>
                <c:formatCode>General</c:formatCode>
                <c:ptCount val="27"/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'Union Station'!$Q$7:$Q$33</c:f>
              <c:numCache>
                <c:formatCode>_(* #,##0.0000_);_(* \(#,##0.0000\);_(* "-"??_);_(@_)</c:formatCode>
                <c:ptCount val="27"/>
                <c:pt idx="1">
                  <c:v>247.74469459776481</c:v>
                </c:pt>
                <c:pt idx="2">
                  <c:v>247.25982849430542</c:v>
                </c:pt>
                <c:pt idx="3">
                  <c:v>246.7810074780493</c:v>
                </c:pt>
                <c:pt idx="4">
                  <c:v>237.34489886742688</c:v>
                </c:pt>
                <c:pt idx="5">
                  <c:v>237.42126456396764</c:v>
                </c:pt>
                <c:pt idx="6">
                  <c:v>237.299334767462</c:v>
                </c:pt>
                <c:pt idx="7">
                  <c:v>237.43313030107618</c:v>
                </c:pt>
                <c:pt idx="8">
                  <c:v>237.35954426156843</c:v>
                </c:pt>
                <c:pt idx="9">
                  <c:v>237.53293991336596</c:v>
                </c:pt>
                <c:pt idx="10">
                  <c:v>237.67733791604059</c:v>
                </c:pt>
                <c:pt idx="11">
                  <c:v>237.80591502216274</c:v>
                </c:pt>
                <c:pt idx="12">
                  <c:v>237.69027512170612</c:v>
                </c:pt>
                <c:pt idx="13">
                  <c:v>237.79139089891754</c:v>
                </c:pt>
                <c:pt idx="14">
                  <c:v>237.86611272354421</c:v>
                </c:pt>
                <c:pt idx="15">
                  <c:v>237.9319324581738</c:v>
                </c:pt>
                <c:pt idx="16">
                  <c:v>237.96889979146115</c:v>
                </c:pt>
                <c:pt idx="17">
                  <c:v>238.00069308973883</c:v>
                </c:pt>
                <c:pt idx="18">
                  <c:v>238.04714621305069</c:v>
                </c:pt>
                <c:pt idx="19">
                  <c:v>238.07675351809669</c:v>
                </c:pt>
                <c:pt idx="20">
                  <c:v>238.09703197358272</c:v>
                </c:pt>
                <c:pt idx="21">
                  <c:v>238.13650273042842</c:v>
                </c:pt>
                <c:pt idx="22">
                  <c:v>238.09340486250161</c:v>
                </c:pt>
                <c:pt idx="23">
                  <c:v>238.14668596605878</c:v>
                </c:pt>
                <c:pt idx="24">
                  <c:v>238.16436573670836</c:v>
                </c:pt>
                <c:pt idx="25">
                  <c:v>238.18493842587063</c:v>
                </c:pt>
                <c:pt idx="26">
                  <c:v>238.28003318932403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F0-43F7-A1BD-446501C2D486}"/>
            </c:ext>
          </c:extLst>
        </c:ser>
        <c:ser>
          <c:idx val="1"/>
          <c:order val="1"/>
          <c:tx>
            <c:strRef>
              <c:f>'Union Station'!$R$6</c:f>
              <c:strCache>
                <c:ptCount val="1"/>
                <c:pt idx="0">
                  <c:v>Cooling (BAU)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'Union Station'!$A$7:$A$33</c:f>
              <c:numCache>
                <c:formatCode>General</c:formatCode>
                <c:ptCount val="27"/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'Union Station'!$R$7:$R$33</c:f>
              <c:numCache>
                <c:formatCode>_(* #,##0.0000_);_(* \(#,##0.0000\);_(* "-"??_);_(@_)</c:formatCode>
                <c:ptCount val="27"/>
                <c:pt idx="1">
                  <c:v>47.388510089956249</c:v>
                </c:pt>
                <c:pt idx="2">
                  <c:v>46.076458489402654</c:v>
                </c:pt>
                <c:pt idx="3">
                  <c:v>44.764406888849074</c:v>
                </c:pt>
                <c:pt idx="4">
                  <c:v>43.4523552882955</c:v>
                </c:pt>
                <c:pt idx="5">
                  <c:v>42.140303687741913</c:v>
                </c:pt>
                <c:pt idx="6">
                  <c:v>40.828252087188325</c:v>
                </c:pt>
                <c:pt idx="7">
                  <c:v>37.48775873459973</c:v>
                </c:pt>
                <c:pt idx="8">
                  <c:v>34.147265382012293</c:v>
                </c:pt>
                <c:pt idx="9">
                  <c:v>30.806772029423684</c:v>
                </c:pt>
                <c:pt idx="10">
                  <c:v>27.466278676835081</c:v>
                </c:pt>
                <c:pt idx="11">
                  <c:v>24.125785324247644</c:v>
                </c:pt>
                <c:pt idx="12">
                  <c:v>20.785291971659046</c:v>
                </c:pt>
                <c:pt idx="13">
                  <c:v>17.444798619071609</c:v>
                </c:pt>
                <c:pt idx="14">
                  <c:v>14.104305266483008</c:v>
                </c:pt>
                <c:pt idx="15">
                  <c:v>10.763811913894406</c:v>
                </c:pt>
                <c:pt idx="16">
                  <c:v>7.4233185613069681</c:v>
                </c:pt>
                <c:pt idx="17">
                  <c:v>6.6809867051760392</c:v>
                </c:pt>
                <c:pt idx="18">
                  <c:v>5.9386548490454008</c:v>
                </c:pt>
                <c:pt idx="19">
                  <c:v>5.1963229929147614</c:v>
                </c:pt>
                <c:pt idx="20">
                  <c:v>4.4539911367841238</c:v>
                </c:pt>
                <c:pt idx="21">
                  <c:v>3.711659280653484</c:v>
                </c:pt>
                <c:pt idx="22">
                  <c:v>2.9693274245225552</c:v>
                </c:pt>
                <c:pt idx="23">
                  <c:v>2.2269955683919167</c:v>
                </c:pt>
                <c:pt idx="24">
                  <c:v>1.4846637122612776</c:v>
                </c:pt>
                <c:pt idx="25">
                  <c:v>0.74233185613063879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F0-43F7-A1BD-446501C2D486}"/>
            </c:ext>
          </c:extLst>
        </c:ser>
        <c:ser>
          <c:idx val="2"/>
          <c:order val="2"/>
          <c:tx>
            <c:strRef>
              <c:f>'Union Station'!$S$6</c:f>
              <c:strCache>
                <c:ptCount val="1"/>
                <c:pt idx="0">
                  <c:v>Heating (GHP)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'Union Station'!$A$7:$A$33</c:f>
              <c:numCache>
                <c:formatCode>General</c:formatCode>
                <c:ptCount val="27"/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'Union Station'!$S$7:$S$33</c:f>
              <c:numCache>
                <c:formatCode>_(* #,##0.0000_);_(* \(#,##0.0000\);_(* "-"??_);_(@_)</c:formatCode>
                <c:ptCount val="27"/>
                <c:pt idx="1">
                  <c:v>247.74469459776478</c:v>
                </c:pt>
                <c:pt idx="2">
                  <c:v>247.2598284943054</c:v>
                </c:pt>
                <c:pt idx="3">
                  <c:v>246.78100747804928</c:v>
                </c:pt>
                <c:pt idx="4">
                  <c:v>141.94929758143979</c:v>
                </c:pt>
                <c:pt idx="5">
                  <c:v>45.14799915128463</c:v>
                </c:pt>
                <c:pt idx="6">
                  <c:v>11.007577041304984</c:v>
                </c:pt>
                <c:pt idx="7">
                  <c:v>10.106957101561722</c:v>
                </c:pt>
                <c:pt idx="8">
                  <c:v>9.2063371618187748</c:v>
                </c:pt>
                <c:pt idx="9">
                  <c:v>8.3057172220755149</c:v>
                </c:pt>
                <c:pt idx="10">
                  <c:v>7.4050972823322541</c:v>
                </c:pt>
                <c:pt idx="11">
                  <c:v>6.5044773425893077</c:v>
                </c:pt>
                <c:pt idx="12">
                  <c:v>5.6038574028460477</c:v>
                </c:pt>
                <c:pt idx="13">
                  <c:v>4.7032374631031004</c:v>
                </c:pt>
                <c:pt idx="14">
                  <c:v>3.8026175233598405</c:v>
                </c:pt>
                <c:pt idx="15">
                  <c:v>2.9019975836165797</c:v>
                </c:pt>
                <c:pt idx="16">
                  <c:v>2.0013776438736328</c:v>
                </c:pt>
                <c:pt idx="17">
                  <c:v>1.801239879486207</c:v>
                </c:pt>
                <c:pt idx="18">
                  <c:v>1.6011021150988596</c:v>
                </c:pt>
                <c:pt idx="19">
                  <c:v>1.4009643507115119</c:v>
                </c:pt>
                <c:pt idx="20">
                  <c:v>1.2008265863241643</c:v>
                </c:pt>
                <c:pt idx="21">
                  <c:v>1.0006888219368164</c:v>
                </c:pt>
                <c:pt idx="22">
                  <c:v>0.80055105754939071</c:v>
                </c:pt>
                <c:pt idx="23">
                  <c:v>0.60041329316204306</c:v>
                </c:pt>
                <c:pt idx="24">
                  <c:v>0.40027552877469535</c:v>
                </c:pt>
                <c:pt idx="25">
                  <c:v>0.20013776438734768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F0-43F7-A1BD-446501C2D486}"/>
            </c:ext>
          </c:extLst>
        </c:ser>
        <c:ser>
          <c:idx val="3"/>
          <c:order val="3"/>
          <c:tx>
            <c:strRef>
              <c:f>'Union Station'!$T$6</c:f>
              <c:strCache>
                <c:ptCount val="1"/>
                <c:pt idx="0">
                  <c:v>Cooling (GHP)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'Union Station'!$A$7:$A$33</c:f>
              <c:numCache>
                <c:formatCode>General</c:formatCode>
                <c:ptCount val="27"/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'Union Station'!$T$7:$T$33</c:f>
              <c:numCache>
                <c:formatCode>_(* #,##0.0000_);_(* \(#,##0.0000\);_(* "-"??_);_(@_)</c:formatCode>
                <c:ptCount val="27"/>
                <c:pt idx="1">
                  <c:v>47.388510089956249</c:v>
                </c:pt>
                <c:pt idx="2">
                  <c:v>46.076458489402654</c:v>
                </c:pt>
                <c:pt idx="3">
                  <c:v>44.764406888849074</c:v>
                </c:pt>
                <c:pt idx="4">
                  <c:v>25.73036873740806</c:v>
                </c:pt>
                <c:pt idx="5">
                  <c:v>31.116496974954551</c:v>
                </c:pt>
                <c:pt idx="6">
                  <c:v>30.147675061326872</c:v>
                </c:pt>
                <c:pt idx="7">
                  <c:v>27.681047101763419</c:v>
                </c:pt>
                <c:pt idx="8">
                  <c:v>25.214419142200825</c:v>
                </c:pt>
                <c:pt idx="9">
                  <c:v>22.747791182637375</c:v>
                </c:pt>
                <c:pt idx="10">
                  <c:v>20.281163223073921</c:v>
                </c:pt>
                <c:pt idx="11">
                  <c:v>17.814535263511331</c:v>
                </c:pt>
                <c:pt idx="12">
                  <c:v>15.347907303947879</c:v>
                </c:pt>
                <c:pt idx="13">
                  <c:v>12.881279344385288</c:v>
                </c:pt>
                <c:pt idx="14">
                  <c:v>10.414651384821838</c:v>
                </c:pt>
                <c:pt idx="15">
                  <c:v>7.9480234252583868</c:v>
                </c:pt>
                <c:pt idx="16">
                  <c:v>5.4813954656957939</c:v>
                </c:pt>
                <c:pt idx="17">
                  <c:v>4.9332559191260437</c:v>
                </c:pt>
                <c:pt idx="18">
                  <c:v>4.3851163725565057</c:v>
                </c:pt>
                <c:pt idx="19">
                  <c:v>3.8369768259869699</c:v>
                </c:pt>
                <c:pt idx="20">
                  <c:v>3.2888372794174341</c:v>
                </c:pt>
                <c:pt idx="21">
                  <c:v>2.740697732847897</c:v>
                </c:pt>
                <c:pt idx="22">
                  <c:v>2.1925581862781458</c:v>
                </c:pt>
                <c:pt idx="23">
                  <c:v>1.6444186397086096</c:v>
                </c:pt>
                <c:pt idx="24">
                  <c:v>1.0962790931390729</c:v>
                </c:pt>
                <c:pt idx="25">
                  <c:v>0.54813954656953645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F0-43F7-A1BD-446501C2D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279343"/>
        <c:axId val="416280303"/>
      </c:lineChart>
      <c:catAx>
        <c:axId val="416279343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280303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2803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CO2e (MT)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27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Station:</a:t>
            </a:r>
            <a:r>
              <a:rPr lang="en-US" baseline="0"/>
              <a:t> </a:t>
            </a:r>
            <a:r>
              <a:rPr lang="en-US"/>
              <a:t>N</a:t>
            </a:r>
            <a:r>
              <a:rPr lang="en-US" baseline="-25000"/>
              <a:t>2</a:t>
            </a:r>
            <a:r>
              <a:rPr lang="en-US"/>
              <a:t>O Emissions</a:t>
            </a:r>
            <a:r>
              <a:rPr lang="en-US" baseline="0"/>
              <a:t> from Heating</a:t>
            </a:r>
            <a:endParaRPr lang="en-US"/>
          </a:p>
        </c:rich>
      </c:tx>
      <c:layout>
        <c:manualLayout>
          <c:xMode val="edge"/>
          <c:yMode val="edge"/>
          <c:x val="0.38052602456681711"/>
          <c:y val="1.3190436933223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13226690415532E-2"/>
          <c:y val="0.12230832646331412"/>
          <c:w val="0.90857255817268123"/>
          <c:h val="0.69016156986971844"/>
        </c:manualLayout>
      </c:layout>
      <c:areaChart>
        <c:grouping val="standard"/>
        <c:varyColors val="0"/>
        <c:ser>
          <c:idx val="0"/>
          <c:order val="0"/>
          <c:tx>
            <c:strRef>
              <c:f>'Union Station'!$G$7</c:f>
              <c:strCache>
                <c:ptCount val="1"/>
                <c:pt idx="0">
                  <c:v>BAU (Production)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'Union Station'!$A$8:$A$33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'Union Station'!$G$8:$G$33</c:f>
              <c:numCache>
                <c:formatCode>_(* #,##0.0000_);_(* \(#,##0.0000\);_(* "-"??_);_(@_)</c:formatCode>
                <c:ptCount val="26"/>
                <c:pt idx="0">
                  <c:v>7.5198263231773018E-4</c:v>
                </c:pt>
                <c:pt idx="1">
                  <c:v>7.5198263231773029E-4</c:v>
                </c:pt>
                <c:pt idx="2">
                  <c:v>7.5198263231773029E-4</c:v>
                </c:pt>
                <c:pt idx="3">
                  <c:v>7.5198263231773018E-4</c:v>
                </c:pt>
                <c:pt idx="4">
                  <c:v>7.5198263231773018E-4</c:v>
                </c:pt>
                <c:pt idx="5">
                  <c:v>7.5198263231773018E-4</c:v>
                </c:pt>
                <c:pt idx="6">
                  <c:v>7.5198263231773018E-4</c:v>
                </c:pt>
                <c:pt idx="7">
                  <c:v>7.5198263231773029E-4</c:v>
                </c:pt>
                <c:pt idx="8">
                  <c:v>7.5198263231773018E-4</c:v>
                </c:pt>
                <c:pt idx="9">
                  <c:v>7.5198263231773029E-4</c:v>
                </c:pt>
                <c:pt idx="10">
                  <c:v>7.5198263231773029E-4</c:v>
                </c:pt>
                <c:pt idx="11">
                  <c:v>7.5198263231773029E-4</c:v>
                </c:pt>
                <c:pt idx="12">
                  <c:v>7.5198263231773029E-4</c:v>
                </c:pt>
                <c:pt idx="13">
                  <c:v>7.5198263231773029E-4</c:v>
                </c:pt>
                <c:pt idx="14">
                  <c:v>7.5198263231773029E-4</c:v>
                </c:pt>
                <c:pt idx="15">
                  <c:v>7.5198263231773018E-4</c:v>
                </c:pt>
                <c:pt idx="16">
                  <c:v>7.5198263231773018E-4</c:v>
                </c:pt>
                <c:pt idx="17">
                  <c:v>7.5198263231773018E-4</c:v>
                </c:pt>
                <c:pt idx="18">
                  <c:v>7.5198263231773029E-4</c:v>
                </c:pt>
                <c:pt idx="19">
                  <c:v>7.5198263231773018E-4</c:v>
                </c:pt>
                <c:pt idx="20">
                  <c:v>7.5198263231773007E-4</c:v>
                </c:pt>
                <c:pt idx="21">
                  <c:v>7.5198263231773007E-4</c:v>
                </c:pt>
                <c:pt idx="22">
                  <c:v>7.5198263231773018E-4</c:v>
                </c:pt>
                <c:pt idx="23">
                  <c:v>7.5198263231773018E-4</c:v>
                </c:pt>
                <c:pt idx="24">
                  <c:v>7.5198263231773018E-4</c:v>
                </c:pt>
                <c:pt idx="25">
                  <c:v>7.5198263231773018E-4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C5-4E61-BBE7-F03A3BD3EEE8}"/>
            </c:ext>
          </c:extLst>
        </c:ser>
        <c:ser>
          <c:idx val="1"/>
          <c:order val="1"/>
          <c:tx>
            <c:strRef>
              <c:f>'Union Station'!$H$7</c:f>
              <c:strCache>
                <c:ptCount val="1"/>
                <c:pt idx="0">
                  <c:v>BAU (Combustion)</c:v>
                </c:pt>
              </c:strCache>
            </c:strRef>
          </c:tx>
          <c:spPr>
            <a:solidFill>
              <a:srgbClr val="FF0000">
                <a:alpha val="50196"/>
              </a:srgbClr>
            </a:solidFill>
            <a:ln>
              <a:noFill/>
            </a:ln>
            <a:effectLst/>
          </c:spPr>
          <c:cat>
            <c:numRef>
              <c:f>'Union Station'!$A$8:$A$33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'Union Station'!$H$8:$H$33</c:f>
              <c:numCache>
                <c:formatCode>_(* #,##0.0000_);_(* \(#,##0.0000\);_(* "-"??_);_(@_)</c:formatCode>
                <c:ptCount val="26"/>
                <c:pt idx="0">
                  <c:v>0.11353507923389999</c:v>
                </c:pt>
                <c:pt idx="1">
                  <c:v>0.11353507923389999</c:v>
                </c:pt>
                <c:pt idx="2">
                  <c:v>0.11353507923389999</c:v>
                </c:pt>
                <c:pt idx="3">
                  <c:v>0.11353507923389999</c:v>
                </c:pt>
                <c:pt idx="4">
                  <c:v>0.11353507923389999</c:v>
                </c:pt>
                <c:pt idx="5">
                  <c:v>0.11353507923389999</c:v>
                </c:pt>
                <c:pt idx="6">
                  <c:v>0.11353507923389999</c:v>
                </c:pt>
                <c:pt idx="7">
                  <c:v>0.11353507923389999</c:v>
                </c:pt>
                <c:pt idx="8">
                  <c:v>0.11353507923389999</c:v>
                </c:pt>
                <c:pt idx="9">
                  <c:v>0.11353507923389999</c:v>
                </c:pt>
                <c:pt idx="10">
                  <c:v>0.11353507923389999</c:v>
                </c:pt>
                <c:pt idx="11">
                  <c:v>0.11353507923389999</c:v>
                </c:pt>
                <c:pt idx="12">
                  <c:v>0.11353507923389999</c:v>
                </c:pt>
                <c:pt idx="13">
                  <c:v>0.11353507923389999</c:v>
                </c:pt>
                <c:pt idx="14">
                  <c:v>0.11353507923389999</c:v>
                </c:pt>
                <c:pt idx="15">
                  <c:v>0.11353507923389999</c:v>
                </c:pt>
                <c:pt idx="16">
                  <c:v>0.11353507923389999</c:v>
                </c:pt>
                <c:pt idx="17">
                  <c:v>0.11353507923389999</c:v>
                </c:pt>
                <c:pt idx="18">
                  <c:v>0.11353507923389999</c:v>
                </c:pt>
                <c:pt idx="19">
                  <c:v>0.11353507923389999</c:v>
                </c:pt>
                <c:pt idx="20">
                  <c:v>0.11353507923389999</c:v>
                </c:pt>
                <c:pt idx="21">
                  <c:v>0.11353507923389999</c:v>
                </c:pt>
                <c:pt idx="22">
                  <c:v>0.11353507923389999</c:v>
                </c:pt>
                <c:pt idx="23">
                  <c:v>0.11353507923389999</c:v>
                </c:pt>
                <c:pt idx="24">
                  <c:v>0.11353507923389999</c:v>
                </c:pt>
                <c:pt idx="25">
                  <c:v>0.11353507923389999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C5-4E61-BBE7-F03A3BD3EEE8}"/>
            </c:ext>
          </c:extLst>
        </c:ser>
        <c:ser>
          <c:idx val="2"/>
          <c:order val="2"/>
          <c:tx>
            <c:strRef>
              <c:f>'Union Station'!$I$7</c:f>
              <c:strCache>
                <c:ptCount val="1"/>
                <c:pt idx="0">
                  <c:v>GHP (Grid)</c:v>
                </c:pt>
              </c:strCache>
            </c:strRef>
          </c:tx>
          <c:spPr>
            <a:solidFill>
              <a:srgbClr val="0070C0">
                <a:alpha val="50196"/>
              </a:srgbClr>
            </a:solidFill>
            <a:ln>
              <a:noFill/>
            </a:ln>
            <a:effectLst/>
          </c:spPr>
          <c:cat>
            <c:numRef>
              <c:f>'Union Station'!$A$8:$A$33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'Union Station'!$I$8:$I$33</c:f>
              <c:numCache>
                <c:formatCode>_(* #,##0.0000_);_(* \(#,##0.0000\);_(* "-"??_);_(@_)</c:formatCode>
                <c:ptCount val="26"/>
                <c:pt idx="0">
                  <c:v>0.11428706186621772</c:v>
                </c:pt>
                <c:pt idx="1">
                  <c:v>0.11428706186621772</c:v>
                </c:pt>
                <c:pt idx="2">
                  <c:v>0.11428706186621772</c:v>
                </c:pt>
                <c:pt idx="3">
                  <c:v>0.137511926303828</c:v>
                </c:pt>
                <c:pt idx="4">
                  <c:v>0.15588331474086442</c:v>
                </c:pt>
                <c:pt idx="5">
                  <c:v>0.15102983874029058</c:v>
                </c:pt>
                <c:pt idx="6">
                  <c:v>0.13867285193426507</c:v>
                </c:pt>
                <c:pt idx="7">
                  <c:v>0.12631586512824386</c:v>
                </c:pt>
                <c:pt idx="8">
                  <c:v>0.1139588783222184</c:v>
                </c:pt>
                <c:pt idx="9">
                  <c:v>0.10160189151619292</c:v>
                </c:pt>
                <c:pt idx="10">
                  <c:v>8.9244904710171727E-2</c:v>
                </c:pt>
                <c:pt idx="11">
                  <c:v>7.6887917904146216E-2</c:v>
                </c:pt>
                <c:pt idx="12">
                  <c:v>6.4530931098125036E-2</c:v>
                </c:pt>
                <c:pt idx="13">
                  <c:v>5.2173944292099532E-2</c:v>
                </c:pt>
                <c:pt idx="14">
                  <c:v>3.9816957486074042E-2</c:v>
                </c:pt>
                <c:pt idx="15">
                  <c:v>2.7459970680052837E-2</c:v>
                </c:pt>
                <c:pt idx="16">
                  <c:v>2.4713973612046695E-2</c:v>
                </c:pt>
                <c:pt idx="17">
                  <c:v>2.1967976544041624E-2</c:v>
                </c:pt>
                <c:pt idx="18">
                  <c:v>1.9221979476036554E-2</c:v>
                </c:pt>
                <c:pt idx="19">
                  <c:v>1.6475982408031487E-2</c:v>
                </c:pt>
                <c:pt idx="20">
                  <c:v>1.3729985340026419E-2</c:v>
                </c:pt>
                <c:pt idx="21">
                  <c:v>1.0983988272020274E-2</c:v>
                </c:pt>
                <c:pt idx="22">
                  <c:v>8.2379912040152058E-3</c:v>
                </c:pt>
                <c:pt idx="23">
                  <c:v>5.4919941360101381E-3</c:v>
                </c:pt>
                <c:pt idx="24">
                  <c:v>2.745997068005069E-3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C5-4E61-BBE7-F03A3BD3E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80271"/>
        <c:axId val="589870191"/>
      </c:areaChart>
      <c:dateAx>
        <c:axId val="589880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70191"/>
        <c:crosses val="autoZero"/>
        <c:auto val="0"/>
        <c:lblOffset val="100"/>
        <c:baseTimeUnit val="days"/>
      </c:dateAx>
      <c:valAx>
        <c:axId val="5898701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  <a:r>
                  <a:rPr lang="en-US" baseline="-25000"/>
                  <a:t>2</a:t>
                </a:r>
                <a:r>
                  <a:rPr lang="en-US"/>
                  <a:t>O Emisisons (MT CO</a:t>
                </a:r>
                <a:r>
                  <a:rPr lang="en-US" baseline="-25000"/>
                  <a:t>2</a:t>
                </a:r>
                <a:r>
                  <a:rPr lang="en-US"/>
                  <a:t>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80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510427120909032"/>
          <c:y val="0.88870490941311642"/>
          <c:w val="0.37320345901800817"/>
          <c:h val="9.1509435187048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Station</a:t>
            </a:r>
            <a:r>
              <a:rPr lang="en-US" baseline="0"/>
              <a:t> Electricity Consumption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'Union Electricity Consumption'!$C$2</c:f>
              <c:strCache>
                <c:ptCount val="1"/>
                <c:pt idx="0">
                  <c:v>Usage Total (kWh/MMBTU)</c:v>
                </c:pt>
              </c:strCache>
            </c:strRef>
          </c:tx>
          <c:spPr>
            <a:solidFill>
              <a:srgbClr val="FFCC00"/>
            </a:solidFill>
            <a:ln w="28575"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AC-47E8-BF79-68AE815D7F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AC-47E8-BF79-68AE815D7F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'Union Electricity Consumption'!$B$3:$B$17</c:f>
              <c:numCache>
                <c:formatCode>[$-10409]m/d/yyyy</c:formatCode>
                <c:ptCount val="15"/>
                <c:pt idx="0">
                  <c:v>45328</c:v>
                </c:pt>
                <c:pt idx="1">
                  <c:v>45295</c:v>
                </c:pt>
                <c:pt idx="2">
                  <c:v>45266</c:v>
                </c:pt>
                <c:pt idx="3">
                  <c:v>45236</c:v>
                </c:pt>
                <c:pt idx="4">
                  <c:v>45207</c:v>
                </c:pt>
                <c:pt idx="5">
                  <c:v>45176</c:v>
                </c:pt>
                <c:pt idx="6">
                  <c:v>45145</c:v>
                </c:pt>
                <c:pt idx="7">
                  <c:v>45116</c:v>
                </c:pt>
                <c:pt idx="8">
                  <c:v>45084</c:v>
                </c:pt>
                <c:pt idx="9">
                  <c:v>45054</c:v>
                </c:pt>
                <c:pt idx="10">
                  <c:v>45025</c:v>
                </c:pt>
                <c:pt idx="11">
                  <c:v>45025</c:v>
                </c:pt>
                <c:pt idx="12">
                  <c:v>44993</c:v>
                </c:pt>
                <c:pt idx="13">
                  <c:v>44993</c:v>
                </c:pt>
                <c:pt idx="14">
                  <c:v>44963</c:v>
                </c:pt>
              </c:numCache>
            </c:numRef>
          </c:cat>
          <c:val>
            <c:numRef>
              <c:f>'Union Electricity Consumption'!$C$3:$C$17</c:f>
              <c:numCache>
                <c:formatCode>[$-10409]#,##0;\-#,##0</c:formatCode>
                <c:ptCount val="15"/>
                <c:pt idx="0">
                  <c:v>181692</c:v>
                </c:pt>
                <c:pt idx="1">
                  <c:v>163461</c:v>
                </c:pt>
                <c:pt idx="2">
                  <c:v>170877</c:v>
                </c:pt>
                <c:pt idx="3">
                  <c:v>179529</c:v>
                </c:pt>
                <c:pt idx="4">
                  <c:v>206721</c:v>
                </c:pt>
                <c:pt idx="5">
                  <c:v>220935</c:v>
                </c:pt>
                <c:pt idx="6">
                  <c:v>222171</c:v>
                </c:pt>
                <c:pt idx="7">
                  <c:v>226497</c:v>
                </c:pt>
                <c:pt idx="8">
                  <c:v>183855</c:v>
                </c:pt>
                <c:pt idx="9">
                  <c:v>178292.9999</c:v>
                </c:pt>
                <c:pt idx="10">
                  <c:v>176439</c:v>
                </c:pt>
                <c:pt idx="11">
                  <c:v>0</c:v>
                </c:pt>
                <c:pt idx="12">
                  <c:v>159135</c:v>
                </c:pt>
                <c:pt idx="13">
                  <c:v>0</c:v>
                </c:pt>
                <c:pt idx="14">
                  <c:v>173040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AC-47E8-BF79-68AE815D7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0"/>
        <c:axId val="1971014032"/>
        <c:axId val="1971010672"/>
      </c:barChart>
      <c:dateAx>
        <c:axId val="1971014032"/>
        <c:scaling>
          <c:orientation val="minMax"/>
        </c:scaling>
        <c:delete val="0"/>
        <c:axPos val="b"/>
        <c:numFmt formatCode="[$-10409]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010672"/>
        <c:crosses val="autoZero"/>
        <c:auto val="0"/>
        <c:lblOffset val="100"/>
        <c:baseTimeUnit val="months"/>
        <c:majorUnit val="1"/>
        <c:majorTimeUnit val="months"/>
      </c:dateAx>
      <c:valAx>
        <c:axId val="1971010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Electricity</a:t>
                </a:r>
                <a:r>
                  <a:rPr lang="en-US" baseline="0"/>
                  <a:t> Consumed (kWh)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10409]#,##0;\-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01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Station</a:t>
            </a:r>
            <a:r>
              <a:rPr lang="en-US" baseline="0"/>
              <a:t> </a:t>
            </a:r>
            <a:r>
              <a:rPr lang="en-US"/>
              <a:t>Gas Consumption (2023)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'Union Gas Consumption'!$B$1</c:f>
              <c:strCache>
                <c:ptCount val="1"/>
                <c:pt idx="0">
                  <c:v>Gas Consumption (energy content)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'Union Gas Consumption'!$A$2:$A$13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'Union Gas Consumption'!$B$2:$B$13</c:f>
              <c:numCache>
                <c:formatCode>General</c:formatCode>
                <c:ptCount val="12"/>
                <c:pt idx="0">
                  <c:v>5709.5990000000002</c:v>
                </c:pt>
                <c:pt idx="1">
                  <c:v>6339.1490000000003</c:v>
                </c:pt>
                <c:pt idx="2">
                  <c:v>7813.1350000000002</c:v>
                </c:pt>
                <c:pt idx="3">
                  <c:v>6683.3029999999999</c:v>
                </c:pt>
                <c:pt idx="4">
                  <c:v>6424.768</c:v>
                </c:pt>
                <c:pt idx="5">
                  <c:v>3656.4259999999999</c:v>
                </c:pt>
                <c:pt idx="6">
                  <c:v>787.35699999999997</c:v>
                </c:pt>
                <c:pt idx="7">
                  <c:v>0</c:v>
                </c:pt>
                <c:pt idx="8">
                  <c:v>1.679</c:v>
                </c:pt>
                <c:pt idx="9">
                  <c:v>3.3580000000000001</c:v>
                </c:pt>
                <c:pt idx="10">
                  <c:v>787.35699999999997</c:v>
                </c:pt>
                <c:pt idx="11">
                  <c:v>3068.846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A-4CA9-A2AC-D7B088F5A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394175"/>
        <c:axId val="409394655"/>
      </c:barChart>
      <c:catAx>
        <c:axId val="409394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94655"/>
        <c:crosses val="autoZero"/>
        <c:auto val="1"/>
        <c:lblAlgn val="ctr"/>
        <c:lblOffset val="100"/>
        <c:noMultiLvlLbl val="0"/>
      </c:catAx>
      <c:valAx>
        <c:axId val="409394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Consumed (ccf)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94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Impact of Project on 2025-2050</a:t>
            </a:r>
            <a:r>
              <a:rPr lang="en-US" baseline="0"/>
              <a:t> GHG Emissions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'Emissions Summary'!$A$24</c:f>
              <c:strCache>
                <c:ptCount val="1"/>
                <c:pt idx="0">
                  <c:v>Union Station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6.8742169652427063E-2"/>
                  <c:y val="-3.9457969221321922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87-4DAD-9F2A-12CCFC80B2D7}"/>
                </c:ext>
              </c:extLst>
            </c:dLbl>
            <c:dLbl>
              <c:idx val="2"/>
              <c:layout>
                <c:manualLayout>
                  <c:x val="-6.874216965242709E-2"/>
                  <c:y val="-5.3384311299435543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87-4DAD-9F2A-12CCFC80B2D7}"/>
                </c:ext>
              </c:extLst>
            </c:dLbl>
            <c:dLbl>
              <c:idx val="3"/>
              <c:layout>
                <c:manualLayout>
                  <c:x val="-7.1288175935850351E-2"/>
                  <c:y val="-4.874219727339784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87-4DAD-9F2A-12CCFC80B2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87-4DAD-9F2A-12CCFC80B2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87-4DAD-9F2A-12CCFC80B2D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'Emissions Summary'!$B$17:$G$18</c:f>
              <c:multiLvlStrCache>
                <c:ptCount val="6"/>
                <c:lvl>
                  <c:pt idx="0">
                    <c:v>BAU</c:v>
                  </c:pt>
                  <c:pt idx="1">
                    <c:v>GHP</c:v>
                  </c:pt>
                  <c:pt idx="2">
                    <c:v>BAU</c:v>
                  </c:pt>
                  <c:pt idx="3">
                    <c:v>GHP</c:v>
                  </c:pt>
                  <c:pt idx="4">
                    <c:v>BAU</c:v>
                  </c:pt>
                  <c:pt idx="5">
                    <c:v>GHP</c:v>
                  </c:pt>
                </c:lvl>
                <c:lvl>
                  <c:pt idx="0">
                    <c:v>Space Heating</c:v>
                  </c:pt>
                  <c:pt idx="2">
                    <c:v>Cooling</c:v>
                  </c:pt>
                  <c:pt idx="4">
                    <c:v>Water Heating</c:v>
                  </c:pt>
                </c:lvl>
              </c:multiLvlStrCache>
            </c:multiLvlStrRef>
          </c:cat>
          <c:val>
            <c:numRef>
              <c:f>'Emissions Summary'!$B$24:$G$24</c:f>
              <c:numCache>
                <c:formatCode>_(* #,##0.00_);_(* \(#,##0.00\);_(* "-"??_);_(@_)</c:formatCode>
                <c:ptCount val="6"/>
                <c:pt idx="0">
                  <c:v>6212.1360628823531</c:v>
                </c:pt>
                <c:pt idx="1">
                  <c:v>1009.4382774687566</c:v>
                </c:pt>
                <c:pt idx="2">
                  <c:v>522.6106065368474</c:v>
                </c:pt>
                <c:pt idx="3">
                  <c:v>415.70240867482374</c:v>
                </c:pt>
                <c:pt idx="4" formatCode="General">
                  <c:v>0</c:v>
                </c:pt>
                <c:pt idx="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87-4DAD-9F2A-12CCFC80B2D7}"/>
            </c:ext>
          </c:extLst>
        </c:ser>
        <c:ser>
          <c:idx val="1"/>
          <c:order val="1"/>
          <c:tx>
            <c:strRef>
              <c:f>'Emissions Summary'!$A$25</c:f>
              <c:strCache>
                <c:ptCount val="1"/>
                <c:pt idx="0">
                  <c:v>Multifamily</c:v>
                </c:pt>
              </c:strCache>
            </c:strRef>
          </c:tx>
          <c:spPr>
            <a:solidFill>
              <a:srgbClr val="EF986D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7.6231376834705166E-3"/>
                  <c:y val="-9.3603814908235938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87-4DAD-9F2A-12CCFC80B2D7}"/>
                </c:ext>
              </c:extLst>
            </c:dLbl>
            <c:dLbl>
              <c:idx val="3"/>
              <c:layout>
                <c:manualLayout>
                  <c:x val="5.0820917889802513E-3"/>
                  <c:y val="-0.1104044996353553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87-4DAD-9F2A-12CCFC80B2D7}"/>
                </c:ext>
              </c:extLst>
            </c:dLbl>
            <c:dLbl>
              <c:idx val="5"/>
              <c:layout>
                <c:manualLayout>
                  <c:x val="2.5311712861812302E-3"/>
                  <c:y val="-6.5039672712685126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787-4DAD-9F2A-12CCFC80B2D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'Emissions Summary'!$B$17:$G$18</c:f>
              <c:multiLvlStrCache>
                <c:ptCount val="6"/>
                <c:lvl>
                  <c:pt idx="0">
                    <c:v>BAU</c:v>
                  </c:pt>
                  <c:pt idx="1">
                    <c:v>GHP</c:v>
                  </c:pt>
                  <c:pt idx="2">
                    <c:v>BAU</c:v>
                  </c:pt>
                  <c:pt idx="3">
                    <c:v>GHP</c:v>
                  </c:pt>
                  <c:pt idx="4">
                    <c:v>BAU</c:v>
                  </c:pt>
                  <c:pt idx="5">
                    <c:v>GHP</c:v>
                  </c:pt>
                </c:lvl>
                <c:lvl>
                  <c:pt idx="0">
                    <c:v>Space Heating</c:v>
                  </c:pt>
                  <c:pt idx="2">
                    <c:v>Cooling</c:v>
                  </c:pt>
                  <c:pt idx="4">
                    <c:v>Water Heating</c:v>
                  </c:pt>
                </c:lvl>
              </c:multiLvlStrCache>
            </c:multiLvlStrRef>
          </c:cat>
          <c:val>
            <c:numRef>
              <c:f>'Emissions Summary'!$B$25:$G$25</c:f>
              <c:numCache>
                <c:formatCode>_(* #,##0.00_);_(* \(#,##0.00\);_(* "-"??_);_(@_)</c:formatCode>
                <c:ptCount val="6"/>
                <c:pt idx="0">
                  <c:v>54381.324138945303</c:v>
                </c:pt>
                <c:pt idx="1">
                  <c:v>11141.299488368692</c:v>
                </c:pt>
                <c:pt idx="2">
                  <c:v>5679.7741590800124</c:v>
                </c:pt>
                <c:pt idx="3">
                  <c:v>4432.9886002907242</c:v>
                </c:pt>
                <c:pt idx="4">
                  <c:v>16889.76278718096</c:v>
                </c:pt>
                <c:pt idx="5">
                  <c:v>3414.5978791003636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87-4DAD-9F2A-12CCFC80B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5164719"/>
        <c:axId val="1955163759"/>
      </c:barChart>
      <c:catAx>
        <c:axId val="195516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163759"/>
        <c:crosses val="autoZero"/>
        <c:auto val="1"/>
        <c:lblAlgn val="ctr"/>
        <c:lblOffset val="100"/>
        <c:noMultiLvlLbl val="0"/>
      </c:catAx>
      <c:valAx>
        <c:axId val="19551637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GHG Emissions</a:t>
                </a:r>
                <a:r>
                  <a:rPr lang="en-US" baseline="0"/>
                  <a:t> (MT CO2e)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164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</a:t>
            </a:r>
            <a:r>
              <a:rPr lang="en-US" baseline="0"/>
              <a:t> of GHG Emissions Reductions </a:t>
            </a:r>
          </a:p>
          <a:p>
            <a:pPr>
              <a:defRPr/>
            </a:pPr>
            <a:r>
              <a:rPr lang="en-US" baseline="0"/>
              <a:t>from Measure, 2025-2030</a:t>
            </a:r>
            <a:endParaRPr lang="en-US"/>
          </a:p>
        </c:rich>
      </c:tx>
      <c:layout>
        <c:manualLayout>
          <c:xMode val="edge"/>
          <c:yMode val="edge"/>
          <c:x val="0.1382290026246719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'Emissions Summary'!$I$18</c:f>
              <c:strCache>
                <c:ptCount val="1"/>
                <c:pt idx="0">
                  <c:v>Union Station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15833333333333333"/>
                  <c:y val="-0.14351815398075241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88-481B-A807-EB438D80822B}"/>
                </c:ext>
              </c:extLst>
            </c:dLbl>
            <c:dLbl>
              <c:idx val="1"/>
              <c:layout>
                <c:manualLayout>
                  <c:x val="0.14166666666666655"/>
                  <c:y val="-0.15277777777777768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988-481B-A807-EB438D8082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88-481B-A807-EB438D80822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'Emissions Summary'!$J$17:$L$17</c:f>
              <c:strCache>
                <c:ptCount val="3"/>
                <c:pt idx="0">
                  <c:v>Space Heating</c:v>
                </c:pt>
                <c:pt idx="1">
                  <c:v>Cooling</c:v>
                </c:pt>
                <c:pt idx="2">
                  <c:v>Water Heating</c:v>
                </c:pt>
              </c:strCache>
            </c:strRef>
          </c:cat>
          <c:val>
            <c:numRef>
              <c:f>'Emissions Summary'!$J$18:$L$18</c:f>
              <c:numCache>
                <c:formatCode>#,###.##</c:formatCode>
                <c:ptCount val="3"/>
                <c:pt idx="0">
                  <c:v>-513.96062442482719</c:v>
                </c:pt>
                <c:pt idx="1">
                  <c:v>-39.426370289536266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8-481B-A807-EB438D80822B}"/>
            </c:ext>
          </c:extLst>
        </c:ser>
        <c:ser>
          <c:idx val="1"/>
          <c:order val="1"/>
          <c:tx>
            <c:strRef>
              <c:f>'Emissions Summary'!$I$19</c:f>
              <c:strCache>
                <c:ptCount val="1"/>
                <c:pt idx="0">
                  <c:v>Multifamily</c:v>
                </c:pt>
              </c:strCache>
            </c:strRef>
          </c:tx>
          <c:spPr>
            <a:solidFill>
              <a:srgbClr val="EF986D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2.5000000000000001E-2"/>
                  <c:y val="-0.24999927092446778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88-481B-A807-EB438D80822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'Emissions Summary'!$J$17:$L$17</c:f>
              <c:strCache>
                <c:ptCount val="3"/>
                <c:pt idx="0">
                  <c:v>Space Heating</c:v>
                </c:pt>
                <c:pt idx="1">
                  <c:v>Cooling</c:v>
                </c:pt>
                <c:pt idx="2">
                  <c:v>Water Heating</c:v>
                </c:pt>
              </c:strCache>
            </c:strRef>
          </c:cat>
          <c:val>
            <c:numRef>
              <c:f>'Emissions Summary'!$J$19:$L$19</c:f>
              <c:numCache>
                <c:formatCode>#,###.##</c:formatCode>
                <c:ptCount val="3"/>
                <c:pt idx="0">
                  <c:v>-4152.7639047376761</c:v>
                </c:pt>
                <c:pt idx="1">
                  <c:v>-359.93399368245309</c:v>
                </c:pt>
                <c:pt idx="2">
                  <c:v>-1296.8112673949513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88-481B-A807-EB438D808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2563567"/>
        <c:axId val="392562127"/>
      </c:barChart>
      <c:catAx>
        <c:axId val="392563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2127"/>
        <c:crosses val="autoZero"/>
        <c:auto val="1"/>
        <c:lblAlgn val="ctr"/>
        <c:lblOffset val="100"/>
        <c:noMultiLvlLbl val="0"/>
      </c:catAx>
      <c:valAx>
        <c:axId val="3925621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Reductions (MT CO2e)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3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</a:t>
            </a:r>
            <a:r>
              <a:rPr lang="en-US" baseline="0"/>
              <a:t> of GHG Emissions Reductions </a:t>
            </a:r>
          </a:p>
          <a:p>
            <a:pPr>
              <a:defRPr/>
            </a:pPr>
            <a:r>
              <a:rPr lang="en-US" baseline="0"/>
              <a:t>from Measure, 2025-2050</a:t>
            </a:r>
            <a:endParaRPr lang="en-US"/>
          </a:p>
        </c:rich>
      </c:tx>
      <c:layout>
        <c:manualLayout>
          <c:xMode val="edge"/>
          <c:yMode val="edge"/>
          <c:x val="0.1992711637784128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'Emissions Summary'!$I$22</c:f>
              <c:strCache>
                <c:ptCount val="1"/>
                <c:pt idx="0">
                  <c:v>Union Station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15013246595968535"/>
                  <c:y val="-8.393959700738973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88-42E4-B23D-D1265DB07BF8}"/>
                </c:ext>
              </c:extLst>
            </c:dLbl>
            <c:dLbl>
              <c:idx val="1"/>
              <c:layout>
                <c:manualLayout>
                  <c:x val="0.11954992659752711"/>
                  <c:y val="-0.1119199522651121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88-42E4-B23D-D1265DB07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88-42E4-B23D-D1265DB07BF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'Emissions Summary'!$J$21:$L$21</c:f>
              <c:strCache>
                <c:ptCount val="3"/>
                <c:pt idx="0">
                  <c:v>Space Heating</c:v>
                </c:pt>
                <c:pt idx="1">
                  <c:v>Cooling</c:v>
                </c:pt>
                <c:pt idx="2">
                  <c:v>Water Heating</c:v>
                </c:pt>
              </c:strCache>
            </c:strRef>
          </c:cat>
          <c:val>
            <c:numRef>
              <c:f>'Emissions Summary'!$J$22:$L$22</c:f>
              <c:numCache>
                <c:formatCode>#,###.##</c:formatCode>
                <c:ptCount val="3"/>
                <c:pt idx="0">
                  <c:v>-5202.6977854135966</c:v>
                </c:pt>
                <c:pt idx="1">
                  <c:v>-1246.7855587892882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88-42E4-B23D-D1265DB07BF8}"/>
            </c:ext>
          </c:extLst>
        </c:ser>
        <c:ser>
          <c:idx val="1"/>
          <c:order val="1"/>
          <c:tx>
            <c:strRef>
              <c:f>'Emissions Summary'!$I$23</c:f>
              <c:strCache>
                <c:ptCount val="1"/>
                <c:pt idx="0">
                  <c:v>Multifamily</c:v>
                </c:pt>
              </c:strCache>
            </c:strRef>
          </c:tx>
          <c:spPr>
            <a:solidFill>
              <a:srgbClr val="EF986D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5.5604617022105684E-3"/>
                  <c:y val="-0.2145125074585762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88-42E4-B23D-D1265DB07BF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'Emissions Summary'!$J$21:$L$21</c:f>
              <c:strCache>
                <c:ptCount val="3"/>
                <c:pt idx="0">
                  <c:v>Space Heating</c:v>
                </c:pt>
                <c:pt idx="1">
                  <c:v>Cooling</c:v>
                </c:pt>
                <c:pt idx="2">
                  <c:v>Water Heating</c:v>
                </c:pt>
              </c:strCache>
            </c:strRef>
          </c:cat>
          <c:val>
            <c:numRef>
              <c:f>'Emissions Summary'!$J$23:$L$23</c:f>
              <c:numCache>
                <c:formatCode>#,###.##</c:formatCode>
                <c:ptCount val="3"/>
                <c:pt idx="0">
                  <c:v>-43240.024650576612</c:v>
                </c:pt>
                <c:pt idx="1">
                  <c:v>-1246.7855587892882</c:v>
                </c:pt>
                <c:pt idx="2">
                  <c:v>-13475.164908080596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88-42E4-B23D-D1265DB07BF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92563567"/>
        <c:axId val="392562127"/>
      </c:barChart>
      <c:catAx>
        <c:axId val="392563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2127"/>
        <c:crosses val="autoZero"/>
        <c:auto val="1"/>
        <c:lblAlgn val="ctr"/>
        <c:lblOffset val="100"/>
        <c:noMultiLvlLbl val="0"/>
      </c:catAx>
      <c:valAx>
        <c:axId val="3925621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Reductions (MT CO2e)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3567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Grid</a:t>
            </a:r>
            <a:r>
              <a:rPr lang="en-US" baseline="0"/>
              <a:t> CO2e </a:t>
            </a:r>
            <a:r>
              <a:rPr lang="en-US"/>
              <a:t>Emissions Intensity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FF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7642275007117088E-3"/>
                  <c:y val="-2.8317600094540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04-437D-86A2-4D86624D109C}"/>
                </c:ext>
              </c:extLst>
            </c:dLbl>
            <c:dLbl>
              <c:idx val="2"/>
              <c:layout>
                <c:manualLayout>
                  <c:x val="-2.7642275007118355E-3"/>
                  <c:y val="-2.3598000078783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04-437D-86A2-4D86624D109C}"/>
                </c:ext>
              </c:extLst>
            </c:dLbl>
            <c:dLbl>
              <c:idx val="3"/>
              <c:layout>
                <c:manualLayout>
                  <c:x val="-1.0135383751125046E-16"/>
                  <c:y val="-6.6074400220594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04-437D-86A2-4D86624D1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'Factor Sets'!$R$5:$R$8</c:f>
              <c:numCache>
                <c:formatCode>General</c:formatCode>
                <c:ptCount val="4"/>
                <c:pt idx="0">
                  <c:v>2022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'Factor Sets'!$S$5:$S$8</c:f>
              <c:numCache>
                <c:formatCode>General</c:formatCode>
                <c:ptCount val="4"/>
                <c:pt idx="0">
                  <c:v>643.08399999999995</c:v>
                </c:pt>
                <c:pt idx="1">
                  <c:v>511.55952304855566</c:v>
                </c:pt>
                <c:pt idx="2">
                  <c:v>93.010822372464659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04-437D-86A2-4D86624D1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492048"/>
        <c:axId val="2032492528"/>
      </c:scatterChart>
      <c:valAx>
        <c:axId val="20324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492528"/>
        <c:crosses val="autoZero"/>
        <c:crossBetween val="midCat"/>
      </c:valAx>
      <c:valAx>
        <c:axId val="2032492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lbs CO2/MWh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49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Short Tons of CH4</a:t>
            </a:r>
            <a:r>
              <a:rPr lang="en-US" baseline="0"/>
              <a:t> Reduced, 2024-2038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1836842022224904E-2"/>
                  <c:y val="-4.67966582027356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0B-4CE1-90C5-C7D6EC226413}"/>
                </c:ext>
              </c:extLst>
            </c:dLbl>
            <c:dLbl>
              <c:idx val="1"/>
              <c:layout>
                <c:manualLayout>
                  <c:x val="-8.627097280875673E-2"/>
                  <c:y val="-9.8272982225744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0B-4CE1-90C5-C7D6EC226413}"/>
                </c:ext>
              </c:extLst>
            </c:dLbl>
            <c:dLbl>
              <c:idx val="2"/>
              <c:layout>
                <c:manualLayout>
                  <c:x val="8.3488038202022639E-3"/>
                  <c:y val="1.4038997460820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0B-4CE1-90C5-C7D6EC226413}"/>
                </c:ext>
              </c:extLst>
            </c:dLbl>
            <c:dLbl>
              <c:idx val="3"/>
              <c:layout>
                <c:manualLayout>
                  <c:x val="5.5658692134681765E-3"/>
                  <c:y val="-1.8718663281094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0B-4CE1-90C5-C7D6EC226413}"/>
                </c:ext>
              </c:extLst>
            </c:dLbl>
            <c:dLbl>
              <c:idx val="4"/>
              <c:layout>
                <c:manualLayout>
                  <c:x val="-0.15862727258384302"/>
                  <c:y val="-9.37029410180566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B-4CE1-90C5-C7D6EC226413}"/>
                </c:ext>
              </c:extLst>
            </c:dLbl>
            <c:dLbl>
              <c:idx val="5"/>
              <c:layout>
                <c:manualLayout>
                  <c:x val="-9.1836842022224904E-2"/>
                  <c:y val="6.0906911661736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30B-4CE1-90C5-C7D6EC226413}"/>
                </c:ext>
              </c:extLst>
            </c:dLbl>
            <c:dLbl>
              <c:idx val="6"/>
              <c:layout>
                <c:manualLayout>
                  <c:x val="-0.10018564584242717"/>
                  <c:y val="-5.1536617559931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B-4CE1-90C5-C7D6EC226413}"/>
                </c:ext>
              </c:extLst>
            </c:dLbl>
            <c:dLbl>
              <c:idx val="7"/>
              <c:layout>
                <c:manualLayout>
                  <c:x val="-6.9573365168352205E-2"/>
                  <c:y val="4.6851470509028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B-4CE1-90C5-C7D6EC226413}"/>
                </c:ext>
              </c:extLst>
            </c:dLbl>
            <c:dLbl>
              <c:idx val="8"/>
              <c:layout>
                <c:manualLayout>
                  <c:x val="-6.400749595488392E-2"/>
                  <c:y val="-4.685147050902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0B-4CE1-90C5-C7D6EC226413}"/>
                </c:ext>
              </c:extLst>
            </c:dLbl>
            <c:dLbl>
              <c:idx val="9"/>
              <c:layout>
                <c:manualLayout>
                  <c:x val="-7.7922168988554474E-2"/>
                  <c:y val="0.103073235119862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B-4CE1-90C5-C7D6EC226413}"/>
                </c:ext>
              </c:extLst>
            </c:dLbl>
            <c:dLbl>
              <c:idx val="10"/>
              <c:layout>
                <c:manualLayout>
                  <c:x val="-8.0705103595288555E-2"/>
                  <c:y val="-8.9017793967153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0B-4CE1-90C5-C7D6EC226413}"/>
                </c:ext>
              </c:extLst>
            </c:dLbl>
            <c:dLbl>
              <c:idx val="11"/>
              <c:layout>
                <c:manualLayout>
                  <c:x val="-7.5139234381820477E-2"/>
                  <c:y val="6.55920587126396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B-4CE1-90C5-C7D6EC226413}"/>
                </c:ext>
              </c:extLst>
            </c:dLbl>
            <c:dLbl>
              <c:idx val="12"/>
              <c:layout>
                <c:manualLayout>
                  <c:x val="-7.7922168988554572E-2"/>
                  <c:y val="-4.216632345812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0B-4CE1-90C5-C7D6EC226413}"/>
                </c:ext>
              </c:extLst>
            </c:dLbl>
            <c:dLbl>
              <c:idx val="13"/>
              <c:layout>
                <c:manualLayout>
                  <c:x val="-4.4526953707745516E-2"/>
                  <c:y val="5.153661755993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0B-4CE1-90C5-C7D6EC226413}"/>
                </c:ext>
              </c:extLst>
            </c:dLbl>
            <c:dLbl>
              <c:idx val="14"/>
              <c:layout>
                <c:manualLayout>
                  <c:x val="5.5658692134680741E-3"/>
                  <c:y val="4.68514705090283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B-4CE1-90C5-C7D6EC2264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'Emissions Projection Factors'!$A$48:$A$62</c:f>
              <c:numCache>
                <c:formatCode>0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xVal>
          <c:yVal>
            <c:numRef>
              <c:f>'Emissions Projection Factors'!$B$48:$B$62</c:f>
              <c:numCache>
                <c:formatCode>#,##0</c:formatCode>
                <c:ptCount val="15"/>
                <c:pt idx="0">
                  <c:v>250000</c:v>
                </c:pt>
                <c:pt idx="1">
                  <c:v>490000</c:v>
                </c:pt>
                <c:pt idx="2">
                  <c:v>700000</c:v>
                </c:pt>
                <c:pt idx="3">
                  <c:v>900000</c:v>
                </c:pt>
                <c:pt idx="4">
                  <c:v>4900000</c:v>
                </c:pt>
                <c:pt idx="5">
                  <c:v>4900000</c:v>
                </c:pt>
                <c:pt idx="6">
                  <c:v>5000000</c:v>
                </c:pt>
                <c:pt idx="7">
                  <c:v>5000000</c:v>
                </c:pt>
                <c:pt idx="8">
                  <c:v>5100000</c:v>
                </c:pt>
                <c:pt idx="9">
                  <c:v>5100000</c:v>
                </c:pt>
                <c:pt idx="10">
                  <c:v>5100000</c:v>
                </c:pt>
                <c:pt idx="11">
                  <c:v>5100000</c:v>
                </c:pt>
                <c:pt idx="12">
                  <c:v>5200000</c:v>
                </c:pt>
                <c:pt idx="13">
                  <c:v>5200000</c:v>
                </c:pt>
                <c:pt idx="14">
                  <c:v>5200000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0B-4CE1-90C5-C7D6EC226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716671"/>
        <c:axId val="698717631"/>
      </c:scatterChart>
      <c:valAx>
        <c:axId val="698716671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17631"/>
        <c:crosses val="autoZero"/>
        <c:crossBetween val="midCat"/>
      </c:valAx>
      <c:valAx>
        <c:axId val="698717631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16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GHG</a:t>
            </a:r>
            <a:r>
              <a:rPr lang="en-US" baseline="0"/>
              <a:t> Production Emissions </a:t>
            </a:r>
          </a:p>
          <a:p>
            <a:pPr>
              <a:defRPr/>
            </a:pPr>
            <a:r>
              <a:rPr lang="en-US" baseline="0"/>
              <a:t>as Share of Annual Gas Production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'Emissions Projection Factors'!$G$3</c:f>
              <c:strCache>
                <c:ptCount val="1"/>
                <c:pt idx="0">
                  <c:v>CH4 Emissions as % of Gas Production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Factors'!$A$4:$A$38</c15:sqref>
                  </c15:fullRef>
                </c:ext>
              </c:extLst>
              <c:f>'Emissions Projection Factors'!$A$5:$A$38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Factors'!$G$4:$G$38</c15:sqref>
                  </c15:fullRef>
                </c:ext>
              </c:extLst>
              <c:f>'Emissions Projection Factors'!$G$5:$G$38</c:f>
              <c:numCache>
                <c:formatCode>0.00%</c:formatCode>
                <c:ptCount val="34"/>
                <c:pt idx="0">
                  <c:v>1.0377564723228417E-2</c:v>
                </c:pt>
                <c:pt idx="1">
                  <c:v>9.6053729962841863E-3</c:v>
                </c:pt>
                <c:pt idx="2">
                  <c:v>8.6884795701553767E-3</c:v>
                </c:pt>
                <c:pt idx="3">
                  <c:v>8.3394164387050919E-3</c:v>
                </c:pt>
                <c:pt idx="4">
                  <c:v>7.9920508571162171E-3</c:v>
                </c:pt>
                <c:pt idx="5">
                  <c:v>7.9920508571162171E-3</c:v>
                </c:pt>
                <c:pt idx="6">
                  <c:v>7.9920508571162188E-3</c:v>
                </c:pt>
                <c:pt idx="7">
                  <c:v>7.7204134481456514E-3</c:v>
                </c:pt>
                <c:pt idx="8">
                  <c:v>7.4620030614889971E-3</c:v>
                </c:pt>
                <c:pt idx="9">
                  <c:v>7.2444240525341378E-3</c:v>
                </c:pt>
                <c:pt idx="10">
                  <c:v>7.0295577184256927E-3</c:v>
                </c:pt>
                <c:pt idx="11">
                  <c:v>2.7951945710715134E-3</c:v>
                </c:pt>
                <c:pt idx="12">
                  <c:v>2.8294629442428736E-3</c:v>
                </c:pt>
                <c:pt idx="13">
                  <c:v>2.7747481186518783E-3</c:v>
                </c:pt>
                <c:pt idx="14">
                  <c:v>2.8347875798529422E-3</c:v>
                </c:pt>
                <c:pt idx="15">
                  <c:v>2.8017665510889655E-3</c:v>
                </c:pt>
                <c:pt idx="16">
                  <c:v>2.8795761851425987E-3</c:v>
                </c:pt>
                <c:pt idx="17">
                  <c:v>2.9443734025451931E-3</c:v>
                </c:pt>
                <c:pt idx="18">
                  <c:v>3.0020711445088925E-3</c:v>
                </c:pt>
                <c:pt idx="19">
                  <c:v>2.950178849383543E-3</c:v>
                </c:pt>
                <c:pt idx="20">
                  <c:v>2.9955535836419136E-3</c:v>
                </c:pt>
                <c:pt idx="21">
                  <c:v>3.0290842850738604E-3</c:v>
                </c:pt>
                <c:pt idx="22">
                  <c:v>3.0586202590844229E-3</c:v>
                </c:pt>
                <c:pt idx="23">
                  <c:v>3.0752089949910646E-3</c:v>
                </c:pt>
                <c:pt idx="24">
                  <c:v>3.0894759323605889E-3</c:v>
                </c:pt>
                <c:pt idx="25">
                  <c:v>3.1103213254720929E-3</c:v>
                </c:pt>
                <c:pt idx="26">
                  <c:v>3.1236073193656073E-3</c:v>
                </c:pt>
                <c:pt idx="27">
                  <c:v>3.1327070815810008E-3</c:v>
                </c:pt>
                <c:pt idx="28">
                  <c:v>3.1504192047752417E-3</c:v>
                </c:pt>
                <c:pt idx="29">
                  <c:v>3.1310794503055504E-3</c:v>
                </c:pt>
                <c:pt idx="30">
                  <c:v>3.1549888339998827E-3</c:v>
                </c:pt>
                <c:pt idx="31">
                  <c:v>3.1629224613436888E-3</c:v>
                </c:pt>
                <c:pt idx="32">
                  <c:v>3.1721542580964933E-3</c:v>
                </c:pt>
                <c:pt idx="33">
                  <c:v>3.2148271202358902E-3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00-4345-B750-6C9E4789A0E7}"/>
            </c:ext>
          </c:extLst>
        </c:ser>
        <c:ser>
          <c:idx val="2"/>
          <c:order val="1"/>
          <c:tx>
            <c:strRef>
              <c:f>'Emissions Projection Factors'!$J$3</c:f>
              <c:strCache>
                <c:ptCount val="1"/>
                <c:pt idx="0">
                  <c:v>N2O Emissions as % of Gas Production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Factors'!$A$4:$A$38</c15:sqref>
                  </c15:fullRef>
                </c:ext>
              </c:extLst>
              <c:f>'Emissions Projection Factors'!$A$5:$A$38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Factors'!$J$4:$J$38</c15:sqref>
                  </c15:fullRef>
                </c:ext>
              </c:extLst>
              <c:f>'Emissions Projection Factors'!$J$5:$J$38</c:f>
              <c:numCache>
                <c:formatCode>0.000000%</c:formatCode>
                <c:ptCount val="34"/>
                <c:pt idx="0">
                  <c:v>4.1185764986955828E-8</c:v>
                </c:pt>
                <c:pt idx="1">
                  <c:v>3.8759251173938203E-8</c:v>
                </c:pt>
                <c:pt idx="2">
                  <c:v>4.8632363228957639E-8</c:v>
                </c:pt>
                <c:pt idx="3">
                  <c:v>4.1199413437929679E-8</c:v>
                </c:pt>
                <c:pt idx="4">
                  <c:v>3.5654564645053822E-8</c:v>
                </c:pt>
                <c:pt idx="5">
                  <c:v>3.5654564645053822E-8</c:v>
                </c:pt>
                <c:pt idx="6">
                  <c:v>3.5654564645053822E-8</c:v>
                </c:pt>
                <c:pt idx="7">
                  <c:v>3.5654564645053822E-8</c:v>
                </c:pt>
                <c:pt idx="8">
                  <c:v>3.5654564645053822E-8</c:v>
                </c:pt>
                <c:pt idx="9">
                  <c:v>3.5654564645053829E-8</c:v>
                </c:pt>
                <c:pt idx="10">
                  <c:v>3.5654564645053829E-8</c:v>
                </c:pt>
                <c:pt idx="11">
                  <c:v>3.5654564645053822E-8</c:v>
                </c:pt>
                <c:pt idx="12">
                  <c:v>3.5654564645053822E-8</c:v>
                </c:pt>
                <c:pt idx="13">
                  <c:v>3.5654564645053822E-8</c:v>
                </c:pt>
                <c:pt idx="14">
                  <c:v>3.5654564645053822E-8</c:v>
                </c:pt>
                <c:pt idx="15">
                  <c:v>3.5654564645053829E-8</c:v>
                </c:pt>
                <c:pt idx="16">
                  <c:v>3.5654564645053822E-8</c:v>
                </c:pt>
                <c:pt idx="17">
                  <c:v>3.5654564645053829E-8</c:v>
                </c:pt>
                <c:pt idx="18">
                  <c:v>3.5654564645053829E-8</c:v>
                </c:pt>
                <c:pt idx="19">
                  <c:v>3.5654564645053829E-8</c:v>
                </c:pt>
                <c:pt idx="20">
                  <c:v>3.5654564645053829E-8</c:v>
                </c:pt>
                <c:pt idx="21">
                  <c:v>3.5654564645053829E-8</c:v>
                </c:pt>
                <c:pt idx="22">
                  <c:v>3.5654564645053829E-8</c:v>
                </c:pt>
                <c:pt idx="23">
                  <c:v>3.5654564645053822E-8</c:v>
                </c:pt>
                <c:pt idx="24">
                  <c:v>3.5654564645053822E-8</c:v>
                </c:pt>
                <c:pt idx="25">
                  <c:v>3.5654564645053822E-8</c:v>
                </c:pt>
                <c:pt idx="26">
                  <c:v>3.5654564645053829E-8</c:v>
                </c:pt>
                <c:pt idx="27">
                  <c:v>3.5654564645053822E-8</c:v>
                </c:pt>
                <c:pt idx="28">
                  <c:v>3.5654564645053816E-8</c:v>
                </c:pt>
                <c:pt idx="29">
                  <c:v>3.5654564645053816E-8</c:v>
                </c:pt>
                <c:pt idx="30">
                  <c:v>3.5654564645053822E-8</c:v>
                </c:pt>
                <c:pt idx="31">
                  <c:v>3.5654564645053822E-8</c:v>
                </c:pt>
                <c:pt idx="32">
                  <c:v>3.5654564645053822E-8</c:v>
                </c:pt>
                <c:pt idx="33">
                  <c:v>3.5654564645053822E-8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00-4345-B750-6C9E4789A0E7}"/>
            </c:ext>
          </c:extLst>
        </c:ser>
        <c:ser>
          <c:idx val="3"/>
          <c:order val="2"/>
          <c:tx>
            <c:strRef>
              <c:f>'Emissions Projection Factors'!$L$3</c:f>
              <c:strCache>
                <c:ptCount val="1"/>
                <c:pt idx="0">
                  <c:v>CO2 Emissions as % of Gas Production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Factors'!$A$4:$A$38</c15:sqref>
                  </c15:fullRef>
                </c:ext>
              </c:extLst>
              <c:f>'Emissions Projection Factors'!$A$5:$A$38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'Emissions Projection Factors'!$L$4:$L$38</c15:sqref>
                  </c15:fullRef>
                </c:ext>
              </c:extLst>
              <c:f>'Emissions Projection Factors'!$L$5:$L$38</c:f>
              <c:numCache>
                <c:formatCode>0.0%</c:formatCode>
                <c:ptCount val="34"/>
                <c:pt idx="0">
                  <c:v>4.976613269257163E-2</c:v>
                </c:pt>
                <c:pt idx="1">
                  <c:v>4.540369423232761E-2</c:v>
                </c:pt>
                <c:pt idx="2">
                  <c:v>4.8506698207694182E-2</c:v>
                </c:pt>
                <c:pt idx="3">
                  <c:v>4.5987112858851167E-2</c:v>
                </c:pt>
                <c:pt idx="4">
                  <c:v>4.4660734953320021E-2</c:v>
                </c:pt>
                <c:pt idx="5" formatCode="0%">
                  <c:v>4.4660734953320021E-2</c:v>
                </c:pt>
                <c:pt idx="6" formatCode="0%">
                  <c:v>4.4660734953320021E-2</c:v>
                </c:pt>
                <c:pt idx="7" formatCode="0%">
                  <c:v>4.4660734953320014E-2</c:v>
                </c:pt>
                <c:pt idx="8" formatCode="0%">
                  <c:v>4.4660734953320021E-2</c:v>
                </c:pt>
                <c:pt idx="9" formatCode="0%">
                  <c:v>4.4660734953320014E-2</c:v>
                </c:pt>
                <c:pt idx="10" formatCode="0%">
                  <c:v>4.4660734953320014E-2</c:v>
                </c:pt>
                <c:pt idx="11" formatCode="0%">
                  <c:v>4.4660734953320014E-2</c:v>
                </c:pt>
                <c:pt idx="12" formatCode="0%">
                  <c:v>4.4660734953320014E-2</c:v>
                </c:pt>
                <c:pt idx="13" formatCode="0%">
                  <c:v>4.4660734953320014E-2</c:v>
                </c:pt>
                <c:pt idx="14" formatCode="0%">
                  <c:v>4.4660734953320007E-2</c:v>
                </c:pt>
                <c:pt idx="15" formatCode="0%">
                  <c:v>4.4660734953320014E-2</c:v>
                </c:pt>
                <c:pt idx="16" formatCode="0%">
                  <c:v>4.4660734953320014E-2</c:v>
                </c:pt>
                <c:pt idx="17" formatCode="0%">
                  <c:v>4.4660734953320014E-2</c:v>
                </c:pt>
                <c:pt idx="18" formatCode="0%">
                  <c:v>4.4660734953320021E-2</c:v>
                </c:pt>
                <c:pt idx="19" formatCode="0%">
                  <c:v>4.4660734953320021E-2</c:v>
                </c:pt>
                <c:pt idx="20" formatCode="0%">
                  <c:v>4.4660734953320021E-2</c:v>
                </c:pt>
                <c:pt idx="21" formatCode="0%">
                  <c:v>4.4660734953320021E-2</c:v>
                </c:pt>
                <c:pt idx="22" formatCode="0%">
                  <c:v>4.4660734953320021E-2</c:v>
                </c:pt>
                <c:pt idx="23" formatCode="0%">
                  <c:v>4.4660734953320021E-2</c:v>
                </c:pt>
                <c:pt idx="24" formatCode="0%">
                  <c:v>4.4660734953320021E-2</c:v>
                </c:pt>
                <c:pt idx="25" formatCode="0%">
                  <c:v>4.4660734953320021E-2</c:v>
                </c:pt>
                <c:pt idx="26" formatCode="0%">
                  <c:v>4.4660734953320021E-2</c:v>
                </c:pt>
                <c:pt idx="27" formatCode="0%">
                  <c:v>4.4660734953320028E-2</c:v>
                </c:pt>
                <c:pt idx="28" formatCode="0%">
                  <c:v>4.4660734953320028E-2</c:v>
                </c:pt>
                <c:pt idx="29" formatCode="0%">
                  <c:v>4.4660734953320028E-2</c:v>
                </c:pt>
                <c:pt idx="30" formatCode="0%">
                  <c:v>4.4660734953320028E-2</c:v>
                </c:pt>
                <c:pt idx="31" formatCode="0%">
                  <c:v>4.4660734953320028E-2</c:v>
                </c:pt>
                <c:pt idx="32" formatCode="0%">
                  <c:v>4.4660734953320028E-2</c:v>
                </c:pt>
                <c:pt idx="33" formatCode="0%">
                  <c:v>4.4660734953320028E-2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00-4345-B750-6C9E4789A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9883151"/>
        <c:axId val="593722751"/>
      </c:lineChart>
      <c:catAx>
        <c:axId val="58988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2751"/>
        <c:crosses val="autoZero"/>
        <c:auto val="1"/>
        <c:lblAlgn val="ctr"/>
        <c:lblOffset val="100"/>
        <c:noMultiLvlLbl val="0"/>
      </c:catAx>
      <c:valAx>
        <c:axId val="593722751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83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71358383960907"/>
          <c:y val="0.47344136919002355"/>
          <c:w val="0.31151522632340872"/>
          <c:h val="0.2832790996448575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GHG Emissions Intensities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53097698935861"/>
          <c:y val="0.17396215463742171"/>
          <c:w val="0.70509754950334447"/>
          <c:h val="0.6205469988711626"/>
        </c:manualLayout>
      </c:layout>
      <c:lineChart>
        <c:grouping val="standard"/>
        <c:varyColors val="0"/>
        <c:ser>
          <c:idx val="0"/>
          <c:order val="0"/>
          <c:tx>
            <c:strRef>
              <c:f>'Emissions Projection Factors'!$AA$3</c:f>
              <c:strCache>
                <c:ptCount val="1"/>
                <c:pt idx="0">
                  <c:v>CO2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1098204472183159E-2"/>
                  <c:y val="-5.48056144827792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A7-46F0-B871-763F44847F02}"/>
                </c:ext>
              </c:extLst>
            </c:dLbl>
            <c:dLbl>
              <c:idx val="2"/>
              <c:layout>
                <c:manualLayout>
                  <c:x val="-5.5448857922665178E-2"/>
                  <c:y val="-4.690914674778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A7-46F0-B871-763F44847F02}"/>
                </c:ext>
              </c:extLst>
            </c:dLbl>
            <c:dLbl>
              <c:idx val="3"/>
              <c:layout>
                <c:manualLayout>
                  <c:x val="-8.3236533541373697E-2"/>
                  <c:y val="4.56713454023160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A7-46F0-B871-763F44847F02}"/>
                </c:ext>
              </c:extLst>
            </c:dLbl>
            <c:dLbl>
              <c:idx val="4"/>
              <c:layout>
                <c:manualLayout>
                  <c:x val="-0.11098204472183158"/>
                  <c:y val="-3.19699417816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9A7-46F0-B871-763F44847F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'Emissions Projection Factors'!$Z$4:$Z$9</c:f>
              <c:numCache>
                <c:formatCode>General</c:formatCode>
                <c:ptCount val="6"/>
                <c:pt idx="0">
                  <c:v>2001</c:v>
                </c:pt>
                <c:pt idx="1">
                  <c:v>2022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'Emissions Projection Factors'!$AA$4:$AA$9</c:f>
              <c:numCache>
                <c:formatCode>General</c:formatCode>
                <c:ptCount val="6"/>
                <c:pt idx="0" formatCode="0">
                  <c:v>930</c:v>
                </c:pt>
                <c:pt idx="1">
                  <c:v>643</c:v>
                </c:pt>
                <c:pt idx="2">
                  <c:v>593.6875</c:v>
                </c:pt>
                <c:pt idx="3" formatCode="0">
                  <c:v>511.50000000000006</c:v>
                </c:pt>
                <c:pt idx="4">
                  <c:v>93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A7-46F0-B871-763F44847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876911"/>
        <c:axId val="589874991"/>
      </c:lineChart>
      <c:lineChart>
        <c:grouping val="standard"/>
        <c:varyColors val="0"/>
        <c:ser>
          <c:idx val="1"/>
          <c:order val="1"/>
          <c:tx>
            <c:strRef>
              <c:f>'Emissions Projection Factors'!$AB$3</c:f>
              <c:strCache>
                <c:ptCount val="1"/>
                <c:pt idx="0">
                  <c:v>N2O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4.1618266770686897E-2"/>
                  <c:y val="-5.0238479942547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A7-46F0-B871-763F44847F02}"/>
                </c:ext>
              </c:extLst>
            </c:dLbl>
            <c:dLbl>
              <c:idx val="2"/>
              <c:layout>
                <c:manualLayout>
                  <c:x val="-3.0520062298503688E-2"/>
                  <c:y val="-5.9372749023010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A7-46F0-B871-763F44847F02}"/>
                </c:ext>
              </c:extLst>
            </c:dLbl>
            <c:dLbl>
              <c:idx val="3"/>
              <c:layout>
                <c:manualLayout>
                  <c:x val="-5.2716471242870003E-2"/>
                  <c:y val="3.19699417816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A7-46F0-B871-763F44847F02}"/>
                </c:ext>
              </c:extLst>
            </c:dLbl>
            <c:dLbl>
              <c:idx val="4"/>
              <c:layout>
                <c:manualLayout>
                  <c:x val="-6.1040124597007375E-2"/>
                  <c:y val="-2.7402807241389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9A7-46F0-B871-763F44847F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'Emissions Projection Factors'!$Z$4:$Z$9</c:f>
              <c:numCache>
                <c:formatCode>General</c:formatCode>
                <c:ptCount val="6"/>
                <c:pt idx="0">
                  <c:v>2001</c:v>
                </c:pt>
                <c:pt idx="1">
                  <c:v>2022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'Emissions Projection Factors'!$AB$4:$AB$9</c:f>
              <c:numCache>
                <c:formatCode>0.000</c:formatCode>
                <c:ptCount val="6"/>
                <c:pt idx="1">
                  <c:v>0.01</c:v>
                </c:pt>
                <c:pt idx="2">
                  <c:v>7.7844703954107761E-3</c:v>
                </c:pt>
                <c:pt idx="3">
                  <c:v>6.7068223724646601E-3</c:v>
                </c:pt>
                <c:pt idx="4">
                  <c:v>1.2194222495390292E-3</c:v>
                </c:pt>
                <c:pt idx="5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A7-46F0-B871-763F44847F02}"/>
            </c:ext>
          </c:extLst>
        </c:ser>
        <c:ser>
          <c:idx val="2"/>
          <c:order val="2"/>
          <c:tx>
            <c:strRef>
              <c:f>'Emissions Projection Factors'!$AC$3</c:f>
              <c:strCache>
                <c:ptCount val="1"/>
                <c:pt idx="0">
                  <c:v>CH4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0"/>
                  <c:y val="-4.56713454023160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A7-46F0-B871-763F44847F02}"/>
                </c:ext>
              </c:extLst>
            </c:dLbl>
            <c:dLbl>
              <c:idx val="4"/>
              <c:layout>
                <c:manualLayout>
                  <c:x val="0"/>
                  <c:y val="-3.653707632185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9A7-46F0-B871-763F44847F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'Emissions Projection Factors'!$Z$4:$Z$9</c:f>
              <c:numCache>
                <c:formatCode>General</c:formatCode>
                <c:ptCount val="6"/>
                <c:pt idx="0">
                  <c:v>2001</c:v>
                </c:pt>
                <c:pt idx="1">
                  <c:v>2022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'Emissions Projection Factors'!$AC$4:$AC$9</c:f>
              <c:numCache>
                <c:formatCode>0.000</c:formatCode>
                <c:ptCount val="6"/>
                <c:pt idx="1">
                  <c:v>7.3999999999999996E-2</c:v>
                </c:pt>
                <c:pt idx="2">
                  <c:v>6.1302704363859858E-2</c:v>
                </c:pt>
                <c:pt idx="3">
                  <c:v>5.2816226183159197E-2</c:v>
                </c:pt>
                <c:pt idx="4">
                  <c:v>9.6029502151198497E-3</c:v>
                </c:pt>
                <c:pt idx="5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A7-46F0-B871-763F44847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35743"/>
        <c:axId val="1405240063"/>
      </c:lineChart>
      <c:catAx>
        <c:axId val="589876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74991"/>
        <c:crosses val="autoZero"/>
        <c:auto val="1"/>
        <c:lblAlgn val="ctr"/>
        <c:lblOffset val="100"/>
        <c:noMultiLvlLbl val="0"/>
      </c:catAx>
      <c:valAx>
        <c:axId val="5898749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</a:t>
                </a:r>
                <a:r>
                  <a:rPr lang="en-US" baseline="0"/>
                  <a:t> Emissions Factor (lb/MWh)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76911"/>
        <c:crosses val="autoZero"/>
        <c:crossBetween val="between"/>
      </c:valAx>
      <c:valAx>
        <c:axId val="1405240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N2O &amp; CH4 Emissions Factor (lb/MWh)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235743"/>
        <c:crosses val="max"/>
        <c:crossBetween val="between"/>
      </c:valAx>
      <c:catAx>
        <c:axId val="1405235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52400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Multifamily CO2e Emissions,</a:t>
            </a:r>
            <a:r>
              <a:rPr lang="en-US" baseline="0"/>
              <a:t> 2025-2050 (BAU v. GHP)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Multifamily!$Z$7</c:f>
              <c:strCache>
                <c:ptCount val="1"/>
                <c:pt idx="0">
                  <c:v>Heating (BAU)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Multifamily!$Z$8:$Z$34</c:f>
              <c:numCache>
                <c:formatCode>_(* #,##0.0000_);_(* \(#,##0.0000\);_(* "-"??_);_(@_)</c:formatCode>
                <c:ptCount val="27"/>
                <c:pt idx="1">
                  <c:v>2168.7684242984692</c:v>
                </c:pt>
                <c:pt idx="2">
                  <c:v>2164.5238841806568</c:v>
                </c:pt>
                <c:pt idx="3">
                  <c:v>2160.3322630336015</c:v>
                </c:pt>
                <c:pt idx="4">
                  <c:v>2077.7281352794425</c:v>
                </c:pt>
                <c:pt idx="5">
                  <c:v>2078.3966440910081</c:v>
                </c:pt>
                <c:pt idx="6">
                  <c:v>2077.3292650576373</c:v>
                </c:pt>
                <c:pt idx="7">
                  <c:v>2078.5005172981168</c:v>
                </c:pt>
                <c:pt idx="8">
                  <c:v>2077.8563417317632</c:v>
                </c:pt>
                <c:pt idx="9">
                  <c:v>2079.3742552238755</c:v>
                </c:pt>
                <c:pt idx="10">
                  <c:v>2080.6383219650056</c:v>
                </c:pt>
                <c:pt idx="11">
                  <c:v>2081.7638918517719</c:v>
                </c:pt>
                <c:pt idx="12">
                  <c:v>2080.7515748570263</c:v>
                </c:pt>
                <c:pt idx="13">
                  <c:v>2081.6367470104428</c:v>
                </c:pt>
                <c:pt idx="14">
                  <c:v>2082.2908652918427</c:v>
                </c:pt>
                <c:pt idx="15">
                  <c:v>2082.8670542689351</c:v>
                </c:pt>
                <c:pt idx="16">
                  <c:v>2083.1906680007824</c:v>
                </c:pt>
                <c:pt idx="17">
                  <c:v>2083.4689879927437</c:v>
                </c:pt>
                <c:pt idx="18">
                  <c:v>2083.875640765722</c:v>
                </c:pt>
                <c:pt idx="19">
                  <c:v>2084.1348244726287</c:v>
                </c:pt>
                <c:pt idx="20">
                  <c:v>2084.3123430024325</c:v>
                </c:pt>
                <c:pt idx="21">
                  <c:v>2084.6578718189794</c:v>
                </c:pt>
                <c:pt idx="22">
                  <c:v>2084.2805911055984</c:v>
                </c:pt>
                <c:pt idx="23">
                  <c:v>2084.7470163309463</c:v>
                </c:pt>
                <c:pt idx="24">
                  <c:v>2084.9017858544507</c:v>
                </c:pt>
                <c:pt idx="25">
                  <c:v>2085.0818801193573</c:v>
                </c:pt>
                <c:pt idx="26">
                  <c:v>2085.9143440420607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F0-43F7-A1BD-446501C2D486}"/>
            </c:ext>
          </c:extLst>
        </c:ser>
        <c:ser>
          <c:idx val="1"/>
          <c:order val="1"/>
          <c:tx>
            <c:strRef>
              <c:f>Multifamily!$AA$7</c:f>
              <c:strCache>
                <c:ptCount val="1"/>
                <c:pt idx="0">
                  <c:v>Cooling (BAU)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Multifamily!$AA$8:$AA$34</c:f>
              <c:numCache>
                <c:formatCode>_(* #,##0.0000_);_(* \(#,##0.0000\);_(* "-"??_);_(@_)</c:formatCode>
                <c:ptCount val="27"/>
                <c:pt idx="1">
                  <c:v>515.02214398179967</c:v>
                </c:pt>
                <c:pt idx="2">
                  <c:v>500.76266152393947</c:v>
                </c:pt>
                <c:pt idx="3">
                  <c:v>486.50317906607944</c:v>
                </c:pt>
                <c:pt idx="4">
                  <c:v>472.2436966082193</c:v>
                </c:pt>
                <c:pt idx="5">
                  <c:v>457.98421415035915</c:v>
                </c:pt>
                <c:pt idx="6">
                  <c:v>443.72473169249906</c:v>
                </c:pt>
                <c:pt idx="7">
                  <c:v>407.41998091765316</c:v>
                </c:pt>
                <c:pt idx="8">
                  <c:v>371.11523014281988</c:v>
                </c:pt>
                <c:pt idx="9">
                  <c:v>334.81047936797404</c:v>
                </c:pt>
                <c:pt idx="10">
                  <c:v>298.5057285931282</c:v>
                </c:pt>
                <c:pt idx="11">
                  <c:v>262.20097781829486</c:v>
                </c:pt>
                <c:pt idx="12">
                  <c:v>225.89622704344902</c:v>
                </c:pt>
                <c:pt idx="13">
                  <c:v>189.59147626861574</c:v>
                </c:pt>
                <c:pt idx="14">
                  <c:v>153.28672549376986</c:v>
                </c:pt>
                <c:pt idx="15">
                  <c:v>116.98197471892398</c:v>
                </c:pt>
                <c:pt idx="16">
                  <c:v>80.677223944090741</c:v>
                </c:pt>
                <c:pt idx="17">
                  <c:v>72.609501549679123</c:v>
                </c:pt>
                <c:pt idx="18">
                  <c:v>64.541779155270703</c:v>
                </c:pt>
                <c:pt idx="19">
                  <c:v>56.474056760862254</c:v>
                </c:pt>
                <c:pt idx="20">
                  <c:v>48.406334366453805</c:v>
                </c:pt>
                <c:pt idx="21">
                  <c:v>40.338611972045371</c:v>
                </c:pt>
                <c:pt idx="22">
                  <c:v>32.270889577633767</c:v>
                </c:pt>
                <c:pt idx="23">
                  <c:v>24.203167183225325</c:v>
                </c:pt>
                <c:pt idx="24">
                  <c:v>16.135444788816883</c:v>
                </c:pt>
                <c:pt idx="25">
                  <c:v>8.0677223944084417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F0-43F7-A1BD-446501C2D486}"/>
            </c:ext>
          </c:extLst>
        </c:ser>
        <c:ser>
          <c:idx val="2"/>
          <c:order val="2"/>
          <c:tx>
            <c:strRef>
              <c:f>Multifamily!$AB$7</c:f>
              <c:strCache>
                <c:ptCount val="1"/>
                <c:pt idx="0">
                  <c:v>Water Heating (BAU)</c:v>
                </c:pt>
              </c:strCache>
            </c:strRef>
          </c:tx>
          <c:spPr>
            <a:ln w="28575" cap="rnd">
              <a:solidFill>
                <a:srgbClr val="A02B93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Multifamily!$AB$8:$AB$34</c:f>
              <c:numCache>
                <c:formatCode>_(* #,##0.0000_);_(* \(#,##0.0000\);_(* "-"??_);_(@_)</c:formatCode>
                <c:ptCount val="27"/>
                <c:pt idx="1">
                  <c:v>673.57654133501933</c:v>
                </c:pt>
                <c:pt idx="2">
                  <c:v>672.25827119604014</c:v>
                </c:pt>
                <c:pt idx="3">
                  <c:v>670.95643664183524</c:v>
                </c:pt>
                <c:pt idx="4">
                  <c:v>645.30122972842753</c:v>
                </c:pt>
                <c:pt idx="5">
                  <c:v>645.50885533201961</c:v>
                </c:pt>
                <c:pt idx="6">
                  <c:v>645.17734853325919</c:v>
                </c:pt>
                <c:pt idx="7">
                  <c:v>645.54111629395436</c:v>
                </c:pt>
                <c:pt idx="8">
                  <c:v>645.34104811464317</c:v>
                </c:pt>
                <c:pt idx="9">
                  <c:v>645.81248199785887</c:v>
                </c:pt>
                <c:pt idx="10">
                  <c:v>646.20507610517234</c:v>
                </c:pt>
                <c:pt idx="11">
                  <c:v>646.5546558310964</c:v>
                </c:pt>
                <c:pt idx="12">
                  <c:v>646.24025021156797</c:v>
                </c:pt>
                <c:pt idx="13">
                  <c:v>646.5151671602398</c:v>
                </c:pt>
                <c:pt idx="14">
                  <c:v>646.71832335002614</c:v>
                </c:pt>
                <c:pt idx="15">
                  <c:v>646.8972762405225</c:v>
                </c:pt>
                <c:pt idx="16">
                  <c:v>646.9977842596287</c:v>
                </c:pt>
                <c:pt idx="17">
                  <c:v>647.08422493972591</c:v>
                </c:pt>
                <c:pt idx="18">
                  <c:v>647.21052324123104</c:v>
                </c:pt>
                <c:pt idx="19">
                  <c:v>647.29102056999727</c:v>
                </c:pt>
                <c:pt idx="20">
                  <c:v>647.34615431133568</c:v>
                </c:pt>
                <c:pt idx="21">
                  <c:v>647.45346872193545</c:v>
                </c:pt>
                <c:pt idx="22">
                  <c:v>647.33629280071477</c:v>
                </c:pt>
                <c:pt idx="23">
                  <c:v>647.48115524271702</c:v>
                </c:pt>
                <c:pt idx="24">
                  <c:v>647.52922359302045</c:v>
                </c:pt>
                <c:pt idx="25">
                  <c:v>647.58515730669444</c:v>
                </c:pt>
                <c:pt idx="26">
                  <c:v>647.84370412227815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F0-43F7-A1BD-446501C2D486}"/>
            </c:ext>
          </c:extLst>
        </c:ser>
        <c:ser>
          <c:idx val="3"/>
          <c:order val="3"/>
          <c:tx>
            <c:strRef>
              <c:f>Multifamily!$AC$7</c:f>
              <c:strCache>
                <c:ptCount val="1"/>
                <c:pt idx="0">
                  <c:v>Heating (GHP)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Multifamily!$AC$8:$AC$34</c:f>
              <c:numCache>
                <c:formatCode>_(* #,##0.0000_);_(* \(#,##0.0000\);_(* "-"??_);_(@_)</c:formatCode>
                <c:ptCount val="27"/>
                <c:pt idx="1">
                  <c:v>2168.7684242984687</c:v>
                </c:pt>
                <c:pt idx="2">
                  <c:v>2164.5238841806568</c:v>
                </c:pt>
                <c:pt idx="3">
                  <c:v>2160.3322630336015</c:v>
                </c:pt>
                <c:pt idx="4">
                  <c:v>1255.0630833540431</c:v>
                </c:pt>
                <c:pt idx="5">
                  <c:v>419.34169592167058</c:v>
                </c:pt>
                <c:pt idx="6">
                  <c:v>406.28536041469778</c:v>
                </c:pt>
                <c:pt idx="7">
                  <c:v>373.04383092621782</c:v>
                </c:pt>
                <c:pt idx="8">
                  <c:v>339.80230143774946</c:v>
                </c:pt>
                <c:pt idx="9">
                  <c:v>306.56077194926962</c:v>
                </c:pt>
                <c:pt idx="10">
                  <c:v>273.31924246078972</c:v>
                </c:pt>
                <c:pt idx="11">
                  <c:v>240.07771297232142</c:v>
                </c:pt>
                <c:pt idx="12">
                  <c:v>206.83618348384149</c:v>
                </c:pt>
                <c:pt idx="13">
                  <c:v>173.59465399537316</c:v>
                </c:pt>
                <c:pt idx="14">
                  <c:v>140.35312450689327</c:v>
                </c:pt>
                <c:pt idx="15">
                  <c:v>107.11159501841338</c:v>
                </c:pt>
                <c:pt idx="16">
                  <c:v>73.870065529945037</c:v>
                </c:pt>
                <c:pt idx="17">
                  <c:v>66.483058976948229</c:v>
                </c:pt>
                <c:pt idx="18">
                  <c:v>59.096052423954291</c:v>
                </c:pt>
                <c:pt idx="19">
                  <c:v>51.709045870960374</c:v>
                </c:pt>
                <c:pt idx="20">
                  <c:v>44.32203931796645</c:v>
                </c:pt>
                <c:pt idx="21">
                  <c:v>36.935032764972519</c:v>
                </c:pt>
                <c:pt idx="22">
                  <c:v>29.548026211975703</c:v>
                </c:pt>
                <c:pt idx="23">
                  <c:v>22.161019658981782</c:v>
                </c:pt>
                <c:pt idx="24">
                  <c:v>14.774013105987851</c:v>
                </c:pt>
                <c:pt idx="25">
                  <c:v>7.3870065529939257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F0-43F7-A1BD-446501C2D486}"/>
            </c:ext>
          </c:extLst>
        </c:ser>
        <c:ser>
          <c:idx val="4"/>
          <c:order val="4"/>
          <c:tx>
            <c:strRef>
              <c:f>Multifamily!$AD$7</c:f>
              <c:strCache>
                <c:ptCount val="1"/>
                <c:pt idx="0">
                  <c:v>Cooling (GHP)</c:v>
                </c:pt>
              </c:strCache>
            </c:strRef>
          </c:tx>
          <c:spPr>
            <a:ln w="28575" cap="rnd">
              <a:solidFill>
                <a:srgbClr val="0F9ED5"/>
              </a:solidFill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Multifamily!$AD$8:$AD$34</c:f>
              <c:numCache>
                <c:formatCode>_(* #,##0.0000_);_(* \(#,##0.0000\);_(* "-"??_);_(@_)</c:formatCode>
                <c:ptCount val="27"/>
                <c:pt idx="1">
                  <c:v>515.02214398179967</c:v>
                </c:pt>
                <c:pt idx="2">
                  <c:v>500.76266152393947</c:v>
                </c:pt>
                <c:pt idx="3">
                  <c:v>486.50317906607944</c:v>
                </c:pt>
                <c:pt idx="4">
                  <c:v>397.55044670413645</c:v>
                </c:pt>
                <c:pt idx="5">
                  <c:v>313.10846628818069</c:v>
                </c:pt>
                <c:pt idx="6">
                  <c:v>303.35973577630756</c:v>
                </c:pt>
                <c:pt idx="7">
                  <c:v>278.53939375824257</c:v>
                </c:pt>
                <c:pt idx="8">
                  <c:v>253.71905174018627</c:v>
                </c:pt>
                <c:pt idx="9">
                  <c:v>228.89870972212128</c:v>
                </c:pt>
                <c:pt idx="10">
                  <c:v>204.07836770405629</c:v>
                </c:pt>
                <c:pt idx="11">
                  <c:v>179.25802568599997</c:v>
                </c:pt>
                <c:pt idx="12">
                  <c:v>154.43768366793498</c:v>
                </c:pt>
                <c:pt idx="13">
                  <c:v>129.6173416498786</c:v>
                </c:pt>
                <c:pt idx="14">
                  <c:v>104.79699963181362</c:v>
                </c:pt>
                <c:pt idx="15">
                  <c:v>79.976657613748642</c:v>
                </c:pt>
                <c:pt idx="16">
                  <c:v>55.156315595692291</c:v>
                </c:pt>
                <c:pt idx="17">
                  <c:v>49.640684036121336</c:v>
                </c:pt>
                <c:pt idx="18">
                  <c:v>44.12505247655254</c:v>
                </c:pt>
                <c:pt idx="19">
                  <c:v>38.609420916983744</c:v>
                </c:pt>
                <c:pt idx="20">
                  <c:v>33.093789357414941</c:v>
                </c:pt>
                <c:pt idx="21">
                  <c:v>27.578157797846146</c:v>
                </c:pt>
                <c:pt idx="22">
                  <c:v>22.06252623827519</c:v>
                </c:pt>
                <c:pt idx="23">
                  <c:v>16.546894678706394</c:v>
                </c:pt>
                <c:pt idx="24">
                  <c:v>11.031263119137595</c:v>
                </c:pt>
                <c:pt idx="25">
                  <c:v>5.5156315595687975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150-4B0E-ADB7-27418E106D34}"/>
            </c:ext>
          </c:extLst>
        </c:ser>
        <c:ser>
          <c:idx val="5"/>
          <c:order val="5"/>
          <c:tx>
            <c:strRef>
              <c:f>Multifamily!$AE$7</c:f>
              <c:strCache>
                <c:ptCount val="1"/>
                <c:pt idx="0">
                  <c:v>Water Heating (GHP)</c:v>
                </c:pt>
              </c:strCache>
            </c:strRef>
          </c:tx>
          <c:spPr>
            <a:ln w="28575" cap="rnd">
              <a:solidFill>
                <a:srgbClr val="CE08B2"/>
              </a:solidFill>
              <a:round/>
            </a:ln>
            <a:effectLst/>
          </c:spPr>
          <c:marker>
            <c:symbol val="none"/>
          </c:marker>
          <c:cat>
            <c:numRef>
              <c:f>Multifamily!$AH$9:$AH$34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Multifamily!$AE$8:$AE$34</c:f>
              <c:numCache>
                <c:formatCode>_(* #,##0.0000_);_(* \(#,##0.0000\);_(* "-"??_);_(@_)</c:formatCode>
                <c:ptCount val="27"/>
                <c:pt idx="1">
                  <c:v>673.57654133501933</c:v>
                </c:pt>
                <c:pt idx="2">
                  <c:v>672.25827119604014</c:v>
                </c:pt>
                <c:pt idx="3">
                  <c:v>670.95643664183524</c:v>
                </c:pt>
                <c:pt idx="4">
                  <c:v>395.17556199297667</c:v>
                </c:pt>
                <c:pt idx="5">
                  <c:v>123.92959555806699</c:v>
                </c:pt>
                <c:pt idx="6">
                  <c:v>120.07100864771164</c:v>
                </c:pt>
                <c:pt idx="7">
                  <c:v>110.2470170310793</c:v>
                </c:pt>
                <c:pt idx="8">
                  <c:v>100.42302541445041</c:v>
                </c:pt>
                <c:pt idx="9">
                  <c:v>90.59903379781808</c:v>
                </c:pt>
                <c:pt idx="10">
                  <c:v>80.775042181185782</c:v>
                </c:pt>
                <c:pt idx="11">
                  <c:v>70.95105056455688</c:v>
                </c:pt>
                <c:pt idx="12">
                  <c:v>61.12705894792456</c:v>
                </c:pt>
                <c:pt idx="13">
                  <c:v>51.303067331295644</c:v>
                </c:pt>
                <c:pt idx="14">
                  <c:v>41.479075714663331</c:v>
                </c:pt>
                <c:pt idx="15">
                  <c:v>31.655084098031015</c:v>
                </c:pt>
                <c:pt idx="16">
                  <c:v>21.831092481402113</c:v>
                </c:pt>
                <c:pt idx="17">
                  <c:v>19.647983233261218</c:v>
                </c:pt>
                <c:pt idx="18">
                  <c:v>17.46487398512118</c:v>
                </c:pt>
                <c:pt idx="19">
                  <c:v>15.28176473698114</c:v>
                </c:pt>
                <c:pt idx="20">
                  <c:v>13.098655488841098</c:v>
                </c:pt>
                <c:pt idx="21">
                  <c:v>10.915546240701056</c:v>
                </c:pt>
                <c:pt idx="22">
                  <c:v>8.7324369925601601</c:v>
                </c:pt>
                <c:pt idx="23">
                  <c:v>6.549327744420121</c:v>
                </c:pt>
                <c:pt idx="24">
                  <c:v>4.3662184962800801</c:v>
                </c:pt>
                <c:pt idx="25">
                  <c:v>2.18310924814004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150-4B0E-ADB7-27418E106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279343"/>
        <c:axId val="416280303"/>
      </c:lineChart>
      <c:catAx>
        <c:axId val="416279343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280303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2803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GHG</a:t>
                </a:r>
                <a:r>
                  <a:rPr lang="en-US" baseline="0"/>
                  <a:t> Emissions (MT CO2e)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27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939426</xdr:colOff>
      <xdr:row>25</xdr:row>
      <xdr:rowOff>135031</xdr:rowOff>
    </xdr:from>
    <xdr:to>
      <xdr:col>8</xdr:col>
      <xdr:colOff>57335</xdr:colOff>
      <xdr:row>57</xdr:row>
      <xdr:rowOff>89086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C49F4B5-4FF7-A07D-0C01-F541CEB690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681691</xdr:colOff>
      <xdr:row>59</xdr:row>
      <xdr:rowOff>175559</xdr:rowOff>
    </xdr:from>
    <xdr:to>
      <xdr:col>7</xdr:col>
      <xdr:colOff>1392142</xdr:colOff>
      <xdr:row>90</xdr:row>
      <xdr:rowOff>92261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820B701-F938-4AFD-8AC8-2E7A48EA81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694084</xdr:colOff>
      <xdr:row>24</xdr:row>
      <xdr:rowOff>94673</xdr:rowOff>
    </xdr:from>
    <xdr:to>
      <xdr:col>11</xdr:col>
      <xdr:colOff>223437</xdr:colOff>
      <xdr:row>39</xdr:row>
      <xdr:rowOff>28931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CDDD01-BB49-C7EF-4F3C-A4DD5BD3F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512619</xdr:colOff>
      <xdr:row>23</xdr:row>
      <xdr:rowOff>75045</xdr:rowOff>
    </xdr:from>
    <xdr:to>
      <xdr:col>18</xdr:col>
      <xdr:colOff>544487</xdr:colOff>
      <xdr:row>38</xdr:row>
      <xdr:rowOff>12479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1B8F77-B0F1-4733-986D-86B074DD5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3837956</xdr:colOff>
      <xdr:row>13</xdr:row>
      <xdr:rowOff>9525</xdr:rowOff>
    </xdr:from>
    <xdr:to>
      <xdr:col>20</xdr:col>
      <xdr:colOff>1383950</xdr:colOff>
      <xdr:row>25</xdr:row>
      <xdr:rowOff>79004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31119C-39F8-CF2C-EB7F-8CC577B502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932688</xdr:colOff>
      <xdr:row>40</xdr:row>
      <xdr:rowOff>287125</xdr:rowOff>
    </xdr:from>
    <xdr:ext cx="81280" cy="1270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CA0C8BE1-3FF5-445F-8C71-4BC913A0EF9B}"/>
            </a:ext>
          </a:extLst>
        </xdr:cNvPr>
        <xdr:cNvSpPr/>
      </xdr:nvSpPr>
      <xdr:spPr>
        <a:xfrm>
          <a:off x="6714363" y="11602825"/>
          <a:ext cx="81280" cy="12700"/>
        </a:xfrm>
        <a:custGeom>
          <a:avLst/>
          <a:gdLst/>
          <a:ahLst/>
          <a:cxnLst/>
          <a:rect l="0" t="0" r="0" b="0"/>
          <a:pathLst>
            <a:path w="81280" h="12700">
              <a:moveTo>
                <a:pt x="80772" y="12191"/>
              </a:moveTo>
              <a:lnTo>
                <a:pt x="0" y="12191"/>
              </a:lnTo>
              <a:lnTo>
                <a:pt x="0" y="0"/>
              </a:lnTo>
              <a:lnTo>
                <a:pt x="80772" y="0"/>
              </a:lnTo>
              <a:lnTo>
                <a:pt x="80772" y="12191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0</xdr:col>
      <xdr:colOff>597407</xdr:colOff>
      <xdr:row>41</xdr:row>
      <xdr:rowOff>0</xdr:rowOff>
    </xdr:from>
    <xdr:ext cx="29209" cy="29209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60BB25E4-2CE1-47CB-AE4B-E66BE4084C6E}"/>
            </a:ext>
          </a:extLst>
        </xdr:cNvPr>
        <xdr:cNvSpPr/>
      </xdr:nvSpPr>
      <xdr:spPr>
        <a:xfrm>
          <a:off x="600582" y="11601450"/>
          <a:ext cx="29209" cy="29209"/>
        </a:xfrm>
        <a:custGeom>
          <a:avLst/>
          <a:gdLst/>
          <a:ahLst/>
          <a:cxnLst/>
          <a:rect l="0" t="0" r="0" b="0"/>
          <a:pathLst>
            <a:path w="29209" h="29209">
              <a:moveTo>
                <a:pt x="28956" y="10667"/>
              </a:moveTo>
              <a:lnTo>
                <a:pt x="0" y="10667"/>
              </a:lnTo>
              <a:lnTo>
                <a:pt x="0" y="0"/>
              </a:lnTo>
              <a:lnTo>
                <a:pt x="28956" y="0"/>
              </a:lnTo>
              <a:lnTo>
                <a:pt x="28956" y="10667"/>
              </a:lnTo>
              <a:close/>
            </a:path>
            <a:path w="29209" h="29209">
              <a:moveTo>
                <a:pt x="28956" y="28955"/>
              </a:moveTo>
              <a:lnTo>
                <a:pt x="0" y="28955"/>
              </a:lnTo>
              <a:lnTo>
                <a:pt x="0" y="18287"/>
              </a:lnTo>
              <a:lnTo>
                <a:pt x="28956" y="18287"/>
              </a:lnTo>
              <a:lnTo>
                <a:pt x="28956" y="28955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1236063</xdr:colOff>
      <xdr:row>41</xdr:row>
      <xdr:rowOff>0</xdr:rowOff>
    </xdr:from>
    <xdr:ext cx="29209" cy="29209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D9128685-F35D-4768-9449-41523B540793}"/>
            </a:ext>
          </a:extLst>
        </xdr:cNvPr>
        <xdr:cNvSpPr/>
      </xdr:nvSpPr>
      <xdr:spPr>
        <a:xfrm>
          <a:off x="4836513" y="11601450"/>
          <a:ext cx="29209" cy="29209"/>
        </a:xfrm>
        <a:custGeom>
          <a:avLst/>
          <a:gdLst/>
          <a:ahLst/>
          <a:cxnLst/>
          <a:rect l="0" t="0" r="0" b="0"/>
          <a:pathLst>
            <a:path w="29209" h="29209">
              <a:moveTo>
                <a:pt x="28956" y="10667"/>
              </a:moveTo>
              <a:lnTo>
                <a:pt x="0" y="10667"/>
              </a:lnTo>
              <a:lnTo>
                <a:pt x="0" y="0"/>
              </a:lnTo>
              <a:lnTo>
                <a:pt x="28956" y="0"/>
              </a:lnTo>
              <a:lnTo>
                <a:pt x="28956" y="10667"/>
              </a:lnTo>
              <a:close/>
            </a:path>
            <a:path w="29209" h="29209">
              <a:moveTo>
                <a:pt x="28956" y="28955"/>
              </a:moveTo>
              <a:lnTo>
                <a:pt x="0" y="28955"/>
              </a:lnTo>
              <a:lnTo>
                <a:pt x="0" y="18287"/>
              </a:lnTo>
              <a:lnTo>
                <a:pt x="28956" y="18287"/>
              </a:lnTo>
              <a:lnTo>
                <a:pt x="28956" y="28955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2</xdr:col>
      <xdr:colOff>1195300</xdr:colOff>
      <xdr:row>41</xdr:row>
      <xdr:rowOff>0</xdr:rowOff>
    </xdr:from>
    <xdr:ext cx="29209" cy="29209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924CED24-E52A-44C4-AAE2-6520C8258745}"/>
            </a:ext>
          </a:extLst>
        </xdr:cNvPr>
        <xdr:cNvSpPr/>
      </xdr:nvSpPr>
      <xdr:spPr>
        <a:xfrm>
          <a:off x="5783175" y="11601450"/>
          <a:ext cx="29209" cy="29209"/>
        </a:xfrm>
        <a:custGeom>
          <a:avLst/>
          <a:gdLst/>
          <a:ahLst/>
          <a:cxnLst/>
          <a:rect l="0" t="0" r="0" b="0"/>
          <a:pathLst>
            <a:path w="29209" h="29209">
              <a:moveTo>
                <a:pt x="28955" y="10667"/>
              </a:moveTo>
              <a:lnTo>
                <a:pt x="0" y="10667"/>
              </a:lnTo>
              <a:lnTo>
                <a:pt x="0" y="0"/>
              </a:lnTo>
              <a:lnTo>
                <a:pt x="28955" y="0"/>
              </a:lnTo>
              <a:lnTo>
                <a:pt x="28955" y="10667"/>
              </a:lnTo>
              <a:close/>
            </a:path>
            <a:path w="29209" h="29209">
              <a:moveTo>
                <a:pt x="28955" y="28955"/>
              </a:moveTo>
              <a:lnTo>
                <a:pt x="0" y="28955"/>
              </a:lnTo>
              <a:lnTo>
                <a:pt x="0" y="18287"/>
              </a:lnTo>
              <a:lnTo>
                <a:pt x="28955" y="18287"/>
              </a:lnTo>
              <a:lnTo>
                <a:pt x="28955" y="28955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3</xdr:col>
      <xdr:colOff>1195947</xdr:colOff>
      <xdr:row>41</xdr:row>
      <xdr:rowOff>0</xdr:rowOff>
    </xdr:from>
    <xdr:ext cx="29209" cy="29209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E470BC04-8F4A-4BAF-84F5-AF1FEFC274CA}"/>
            </a:ext>
          </a:extLst>
        </xdr:cNvPr>
        <xdr:cNvSpPr/>
      </xdr:nvSpPr>
      <xdr:spPr>
        <a:xfrm>
          <a:off x="6974447" y="11601450"/>
          <a:ext cx="29209" cy="29209"/>
        </a:xfrm>
        <a:custGeom>
          <a:avLst/>
          <a:gdLst/>
          <a:ahLst/>
          <a:cxnLst/>
          <a:rect l="0" t="0" r="0" b="0"/>
          <a:pathLst>
            <a:path w="29209" h="29209">
              <a:moveTo>
                <a:pt x="28955" y="10667"/>
              </a:moveTo>
              <a:lnTo>
                <a:pt x="0" y="10667"/>
              </a:lnTo>
              <a:lnTo>
                <a:pt x="0" y="0"/>
              </a:lnTo>
              <a:lnTo>
                <a:pt x="28955" y="0"/>
              </a:lnTo>
              <a:lnTo>
                <a:pt x="28955" y="10667"/>
              </a:lnTo>
              <a:close/>
            </a:path>
            <a:path w="29209" h="29209">
              <a:moveTo>
                <a:pt x="28955" y="28955"/>
              </a:moveTo>
              <a:lnTo>
                <a:pt x="0" y="28955"/>
              </a:lnTo>
              <a:lnTo>
                <a:pt x="0" y="18287"/>
              </a:lnTo>
              <a:lnTo>
                <a:pt x="28955" y="18287"/>
              </a:lnTo>
              <a:lnTo>
                <a:pt x="28955" y="28955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>
    <xdr:from>
      <xdr:col>7</xdr:col>
      <xdr:colOff>486705</xdr:colOff>
      <xdr:row>41</xdr:row>
      <xdr:rowOff>826826</xdr:rowOff>
    </xdr:from>
    <xdr:to>
      <xdr:col>15</xdr:col>
      <xdr:colOff>33618</xdr:colOff>
      <xdr:row>57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CBC361-E4BD-7763-A3B5-977E31B184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224918</xdr:colOff>
      <xdr:row>35</xdr:row>
      <xdr:rowOff>150799</xdr:rowOff>
    </xdr:from>
    <xdr:to>
      <xdr:col>24</xdr:col>
      <xdr:colOff>2327061</xdr:colOff>
      <xdr:row>52</xdr:row>
      <xdr:rowOff>43222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5E07A3-DF6F-E0A0-20A1-CDCF5DEB3A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594179</xdr:colOff>
      <xdr:row>10</xdr:row>
      <xdr:rowOff>169755</xdr:rowOff>
    </xdr:from>
    <xdr:to>
      <xdr:col>28</xdr:col>
      <xdr:colOff>494393</xdr:colOff>
      <xdr:row>26</xdr:row>
      <xdr:rowOff>9309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54C1701-2863-401B-B705-7C4BFF64BB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1626467</xdr:colOff>
      <xdr:row>44</xdr:row>
      <xdr:rowOff>128658</xdr:rowOff>
    </xdr:from>
    <xdr:to>
      <xdr:col>6</xdr:col>
      <xdr:colOff>618773</xdr:colOff>
      <xdr:row>62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EC1B9E-FACB-741A-D9C9-4BE438D3B9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228600</xdr:colOff>
      <xdr:row>47</xdr:row>
      <xdr:rowOff>152400</xdr:rowOff>
    </xdr:from>
    <xdr:to>
      <xdr:col>2</xdr:col>
      <xdr:colOff>228600</xdr:colOff>
      <xdr:row>60</xdr:row>
      <xdr:rowOff>123472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E067BE7-16C0-4E1B-B995-9EAD8EF32FD9}"/>
            </a:ext>
          </a:extLst>
        </xdr:cNvPr>
        <xdr:cNvCxnSpPr/>
      </xdr:nvCxnSpPr>
      <xdr:spPr>
        <a:xfrm>
          <a:off x="4585406" y="9624483"/>
          <a:ext cx="0" cy="2264128"/>
        </a:xfrm>
        <a:prstGeom prst="line">
          <a:avLst/>
        </a:prstGeom>
        <a:ln w="25400">
          <a:solidFill>
            <a:sysClr val="windowText" lastClr="000000"/>
          </a:solidFill>
          <a:prstDash val="solid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1140415</xdr:colOff>
      <xdr:row>1</xdr:row>
      <xdr:rowOff>68165</xdr:rowOff>
    </xdr:from>
    <xdr:to>
      <xdr:col>41</xdr:col>
      <xdr:colOff>526184</xdr:colOff>
      <xdr:row>41</xdr:row>
      <xdr:rowOff>169719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D2E23DF-04F7-58C7-55C3-854BE5E2B3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140657</xdr:colOff>
      <xdr:row>7</xdr:row>
      <xdr:rowOff>121227</xdr:rowOff>
    </xdr:from>
    <xdr:to>
      <xdr:col>26</xdr:col>
      <xdr:colOff>227512</xdr:colOff>
      <xdr:row>39</xdr:row>
      <xdr:rowOff>36555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5375AD15-32CE-5C4B-6349-FDD981564B8E}"/>
            </a:ext>
          </a:extLst>
        </xdr:cNvPr>
        <xdr:cNvCxnSpPr/>
      </xdr:nvCxnSpPr>
      <xdr:spPr>
        <a:xfrm>
          <a:off x="30655293" y="2095500"/>
          <a:ext cx="86855" cy="5474464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132216</xdr:colOff>
      <xdr:row>47</xdr:row>
      <xdr:rowOff>73477</xdr:rowOff>
    </xdr:from>
    <xdr:to>
      <xdr:col>14</xdr:col>
      <xdr:colOff>54428</xdr:colOff>
      <xdr:row>68</xdr:row>
      <xdr:rowOff>114752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1F6E24-F5D7-0286-0714-EF9D91EA3C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177800</xdr:rowOff>
    </xdr:from>
    <xdr:to>
      <xdr:col>10</xdr:col>
      <xdr:colOff>587376</xdr:colOff>
      <xdr:row>46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DD242F-A5A1-4A1E-B29A-F789C2FBE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352184</xdr:colOff>
      <xdr:row>18</xdr:row>
      <xdr:rowOff>136474</xdr:rowOff>
    </xdr:from>
    <xdr:to>
      <xdr:col>5</xdr:col>
      <xdr:colOff>352461</xdr:colOff>
      <xdr:row>34</xdr:row>
      <xdr:rowOff>117424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20E250D-ADF7-450A-BA9A-CC5D374EE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gcc02.safelinks.protection.outlook.com/?url=https%3A%2F%2Fwww.nrel.gov%2Fdocs%2Ffy23osti%2F86678.pdf&amp;data=05%7C02%7CSWinter%40newhavenct.gov%7Cd9409bbf22514a7d617b08dc5009286c%7Cdd83ce47326d4fe9a0e57530887f77ab%7C0%7C0%7C638473248598648762%7CUnknown%7CTWFpbGZsb3d8eyJWIjoiMC4wLjAwMDAiLCJQIjoiV2luMzIiLCJBTiI6Ik1haWwiLCJXVCI6Mn0%3D%7C0%7C%7C%7C&amp;sdata=oyITE9Ss70HGFQthLSNADV0XbvrKiV4tT1%2F1Z5R5J00%3D&amp;reserved=0" TargetMode="External"/><Relationship Id="rId3" Type="http://schemas.openxmlformats.org/officeDocument/2006/relationships/hyperlink" Target="https://www.energystar.gov/buildings/benchmark/understand-metrics/what-eui" TargetMode="External"/><Relationship Id="rId7" Type="http://schemas.openxmlformats.org/officeDocument/2006/relationships/hyperlink" Target="https://www.epa.gov/system/files/documents/2023-04/emission-factors_sept2021.pdf" TargetMode="External"/><Relationship Id="rId2" Type="http://schemas.openxmlformats.org/officeDocument/2006/relationships/hyperlink" Target="https://www.iso-ne.com/about/key-stats/air-emissions" TargetMode="External"/><Relationship Id="rId1" Type="http://schemas.openxmlformats.org/officeDocument/2006/relationships/hyperlink" Target="https://www.epa.gov/egrid/historical-egrid-data" TargetMode="External"/><Relationship Id="rId6" Type="http://schemas.openxmlformats.org/officeDocument/2006/relationships/hyperlink" Target="https://www.epa.gov/system/files/documents/2023-04/US-GHG-Inventory-2023-Main-Text.pdf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https://www.eia.gov/environment/emissions/co2_vol_mass.php" TargetMode="External"/><Relationship Id="rId10" Type="http://schemas.openxmlformats.org/officeDocument/2006/relationships/hyperlink" Target="https://www.energystar.gov/sites/default/files/asset/document/ENERGY%20STAR%20MFNC%20National%20Program%20Requirements%20Version%201.2.pdf" TargetMode="External"/><Relationship Id="rId4" Type="http://schemas.openxmlformats.org/officeDocument/2006/relationships/hyperlink" Target="https://www.eia.gov/consumption/residential/data/2020/c&amp;e/pdf/ce3.2.pdf" TargetMode="External"/><Relationship Id="rId9" Type="http://schemas.openxmlformats.org/officeDocument/2006/relationships/hyperlink" Target="https://portfoliomanager.energystar.gov/pdf/reference/Source%20Energy.pdf?_gl=1*rng9xm*_ga*NTUzODA0NDc3LjE3MTAyMDU4MDI.*_ga_S0KJTVVLQ6*MTcxMDc4MjI5OC4yLjEuMTcxMDc4MjQwMC4wLjAuMA..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www.epa.gov/climateleadership/ghg-emission-factors-hub" TargetMode="External"/><Relationship Id="rId1" Type="http://schemas.openxmlformats.org/officeDocument/2006/relationships/hyperlink" Target="https://portal.ct.gov/DEEP/Climate-Change/Connecticut-Legislation--Executive-Orders-on-Climat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ct.gov/-/media/deep/climatechange/cprg/ct_pca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60681-9D80-40B4-A783-F3C9493C4104}">
  <dimension ref="A3:O25"/>
  <sheetViews>
    <sheetView topLeftCell="A33" zoomScaleNormal="100" workbookViewId="0">
      <selection activeCell="H21" sqref="H21"/>
    </sheetView>
  </sheetViews>
  <sheetFormatPr defaultRowHeight="15" x14ac:dyDescent="0.25"/>
  <cols>
    <col min="1" max="1" width="15.28515625" customWidth="1"/>
    <col min="2" max="2" width="19.140625" bestFit="1" customWidth="1"/>
    <col min="3" max="3" width="15.85546875" customWidth="1"/>
    <col min="4" max="4" width="13.42578125" bestFit="1" customWidth="1"/>
    <col min="5" max="5" width="22.7109375" bestFit="1" customWidth="1"/>
    <col min="6" max="6" width="22.7109375" customWidth="1"/>
    <col min="7" max="7" width="23.140625" bestFit="1" customWidth="1"/>
    <col min="8" max="8" width="22.7109375" bestFit="1" customWidth="1"/>
    <col min="9" max="10" width="31.5703125" style="214" bestFit="1" customWidth="1"/>
    <col min="11" max="11" width="9.140625" style="214" bestFit="1" customWidth="1"/>
    <col min="12" max="12" width="12.42578125" style="214" bestFit="1" customWidth="1"/>
  </cols>
  <sheetData>
    <row r="3" spans="1:15" ht="32.25" thickBot="1" x14ac:dyDescent="0.55000000000000004">
      <c r="A3" s="212" t="s">
        <v>111</v>
      </c>
    </row>
    <row r="4" spans="1:15" x14ac:dyDescent="0.25">
      <c r="A4" s="216" t="s">
        <v>112</v>
      </c>
      <c r="B4" s="217" t="s">
        <v>113</v>
      </c>
      <c r="C4" s="217" t="s">
        <v>114</v>
      </c>
      <c r="D4" s="217" t="s">
        <v>21</v>
      </c>
      <c r="E4" s="217" t="s">
        <v>115</v>
      </c>
      <c r="F4" s="217" t="s">
        <v>116</v>
      </c>
      <c r="G4" s="217" t="s">
        <v>117</v>
      </c>
      <c r="H4" s="217" t="s">
        <v>118</v>
      </c>
      <c r="I4" s="218" t="s">
        <v>294</v>
      </c>
      <c r="J4" s="222" t="s">
        <v>295</v>
      </c>
    </row>
    <row r="5" spans="1:15" x14ac:dyDescent="0.25">
      <c r="A5" s="277" t="s">
        <v>96</v>
      </c>
      <c r="B5" t="s">
        <v>16</v>
      </c>
      <c r="C5" t="s">
        <v>122</v>
      </c>
      <c r="D5" t="s">
        <v>22</v>
      </c>
      <c r="E5" s="242">
        <f>'Union Station'!Q34</f>
        <v>1453.851028768976</v>
      </c>
      <c r="F5" s="242">
        <f>'Union Station'!Q36</f>
        <v>6212.1360628823531</v>
      </c>
      <c r="G5" s="242">
        <f>'Union Station'!S34</f>
        <v>939.89040434414881</v>
      </c>
      <c r="H5" s="242">
        <f>'Union Station'!S36</f>
        <v>1009.4382774687566</v>
      </c>
      <c r="I5" s="243">
        <f>G5-E5</f>
        <v>-513.96062442482719</v>
      </c>
      <c r="J5" s="245">
        <f>H5-F5</f>
        <v>-5202.6977854135966</v>
      </c>
    </row>
    <row r="6" spans="1:15" x14ac:dyDescent="0.25">
      <c r="A6" s="277"/>
      <c r="B6" t="s">
        <v>119</v>
      </c>
      <c r="C6" t="s">
        <v>57</v>
      </c>
      <c r="D6" t="s">
        <v>23</v>
      </c>
      <c r="E6" s="242">
        <f>'Union Station'!R34</f>
        <v>264.65028653143372</v>
      </c>
      <c r="F6" s="242">
        <f>'Union Station'!R36</f>
        <v>522.6106065368474</v>
      </c>
      <c r="G6" s="242">
        <f>'Union Station'!T34</f>
        <v>225.22391624189746</v>
      </c>
      <c r="H6" s="242">
        <f>'Union Station'!T36</f>
        <v>415.70240867482374</v>
      </c>
      <c r="I6" s="243">
        <f>G6-E6</f>
        <v>-39.426370289536266</v>
      </c>
      <c r="J6" s="245">
        <f t="shared" ref="J6:J12" si="0">H6-F6</f>
        <v>-106.90819786202366</v>
      </c>
    </row>
    <row r="7" spans="1:15" x14ac:dyDescent="0.25">
      <c r="A7" s="277"/>
      <c r="B7" s="278" t="s">
        <v>120</v>
      </c>
      <c r="C7" s="278"/>
      <c r="D7" s="278"/>
      <c r="E7" s="242">
        <f>SUM(E5:E6)</f>
        <v>1718.5013153004097</v>
      </c>
      <c r="F7" s="242">
        <f>SUM(F5:F6)</f>
        <v>6734.7466694192008</v>
      </c>
      <c r="G7" s="242">
        <f>SUM(G5:G6)</f>
        <v>1165.1143205860462</v>
      </c>
      <c r="H7" s="242">
        <f>SUM(H5:H6)</f>
        <v>1425.1406861435803</v>
      </c>
      <c r="I7" s="243">
        <f t="shared" ref="I7:I12" si="1">G7-E7</f>
        <v>-553.38699471436348</v>
      </c>
      <c r="J7" s="245">
        <f t="shared" si="0"/>
        <v>-5309.60598327562</v>
      </c>
    </row>
    <row r="8" spans="1:15" ht="28.5" customHeight="1" x14ac:dyDescent="0.25">
      <c r="A8" s="277" t="s">
        <v>93</v>
      </c>
      <c r="B8" s="7" t="s">
        <v>16</v>
      </c>
      <c r="C8" s="7" t="s">
        <v>237</v>
      </c>
      <c r="D8" t="s">
        <v>22</v>
      </c>
      <c r="E8" s="242">
        <f>Multifamily!Z35</f>
        <v>12727.078615940814</v>
      </c>
      <c r="F8" s="242">
        <f>Multifamily!Z37</f>
        <v>54381.324138945303</v>
      </c>
      <c r="G8" s="242">
        <f>Multifamily!AC35</f>
        <v>8574.3147112031384</v>
      </c>
      <c r="H8" s="242">
        <f>Multifamily!AC37</f>
        <v>11141.299488368692</v>
      </c>
      <c r="I8" s="243">
        <f t="shared" si="1"/>
        <v>-4152.7639047376761</v>
      </c>
      <c r="J8" s="245">
        <f t="shared" si="0"/>
        <v>-43240.024650576612</v>
      </c>
    </row>
    <row r="9" spans="1:15" ht="28.5" customHeight="1" x14ac:dyDescent="0.25">
      <c r="A9" s="277"/>
      <c r="B9" s="7" t="s">
        <v>17</v>
      </c>
      <c r="C9" s="7" t="s">
        <v>66</v>
      </c>
      <c r="D9" t="s">
        <v>22</v>
      </c>
      <c r="E9" s="242">
        <f>Multifamily!AB35</f>
        <v>3952.7786827666014</v>
      </c>
      <c r="F9" s="242">
        <f>Multifamily!AB37</f>
        <v>16889.76278718096</v>
      </c>
      <c r="G9" s="242">
        <f>Multifamily!AE35</f>
        <v>2655.9674153716501</v>
      </c>
      <c r="H9" s="242">
        <f>Multifamily!AE37</f>
        <v>3414.5978791003636</v>
      </c>
      <c r="I9" s="243">
        <f t="shared" si="1"/>
        <v>-1296.8112673949513</v>
      </c>
      <c r="J9" s="245">
        <f t="shared" si="0"/>
        <v>-13475.164908080596</v>
      </c>
    </row>
    <row r="10" spans="1:15" x14ac:dyDescent="0.25">
      <c r="A10" s="277"/>
      <c r="B10" t="s">
        <v>119</v>
      </c>
      <c r="C10" t="s">
        <v>121</v>
      </c>
      <c r="D10" t="s">
        <v>23</v>
      </c>
      <c r="E10" s="242">
        <f>Multifamily!AA35</f>
        <v>2876.2406270228962</v>
      </c>
      <c r="F10" s="242">
        <f>Multifamily!AA37</f>
        <v>5679.7741590800124</v>
      </c>
      <c r="G10" s="242">
        <f>Multifamily!AD35</f>
        <v>2516.3066333404431</v>
      </c>
      <c r="H10" s="242">
        <f>Multifamily!AD37</f>
        <v>4432.9886002907242</v>
      </c>
      <c r="I10" s="243">
        <f t="shared" si="1"/>
        <v>-359.93399368245309</v>
      </c>
      <c r="J10" s="245">
        <f t="shared" si="0"/>
        <v>-1246.7855587892882</v>
      </c>
    </row>
    <row r="11" spans="1:15" x14ac:dyDescent="0.25">
      <c r="A11" s="277"/>
      <c r="B11" s="278" t="s">
        <v>120</v>
      </c>
      <c r="C11" s="278"/>
      <c r="D11" s="278"/>
      <c r="E11" s="242">
        <f>SUM(E8:E10)</f>
        <v>19556.097925730312</v>
      </c>
      <c r="F11" s="242">
        <f>SUM(F8:F10)</f>
        <v>76950.861085206285</v>
      </c>
      <c r="G11" s="242">
        <f t="shared" ref="G11:H11" si="2">SUM(G8:G10)</f>
        <v>13746.58875991523</v>
      </c>
      <c r="H11" s="242">
        <f t="shared" si="2"/>
        <v>18988.885967759779</v>
      </c>
      <c r="I11" s="243">
        <f t="shared" si="1"/>
        <v>-5809.5091658150814</v>
      </c>
      <c r="J11" s="245">
        <f t="shared" si="0"/>
        <v>-57961.975117446505</v>
      </c>
    </row>
    <row r="12" spans="1:15" ht="29.1" customHeight="1" x14ac:dyDescent="0.25">
      <c r="A12" s="279" t="s">
        <v>111</v>
      </c>
      <c r="B12" s="213" t="s">
        <v>293</v>
      </c>
      <c r="C12" s="275" t="s">
        <v>120</v>
      </c>
      <c r="D12" s="275"/>
      <c r="E12" s="243">
        <f>SUM(E8:E10,E5:E6)</f>
        <v>21274.599241030719</v>
      </c>
      <c r="F12" s="243">
        <f>SUM(F8:F10,F5:F6)</f>
        <v>83685.607754625496</v>
      </c>
      <c r="G12" s="243">
        <f>SUM(G8:G10,G5:G6)</f>
        <v>14911.703080501276</v>
      </c>
      <c r="H12" s="243">
        <f>SUM(H8:H10,H5:H6)</f>
        <v>20414.026653903362</v>
      </c>
      <c r="I12" s="243">
        <f t="shared" si="1"/>
        <v>-6362.8961605294426</v>
      </c>
      <c r="J12" s="245">
        <f t="shared" si="0"/>
        <v>-63271.581100722135</v>
      </c>
    </row>
    <row r="13" spans="1:15" ht="29.1" customHeight="1" x14ac:dyDescent="0.25">
      <c r="A13" s="279"/>
      <c r="B13" s="213" t="s">
        <v>292</v>
      </c>
      <c r="C13" s="275"/>
      <c r="D13" s="275"/>
      <c r="E13" s="244"/>
      <c r="F13" s="244"/>
      <c r="G13" s="243">
        <f>G12-E12</f>
        <v>-6362.8961605294426</v>
      </c>
      <c r="H13" s="243">
        <f>H12-F12</f>
        <v>-63271.581100722135</v>
      </c>
      <c r="I13" s="215"/>
      <c r="J13" s="223"/>
    </row>
    <row r="14" spans="1:15" ht="29.1" customHeight="1" thickBot="1" x14ac:dyDescent="0.3">
      <c r="A14" s="280"/>
      <c r="B14" s="219" t="s">
        <v>123</v>
      </c>
      <c r="C14" s="276"/>
      <c r="D14" s="276"/>
      <c r="E14" s="220"/>
      <c r="F14" s="220"/>
      <c r="G14" s="114">
        <f>(G12-E12)/E12</f>
        <v>-0.29908418431017036</v>
      </c>
      <c r="H14" s="114">
        <f>(H12-F12)/F12</f>
        <v>-0.75606287387241888</v>
      </c>
      <c r="I14" s="220"/>
      <c r="J14" s="224"/>
    </row>
    <row r="15" spans="1:15" ht="15.75" thickBot="1" x14ac:dyDescent="0.3"/>
    <row r="16" spans="1:15" x14ac:dyDescent="0.25">
      <c r="A16" s="270" t="s">
        <v>242</v>
      </c>
      <c r="B16" s="271"/>
      <c r="C16" s="271"/>
      <c r="D16" s="271"/>
      <c r="E16" s="271"/>
      <c r="F16" s="271"/>
      <c r="G16" s="272"/>
      <c r="I16" s="264" t="s">
        <v>242</v>
      </c>
      <c r="J16" s="265"/>
      <c r="K16" s="265"/>
      <c r="L16" s="266"/>
      <c r="M16" s="13"/>
      <c r="N16" s="13"/>
      <c r="O16" s="13"/>
    </row>
    <row r="17" spans="1:15" x14ac:dyDescent="0.25">
      <c r="A17" s="83"/>
      <c r="B17" t="s">
        <v>16</v>
      </c>
      <c r="D17" t="s">
        <v>46</v>
      </c>
      <c r="F17" t="s">
        <v>17</v>
      </c>
      <c r="G17" s="84"/>
      <c r="I17" s="21"/>
      <c r="J17" s="214" t="s">
        <v>16</v>
      </c>
      <c r="K17" s="214" t="s">
        <v>46</v>
      </c>
      <c r="L17" s="225" t="s">
        <v>17</v>
      </c>
    </row>
    <row r="18" spans="1:15" x14ac:dyDescent="0.25">
      <c r="A18" s="83"/>
      <c r="B18" t="s">
        <v>217</v>
      </c>
      <c r="C18" t="s">
        <v>37</v>
      </c>
      <c r="D18" t="s">
        <v>217</v>
      </c>
      <c r="E18" t="s">
        <v>37</v>
      </c>
      <c r="F18" t="s">
        <v>217</v>
      </c>
      <c r="G18" s="84" t="s">
        <v>37</v>
      </c>
      <c r="I18" s="21" t="s">
        <v>96</v>
      </c>
      <c r="J18" s="214">
        <f>I5</f>
        <v>-513.96062442482719</v>
      </c>
      <c r="K18" s="214">
        <f>I6</f>
        <v>-39.426370289536266</v>
      </c>
      <c r="L18" s="22">
        <v>0</v>
      </c>
      <c r="M18" s="12"/>
    </row>
    <row r="19" spans="1:15" x14ac:dyDescent="0.25">
      <c r="A19" s="83" t="s">
        <v>96</v>
      </c>
      <c r="B19" s="12">
        <f>E5</f>
        <v>1453.851028768976</v>
      </c>
      <c r="C19" s="12">
        <f>G5</f>
        <v>939.89040434414881</v>
      </c>
      <c r="D19" s="12">
        <f>E6</f>
        <v>264.65028653143372</v>
      </c>
      <c r="E19" s="12">
        <f>G6</f>
        <v>225.22391624189746</v>
      </c>
      <c r="F19">
        <f>0</f>
        <v>0</v>
      </c>
      <c r="G19" s="84">
        <f>0</f>
        <v>0</v>
      </c>
      <c r="I19" s="21" t="s">
        <v>93</v>
      </c>
      <c r="J19" s="214">
        <f>I8</f>
        <v>-4152.7639047376761</v>
      </c>
      <c r="K19" s="214">
        <f>I10</f>
        <v>-359.93399368245309</v>
      </c>
      <c r="L19" s="225">
        <f>I9</f>
        <v>-1296.8112673949513</v>
      </c>
    </row>
    <row r="20" spans="1:15" x14ac:dyDescent="0.25">
      <c r="A20" s="83" t="s">
        <v>93</v>
      </c>
      <c r="B20" s="12">
        <f>E8</f>
        <v>12727.078615940814</v>
      </c>
      <c r="C20" s="12">
        <f>G8</f>
        <v>8574.3147112031384</v>
      </c>
      <c r="D20" s="12">
        <f>E10</f>
        <v>2876.2406270228962</v>
      </c>
      <c r="E20" s="12">
        <f>G10</f>
        <v>2516.3066333404431</v>
      </c>
      <c r="F20" s="12">
        <f>E9</f>
        <v>3952.7786827666014</v>
      </c>
      <c r="G20" s="98">
        <f>G9</f>
        <v>2655.9674153716501</v>
      </c>
      <c r="I20" s="267" t="s">
        <v>241</v>
      </c>
      <c r="J20" s="268"/>
      <c r="K20" s="268"/>
      <c r="L20" s="269"/>
      <c r="M20" s="13"/>
      <c r="N20" s="13"/>
      <c r="O20" s="13"/>
    </row>
    <row r="21" spans="1:15" x14ac:dyDescent="0.25">
      <c r="A21" s="273" t="s">
        <v>241</v>
      </c>
      <c r="B21" s="268"/>
      <c r="C21" s="268"/>
      <c r="D21" s="268"/>
      <c r="E21" s="268"/>
      <c r="F21" s="268"/>
      <c r="G21" s="274"/>
      <c r="I21" s="221"/>
      <c r="J21" s="214" t="s">
        <v>16</v>
      </c>
      <c r="K21" s="214" t="s">
        <v>46</v>
      </c>
      <c r="L21" s="225" t="s">
        <v>17</v>
      </c>
    </row>
    <row r="22" spans="1:15" x14ac:dyDescent="0.25">
      <c r="A22" s="83"/>
      <c r="B22" t="s">
        <v>16</v>
      </c>
      <c r="D22" t="s">
        <v>46</v>
      </c>
      <c r="F22" t="s">
        <v>17</v>
      </c>
      <c r="G22" s="84"/>
      <c r="I22" s="21" t="s">
        <v>96</v>
      </c>
      <c r="J22" s="214">
        <f>J5</f>
        <v>-5202.6977854135966</v>
      </c>
      <c r="K22" s="214">
        <f>J10</f>
        <v>-1246.7855587892882</v>
      </c>
      <c r="L22" s="22">
        <f>0</f>
        <v>0</v>
      </c>
      <c r="M22" s="12"/>
    </row>
    <row r="23" spans="1:15" x14ac:dyDescent="0.25">
      <c r="A23" s="83"/>
      <c r="B23" t="s">
        <v>217</v>
      </c>
      <c r="C23" t="s">
        <v>37</v>
      </c>
      <c r="D23" t="s">
        <v>217</v>
      </c>
      <c r="E23" t="s">
        <v>37</v>
      </c>
      <c r="F23" t="s">
        <v>217</v>
      </c>
      <c r="G23" s="84" t="s">
        <v>37</v>
      </c>
      <c r="I23" s="17" t="s">
        <v>93</v>
      </c>
      <c r="J23" s="226">
        <f>J8</f>
        <v>-43240.024650576612</v>
      </c>
      <c r="K23" s="226">
        <f>J10</f>
        <v>-1246.7855587892882</v>
      </c>
      <c r="L23" s="227">
        <f>J9</f>
        <v>-13475.164908080596</v>
      </c>
      <c r="M23" s="12"/>
      <c r="N23" s="12"/>
      <c r="O23" s="12"/>
    </row>
    <row r="24" spans="1:15" x14ac:dyDescent="0.25">
      <c r="A24" s="83" t="s">
        <v>96</v>
      </c>
      <c r="B24" s="12">
        <f>F5</f>
        <v>6212.1360628823531</v>
      </c>
      <c r="C24" s="12">
        <f>H5</f>
        <v>1009.4382774687566</v>
      </c>
      <c r="D24" s="12">
        <f>F6</f>
        <v>522.6106065368474</v>
      </c>
      <c r="E24" s="12">
        <f>H6</f>
        <v>415.70240867482374</v>
      </c>
      <c r="F24">
        <v>0</v>
      </c>
      <c r="G24" s="84">
        <v>0</v>
      </c>
    </row>
    <row r="25" spans="1:15" ht="15.75" thickBot="1" x14ac:dyDescent="0.3">
      <c r="A25" s="85" t="s">
        <v>93</v>
      </c>
      <c r="B25" s="86">
        <f>F8</f>
        <v>54381.324138945303</v>
      </c>
      <c r="C25" s="86">
        <f>H8</f>
        <v>11141.299488368692</v>
      </c>
      <c r="D25" s="86">
        <f>F10</f>
        <v>5679.7741590800124</v>
      </c>
      <c r="E25" s="86">
        <f>H10</f>
        <v>4432.9886002907242</v>
      </c>
      <c r="F25" s="86">
        <f>F9</f>
        <v>16889.76278718096</v>
      </c>
      <c r="G25" s="99">
        <f>H9</f>
        <v>3414.5978791003636</v>
      </c>
    </row>
  </sheetData>
  <mergeCells count="10">
    <mergeCell ref="A5:A7"/>
    <mergeCell ref="A8:A11"/>
    <mergeCell ref="B7:D7"/>
    <mergeCell ref="B11:D11"/>
    <mergeCell ref="A12:A14"/>
    <mergeCell ref="I16:L16"/>
    <mergeCell ref="I20:L20"/>
    <mergeCell ref="A16:G16"/>
    <mergeCell ref="A21:G21"/>
    <mergeCell ref="C12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D644-6E10-47D0-BD3E-FDDF4D9952D8}">
  <dimension ref="A1:S61"/>
  <sheetViews>
    <sheetView tabSelected="1" topLeftCell="A39" zoomScaleNormal="100" workbookViewId="0">
      <selection activeCell="E52" sqref="E52"/>
    </sheetView>
  </sheetViews>
  <sheetFormatPr defaultRowHeight="15" x14ac:dyDescent="0.25"/>
  <cols>
    <col min="1" max="1" width="53.5703125" customWidth="1"/>
    <col min="2" max="2" width="30.5703125" bestFit="1" customWidth="1"/>
    <col min="3" max="3" width="13.5703125" customWidth="1"/>
    <col min="4" max="4" width="18.140625" customWidth="1"/>
    <col min="5" max="5" width="29.28515625" bestFit="1" customWidth="1"/>
    <col min="6" max="6" width="62.5703125" customWidth="1"/>
    <col min="7" max="9" width="8.7109375" hidden="1" customWidth="1"/>
    <col min="10" max="10" width="2.5703125" hidden="1" customWidth="1"/>
    <col min="11" max="11" width="1.5703125" hidden="1" customWidth="1"/>
    <col min="12" max="15" width="8.7109375" hidden="1" customWidth="1"/>
    <col min="17" max="17" width="31.85546875" bestFit="1" customWidth="1"/>
    <col min="19" max="19" width="14.42578125" customWidth="1"/>
    <col min="20" max="23" width="24.7109375" customWidth="1"/>
    <col min="24" max="24" width="14.85546875" customWidth="1"/>
    <col min="25" max="25" width="18.85546875" customWidth="1"/>
    <col min="26" max="26" width="12.140625" bestFit="1" customWidth="1"/>
    <col min="27" max="27" width="11.42578125" customWidth="1"/>
    <col min="28" max="28" width="38.28515625" bestFit="1" customWidth="1"/>
    <col min="29" max="29" width="12.5703125" bestFit="1" customWidth="1"/>
    <col min="30" max="30" width="12.42578125" bestFit="1" customWidth="1"/>
    <col min="31" max="31" width="29.28515625" bestFit="1" customWidth="1"/>
    <col min="34" max="34" width="11.7109375" bestFit="1" customWidth="1"/>
  </cols>
  <sheetData>
    <row r="1" spans="1:19" x14ac:dyDescent="0.25">
      <c r="A1" s="14" t="s">
        <v>39</v>
      </c>
    </row>
    <row r="2" spans="1:19" x14ac:dyDescent="0.25">
      <c r="A2" t="s">
        <v>253</v>
      </c>
      <c r="B2">
        <v>643</v>
      </c>
      <c r="C2" t="s">
        <v>56</v>
      </c>
      <c r="F2" s="11" t="s">
        <v>28</v>
      </c>
    </row>
    <row r="3" spans="1:19" x14ac:dyDescent="0.25">
      <c r="A3" s="50" t="s">
        <v>254</v>
      </c>
      <c r="B3" s="182">
        <v>930</v>
      </c>
      <c r="C3" t="s">
        <v>255</v>
      </c>
      <c r="F3" s="11" t="s">
        <v>29</v>
      </c>
    </row>
    <row r="4" spans="1:19" x14ac:dyDescent="0.25">
      <c r="A4" t="s">
        <v>287</v>
      </c>
      <c r="B4" s="183">
        <f>0.55*B3</f>
        <v>511.50000000000006</v>
      </c>
      <c r="C4" t="s">
        <v>56</v>
      </c>
    </row>
    <row r="5" spans="1:19" x14ac:dyDescent="0.25">
      <c r="A5" t="s">
        <v>259</v>
      </c>
      <c r="B5">
        <v>135</v>
      </c>
      <c r="C5" t="s">
        <v>257</v>
      </c>
      <c r="F5" t="s">
        <v>258</v>
      </c>
      <c r="R5">
        <f>'Emissions Projection Factors'!A10</f>
        <v>2022</v>
      </c>
      <c r="S5">
        <f>_xlfn.XLOOKUP(R5,'Emissions Projection Factors'!$A$4:$A$38,'Emissions Projection Factors'!M$4:M$38,,0)+_xlfn.XLOOKUP(R5,'Emissions Projection Factors'!$A$4:$A$38,'Emissions Projection Factors'!P$4:P$38,,0)+_xlfn.XLOOKUP(R5,'Emissions Projection Factors'!$A$4:$A$38,'Emissions Projection Factors'!Q$4:Q$38,,0)</f>
        <v>643.08399999999995</v>
      </c>
    </row>
    <row r="6" spans="1:19" x14ac:dyDescent="0.25">
      <c r="A6" t="s">
        <v>260</v>
      </c>
      <c r="B6">
        <v>19</v>
      </c>
      <c r="C6" t="s">
        <v>257</v>
      </c>
      <c r="D6" s="30">
        <f>B6/B5</f>
        <v>0.14074074074074075</v>
      </c>
      <c r="F6" t="s">
        <v>261</v>
      </c>
      <c r="R6">
        <f>'Emissions Projection Factors'!A18</f>
        <v>2030</v>
      </c>
      <c r="S6">
        <f>_xlfn.XLOOKUP(R6,'Emissions Projection Factors'!$A$4:$A$38,'Emissions Projection Factors'!M$4:M$38,,0)+_xlfn.XLOOKUP(R6,'Emissions Projection Factors'!$A$4:$A$38,'Emissions Projection Factors'!P$4:P$38,,0)+_xlfn.XLOOKUP(R6,'Emissions Projection Factors'!$A$4:$A$38,'Emissions Projection Factors'!Q$4:Q$38,,0)</f>
        <v>511.55952304855566</v>
      </c>
    </row>
    <row r="7" spans="1:19" x14ac:dyDescent="0.25">
      <c r="A7" s="50" t="s">
        <v>256</v>
      </c>
      <c r="B7" s="31">
        <f>0.1*B3</f>
        <v>93</v>
      </c>
      <c r="C7" t="s">
        <v>56</v>
      </c>
      <c r="F7" t="s">
        <v>262</v>
      </c>
      <c r="R7">
        <f>'Emissions Projection Factors'!A28</f>
        <v>2040</v>
      </c>
      <c r="S7">
        <f>_xlfn.XLOOKUP(R7,'Emissions Projection Factors'!$A$4:$A$38,'Emissions Projection Factors'!M$4:M$38,,0)+_xlfn.XLOOKUP(R7,'Emissions Projection Factors'!$A$4:$A$38,'Emissions Projection Factors'!P$4:P$38,,0)+_xlfn.XLOOKUP(R7,'Emissions Projection Factors'!$A$4:$A$38,'Emissions Projection Factors'!Q$4:Q$38,,0)</f>
        <v>93.010822372464659</v>
      </c>
    </row>
    <row r="8" spans="1:19" x14ac:dyDescent="0.25">
      <c r="A8" s="200" t="s">
        <v>273</v>
      </c>
      <c r="B8">
        <v>0</v>
      </c>
      <c r="C8" t="s">
        <v>56</v>
      </c>
      <c r="F8" t="s">
        <v>323</v>
      </c>
      <c r="R8">
        <f>'Emissions Projection Factors'!A38</f>
        <v>2050</v>
      </c>
      <c r="S8">
        <f>_xlfn.XLOOKUP(R8,'Emissions Projection Factors'!$A$4:$A$38,'Emissions Projection Factors'!M$4:M$38,,0)+_xlfn.XLOOKUP(R8,'Emissions Projection Factors'!$A$4:$A$38,'Emissions Projection Factors'!P$4:P$38,,0)+_xlfn.XLOOKUP(R8,'Emissions Projection Factors'!$A$4:$A$38,'Emissions Projection Factors'!Q$4:Q$38,,0)</f>
        <v>0</v>
      </c>
    </row>
    <row r="9" spans="1:19" x14ac:dyDescent="0.25">
      <c r="A9" s="49"/>
    </row>
    <row r="10" spans="1:19" ht="28.5" customHeight="1" x14ac:dyDescent="0.25">
      <c r="A10" s="14" t="s">
        <v>40</v>
      </c>
    </row>
    <row r="11" spans="1:19" x14ac:dyDescent="0.25">
      <c r="A11" t="s">
        <v>41</v>
      </c>
      <c r="B11">
        <v>116.65</v>
      </c>
      <c r="C11" t="s">
        <v>42</v>
      </c>
      <c r="F11" s="32" t="s">
        <v>43</v>
      </c>
    </row>
    <row r="12" spans="1:19" x14ac:dyDescent="0.25">
      <c r="A12" s="13" t="s">
        <v>128</v>
      </c>
      <c r="F12" s="32"/>
    </row>
    <row r="13" spans="1:19" x14ac:dyDescent="0.25">
      <c r="A13" t="s">
        <v>132</v>
      </c>
      <c r="B13">
        <v>1.026E-3</v>
      </c>
      <c r="C13" t="s">
        <v>133</v>
      </c>
      <c r="F13" s="32" t="s">
        <v>149</v>
      </c>
    </row>
    <row r="14" spans="1:19" x14ac:dyDescent="0.25">
      <c r="A14" t="s">
        <v>129</v>
      </c>
      <c r="B14">
        <v>53.06</v>
      </c>
      <c r="C14" t="s">
        <v>134</v>
      </c>
      <c r="D14">
        <f>B14/1000</f>
        <v>5.3060000000000003E-2</v>
      </c>
      <c r="E14" t="s">
        <v>136</v>
      </c>
      <c r="F14" s="32"/>
    </row>
    <row r="15" spans="1:19" x14ac:dyDescent="0.25">
      <c r="A15" t="s">
        <v>130</v>
      </c>
      <c r="B15">
        <v>0.1</v>
      </c>
      <c r="C15" t="s">
        <v>135</v>
      </c>
      <c r="D15">
        <f>B15/1000000</f>
        <v>1.0000000000000001E-7</v>
      </c>
      <c r="E15" t="s">
        <v>136</v>
      </c>
      <c r="F15" s="32"/>
    </row>
    <row r="16" spans="1:19" x14ac:dyDescent="0.25">
      <c r="A16" t="s">
        <v>131</v>
      </c>
      <c r="B16">
        <v>1</v>
      </c>
      <c r="C16" t="s">
        <v>135</v>
      </c>
      <c r="D16">
        <f>B16/1000000</f>
        <v>9.9999999999999995E-7</v>
      </c>
      <c r="E16" t="s">
        <v>136</v>
      </c>
      <c r="F16" s="32"/>
    </row>
    <row r="17" spans="1:6" x14ac:dyDescent="0.25">
      <c r="A17" s="13" t="s">
        <v>137</v>
      </c>
      <c r="F17" s="32"/>
    </row>
    <row r="18" spans="1:6" x14ac:dyDescent="0.25">
      <c r="A18" t="s">
        <v>145</v>
      </c>
      <c r="B18">
        <v>34.53</v>
      </c>
      <c r="C18" t="s">
        <v>138</v>
      </c>
      <c r="F18" s="32" t="s">
        <v>178</v>
      </c>
    </row>
    <row r="19" spans="1:6" x14ac:dyDescent="0.25">
      <c r="A19" t="s">
        <v>139</v>
      </c>
      <c r="B19">
        <v>0.82899999999999996</v>
      </c>
      <c r="C19" t="s">
        <v>141</v>
      </c>
      <c r="D19">
        <f>B19*0.001</f>
        <v>8.2899999999999998E-4</v>
      </c>
      <c r="E19" t="s">
        <v>172</v>
      </c>
      <c r="F19" s="32" t="s">
        <v>140</v>
      </c>
    </row>
    <row r="20" spans="1:6" x14ac:dyDescent="0.25">
      <c r="A20" t="s">
        <v>146</v>
      </c>
      <c r="B20">
        <f>((B18*B19*0.0283168))</f>
        <v>0.81057887721599997</v>
      </c>
      <c r="C20" t="s">
        <v>142</v>
      </c>
      <c r="D20">
        <f>(B20/(1000*1000*1000))*(1000*1000*1000*1000)</f>
        <v>810.57887721599991</v>
      </c>
      <c r="E20" t="s">
        <v>144</v>
      </c>
      <c r="F20" s="32"/>
    </row>
    <row r="21" spans="1:6" x14ac:dyDescent="0.25">
      <c r="A21" t="s">
        <v>126</v>
      </c>
      <c r="B21">
        <v>6478</v>
      </c>
      <c r="C21" t="s">
        <v>127</v>
      </c>
      <c r="D21">
        <f>B21/1000</f>
        <v>6.4779999999999998</v>
      </c>
      <c r="E21" t="s">
        <v>144</v>
      </c>
      <c r="F21" s="32" t="s">
        <v>143</v>
      </c>
    </row>
    <row r="22" spans="1:6" x14ac:dyDescent="0.25">
      <c r="A22" t="s">
        <v>147</v>
      </c>
      <c r="B22" s="177">
        <f>D21/D20</f>
        <v>7.9918194047311295E-3</v>
      </c>
      <c r="F22" s="32"/>
    </row>
    <row r="23" spans="1:6" x14ac:dyDescent="0.25">
      <c r="A23" t="s">
        <v>125</v>
      </c>
      <c r="B23">
        <v>28.9</v>
      </c>
      <c r="C23" t="s">
        <v>124</v>
      </c>
      <c r="D23">
        <f>B23/1000000</f>
        <v>2.8899999999999998E-5</v>
      </c>
      <c r="E23" t="s">
        <v>144</v>
      </c>
    </row>
    <row r="24" spans="1:6" x14ac:dyDescent="0.25">
      <c r="A24" t="s">
        <v>148</v>
      </c>
      <c r="B24" s="39">
        <f>D23/D20</f>
        <v>3.565353207729695E-8</v>
      </c>
    </row>
    <row r="26" spans="1:6" x14ac:dyDescent="0.25">
      <c r="A26" s="14" t="s">
        <v>69</v>
      </c>
      <c r="B26" t="s">
        <v>70</v>
      </c>
    </row>
    <row r="27" spans="1:6" x14ac:dyDescent="0.25">
      <c r="A27" t="s">
        <v>44</v>
      </c>
      <c r="B27">
        <v>28</v>
      </c>
      <c r="F27" s="32" t="s">
        <v>252</v>
      </c>
    </row>
    <row r="28" spans="1:6" x14ac:dyDescent="0.25">
      <c r="A28" t="s">
        <v>71</v>
      </c>
      <c r="B28">
        <v>265</v>
      </c>
    </row>
    <row r="30" spans="1:6" x14ac:dyDescent="0.25">
      <c r="A30" s="14" t="s">
        <v>77</v>
      </c>
    </row>
    <row r="31" spans="1:6" x14ac:dyDescent="0.25">
      <c r="A31" t="s">
        <v>78</v>
      </c>
      <c r="B31">
        <v>1000</v>
      </c>
    </row>
    <row r="32" spans="1:6" x14ac:dyDescent="0.25">
      <c r="A32" t="s">
        <v>79</v>
      </c>
      <c r="B32">
        <v>1080000</v>
      </c>
    </row>
    <row r="33" spans="1:6" x14ac:dyDescent="0.25">
      <c r="A33" t="s">
        <v>110</v>
      </c>
      <c r="B33">
        <v>59.6</v>
      </c>
      <c r="C33" t="s">
        <v>81</v>
      </c>
      <c r="D33">
        <f>B33/1000</f>
        <v>5.96E-2</v>
      </c>
      <c r="E33" t="s">
        <v>82</v>
      </c>
      <c r="F33" s="32" t="s">
        <v>80</v>
      </c>
    </row>
    <row r="34" spans="1:6" x14ac:dyDescent="0.25">
      <c r="A34" t="s">
        <v>109</v>
      </c>
      <c r="B34">
        <v>1.05</v>
      </c>
      <c r="F34" s="32" t="s">
        <v>286</v>
      </c>
    </row>
    <row r="35" spans="1:6" x14ac:dyDescent="0.25">
      <c r="A35" t="s">
        <v>291</v>
      </c>
      <c r="B35">
        <v>2.8</v>
      </c>
      <c r="F35" s="32"/>
    </row>
    <row r="36" spans="1:6" x14ac:dyDescent="0.25">
      <c r="A36" t="s">
        <v>288</v>
      </c>
      <c r="B36">
        <f>D33*B34</f>
        <v>6.2579999999999997E-2</v>
      </c>
      <c r="C36" t="s">
        <v>82</v>
      </c>
      <c r="F36" s="32"/>
    </row>
    <row r="37" spans="1:6" x14ac:dyDescent="0.25">
      <c r="A37" t="s">
        <v>83</v>
      </c>
      <c r="B37">
        <f>B36*B32</f>
        <v>67586.399999999994</v>
      </c>
      <c r="C37" t="s">
        <v>53</v>
      </c>
      <c r="D37">
        <f>B37*0.293071</f>
        <v>19807.613834399999</v>
      </c>
      <c r="E37" t="s">
        <v>91</v>
      </c>
    </row>
    <row r="39" spans="1:6" x14ac:dyDescent="0.25">
      <c r="A39" s="14" t="s">
        <v>84</v>
      </c>
      <c r="B39" t="s">
        <v>86</v>
      </c>
      <c r="C39" t="s">
        <v>87</v>
      </c>
      <c r="F39" s="11" t="s">
        <v>85</v>
      </c>
    </row>
    <row r="40" spans="1:6" x14ac:dyDescent="0.25">
      <c r="A40" t="s">
        <v>68</v>
      </c>
      <c r="B40">
        <v>528</v>
      </c>
      <c r="C40">
        <v>1</v>
      </c>
    </row>
    <row r="41" spans="1:6" x14ac:dyDescent="0.25">
      <c r="A41" t="s">
        <v>16</v>
      </c>
      <c r="B41">
        <v>293</v>
      </c>
      <c r="C41" s="30">
        <f>B41/$B$40</f>
        <v>0.55492424242424243</v>
      </c>
    </row>
    <row r="42" spans="1:6" x14ac:dyDescent="0.25">
      <c r="A42" t="s">
        <v>17</v>
      </c>
      <c r="B42">
        <v>91</v>
      </c>
      <c r="C42" s="30">
        <f>B42/$B$40</f>
        <v>0.17234848484848486</v>
      </c>
    </row>
    <row r="43" spans="1:6" x14ac:dyDescent="0.25">
      <c r="A43" t="s">
        <v>18</v>
      </c>
      <c r="B43">
        <v>19</v>
      </c>
      <c r="C43" s="30">
        <f>B43/$B$40</f>
        <v>3.5984848484848488E-2</v>
      </c>
    </row>
    <row r="45" spans="1:6" x14ac:dyDescent="0.25">
      <c r="A45" s="14" t="s">
        <v>92</v>
      </c>
    </row>
    <row r="46" spans="1:6" x14ac:dyDescent="0.25">
      <c r="A46" s="15" t="s">
        <v>93</v>
      </c>
      <c r="B46" t="s">
        <v>97</v>
      </c>
      <c r="C46" t="s">
        <v>99</v>
      </c>
      <c r="D46" t="s">
        <v>98</v>
      </c>
    </row>
    <row r="47" spans="1:6" x14ac:dyDescent="0.25">
      <c r="A47" t="s">
        <v>38</v>
      </c>
      <c r="B47" t="s">
        <v>100</v>
      </c>
      <c r="C47">
        <v>95</v>
      </c>
      <c r="D47">
        <f>C47/100</f>
        <v>0.95</v>
      </c>
      <c r="F47" t="s">
        <v>103</v>
      </c>
    </row>
    <row r="48" spans="1:6" x14ac:dyDescent="0.25">
      <c r="A48" t="s">
        <v>94</v>
      </c>
      <c r="B48" t="s">
        <v>101</v>
      </c>
      <c r="C48">
        <v>14</v>
      </c>
      <c r="D48">
        <f>C48*0.293</f>
        <v>4.1019999999999994</v>
      </c>
      <c r="F48" s="32" t="s">
        <v>103</v>
      </c>
    </row>
    <row r="49" spans="1:6" x14ac:dyDescent="0.25">
      <c r="A49" t="s">
        <v>95</v>
      </c>
      <c r="B49" t="s">
        <v>102</v>
      </c>
      <c r="C49">
        <v>0.9</v>
      </c>
      <c r="D49">
        <f>C49</f>
        <v>0.9</v>
      </c>
      <c r="F49" t="s">
        <v>103</v>
      </c>
    </row>
    <row r="50" spans="1:6" x14ac:dyDescent="0.25">
      <c r="A50" s="15" t="s">
        <v>96</v>
      </c>
    </row>
    <row r="51" spans="1:6" x14ac:dyDescent="0.25">
      <c r="A51" t="s">
        <v>66</v>
      </c>
      <c r="B51" t="s">
        <v>100</v>
      </c>
      <c r="C51">
        <f>'Union Gas Consumption'!E6</f>
        <v>89.533333333333346</v>
      </c>
      <c r="D51">
        <f>C51/100</f>
        <v>0.89533333333333343</v>
      </c>
      <c r="F51" s="341" t="s">
        <v>329</v>
      </c>
    </row>
    <row r="52" spans="1:6" x14ac:dyDescent="0.25">
      <c r="A52" t="s">
        <v>57</v>
      </c>
      <c r="B52" t="s">
        <v>200</v>
      </c>
      <c r="C52">
        <f>'Union Electricity Consumption'!J16</f>
        <v>15.15</v>
      </c>
      <c r="D52">
        <f>'Union Electricity Consumption'!J17</f>
        <v>4.4402110199296603</v>
      </c>
    </row>
    <row r="53" spans="1:6" x14ac:dyDescent="0.25">
      <c r="A53" t="s">
        <v>37</v>
      </c>
      <c r="B53" t="s">
        <v>104</v>
      </c>
      <c r="C53">
        <v>6</v>
      </c>
      <c r="D53">
        <v>6</v>
      </c>
      <c r="E53" s="15" t="s">
        <v>285</v>
      </c>
      <c r="F53" s="32" t="s">
        <v>284</v>
      </c>
    </row>
    <row r="55" spans="1:6" x14ac:dyDescent="0.25">
      <c r="A55" s="13"/>
      <c r="C55" s="37"/>
    </row>
    <row r="59" spans="1:6" x14ac:dyDescent="0.25">
      <c r="B59" s="12"/>
      <c r="C59" s="12"/>
    </row>
    <row r="60" spans="1:6" x14ac:dyDescent="0.25">
      <c r="B60" s="12"/>
      <c r="C60" s="12"/>
    </row>
    <row r="61" spans="1:6" x14ac:dyDescent="0.25">
      <c r="B61" s="12"/>
      <c r="C61" s="12"/>
    </row>
  </sheetData>
  <hyperlinks>
    <hyperlink ref="F2" r:id="rId1" display="https://www.epa.gov/egrid/historical-egrid-data" xr:uid="{2592C121-0988-4281-B4F4-EA6E8812E835}"/>
    <hyperlink ref="F3" r:id="rId2" display="https://www.iso-ne.com/about/key-stats/air-emissions" xr:uid="{900F169E-C309-487A-977D-F10F651C6D55}"/>
    <hyperlink ref="F33" r:id="rId3" display="https://www.energystar.gov/buildings/benchmark/understand-metrics/what-eui" xr:uid="{41579AED-8476-4890-839D-50FFBE6D9811}"/>
    <hyperlink ref="F39" r:id="rId4" display="https://www.eia.gov/consumption/residential/data/2020/c&amp;e/pdf/ce3.2.pdf" xr:uid="{AFDA3C4B-EAD0-400D-B14C-ACE33A868235}"/>
    <hyperlink ref="F11" r:id="rId5" xr:uid="{17DFFE85-3BFB-496F-940C-ADD0D88B232B}"/>
    <hyperlink ref="F21" r:id="rId6" xr:uid="{EC887159-5B2A-4E02-98F6-5995FF7275FA}"/>
    <hyperlink ref="F13" r:id="rId7" xr:uid="{CA040742-5709-4B64-9CA8-5DD6D2D30F16}"/>
    <hyperlink ref="F53" r:id="rId8" tooltip="https://gcc02.safelinks.protection.outlook.com/?url=https%3a%2f%2fwww.nrel.gov%2fdocs%2ffy23osti%2f86678.pdf&amp;data=05%7c02%7cswinter%40newhavenct.gov%7cd9409bbf22514a7d617b08dc5009286c%7cdd83ce47326d4fe9a0e57530887f77ab%7c0%7c0%7c638473248598648762%7cunkno" display="https://gcc02.safelinks.protection.outlook.com/?url=https%3A%2F%2Fwww.nrel.gov%2Fdocs%2Ffy23osti%2F86678.pdf&amp;data=05%7C02%7CSWinter%40newhavenct.gov%7Cd9409bbf22514a7d617b08dc5009286c%7Cdd83ce47326d4fe9a0e57530887f77ab%7C0%7C0%7C638473248598648762%7CUnknown%7CTWFpbGZsb3d8eyJWIjoiMC4wLjAwMDAiLCJQIjoiV2luMzIiLCJBTiI6Ik1haWwiLCJXVCI6Mn0%3D%7C0%7C%7C%7C&amp;sdata=oyITE9Ss70HGFQthLSNADV0XbvrKiV4tT1%2F1Z5R5J00%3D&amp;reserved=0" xr:uid="{0048C94B-845A-4206-87AE-40B7C432E4E0}"/>
    <hyperlink ref="F34" r:id="rId9" xr:uid="{08AB5D07-DEA1-4955-A620-AB01103D898A}"/>
    <hyperlink ref="F48" r:id="rId10" xr:uid="{716451E9-B47A-4E5A-80DB-016B36B59AB5}"/>
  </hyperlinks>
  <pageMargins left="0.7" right="0.7" top="0.75" bottom="0.75" header="0.3" footer="0.3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6139A-C949-44F6-89F1-9A8CF5D07BC8}">
  <dimension ref="A1:AF76"/>
  <sheetViews>
    <sheetView zoomScale="85" zoomScaleNormal="85" workbookViewId="0">
      <selection activeCell="W24" sqref="W24"/>
    </sheetView>
  </sheetViews>
  <sheetFormatPr defaultRowHeight="15" x14ac:dyDescent="0.25"/>
  <cols>
    <col min="2" max="4" width="9.5703125" customWidth="1"/>
    <col min="5" max="5" width="23.140625" customWidth="1"/>
    <col min="6" max="6" width="20.5703125" customWidth="1"/>
    <col min="7" max="14" width="13" customWidth="1"/>
    <col min="15" max="15" width="13.5703125" bestFit="1" customWidth="1"/>
    <col min="16" max="16" width="14.140625" bestFit="1" customWidth="1"/>
    <col min="17" max="17" width="13.140625" bestFit="1" customWidth="1"/>
    <col min="18" max="18" width="11.7109375" customWidth="1"/>
    <col min="19" max="19" width="19.85546875" customWidth="1"/>
    <col min="20" max="20" width="41.42578125" customWidth="1"/>
    <col min="21" max="21" width="14.5703125" customWidth="1"/>
    <col min="22" max="22" width="14.7109375" customWidth="1"/>
    <col min="24" max="24" width="21.140625" customWidth="1"/>
    <col min="25" max="25" width="39.85546875" bestFit="1" customWidth="1"/>
    <col min="26" max="26" width="33.85546875" bestFit="1" customWidth="1"/>
    <col min="28" max="28" width="24.42578125" customWidth="1"/>
  </cols>
  <sheetData>
    <row r="1" spans="1:32" ht="15.75" thickBot="1" x14ac:dyDescent="0.3">
      <c r="E1" s="1"/>
      <c r="F1" s="1"/>
      <c r="G1" s="1"/>
      <c r="H1" s="1"/>
      <c r="I1" s="1"/>
      <c r="J1" s="1"/>
      <c r="K1" s="1"/>
      <c r="L1" s="1"/>
      <c r="M1" s="1"/>
      <c r="N1" s="1"/>
    </row>
    <row r="2" spans="1:32" x14ac:dyDescent="0.25">
      <c r="A2" s="270" t="s">
        <v>263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82" t="s">
        <v>264</v>
      </c>
      <c r="N2" s="283"/>
      <c r="O2" s="283"/>
      <c r="P2" s="283"/>
      <c r="Q2" s="284"/>
      <c r="R2" s="1"/>
    </row>
    <row r="3" spans="1:32" ht="68.45" customHeight="1" x14ac:dyDescent="0.25">
      <c r="A3" s="83" t="s">
        <v>30</v>
      </c>
      <c r="B3" s="7" t="s">
        <v>180</v>
      </c>
      <c r="C3" s="7" t="s">
        <v>182</v>
      </c>
      <c r="D3" s="7" t="s">
        <v>185</v>
      </c>
      <c r="E3" s="7" t="s">
        <v>188</v>
      </c>
      <c r="F3" s="7" t="s">
        <v>189</v>
      </c>
      <c r="G3" s="7" t="s">
        <v>183</v>
      </c>
      <c r="H3" s="7" t="s">
        <v>211</v>
      </c>
      <c r="I3" s="7" t="s">
        <v>210</v>
      </c>
      <c r="J3" s="7" t="s">
        <v>209</v>
      </c>
      <c r="K3" s="7" t="s">
        <v>228</v>
      </c>
      <c r="L3" s="7" t="s">
        <v>229</v>
      </c>
      <c r="M3" s="199" t="s">
        <v>176</v>
      </c>
      <c r="N3" s="7" t="s">
        <v>177</v>
      </c>
      <c r="O3" s="7" t="s">
        <v>275</v>
      </c>
      <c r="P3" s="7" t="s">
        <v>272</v>
      </c>
      <c r="Q3" s="184" t="s">
        <v>271</v>
      </c>
      <c r="R3" s="194" t="s">
        <v>265</v>
      </c>
      <c r="S3" s="7"/>
      <c r="Z3" s="233" t="s">
        <v>30</v>
      </c>
      <c r="AA3" s="233" t="s">
        <v>320</v>
      </c>
      <c r="AB3" s="239" t="s">
        <v>321</v>
      </c>
      <c r="AC3" s="239" t="s">
        <v>322</v>
      </c>
    </row>
    <row r="4" spans="1:32" x14ac:dyDescent="0.25">
      <c r="A4" s="83">
        <v>2001</v>
      </c>
      <c r="B4" s="185"/>
      <c r="C4" s="185"/>
      <c r="D4" s="185"/>
      <c r="E4" s="185"/>
      <c r="F4" s="185"/>
      <c r="G4" s="185"/>
      <c r="H4" s="185"/>
      <c r="I4" s="185"/>
      <c r="J4" s="185"/>
      <c r="K4" s="105"/>
      <c r="L4" s="105"/>
      <c r="M4" s="203">
        <f>'Factor Sets'!B3</f>
        <v>930</v>
      </c>
      <c r="N4" s="186">
        <f>0.293071*M4</f>
        <v>272.55603000000002</v>
      </c>
      <c r="O4" s="109"/>
      <c r="P4" s="105"/>
      <c r="Q4" s="197"/>
      <c r="R4" t="s">
        <v>267</v>
      </c>
      <c r="S4" s="38"/>
      <c r="T4" t="s">
        <v>178</v>
      </c>
      <c r="Z4" s="232">
        <v>2001</v>
      </c>
      <c r="AA4" s="240">
        <f>M4</f>
        <v>930</v>
      </c>
      <c r="AB4" s="287"/>
      <c r="AC4" s="287"/>
    </row>
    <row r="5" spans="1:32" x14ac:dyDescent="0.25">
      <c r="A5" s="83">
        <v>2017</v>
      </c>
      <c r="B5">
        <v>27.306000000000001</v>
      </c>
      <c r="C5">
        <f>((B5*0.0283168*'Factor Sets'!$B$19)/(1000*1000*1000))*(1000*1000*1000*1000)</f>
        <v>640.99817032319993</v>
      </c>
      <c r="D5" s="187" t="s">
        <v>184</v>
      </c>
      <c r="E5">
        <v>6652</v>
      </c>
      <c r="F5">
        <f>E5/1000</f>
        <v>6.6520000000000001</v>
      </c>
      <c r="G5" s="106">
        <f>F5/C5</f>
        <v>1.0377564723228417E-2</v>
      </c>
      <c r="H5" s="107">
        <v>26.4</v>
      </c>
      <c r="I5" s="107">
        <f>H5/1000000</f>
        <v>2.6399999999999998E-5</v>
      </c>
      <c r="J5" s="108">
        <f t="shared" ref="J5:J38" si="0">I5/C5</f>
        <v>4.1185764986955828E-8</v>
      </c>
      <c r="K5">
        <v>31.9</v>
      </c>
      <c r="L5" s="110">
        <f t="shared" ref="L5:L38" si="1">K5/C5</f>
        <v>4.976613269257163E-2</v>
      </c>
      <c r="M5" s="160"/>
      <c r="N5" s="109"/>
      <c r="O5" s="109"/>
      <c r="P5" s="107" t="s">
        <v>213</v>
      </c>
      <c r="Q5" s="198" t="s">
        <v>213</v>
      </c>
      <c r="R5" t="s">
        <v>268</v>
      </c>
      <c r="S5" s="38"/>
      <c r="T5" t="s">
        <v>181</v>
      </c>
      <c r="Z5" s="232">
        <v>2022</v>
      </c>
      <c r="AA5" s="239">
        <f>M10</f>
        <v>643</v>
      </c>
      <c r="AB5" s="241">
        <f>P10</f>
        <v>0.01</v>
      </c>
      <c r="AC5" s="241">
        <f>Q10</f>
        <v>7.3999999999999996E-2</v>
      </c>
      <c r="AD5">
        <f>SLOPE(AA5:AA7,Z5:Z7)</f>
        <v>-16.437499999999993</v>
      </c>
    </row>
    <row r="6" spans="1:32" x14ac:dyDescent="0.25">
      <c r="A6" s="83">
        <v>2018</v>
      </c>
      <c r="B6">
        <v>30.774000000000001</v>
      </c>
      <c r="C6">
        <f>((B6*0.0283168*'Factor Sets'!$B$19)/(1000*1000*1000))*(1000*1000*1000*1000)</f>
        <v>722.40817745280003</v>
      </c>
      <c r="D6" s="110">
        <f t="shared" ref="D6:D38" si="2">(C6-C5)/C5</f>
        <v>0.12700505383432231</v>
      </c>
      <c r="E6">
        <v>6939</v>
      </c>
      <c r="F6">
        <f t="shared" ref="F6:F11" si="3">E6/1000</f>
        <v>6.9390000000000001</v>
      </c>
      <c r="G6" s="106">
        <f t="shared" ref="G6:G38" si="4">F6/C6</f>
        <v>9.6053729962841863E-3</v>
      </c>
      <c r="H6" s="107">
        <v>28</v>
      </c>
      <c r="I6" s="107">
        <f t="shared" ref="I6:I38" si="5">H6/1000000</f>
        <v>2.8E-5</v>
      </c>
      <c r="J6" s="108">
        <f t="shared" si="0"/>
        <v>3.8759251173938203E-8</v>
      </c>
      <c r="K6">
        <v>32.799999999999997</v>
      </c>
      <c r="L6" s="110">
        <f t="shared" si="1"/>
        <v>4.540369423232761E-2</v>
      </c>
      <c r="M6" s="160"/>
      <c r="N6" s="109"/>
      <c r="O6" s="109"/>
      <c r="P6">
        <v>1.2E-2</v>
      </c>
      <c r="Q6" s="84">
        <v>0.09</v>
      </c>
      <c r="R6" s="38" t="s">
        <v>270</v>
      </c>
      <c r="S6" s="38"/>
      <c r="T6" s="32" t="s">
        <v>266</v>
      </c>
      <c r="Z6" s="232">
        <v>2025</v>
      </c>
      <c r="AA6" s="239">
        <f>M13</f>
        <v>593.6875</v>
      </c>
      <c r="AB6" s="241">
        <f>P13</f>
        <v>7.7844703954107761E-3</v>
      </c>
      <c r="AC6" s="241">
        <f>Q13</f>
        <v>6.1302704363859858E-2</v>
      </c>
      <c r="AD6">
        <f>INTERCEPT(AA5:AA7,Z5:Z7)</f>
        <v>33879.624999999985</v>
      </c>
      <c r="AE6">
        <f>(AD5*Z6)+AD6</f>
        <v>593.6875</v>
      </c>
      <c r="AF6">
        <f>(AD5*2030)+AD6</f>
        <v>511.5</v>
      </c>
    </row>
    <row r="7" spans="1:32" x14ac:dyDescent="0.25">
      <c r="A7" s="83">
        <v>2019</v>
      </c>
      <c r="B7">
        <v>33.899000000000001</v>
      </c>
      <c r="C7">
        <f>((B7*0.0283168*'Factor Sets'!$B$19)/(1000*1000*1000))*(1000*1000*1000*1000)</f>
        <v>795.7663874527999</v>
      </c>
      <c r="D7" s="110">
        <f t="shared" si="2"/>
        <v>0.10154676025216074</v>
      </c>
      <c r="E7">
        <v>6914</v>
      </c>
      <c r="F7">
        <f t="shared" si="3"/>
        <v>6.9139999999999997</v>
      </c>
      <c r="G7" s="106">
        <f t="shared" si="4"/>
        <v>8.6884795701553767E-3</v>
      </c>
      <c r="H7" s="107">
        <v>38.700000000000003</v>
      </c>
      <c r="I7" s="107">
        <f t="shared" si="5"/>
        <v>3.8700000000000006E-5</v>
      </c>
      <c r="J7" s="108">
        <f t="shared" si="0"/>
        <v>4.8632363228957639E-8</v>
      </c>
      <c r="K7">
        <v>38.6</v>
      </c>
      <c r="L7" s="110">
        <f t="shared" si="1"/>
        <v>4.8506698207694182E-2</v>
      </c>
      <c r="M7" s="160"/>
      <c r="N7" s="109"/>
      <c r="O7" s="109"/>
      <c r="P7" s="107" t="s">
        <v>213</v>
      </c>
      <c r="Q7" s="198" t="s">
        <v>213</v>
      </c>
      <c r="R7" s="38" t="s">
        <v>269</v>
      </c>
      <c r="S7" s="38"/>
      <c r="T7" t="s">
        <v>266</v>
      </c>
      <c r="Z7" s="232">
        <v>2030</v>
      </c>
      <c r="AA7" s="240">
        <f>M18</f>
        <v>511.50000000000006</v>
      </c>
      <c r="AB7" s="241">
        <f>P18</f>
        <v>6.7068223724646601E-3</v>
      </c>
      <c r="AC7" s="241">
        <f>Q18</f>
        <v>5.2816226183159197E-2</v>
      </c>
    </row>
    <row r="8" spans="1:32" x14ac:dyDescent="0.25">
      <c r="A8" s="83">
        <v>2020</v>
      </c>
      <c r="B8">
        <v>33.811</v>
      </c>
      <c r="C8">
        <f>((B8*0.0283168*'Factor Sets'!$B$19)/(1000*1000*1000))*(1000*1000*1000*1000)</f>
        <v>793.70062025919992</v>
      </c>
      <c r="D8" s="110">
        <f t="shared" si="2"/>
        <v>-2.5959467830909237E-3</v>
      </c>
      <c r="E8">
        <v>6619</v>
      </c>
      <c r="F8">
        <f t="shared" si="3"/>
        <v>6.6189999999999998</v>
      </c>
      <c r="G8" s="106">
        <f t="shared" si="4"/>
        <v>8.3394164387050919E-3</v>
      </c>
      <c r="H8" s="107">
        <v>32.700000000000003</v>
      </c>
      <c r="I8" s="107">
        <f t="shared" si="5"/>
        <v>3.2700000000000002E-5</v>
      </c>
      <c r="J8" s="108">
        <f t="shared" si="0"/>
        <v>4.1199413437929679E-8</v>
      </c>
      <c r="K8">
        <v>36.5</v>
      </c>
      <c r="L8" s="110">
        <f t="shared" si="1"/>
        <v>4.5987112858851167E-2</v>
      </c>
      <c r="M8" s="160"/>
      <c r="N8" s="109"/>
      <c r="O8" s="109"/>
      <c r="P8" s="107">
        <v>1.0999999999999999E-2</v>
      </c>
      <c r="Q8" s="198">
        <v>8.2000000000000003E-2</v>
      </c>
      <c r="R8" s="38" t="s">
        <v>163</v>
      </c>
      <c r="S8" s="38"/>
      <c r="T8" t="s">
        <v>164</v>
      </c>
      <c r="Z8" s="232">
        <v>2040</v>
      </c>
      <c r="AA8" s="239">
        <f>M28</f>
        <v>93</v>
      </c>
      <c r="AB8" s="241">
        <f>P28</f>
        <v>1.2194222495390292E-3</v>
      </c>
      <c r="AC8" s="241">
        <f>Q28</f>
        <v>9.6029502151198497E-3</v>
      </c>
    </row>
    <row r="9" spans="1:32" x14ac:dyDescent="0.25">
      <c r="A9" s="83">
        <v>2021</v>
      </c>
      <c r="B9">
        <v>34.529000000000003</v>
      </c>
      <c r="C9">
        <f>((B9*0.0283168*'Factor Sets'!$B$19)/(1000*1000*1000))*(1000*1000*1000*1000)</f>
        <v>810.55540258880001</v>
      </c>
      <c r="D9" s="110">
        <f t="shared" si="2"/>
        <v>2.123569252610108E-2</v>
      </c>
      <c r="E9">
        <v>6478</v>
      </c>
      <c r="F9">
        <f t="shared" si="3"/>
        <v>6.4779999999999998</v>
      </c>
      <c r="G9" s="106">
        <f t="shared" si="4"/>
        <v>7.9920508571162171E-3</v>
      </c>
      <c r="H9" s="107">
        <v>28.9</v>
      </c>
      <c r="I9" s="107">
        <f t="shared" si="5"/>
        <v>2.8899999999999998E-5</v>
      </c>
      <c r="J9" s="108">
        <f t="shared" si="0"/>
        <v>3.5654564645053822E-8</v>
      </c>
      <c r="K9">
        <v>36.200000000000003</v>
      </c>
      <c r="L9" s="110">
        <f t="shared" si="1"/>
        <v>4.4660734953320021E-2</v>
      </c>
      <c r="M9" s="160"/>
      <c r="N9" s="109"/>
      <c r="O9" s="109"/>
      <c r="P9" s="107">
        <v>0.01</v>
      </c>
      <c r="Q9" s="198">
        <v>7.6999999999999999E-2</v>
      </c>
      <c r="Z9" s="232">
        <v>2050</v>
      </c>
      <c r="AA9" s="233">
        <f>M38</f>
        <v>0</v>
      </c>
      <c r="AB9" s="234">
        <f>P38</f>
        <v>0</v>
      </c>
      <c r="AC9" s="234">
        <f>Q38</f>
        <v>0</v>
      </c>
    </row>
    <row r="10" spans="1:32" x14ac:dyDescent="0.25">
      <c r="A10" s="83">
        <v>2022</v>
      </c>
      <c r="B10">
        <v>36.353000000000002</v>
      </c>
      <c r="C10">
        <f>((B10*0.0283168*'Factor Sets'!$B$19)/(1000*1000*1000))*(1000*1000*1000*1000)</f>
        <v>853.37312260160002</v>
      </c>
      <c r="D10" s="110">
        <f t="shared" si="2"/>
        <v>5.2825161458484184E-2</v>
      </c>
      <c r="E10" s="207">
        <f>E9+(D10*E9)</f>
        <v>6820.2013959280603</v>
      </c>
      <c r="F10">
        <f t="shared" si="3"/>
        <v>6.8202013959280601</v>
      </c>
      <c r="G10" s="106">
        <f t="shared" si="4"/>
        <v>7.9920508571162171E-3</v>
      </c>
      <c r="H10" s="207">
        <f>H9+(D10*H9)</f>
        <v>30.42664716615019</v>
      </c>
      <c r="I10" s="207">
        <f t="shared" si="5"/>
        <v>3.0426647166150191E-5</v>
      </c>
      <c r="J10" s="195">
        <f t="shared" si="0"/>
        <v>3.5654564645053822E-8</v>
      </c>
      <c r="K10" s="207">
        <f>K9+(K9*D10)</f>
        <v>38.112270844797131</v>
      </c>
      <c r="L10" s="61">
        <f t="shared" si="1"/>
        <v>4.4660734953320021E-2</v>
      </c>
      <c r="M10" s="21">
        <f>'Factor Sets'!B2</f>
        <v>643</v>
      </c>
      <c r="N10">
        <f t="shared" ref="N10:N38" si="6">0.293071*M10</f>
        <v>188.44465300000002</v>
      </c>
      <c r="O10" s="109"/>
      <c r="P10" s="107">
        <v>0.01</v>
      </c>
      <c r="Q10" s="198">
        <v>7.3999999999999996E-2</v>
      </c>
      <c r="R10" s="286" t="s">
        <v>278</v>
      </c>
      <c r="S10" s="286"/>
      <c r="T10" s="286"/>
      <c r="Z10" s="235" t="s">
        <v>324</v>
      </c>
      <c r="AA10" s="236">
        <f>SUM(Multifamily!E37,'Union Station'!E36)/SUM('Union Station'!Q36:R36,Multifamily!Z37:AB37)</f>
        <v>7.3646483268850357E-2</v>
      </c>
      <c r="AB10" s="237">
        <f>SUM(Multifamily!M37,'Union Station'!J36)/SUM('Union Station'!Q36:R36,Multifamily!Z37:AB37)</f>
        <v>2.5589927396838815E-4</v>
      </c>
      <c r="AC10" s="237">
        <f>SUM(Multifamily!U37)/SUM('Union Station'!Q36:R36,Multifamily!Z37:AB37)</f>
        <v>1.9498631729785289E-4</v>
      </c>
    </row>
    <row r="11" spans="1:32" x14ac:dyDescent="0.25">
      <c r="A11" s="83">
        <v>2023</v>
      </c>
      <c r="B11">
        <v>36.485850999999997</v>
      </c>
      <c r="C11">
        <f>((B11*0.0283168*'Factor Sets'!$B$19)/(1000*1000*1000))*(1000*1000*1000*1000)</f>
        <v>856.49175029974708</v>
      </c>
      <c r="D11" s="110">
        <f t="shared" si="2"/>
        <v>3.654471432893964E-3</v>
      </c>
      <c r="E11" s="207">
        <f t="shared" ref="E11:E38" si="7">E10+(D11*E10)</f>
        <v>6845.125627096063</v>
      </c>
      <c r="F11">
        <f t="shared" si="3"/>
        <v>6.8451256270960634</v>
      </c>
      <c r="G11" s="106">
        <f t="shared" si="4"/>
        <v>7.9920508571162188E-3</v>
      </c>
      <c r="H11" s="207">
        <f t="shared" ref="H11:H38" si="8">H10+(D11*H10)</f>
        <v>30.537840479017628</v>
      </c>
      <c r="I11" s="207">
        <f t="shared" si="5"/>
        <v>3.053784047901763E-5</v>
      </c>
      <c r="J11" s="195">
        <f t="shared" si="0"/>
        <v>3.5654564645053822E-8</v>
      </c>
      <c r="K11" s="207">
        <f t="shared" ref="K11:K38" si="9">K10+(K10*D11)</f>
        <v>38.251551049842156</v>
      </c>
      <c r="L11" s="61">
        <f t="shared" si="1"/>
        <v>4.4660734953320021E-2</v>
      </c>
      <c r="M11" s="170">
        <f t="shared" ref="M11:M17" si="10">($S$31*A11)+$S$32</f>
        <v>626.5625</v>
      </c>
      <c r="N11" s="16">
        <f t="shared" si="6"/>
        <v>183.6272984375</v>
      </c>
      <c r="O11" s="180">
        <f t="shared" ref="O11:O38" si="11">(N11-N10)/N10</f>
        <v>-2.5563763608087167E-2</v>
      </c>
      <c r="P11" s="107">
        <v>8.9999999999999993E-3</v>
      </c>
      <c r="Q11" s="198">
        <v>7.1999999999999995E-2</v>
      </c>
      <c r="R11" s="186" t="s">
        <v>277</v>
      </c>
      <c r="S11" s="186"/>
      <c r="T11" s="186"/>
      <c r="Z11" s="235" t="s">
        <v>325</v>
      </c>
      <c r="AA11" s="236">
        <f>SUM(Multifamily!D37,Multifamily!F37,Multifamily!I37,'Union Station'!D36,'Union Station'!F36)/SUM('Union Station'!S36:T36,Multifamily!AC37:AE37)</f>
        <v>0.96430356776533332</v>
      </c>
      <c r="AB11" s="238">
        <f>SUM(Multifamily!L37,Multifamily!N37,Multifamily!Q37,'Union Station'!I36,'Union Station'!K36)/SUM('Union Station'!S36:T36,Multifamily!AC37:AE37)</f>
        <v>1.9202538307177012E-3</v>
      </c>
      <c r="AC11" s="236">
        <f>SUM(Multifamily!T37,Multifamily!V37,Multifamily!Y37,'Union Station'!N36,'Union Station'!P36)/SUM('Union Station'!S36:T36,Multifamily!AC37:AE37)</f>
        <v>3.3776178403949121E-2</v>
      </c>
    </row>
    <row r="12" spans="1:32" x14ac:dyDescent="0.25">
      <c r="A12" s="83">
        <v>2024</v>
      </c>
      <c r="B12">
        <v>35.567017</v>
      </c>
      <c r="C12">
        <f>((B12*0.0283168*'Factor Sets'!$B$19)/(1000*1000*1000))*(1000*1000*1000*1000)</f>
        <v>834.92246469106237</v>
      </c>
      <c r="D12" s="110">
        <f t="shared" si="2"/>
        <v>-2.5183296396183722E-2</v>
      </c>
      <c r="E12" s="207">
        <f t="shared" si="7"/>
        <v>6672.74279955979</v>
      </c>
      <c r="F12" s="206">
        <f t="shared" ref="F12:F38" si="12">(E12/1000)-F48</f>
        <v>6.4459466245597907</v>
      </c>
      <c r="G12" s="106">
        <f t="shared" si="4"/>
        <v>7.7204134481456514E-3</v>
      </c>
      <c r="H12" s="207">
        <f t="shared" si="8"/>
        <v>29.768796990935151</v>
      </c>
      <c r="I12" s="207">
        <f t="shared" si="5"/>
        <v>2.9768796990935152E-5</v>
      </c>
      <c r="J12" s="195">
        <f t="shared" si="0"/>
        <v>3.5654564645053822E-8</v>
      </c>
      <c r="K12" s="207">
        <f t="shared" si="9"/>
        <v>37.288250902140227</v>
      </c>
      <c r="L12" s="61">
        <f t="shared" si="1"/>
        <v>4.4660734953320014E-2</v>
      </c>
      <c r="M12" s="170">
        <f t="shared" si="10"/>
        <v>610.125</v>
      </c>
      <c r="N12" s="16">
        <f t="shared" si="6"/>
        <v>178.80994387500002</v>
      </c>
      <c r="O12" s="180">
        <f t="shared" si="11"/>
        <v>-2.6234413965087206E-2</v>
      </c>
      <c r="P12" s="107">
        <v>8.0000000000000002E-3</v>
      </c>
      <c r="Q12" s="198">
        <v>6.3E-2</v>
      </c>
      <c r="R12" s="16" t="s">
        <v>50</v>
      </c>
      <c r="S12" s="16"/>
      <c r="T12" s="16"/>
    </row>
    <row r="13" spans="1:32" x14ac:dyDescent="0.25">
      <c r="A13" s="83">
        <v>2025</v>
      </c>
      <c r="B13">
        <v>35.725479</v>
      </c>
      <c r="C13">
        <f>((B13*0.0283168*'Factor Sets'!$B$19)/(1000*1000*1000))*(1000*1000*1000*1000)</f>
        <v>838.64230106642867</v>
      </c>
      <c r="D13" s="110">
        <f t="shared" si="2"/>
        <v>4.4553075676826001E-3</v>
      </c>
      <c r="E13" s="207">
        <f t="shared" si="7"/>
        <v>6702.4719210518679</v>
      </c>
      <c r="F13" s="206">
        <f t="shared" si="12"/>
        <v>6.2579514180518681</v>
      </c>
      <c r="G13" s="106">
        <f t="shared" si="4"/>
        <v>7.4620030614889971E-3</v>
      </c>
      <c r="H13" s="207">
        <f t="shared" si="8"/>
        <v>29.901426137449672</v>
      </c>
      <c r="I13" s="207">
        <f t="shared" si="5"/>
        <v>2.9901426137449672E-5</v>
      </c>
      <c r="J13" s="195">
        <f t="shared" si="0"/>
        <v>3.5654564645053822E-8</v>
      </c>
      <c r="K13" s="207">
        <f t="shared" si="9"/>
        <v>37.454381528570181</v>
      </c>
      <c r="L13" s="61">
        <f t="shared" si="1"/>
        <v>4.4660734953320021E-2</v>
      </c>
      <c r="M13" s="170">
        <f t="shared" si="10"/>
        <v>593.6875</v>
      </c>
      <c r="N13" s="16">
        <f t="shared" si="6"/>
        <v>173.9925893125</v>
      </c>
      <c r="O13" s="180">
        <f t="shared" si="11"/>
        <v>-2.6941200573653019E-2</v>
      </c>
      <c r="P13" s="16">
        <f>(O13*P12)+P12</f>
        <v>7.7844703954107761E-3</v>
      </c>
      <c r="Q13" s="188">
        <f>(O13*Q12)+Q12</f>
        <v>6.1302704363859858E-2</v>
      </c>
      <c r="R13" t="s">
        <v>279</v>
      </c>
    </row>
    <row r="14" spans="1:32" x14ac:dyDescent="0.25">
      <c r="A14" s="83">
        <v>2026</v>
      </c>
      <c r="B14">
        <v>36.183467999999998</v>
      </c>
      <c r="C14">
        <f>((B14*0.0283168*'Factor Sets'!$B$19)/(1000*1000*1000))*(1000*1000*1000*1000)</f>
        <v>849.39342210312964</v>
      </c>
      <c r="D14" s="110">
        <f t="shared" si="2"/>
        <v>1.2819674160282277E-2</v>
      </c>
      <c r="E14" s="207">
        <f t="shared" si="7"/>
        <v>6788.3954271481944</v>
      </c>
      <c r="F14" s="206">
        <f t="shared" si="12"/>
        <v>6.1533661371481942</v>
      </c>
      <c r="G14" s="106">
        <f t="shared" si="4"/>
        <v>7.2444240525341378E-3</v>
      </c>
      <c r="H14" s="207">
        <f t="shared" si="8"/>
        <v>30.284752677459526</v>
      </c>
      <c r="I14" s="207">
        <f t="shared" si="5"/>
        <v>3.0284752677459527E-5</v>
      </c>
      <c r="J14" s="195">
        <f t="shared" si="0"/>
        <v>3.5654564645053829E-8</v>
      </c>
      <c r="K14" s="207">
        <f t="shared" si="9"/>
        <v>37.934534495641344</v>
      </c>
      <c r="L14" s="61">
        <f t="shared" si="1"/>
        <v>4.4660734953320014E-2</v>
      </c>
      <c r="M14" s="170">
        <f t="shared" si="10"/>
        <v>577.25</v>
      </c>
      <c r="N14" s="16">
        <f t="shared" si="6"/>
        <v>169.17523475000002</v>
      </c>
      <c r="O14" s="180">
        <f t="shared" si="11"/>
        <v>-2.7687124960522079E-2</v>
      </c>
      <c r="P14" s="16">
        <f t="shared" ref="P14:P38" si="13">(O14*P13)+P13</f>
        <v>7.5689407908215529E-3</v>
      </c>
      <c r="Q14" s="188">
        <f t="shared" ref="Q14:Q38" si="14">(O14*Q13)+Q13</f>
        <v>5.960540872771973E-2</v>
      </c>
      <c r="R14" s="179" t="s">
        <v>51</v>
      </c>
      <c r="S14" s="179"/>
      <c r="T14" s="179"/>
    </row>
    <row r="15" spans="1:32" x14ac:dyDescent="0.25">
      <c r="A15" s="83">
        <v>2027</v>
      </c>
      <c r="B15">
        <v>36.136150000000001</v>
      </c>
      <c r="C15">
        <f>((B15*0.0283168*'Factor Sets'!$B$19)/(1000*1000*1000))*(1000*1000*1000*1000)</f>
        <v>848.28264969327984</v>
      </c>
      <c r="D15" s="110">
        <f t="shared" si="2"/>
        <v>-1.3077242899991943E-3</v>
      </c>
      <c r="E15" s="207">
        <f t="shared" si="7"/>
        <v>6779.5180775579929</v>
      </c>
      <c r="F15" s="206">
        <f t="shared" si="12"/>
        <v>5.9630518475579937</v>
      </c>
      <c r="G15" s="106">
        <f t="shared" si="4"/>
        <v>7.0295577184256927E-3</v>
      </c>
      <c r="H15" s="207">
        <f t="shared" si="8"/>
        <v>30.245148570766595</v>
      </c>
      <c r="I15" s="207">
        <f t="shared" si="5"/>
        <v>3.0245148570766596E-5</v>
      </c>
      <c r="J15" s="195">
        <f t="shared" si="0"/>
        <v>3.5654564645053829E-8</v>
      </c>
      <c r="K15" s="207">
        <f t="shared" si="9"/>
        <v>37.88492658345158</v>
      </c>
      <c r="L15" s="61">
        <f t="shared" si="1"/>
        <v>4.4660734953320014E-2</v>
      </c>
      <c r="M15" s="170">
        <f t="shared" si="10"/>
        <v>560.8125</v>
      </c>
      <c r="N15" s="16">
        <f t="shared" si="6"/>
        <v>164.3578801875</v>
      </c>
      <c r="O15" s="180">
        <f t="shared" si="11"/>
        <v>-2.8475530532698221E-2</v>
      </c>
      <c r="P15" s="16">
        <f t="shared" si="13"/>
        <v>7.3534111862323288E-3</v>
      </c>
      <c r="Q15" s="188">
        <f t="shared" si="14"/>
        <v>5.7908113091579588E-2</v>
      </c>
      <c r="R15" s="285" t="s">
        <v>276</v>
      </c>
      <c r="S15" s="285"/>
      <c r="T15" s="285"/>
    </row>
    <row r="16" spans="1:32" x14ac:dyDescent="0.25">
      <c r="A16" s="83">
        <v>2028</v>
      </c>
      <c r="B16">
        <v>36.437820000000002</v>
      </c>
      <c r="C16">
        <f>((B16*0.0283168*'Factor Sets'!$B$19)/(1000*1000*1000))*(1000*1000*1000*1000)</f>
        <v>855.36424048070387</v>
      </c>
      <c r="D16" s="110">
        <f t="shared" si="2"/>
        <v>8.3481499827735249E-3</v>
      </c>
      <c r="E16" s="207">
        <f t="shared" si="7"/>
        <v>6836.1145112803715</v>
      </c>
      <c r="F16" s="206">
        <f t="shared" si="12"/>
        <v>2.3909094812803717</v>
      </c>
      <c r="G16" s="106">
        <f t="shared" si="4"/>
        <v>2.7951945710715134E-3</v>
      </c>
      <c r="H16" s="207">
        <f t="shared" si="8"/>
        <v>30.497639607286622</v>
      </c>
      <c r="I16" s="207">
        <f t="shared" si="5"/>
        <v>3.0497639607286622E-5</v>
      </c>
      <c r="J16" s="195">
        <f t="shared" si="0"/>
        <v>3.5654564645053822E-8</v>
      </c>
      <c r="K16" s="207">
        <f t="shared" si="9"/>
        <v>38.201195632656599</v>
      </c>
      <c r="L16" s="61">
        <f t="shared" si="1"/>
        <v>4.4660734953320014E-2</v>
      </c>
      <c r="M16" s="170">
        <f t="shared" si="10"/>
        <v>544.375</v>
      </c>
      <c r="N16" s="16">
        <f t="shared" si="6"/>
        <v>159.54052562500001</v>
      </c>
      <c r="O16" s="180">
        <f t="shared" si="11"/>
        <v>-2.9310152680262925E-2</v>
      </c>
      <c r="P16" s="16">
        <f t="shared" si="13"/>
        <v>7.1378815816431056E-3</v>
      </c>
      <c r="Q16" s="188">
        <f t="shared" si="14"/>
        <v>5.621081745543946E-2</v>
      </c>
    </row>
    <row r="17" spans="1:25" x14ac:dyDescent="0.25">
      <c r="A17" s="83">
        <v>2029</v>
      </c>
      <c r="B17">
        <v>36.679687999999999</v>
      </c>
      <c r="C17">
        <f>((B17*0.0283168*'Factor Sets'!$B$19)/(1000*1000*1000))*(1000*1000*1000*1000)</f>
        <v>861.04200161231347</v>
      </c>
      <c r="D17" s="110">
        <f t="shared" si="2"/>
        <v>6.6378284979727118E-3</v>
      </c>
      <c r="E17" s="207">
        <f t="shared" si="7"/>
        <v>6881.4914669987529</v>
      </c>
      <c r="F17" s="206">
        <f t="shared" si="12"/>
        <v>2.4362864369987536</v>
      </c>
      <c r="G17" s="106">
        <f t="shared" si="4"/>
        <v>2.8294629442428736E-3</v>
      </c>
      <c r="H17" s="207">
        <f t="shared" si="8"/>
        <v>30.700077708592772</v>
      </c>
      <c r="I17" s="207">
        <f t="shared" si="5"/>
        <v>3.0700077708592769E-5</v>
      </c>
      <c r="J17" s="195">
        <f t="shared" si="0"/>
        <v>3.5654564645053822E-8</v>
      </c>
      <c r="K17" s="207">
        <f t="shared" si="9"/>
        <v>38.454768617683676</v>
      </c>
      <c r="L17" s="61">
        <f t="shared" si="1"/>
        <v>4.4660734953320014E-2</v>
      </c>
      <c r="M17" s="170">
        <f t="shared" si="10"/>
        <v>527.9375</v>
      </c>
      <c r="N17" s="16">
        <f t="shared" si="6"/>
        <v>154.7231710625</v>
      </c>
      <c r="O17" s="180">
        <f t="shared" si="11"/>
        <v>-3.0195177956372075E-2</v>
      </c>
      <c r="P17" s="16">
        <f t="shared" si="13"/>
        <v>6.9223519770538816E-3</v>
      </c>
      <c r="Q17" s="188">
        <f t="shared" si="14"/>
        <v>5.4513521819299318E-2</v>
      </c>
      <c r="R17" s="19" t="s">
        <v>150</v>
      </c>
      <c r="S17" s="19"/>
      <c r="T17" s="19"/>
      <c r="U17" s="20"/>
    </row>
    <row r="18" spans="1:25" x14ac:dyDescent="0.25">
      <c r="A18" s="83">
        <v>2030</v>
      </c>
      <c r="B18">
        <v>37.035736</v>
      </c>
      <c r="C18">
        <f>((B18*0.0283168*'Factor Sets'!$B$19)/(1000*1000*1000))*(1000*1000*1000*1000)</f>
        <v>869.40009567761911</v>
      </c>
      <c r="D18" s="110">
        <f t="shared" si="2"/>
        <v>9.7069527963269918E-3</v>
      </c>
      <c r="E18" s="207">
        <f t="shared" si="7"/>
        <v>6948.2897798372369</v>
      </c>
      <c r="F18" s="206">
        <f t="shared" si="12"/>
        <v>2.4123662798372365</v>
      </c>
      <c r="G18" s="106">
        <f t="shared" si="4"/>
        <v>2.7747481186518783E-3</v>
      </c>
      <c r="H18" s="207">
        <f t="shared" si="8"/>
        <v>30.998081913753651</v>
      </c>
      <c r="I18" s="207">
        <f t="shared" si="5"/>
        <v>3.099808191375365E-5</v>
      </c>
      <c r="J18" s="195">
        <f t="shared" si="0"/>
        <v>3.5654564645053822E-8</v>
      </c>
      <c r="K18" s="207">
        <f t="shared" si="9"/>
        <v>38.828047241449205</v>
      </c>
      <c r="L18" s="61">
        <f t="shared" si="1"/>
        <v>4.4660734953320014E-2</v>
      </c>
      <c r="M18" s="204">
        <f>'Factor Sets'!B4</f>
        <v>511.50000000000006</v>
      </c>
      <c r="N18" s="202">
        <f t="shared" si="6"/>
        <v>149.90581650000004</v>
      </c>
      <c r="O18" s="180">
        <f t="shared" si="11"/>
        <v>-3.1135314312773492E-2</v>
      </c>
      <c r="P18" s="202">
        <f t="shared" si="13"/>
        <v>6.7068223724646601E-3</v>
      </c>
      <c r="Q18" s="205">
        <f t="shared" si="14"/>
        <v>5.2816226183159197E-2</v>
      </c>
      <c r="R18" t="s">
        <v>151</v>
      </c>
      <c r="S18" t="s">
        <v>152</v>
      </c>
      <c r="T18" t="s">
        <v>153</v>
      </c>
      <c r="U18" s="22" t="s">
        <v>157</v>
      </c>
    </row>
    <row r="19" spans="1:25" x14ac:dyDescent="0.25">
      <c r="A19" s="83">
        <v>2031</v>
      </c>
      <c r="B19">
        <v>37.466895999999998</v>
      </c>
      <c r="C19">
        <f>((B19*0.0283168*'Factor Sets'!$B$19)/(1000*1000*1000))*(1000*1000*1000*1000)</f>
        <v>879.52141594117109</v>
      </c>
      <c r="D19" s="110">
        <f t="shared" si="2"/>
        <v>1.1641728950654556E-2</v>
      </c>
      <c r="E19" s="207">
        <f t="shared" si="7"/>
        <v>7029.1798861247053</v>
      </c>
      <c r="F19" s="206">
        <f t="shared" si="12"/>
        <v>2.4932563861247052</v>
      </c>
      <c r="G19" s="106">
        <f t="shared" si="4"/>
        <v>2.8347875798529422E-3</v>
      </c>
      <c r="H19" s="207">
        <f t="shared" si="8"/>
        <v>31.358953181383757</v>
      </c>
      <c r="I19" s="207">
        <f t="shared" si="5"/>
        <v>3.1358953181383758E-5</v>
      </c>
      <c r="J19" s="195">
        <f t="shared" si="0"/>
        <v>3.5654564645053822E-8</v>
      </c>
      <c r="K19" s="207">
        <f t="shared" si="9"/>
        <v>39.280072843117367</v>
      </c>
      <c r="L19" s="61">
        <f t="shared" si="1"/>
        <v>4.4660734953320007E-2</v>
      </c>
      <c r="M19" s="170">
        <f t="shared" ref="M19:M27" si="15">(A19*$V$31)+$V$32</f>
        <v>469.64999999999418</v>
      </c>
      <c r="N19" s="16">
        <f t="shared" si="6"/>
        <v>137.6407951499983</v>
      </c>
      <c r="O19" s="180">
        <f t="shared" si="11"/>
        <v>-8.1818181818193447E-2</v>
      </c>
      <c r="P19" s="16">
        <f t="shared" si="13"/>
        <v>6.1580823601720194E-3</v>
      </c>
      <c r="Q19" s="188">
        <f t="shared" si="14"/>
        <v>4.8494898586354647E-2</v>
      </c>
      <c r="R19" t="s">
        <v>41</v>
      </c>
      <c r="S19" t="s">
        <v>154</v>
      </c>
      <c r="T19" t="s">
        <v>274</v>
      </c>
      <c r="U19" s="175" t="s">
        <v>155</v>
      </c>
    </row>
    <row r="20" spans="1:25" x14ac:dyDescent="0.25">
      <c r="A20" s="83">
        <v>2032</v>
      </c>
      <c r="B20">
        <v>37.973098999999998</v>
      </c>
      <c r="C20">
        <f>((B20*0.0283168*'Factor Sets'!$B$19)/(1000*1000*1000))*(1000*1000*1000*1000)</f>
        <v>891.40434265369265</v>
      </c>
      <c r="D20" s="110">
        <f t="shared" si="2"/>
        <v>1.351067352897338E-2</v>
      </c>
      <c r="E20" s="207">
        <f t="shared" si="7"/>
        <v>7124.1488407425622</v>
      </c>
      <c r="F20" s="206">
        <f t="shared" si="12"/>
        <v>2.4975068707425629</v>
      </c>
      <c r="G20" s="106">
        <f t="shared" si="4"/>
        <v>2.8017665510889655E-3</v>
      </c>
      <c r="H20" s="207">
        <f t="shared" si="8"/>
        <v>31.782633760027796</v>
      </c>
      <c r="I20" s="207">
        <f t="shared" si="5"/>
        <v>3.1782633760027796E-5</v>
      </c>
      <c r="J20" s="195">
        <f t="shared" si="0"/>
        <v>3.5654564645053829E-8</v>
      </c>
      <c r="K20" s="207">
        <f t="shared" si="9"/>
        <v>39.810773083495022</v>
      </c>
      <c r="L20" s="61">
        <f t="shared" si="1"/>
        <v>4.4660734953320014E-2</v>
      </c>
      <c r="M20" s="170">
        <f t="shared" si="15"/>
        <v>427.80000000000291</v>
      </c>
      <c r="N20" s="16">
        <f t="shared" si="6"/>
        <v>125.37577380000086</v>
      </c>
      <c r="O20" s="180">
        <f t="shared" si="11"/>
        <v>-8.9108910891071605E-2</v>
      </c>
      <c r="P20" s="16">
        <f t="shared" si="13"/>
        <v>5.6093423478795713E-3</v>
      </c>
      <c r="Q20" s="188">
        <f t="shared" si="14"/>
        <v>4.4173570989551617E-2</v>
      </c>
      <c r="R20" t="s">
        <v>44</v>
      </c>
      <c r="S20" t="s">
        <v>156</v>
      </c>
      <c r="T20" t="s">
        <v>179</v>
      </c>
      <c r="U20" s="22" t="s">
        <v>159</v>
      </c>
    </row>
    <row r="21" spans="1:25" x14ac:dyDescent="0.25">
      <c r="A21" s="83">
        <v>2033</v>
      </c>
      <c r="B21">
        <v>38.551032999999997</v>
      </c>
      <c r="C21">
        <f>((B21*0.0283168*'Factor Sets'!$B$19)/(1000*1000*1000))*(1000*1000*1000*1000)</f>
        <v>904.97112784989758</v>
      </c>
      <c r="D21" s="110">
        <f t="shared" si="2"/>
        <v>1.5219563723255922E-2</v>
      </c>
      <c r="E21" s="207">
        <f t="shared" si="7"/>
        <v>7232.5752779982031</v>
      </c>
      <c r="F21" s="206">
        <f t="shared" si="12"/>
        <v>2.6059333079982032</v>
      </c>
      <c r="G21" s="106">
        <f t="shared" si="4"/>
        <v>2.8795761851425987E-3</v>
      </c>
      <c r="H21" s="207">
        <f t="shared" si="8"/>
        <v>32.266351579831444</v>
      </c>
      <c r="I21" s="207">
        <f t="shared" si="5"/>
        <v>3.2266351579831443E-5</v>
      </c>
      <c r="J21" s="195">
        <f t="shared" si="0"/>
        <v>3.5654564645053822E-8</v>
      </c>
      <c r="K21" s="207">
        <f t="shared" si="9"/>
        <v>40.416675681311354</v>
      </c>
      <c r="L21" s="61">
        <f t="shared" si="1"/>
        <v>4.4660734953320014E-2</v>
      </c>
      <c r="M21" s="170">
        <f t="shared" si="15"/>
        <v>385.94999999999709</v>
      </c>
      <c r="N21" s="16">
        <f t="shared" si="6"/>
        <v>113.11075244999915</v>
      </c>
      <c r="O21" s="180">
        <f t="shared" si="11"/>
        <v>-9.782608695653465E-2</v>
      </c>
      <c r="P21" s="16">
        <f t="shared" si="13"/>
        <v>5.0606023355869324E-3</v>
      </c>
      <c r="Q21" s="188">
        <f t="shared" si="14"/>
        <v>3.985224339274708E-2</v>
      </c>
      <c r="R21" s="176" t="s">
        <v>71</v>
      </c>
      <c r="S21" s="176" t="s">
        <v>24</v>
      </c>
      <c r="T21" s="176" t="s">
        <v>158</v>
      </c>
      <c r="U21" s="40"/>
    </row>
    <row r="22" spans="1:25" x14ac:dyDescent="0.25">
      <c r="A22" s="83">
        <v>2034</v>
      </c>
      <c r="B22">
        <v>39.045914000000003</v>
      </c>
      <c r="C22">
        <f>((B22*0.0283168*'Factor Sets'!$B$19)/(1000*1000*1000))*(1000*1000*1000*1000)</f>
        <v>916.58827483326081</v>
      </c>
      <c r="D22" s="110">
        <f t="shared" si="2"/>
        <v>1.2837036039994082E-2</v>
      </c>
      <c r="E22" s="207">
        <f t="shared" si="7"/>
        <v>7325.4201075038363</v>
      </c>
      <c r="F22" s="206">
        <f t="shared" si="12"/>
        <v>2.6987781375038367</v>
      </c>
      <c r="G22" s="106">
        <f t="shared" si="4"/>
        <v>2.9443734025451931E-3</v>
      </c>
      <c r="H22" s="207">
        <f t="shared" si="8"/>
        <v>32.680555897940863</v>
      </c>
      <c r="I22" s="207">
        <f t="shared" si="5"/>
        <v>3.2680555897940864E-5</v>
      </c>
      <c r="J22" s="195">
        <f t="shared" si="0"/>
        <v>3.5654564645053829E-8</v>
      </c>
      <c r="K22" s="207">
        <f t="shared" si="9"/>
        <v>40.935506003649103</v>
      </c>
      <c r="L22" s="61">
        <f t="shared" si="1"/>
        <v>4.4660734953320014E-2</v>
      </c>
      <c r="M22" s="170">
        <f t="shared" si="15"/>
        <v>344.09999999999127</v>
      </c>
      <c r="N22" s="16">
        <f t="shared" si="6"/>
        <v>100.84573109999745</v>
      </c>
      <c r="O22" s="180">
        <f t="shared" si="11"/>
        <v>-0.1084337349397749</v>
      </c>
      <c r="P22" s="16">
        <f t="shared" si="13"/>
        <v>4.5118623232942934E-3</v>
      </c>
      <c r="Q22" s="188">
        <f t="shared" si="14"/>
        <v>3.5530915795942544E-2</v>
      </c>
    </row>
    <row r="23" spans="1:25" x14ac:dyDescent="0.25">
      <c r="A23" s="83">
        <v>2035</v>
      </c>
      <c r="B23">
        <v>39.497391</v>
      </c>
      <c r="C23">
        <f>((B23*0.0283168*'Factor Sets'!$B$19)/(1000*1000*1000))*(1000*1000*1000*1000)</f>
        <v>927.18652909763512</v>
      </c>
      <c r="D23" s="110">
        <f t="shared" si="2"/>
        <v>1.1562720749730585E-2</v>
      </c>
      <c r="E23" s="207">
        <f t="shared" si="7"/>
        <v>7410.1218945813644</v>
      </c>
      <c r="F23" s="206">
        <f t="shared" si="12"/>
        <v>2.7834799245813651</v>
      </c>
      <c r="G23" s="106">
        <f t="shared" si="4"/>
        <v>3.0020711445088925E-3</v>
      </c>
      <c r="H23" s="207">
        <f t="shared" si="8"/>
        <v>33.058432039734711</v>
      </c>
      <c r="I23" s="207">
        <f t="shared" si="5"/>
        <v>3.3058432039734711E-5</v>
      </c>
      <c r="J23" s="195">
        <f t="shared" si="0"/>
        <v>3.5654564645053829E-8</v>
      </c>
      <c r="K23" s="207">
        <f t="shared" si="9"/>
        <v>41.40883182831822</v>
      </c>
      <c r="L23" s="61">
        <f t="shared" si="1"/>
        <v>4.4660734953320021E-2</v>
      </c>
      <c r="M23" s="170">
        <f t="shared" si="15"/>
        <v>302.25</v>
      </c>
      <c r="N23" s="16">
        <f t="shared" si="6"/>
        <v>88.580709750000011</v>
      </c>
      <c r="O23" s="180">
        <f t="shared" si="11"/>
        <v>-0.12162162162159931</v>
      </c>
      <c r="P23" s="16">
        <f t="shared" si="13"/>
        <v>3.9631223110018453E-3</v>
      </c>
      <c r="Q23" s="188">
        <f t="shared" si="14"/>
        <v>3.1209588199139514E-2</v>
      </c>
    </row>
    <row r="24" spans="1:25" x14ac:dyDescent="0.25">
      <c r="A24" s="83">
        <v>2036</v>
      </c>
      <c r="B24">
        <v>39.857360999999997</v>
      </c>
      <c r="C24">
        <f>((B24*0.0283168*'Factor Sets'!$B$19)/(1000*1000*1000))*(1000*1000*1000*1000)</f>
        <v>935.63669065081911</v>
      </c>
      <c r="D24" s="110">
        <f t="shared" si="2"/>
        <v>9.1137665270093291E-3</v>
      </c>
      <c r="E24" s="207">
        <f t="shared" si="7"/>
        <v>7477.6560154652589</v>
      </c>
      <c r="F24" s="206">
        <f t="shared" si="12"/>
        <v>2.7602955754652596</v>
      </c>
      <c r="G24" s="106">
        <f t="shared" si="4"/>
        <v>2.950178849383543E-3</v>
      </c>
      <c r="H24" s="207">
        <f t="shared" si="8"/>
        <v>33.359718871093861</v>
      </c>
      <c r="I24" s="207">
        <f t="shared" si="5"/>
        <v>3.3359718871093861E-5</v>
      </c>
      <c r="J24" s="195">
        <f t="shared" si="0"/>
        <v>3.5654564645053829E-8</v>
      </c>
      <c r="K24" s="207">
        <f t="shared" si="9"/>
        <v>41.786222253757707</v>
      </c>
      <c r="L24" s="61">
        <f t="shared" si="1"/>
        <v>4.4660734953320021E-2</v>
      </c>
      <c r="M24" s="170">
        <f t="shared" si="15"/>
        <v>260.39999999999418</v>
      </c>
      <c r="N24" s="16">
        <f t="shared" si="6"/>
        <v>76.315688399998294</v>
      </c>
      <c r="O24" s="180">
        <f t="shared" si="11"/>
        <v>-0.13846153846155784</v>
      </c>
      <c r="P24" s="16">
        <f t="shared" si="13"/>
        <v>3.4143822987092055E-3</v>
      </c>
      <c r="Q24" s="188">
        <f t="shared" si="14"/>
        <v>2.6888260602334978E-2</v>
      </c>
    </row>
    <row r="25" spans="1:25" x14ac:dyDescent="0.25">
      <c r="A25" s="83">
        <v>2037</v>
      </c>
      <c r="B25">
        <v>40.219318000000001</v>
      </c>
      <c r="C25">
        <f>((B25*0.0283168*'Factor Sets'!$B$19)/(1000*1000*1000))*(1000*1000*1000*1000)</f>
        <v>944.13349628824949</v>
      </c>
      <c r="D25" s="110">
        <f t="shared" si="2"/>
        <v>9.0813087198622945E-3</v>
      </c>
      <c r="E25" s="207">
        <f t="shared" si="7"/>
        <v>7545.5629182426346</v>
      </c>
      <c r="F25" s="206">
        <f t="shared" si="12"/>
        <v>2.8282024782426349</v>
      </c>
      <c r="G25" s="106">
        <f t="shared" si="4"/>
        <v>2.9955535836419136E-3</v>
      </c>
      <c r="H25" s="207">
        <f t="shared" si="8"/>
        <v>33.662668776970079</v>
      </c>
      <c r="I25" s="207">
        <f t="shared" si="5"/>
        <v>3.366266877697008E-5</v>
      </c>
      <c r="J25" s="195">
        <f t="shared" si="0"/>
        <v>3.5654564645053829E-8</v>
      </c>
      <c r="K25" s="207">
        <f t="shared" si="9"/>
        <v>42.165695838280861</v>
      </c>
      <c r="L25" s="61">
        <f t="shared" si="1"/>
        <v>4.4660734953320021E-2</v>
      </c>
      <c r="M25" s="170">
        <f t="shared" si="15"/>
        <v>218.55000000000291</v>
      </c>
      <c r="N25" s="16">
        <f t="shared" si="6"/>
        <v>64.050667050000854</v>
      </c>
      <c r="O25" s="180">
        <f t="shared" si="11"/>
        <v>-0.16071428571425575</v>
      </c>
      <c r="P25" s="16">
        <f t="shared" si="13"/>
        <v>2.8656422864167569E-3</v>
      </c>
      <c r="Q25" s="188">
        <f t="shared" si="14"/>
        <v>2.2566933005531947E-2</v>
      </c>
    </row>
    <row r="26" spans="1:25" x14ac:dyDescent="0.25">
      <c r="A26" s="83">
        <v>2038</v>
      </c>
      <c r="B26">
        <v>40.491047000000002</v>
      </c>
      <c r="C26">
        <f>((B26*0.0283168*'Factor Sets'!$B$19)/(1000*1000*1000))*(1000*1000*1000*1000)</f>
        <v>950.51223326267836</v>
      </c>
      <c r="D26" s="110">
        <f t="shared" si="2"/>
        <v>6.756181196309774E-3</v>
      </c>
      <c r="E26" s="207">
        <f t="shared" si="7"/>
        <v>7596.5421085464377</v>
      </c>
      <c r="F26" s="206">
        <f t="shared" si="12"/>
        <v>2.8791816685464386</v>
      </c>
      <c r="G26" s="106">
        <f t="shared" si="4"/>
        <v>3.0290842850738604E-3</v>
      </c>
      <c r="H26" s="207">
        <f t="shared" si="8"/>
        <v>33.890099866778648</v>
      </c>
      <c r="I26" s="207">
        <f t="shared" si="5"/>
        <v>3.3890099866778647E-5</v>
      </c>
      <c r="J26" s="195">
        <f t="shared" si="0"/>
        <v>3.5654564645053829E-8</v>
      </c>
      <c r="K26" s="207">
        <f t="shared" si="9"/>
        <v>42.450574919632771</v>
      </c>
      <c r="L26" s="61">
        <f t="shared" si="1"/>
        <v>4.4660734953320021E-2</v>
      </c>
      <c r="M26" s="170">
        <f t="shared" si="15"/>
        <v>176.69999999999709</v>
      </c>
      <c r="N26" s="16">
        <f t="shared" si="6"/>
        <v>51.785645699999151</v>
      </c>
      <c r="O26" s="180">
        <f t="shared" si="11"/>
        <v>-0.19148936170215169</v>
      </c>
      <c r="P26" s="16">
        <f t="shared" si="13"/>
        <v>2.3169022741241175E-3</v>
      </c>
      <c r="Q26" s="188">
        <f t="shared" si="14"/>
        <v>1.8245605408727415E-2</v>
      </c>
      <c r="R26" s="19" t="s">
        <v>72</v>
      </c>
      <c r="S26" s="20"/>
      <c r="U26" s="18" t="s">
        <v>73</v>
      </c>
      <c r="V26" s="20"/>
      <c r="X26" s="18" t="s">
        <v>74</v>
      </c>
      <c r="Y26" s="20"/>
    </row>
    <row r="27" spans="1:25" x14ac:dyDescent="0.25">
      <c r="A27" s="83">
        <v>2039</v>
      </c>
      <c r="B27">
        <v>40.733463</v>
      </c>
      <c r="C27">
        <f>((B27*0.0283168*'Factor Sets'!$B$19)/(1000*1000*1000))*(1000*1000*1000*1000)</f>
        <v>956.20285848999356</v>
      </c>
      <c r="D27" s="110">
        <f t="shared" si="2"/>
        <v>5.986903722198139E-3</v>
      </c>
      <c r="E27" s="207">
        <f t="shared" si="7"/>
        <v>7642.0218747719291</v>
      </c>
      <c r="F27" s="16">
        <f t="shared" si="12"/>
        <v>2.92466143477193</v>
      </c>
      <c r="G27" s="106">
        <f t="shared" si="4"/>
        <v>3.0586202590844229E-3</v>
      </c>
      <c r="H27" s="207">
        <f t="shared" si="8"/>
        <v>34.092996631816732</v>
      </c>
      <c r="I27" s="207">
        <f t="shared" si="5"/>
        <v>3.4092996631816732E-5</v>
      </c>
      <c r="J27" s="195">
        <f t="shared" si="0"/>
        <v>3.5654564645053829E-8</v>
      </c>
      <c r="K27" s="207">
        <f t="shared" si="9"/>
        <v>42.704722424628571</v>
      </c>
      <c r="L27" s="61">
        <f t="shared" si="1"/>
        <v>4.4660734953320021E-2</v>
      </c>
      <c r="M27" s="170">
        <f t="shared" si="15"/>
        <v>134.84999999999127</v>
      </c>
      <c r="N27" s="16">
        <f t="shared" si="6"/>
        <v>39.520624349997448</v>
      </c>
      <c r="O27" s="180">
        <f t="shared" si="11"/>
        <v>-0.23684210526319466</v>
      </c>
      <c r="P27" s="16">
        <f t="shared" si="13"/>
        <v>1.7681622618314781E-3</v>
      </c>
      <c r="Q27" s="188">
        <f t="shared" si="14"/>
        <v>1.3924277811922882E-2</v>
      </c>
      <c r="R27" t="s">
        <v>30</v>
      </c>
      <c r="S27" s="22" t="s">
        <v>31</v>
      </c>
      <c r="U27" s="21" t="s">
        <v>30</v>
      </c>
      <c r="V27" s="22" t="s">
        <v>31</v>
      </c>
      <c r="X27" s="21" t="s">
        <v>30</v>
      </c>
      <c r="Y27" s="22" t="s">
        <v>31</v>
      </c>
    </row>
    <row r="28" spans="1:25" x14ac:dyDescent="0.25">
      <c r="A28" s="83">
        <v>2040</v>
      </c>
      <c r="B28">
        <v>40.870891999999998</v>
      </c>
      <c r="C28">
        <f>((B28*0.0283168*'Factor Sets'!$B$19)/(1000*1000*1000))*(1000*1000*1000*1000)</f>
        <v>959.42895303146236</v>
      </c>
      <c r="D28" s="110">
        <f t="shared" si="2"/>
        <v>3.3738599637354641E-3</v>
      </c>
      <c r="E28" s="207">
        <f t="shared" si="7"/>
        <v>7667.8049864172126</v>
      </c>
      <c r="F28" s="16">
        <f t="shared" si="12"/>
        <v>2.9504445464172129</v>
      </c>
      <c r="G28" s="106">
        <f t="shared" si="4"/>
        <v>3.0752089949910646E-3</v>
      </c>
      <c r="H28" s="207">
        <f t="shared" si="8"/>
        <v>34.208021628196583</v>
      </c>
      <c r="I28" s="207">
        <f t="shared" si="5"/>
        <v>3.4208021628196584E-5</v>
      </c>
      <c r="J28" s="195">
        <f t="shared" si="0"/>
        <v>3.5654564645053822E-8</v>
      </c>
      <c r="K28" s="207">
        <f t="shared" si="9"/>
        <v>42.848802177879463</v>
      </c>
      <c r="L28" s="61">
        <f t="shared" si="1"/>
        <v>4.4660734953320021E-2</v>
      </c>
      <c r="M28" s="178">
        <f>'Factor Sets'!B7</f>
        <v>93</v>
      </c>
      <c r="N28" s="179">
        <f t="shared" si="6"/>
        <v>27.255603000000001</v>
      </c>
      <c r="O28" s="180">
        <f t="shared" si="11"/>
        <v>-0.31034482758616233</v>
      </c>
      <c r="P28" s="179">
        <f t="shared" si="13"/>
        <v>1.2194222495390292E-3</v>
      </c>
      <c r="Q28" s="189">
        <f t="shared" si="14"/>
        <v>9.6029502151198497E-3</v>
      </c>
      <c r="R28">
        <v>2022</v>
      </c>
      <c r="S28" s="22">
        <f>'Factor Sets'!B2</f>
        <v>643</v>
      </c>
      <c r="U28" s="21">
        <v>2030</v>
      </c>
      <c r="V28" s="201">
        <f>'Factor Sets'!B4</f>
        <v>511.50000000000006</v>
      </c>
      <c r="X28" s="21">
        <v>2040</v>
      </c>
      <c r="Y28" s="22">
        <f>'Factor Sets'!B7</f>
        <v>93</v>
      </c>
    </row>
    <row r="29" spans="1:25" x14ac:dyDescent="0.25">
      <c r="A29" s="83">
        <v>2041</v>
      </c>
      <c r="B29">
        <v>40.989829999999998</v>
      </c>
      <c r="C29">
        <f>((B29*0.0283168*'Factor Sets'!$B$19)/(1000*1000*1000))*(1000*1000*1000*1000)</f>
        <v>962.22097824137575</v>
      </c>
      <c r="D29" s="110">
        <f t="shared" si="2"/>
        <v>2.9100906336957627E-3</v>
      </c>
      <c r="E29" s="207">
        <f t="shared" si="7"/>
        <v>7690.1189938891912</v>
      </c>
      <c r="F29" s="16">
        <f t="shared" si="12"/>
        <v>2.9727585538891921</v>
      </c>
      <c r="G29" s="106">
        <f t="shared" si="4"/>
        <v>3.0894759323605889E-3</v>
      </c>
      <c r="H29" s="207">
        <f t="shared" si="8"/>
        <v>34.307570071534059</v>
      </c>
      <c r="I29" s="207">
        <f t="shared" si="5"/>
        <v>3.4307570071534061E-5</v>
      </c>
      <c r="J29" s="195">
        <f t="shared" si="0"/>
        <v>3.5654564645053822E-8</v>
      </c>
      <c r="K29" s="207">
        <f t="shared" si="9"/>
        <v>42.973496075762391</v>
      </c>
      <c r="L29" s="61">
        <f t="shared" si="1"/>
        <v>4.4660734953320021E-2</v>
      </c>
      <c r="M29" s="170">
        <f t="shared" ref="M29:M37" si="16">(A29*$Y$31)+$Y$32</f>
        <v>83.69999999999709</v>
      </c>
      <c r="N29" s="16">
        <f t="shared" si="6"/>
        <v>24.53004269999915</v>
      </c>
      <c r="O29" s="180">
        <f t="shared" si="11"/>
        <v>-0.1000000000000312</v>
      </c>
      <c r="P29" s="16">
        <f t="shared" si="13"/>
        <v>1.0974800245850882E-3</v>
      </c>
      <c r="Q29" s="188">
        <f t="shared" si="14"/>
        <v>8.6426551936075648E-3</v>
      </c>
      <c r="R29">
        <v>2030</v>
      </c>
      <c r="S29" s="201">
        <f>'Factor Sets'!B4</f>
        <v>511.50000000000006</v>
      </c>
      <c r="U29" s="21">
        <v>2040</v>
      </c>
      <c r="V29" s="22">
        <f>'Factor Sets'!B7</f>
        <v>93</v>
      </c>
      <c r="X29" s="21">
        <v>2050</v>
      </c>
      <c r="Y29" s="22">
        <f>'Factor Sets'!B8</f>
        <v>0</v>
      </c>
    </row>
    <row r="30" spans="1:25" ht="30" x14ac:dyDescent="0.25">
      <c r="A30" s="83">
        <v>2042</v>
      </c>
      <c r="B30">
        <v>41.164859999999997</v>
      </c>
      <c r="C30">
        <f>((B30*0.0283168*'Factor Sets'!$B$19)/(1000*1000*1000))*(1000*1000*1000*1000)</f>
        <v>966.32974224019199</v>
      </c>
      <c r="D30" s="110">
        <f t="shared" si="2"/>
        <v>4.270083579268575E-3</v>
      </c>
      <c r="E30" s="207">
        <f t="shared" si="7"/>
        <v>7722.9564447276189</v>
      </c>
      <c r="F30" s="16">
        <f t="shared" si="12"/>
        <v>3.0055960047276198</v>
      </c>
      <c r="G30" s="106">
        <f t="shared" si="4"/>
        <v>3.1103213254720929E-3</v>
      </c>
      <c r="H30" s="207">
        <f t="shared" si="8"/>
        <v>34.454066263141122</v>
      </c>
      <c r="I30" s="207">
        <f t="shared" si="5"/>
        <v>3.4454066263141125E-5</v>
      </c>
      <c r="J30" s="195">
        <f t="shared" si="0"/>
        <v>3.5654564645053822E-8</v>
      </c>
      <c r="K30" s="207">
        <f t="shared" si="9"/>
        <v>43.156996495699268</v>
      </c>
      <c r="L30" s="61">
        <f t="shared" si="1"/>
        <v>4.4660734953320021E-2</v>
      </c>
      <c r="M30" s="170">
        <f t="shared" si="16"/>
        <v>74.399999999997817</v>
      </c>
      <c r="N30" s="16">
        <f t="shared" si="6"/>
        <v>21.804482399999362</v>
      </c>
      <c r="O30" s="180">
        <f t="shared" si="11"/>
        <v>-0.11111111111110633</v>
      </c>
      <c r="P30" s="16">
        <f t="shared" si="13"/>
        <v>9.7553779963119476E-4</v>
      </c>
      <c r="Q30" s="188">
        <f t="shared" si="14"/>
        <v>7.6823601720956546E-3</v>
      </c>
      <c r="S30" s="23" t="s">
        <v>48</v>
      </c>
      <c r="U30" s="21"/>
      <c r="V30" s="23" t="s">
        <v>48</v>
      </c>
      <c r="X30" s="21"/>
      <c r="Y30" s="23" t="s">
        <v>48</v>
      </c>
    </row>
    <row r="31" spans="1:25" x14ac:dyDescent="0.25">
      <c r="A31" s="83">
        <v>2043</v>
      </c>
      <c r="B31">
        <v>41.277199000000003</v>
      </c>
      <c r="C31">
        <f>((B31*0.0283168*'Factor Sets'!$B$19)/(1000*1000*1000))*(1000*1000*1000*1000)</f>
        <v>968.96685838521284</v>
      </c>
      <c r="D31" s="110">
        <f t="shared" si="2"/>
        <v>2.7290023578363277E-3</v>
      </c>
      <c r="E31" s="207">
        <f t="shared" si="7"/>
        <v>7744.0324110747479</v>
      </c>
      <c r="F31" s="16">
        <f t="shared" si="12"/>
        <v>3.0266719710747489</v>
      </c>
      <c r="G31" s="106">
        <f t="shared" si="4"/>
        <v>3.1236073193656073E-3</v>
      </c>
      <c r="H31" s="207">
        <f t="shared" si="8"/>
        <v>34.548091491210286</v>
      </c>
      <c r="I31" s="207">
        <f t="shared" si="5"/>
        <v>3.4548091491210287E-5</v>
      </c>
      <c r="J31" s="195">
        <f t="shared" si="0"/>
        <v>3.5654564645053829E-8</v>
      </c>
      <c r="K31" s="207">
        <f t="shared" si="9"/>
        <v>43.274772040893168</v>
      </c>
      <c r="L31" s="61">
        <f t="shared" si="1"/>
        <v>4.4660734953320021E-2</v>
      </c>
      <c r="M31" s="170">
        <f t="shared" si="16"/>
        <v>65.099999999998545</v>
      </c>
      <c r="N31" s="16">
        <f t="shared" si="6"/>
        <v>19.078922099999573</v>
      </c>
      <c r="O31" s="180">
        <f t="shared" si="11"/>
        <v>-0.12499999999999395</v>
      </c>
      <c r="P31" s="16">
        <f t="shared" si="13"/>
        <v>8.5359557467730137E-4</v>
      </c>
      <c r="Q31" s="188">
        <f t="shared" si="14"/>
        <v>6.7220651505837444E-3</v>
      </c>
      <c r="R31" t="s">
        <v>47</v>
      </c>
      <c r="S31" s="23">
        <f>SLOPE(S28:S29,R28:R29)</f>
        <v>-16.437499999999993</v>
      </c>
      <c r="U31" s="21" t="s">
        <v>47</v>
      </c>
      <c r="V31" s="23">
        <f>SLOPE(V28:V29,U28:U29)</f>
        <v>-41.85</v>
      </c>
      <c r="X31" s="21" t="s">
        <v>47</v>
      </c>
      <c r="Y31" s="23">
        <f>SLOPE(Y28:Y29,X28:X29)</f>
        <v>-9.3000000000000007</v>
      </c>
    </row>
    <row r="32" spans="1:25" x14ac:dyDescent="0.25">
      <c r="A32" s="83">
        <v>2044</v>
      </c>
      <c r="B32">
        <v>41.354495999999997</v>
      </c>
      <c r="C32">
        <f>((B32*0.0283168*'Factor Sets'!$B$19)/(1000*1000*1000))*(1000*1000*1000*1000)</f>
        <v>970.78137664389101</v>
      </c>
      <c r="D32" s="110">
        <f t="shared" si="2"/>
        <v>1.8726319099314345E-3</v>
      </c>
      <c r="E32" s="207">
        <f t="shared" si="7"/>
        <v>7758.5341332792696</v>
      </c>
      <c r="F32" s="16">
        <f t="shared" si="12"/>
        <v>3.0411736932792701</v>
      </c>
      <c r="G32" s="106">
        <f t="shared" si="4"/>
        <v>3.1327070815810008E-3</v>
      </c>
      <c r="H32" s="207">
        <f t="shared" si="8"/>
        <v>34.612787349763956</v>
      </c>
      <c r="I32" s="207">
        <f t="shared" si="5"/>
        <v>3.4612787349763952E-5</v>
      </c>
      <c r="J32" s="195">
        <f t="shared" si="0"/>
        <v>3.5654564645053822E-8</v>
      </c>
      <c r="K32" s="207">
        <f t="shared" si="9"/>
        <v>43.355809759911956</v>
      </c>
      <c r="L32" s="61">
        <f t="shared" si="1"/>
        <v>4.4660734953320028E-2</v>
      </c>
      <c r="M32" s="170">
        <f t="shared" si="16"/>
        <v>55.799999999999272</v>
      </c>
      <c r="N32" s="16">
        <f t="shared" si="6"/>
        <v>16.353361799999789</v>
      </c>
      <c r="O32" s="180">
        <f t="shared" si="11"/>
        <v>-0.14285714285713477</v>
      </c>
      <c r="P32" s="16">
        <f t="shared" si="13"/>
        <v>7.3165334972340808E-4</v>
      </c>
      <c r="Q32" s="188">
        <f t="shared" si="14"/>
        <v>5.7617701290718351E-3</v>
      </c>
      <c r="R32" s="176" t="s">
        <v>49</v>
      </c>
      <c r="S32" s="24">
        <f>INTERCEPT(S28:S29,R28:R29)</f>
        <v>33879.624999999985</v>
      </c>
      <c r="U32" s="17" t="s">
        <v>49</v>
      </c>
      <c r="V32" s="24">
        <f>INTERCEPT(V28:V29,U28:U29)</f>
        <v>85467</v>
      </c>
      <c r="X32" s="17" t="s">
        <v>49</v>
      </c>
      <c r="Y32" s="24">
        <f>INTERCEPT(Y28:Y29,X28:X29)</f>
        <v>19065</v>
      </c>
    </row>
    <row r="33" spans="1:29" x14ac:dyDescent="0.25">
      <c r="A33" s="83">
        <v>2045</v>
      </c>
      <c r="B33">
        <v>41.505783000000001</v>
      </c>
      <c r="C33">
        <f>((B33*0.0283168*'Factor Sets'!$B$19)/(1000*1000*1000))*(1000*1000*1000*1000)</f>
        <v>974.3327825690975</v>
      </c>
      <c r="D33" s="110">
        <f t="shared" si="2"/>
        <v>3.6582963071295584E-3</v>
      </c>
      <c r="E33" s="207">
        <f t="shared" si="7"/>
        <v>7786.9171500477842</v>
      </c>
      <c r="F33" s="16">
        <f t="shared" si="12"/>
        <v>3.0695567100477845</v>
      </c>
      <c r="G33" s="106">
        <f t="shared" si="4"/>
        <v>3.1504192047752417E-3</v>
      </c>
      <c r="H33" s="207">
        <f t="shared" si="8"/>
        <v>34.739411181905055</v>
      </c>
      <c r="I33" s="207">
        <f t="shared" si="5"/>
        <v>3.4739411181905053E-5</v>
      </c>
      <c r="J33" s="195">
        <f t="shared" si="0"/>
        <v>3.5654564645053816E-8</v>
      </c>
      <c r="K33" s="207">
        <f t="shared" si="9"/>
        <v>43.514418158649256</v>
      </c>
      <c r="L33" s="61">
        <f t="shared" si="1"/>
        <v>4.4660734953320028E-2</v>
      </c>
      <c r="M33" s="170">
        <f t="shared" si="16"/>
        <v>46.5</v>
      </c>
      <c r="N33" s="16">
        <f t="shared" si="6"/>
        <v>13.6278015</v>
      </c>
      <c r="O33" s="180">
        <f t="shared" si="11"/>
        <v>-0.16666666666665589</v>
      </c>
      <c r="P33" s="16">
        <f t="shared" si="13"/>
        <v>6.0971112476951458E-4</v>
      </c>
      <c r="Q33" s="188">
        <f t="shared" si="14"/>
        <v>4.8014751075599249E-3</v>
      </c>
    </row>
    <row r="34" spans="1:29" x14ac:dyDescent="0.25">
      <c r="A34" s="83">
        <v>2046</v>
      </c>
      <c r="B34">
        <v>41.340648999999999</v>
      </c>
      <c r="C34">
        <f>((B34*0.0283168*'Factor Sets'!$B$19)/(1000*1000*1000))*(1000*1000*1000*1000)</f>
        <v>970.45632348105266</v>
      </c>
      <c r="D34" s="110">
        <f t="shared" si="2"/>
        <v>-3.9785781176565616E-3</v>
      </c>
      <c r="E34" s="207">
        <f t="shared" si="7"/>
        <v>7755.9362918705992</v>
      </c>
      <c r="F34" s="16">
        <f t="shared" si="12"/>
        <v>3.0385758518705996</v>
      </c>
      <c r="G34" s="106">
        <f t="shared" si="4"/>
        <v>3.1310794503055504E-3</v>
      </c>
      <c r="H34" s="207">
        <f t="shared" si="8"/>
        <v>34.601197720756453</v>
      </c>
      <c r="I34" s="207">
        <f t="shared" si="5"/>
        <v>3.4601197720756451E-5</v>
      </c>
      <c r="J34" s="195">
        <f t="shared" si="0"/>
        <v>3.5654564645053816E-8</v>
      </c>
      <c r="K34" s="207">
        <f t="shared" si="9"/>
        <v>43.341292646760699</v>
      </c>
      <c r="L34" s="61">
        <f t="shared" si="1"/>
        <v>4.4660734953320028E-2</v>
      </c>
      <c r="M34" s="170">
        <f t="shared" si="16"/>
        <v>37.19999999999709</v>
      </c>
      <c r="N34" s="16">
        <f t="shared" si="6"/>
        <v>10.902241199999148</v>
      </c>
      <c r="O34" s="180">
        <f t="shared" si="11"/>
        <v>-0.20000000000006254</v>
      </c>
      <c r="P34" s="16">
        <f t="shared" si="13"/>
        <v>4.8776889981557353E-4</v>
      </c>
      <c r="Q34" s="188">
        <f t="shared" si="14"/>
        <v>3.8411800860476395E-3</v>
      </c>
    </row>
    <row r="35" spans="1:29" x14ac:dyDescent="0.25">
      <c r="A35" s="83">
        <v>2047</v>
      </c>
      <c r="B35">
        <v>41.544994000000003</v>
      </c>
      <c r="C35">
        <f>((B35*0.0283168*'Factor Sets'!$B$19)/(1000*1000*1000))*(1000*1000*1000*1000)</f>
        <v>975.25324617623676</v>
      </c>
      <c r="D35" s="110">
        <f t="shared" si="2"/>
        <v>4.9429557818505467E-3</v>
      </c>
      <c r="E35" s="207">
        <f t="shared" si="7"/>
        <v>7794.2735420081654</v>
      </c>
      <c r="F35" s="16">
        <f t="shared" si="12"/>
        <v>3.0769131020081657</v>
      </c>
      <c r="G35" s="106">
        <f t="shared" si="4"/>
        <v>3.1549888339998827E-3</v>
      </c>
      <c r="H35" s="207">
        <f t="shared" si="8"/>
        <v>34.772229911089219</v>
      </c>
      <c r="I35" s="207">
        <f t="shared" si="5"/>
        <v>3.4772229911089223E-5</v>
      </c>
      <c r="J35" s="195">
        <f t="shared" si="0"/>
        <v>3.5654564645053822E-8</v>
      </c>
      <c r="K35" s="207">
        <f t="shared" si="9"/>
        <v>43.555526739841881</v>
      </c>
      <c r="L35" s="61">
        <f t="shared" si="1"/>
        <v>4.4660734953320028E-2</v>
      </c>
      <c r="M35" s="170">
        <f t="shared" si="16"/>
        <v>27.899999999997817</v>
      </c>
      <c r="N35" s="16">
        <f t="shared" si="6"/>
        <v>8.1766808999993614</v>
      </c>
      <c r="O35" s="180">
        <f t="shared" si="11"/>
        <v>-0.24999999999999997</v>
      </c>
      <c r="P35" s="16">
        <f t="shared" si="13"/>
        <v>3.6582667486168019E-4</v>
      </c>
      <c r="Q35" s="188">
        <f t="shared" si="14"/>
        <v>2.8808850645357298E-3</v>
      </c>
    </row>
    <row r="36" spans="1:29" x14ac:dyDescent="0.25">
      <c r="A36" s="83">
        <v>2048</v>
      </c>
      <c r="B36">
        <v>41.613247000000001</v>
      </c>
      <c r="C36">
        <f>((B36*0.0283168*'Factor Sets'!$B$19)/(1000*1000*1000))*(1000*1000*1000*1000)</f>
        <v>976.85545990651838</v>
      </c>
      <c r="D36" s="110">
        <f t="shared" si="2"/>
        <v>1.6428694152657915E-3</v>
      </c>
      <c r="E36" s="207">
        <f t="shared" si="7"/>
        <v>7807.0785156245456</v>
      </c>
      <c r="F36" s="16">
        <f t="shared" si="12"/>
        <v>3.0897180756245461</v>
      </c>
      <c r="G36" s="106">
        <f t="shared" si="4"/>
        <v>3.1629224613436888E-3</v>
      </c>
      <c r="H36" s="207">
        <f t="shared" si="8"/>
        <v>34.82935614411074</v>
      </c>
      <c r="I36" s="207">
        <f t="shared" si="5"/>
        <v>3.4829356144110738E-5</v>
      </c>
      <c r="J36" s="195">
        <f t="shared" si="0"/>
        <v>3.5654564645053822E-8</v>
      </c>
      <c r="K36" s="207">
        <f t="shared" si="9"/>
        <v>43.627082782588559</v>
      </c>
      <c r="L36" s="61">
        <f t="shared" si="1"/>
        <v>4.4660734953320028E-2</v>
      </c>
      <c r="M36" s="170">
        <f t="shared" si="16"/>
        <v>18.599999999998545</v>
      </c>
      <c r="N36" s="16">
        <f t="shared" si="6"/>
        <v>5.451120599999574</v>
      </c>
      <c r="O36" s="180">
        <f t="shared" si="11"/>
        <v>-0.33333333333333337</v>
      </c>
      <c r="P36" s="16">
        <f t="shared" si="13"/>
        <v>2.4388444990778679E-4</v>
      </c>
      <c r="Q36" s="188">
        <f t="shared" si="14"/>
        <v>1.9205900430238198E-3</v>
      </c>
    </row>
    <row r="37" spans="1:29" x14ac:dyDescent="0.25">
      <c r="A37" s="83">
        <v>2049</v>
      </c>
      <c r="B37">
        <v>41.692951000000001</v>
      </c>
      <c r="C37">
        <f>((B37*0.0283168*'Factor Sets'!$B$19)/(1000*1000*1000))*(1000*1000*1000*1000)</f>
        <v>978.72648159286723</v>
      </c>
      <c r="D37" s="110">
        <f t="shared" si="2"/>
        <v>1.9153516186805203E-3</v>
      </c>
      <c r="E37" s="207">
        <f t="shared" si="7"/>
        <v>7822.0318160966126</v>
      </c>
      <c r="F37" s="16">
        <f t="shared" si="12"/>
        <v>3.1046713760966131</v>
      </c>
      <c r="G37" s="106">
        <f t="shared" si="4"/>
        <v>3.1721542580964933E-3</v>
      </c>
      <c r="H37" s="207">
        <f t="shared" si="8"/>
        <v>34.896066607778963</v>
      </c>
      <c r="I37" s="207">
        <f t="shared" si="5"/>
        <v>3.4896066607778964E-5</v>
      </c>
      <c r="J37" s="195">
        <f t="shared" si="0"/>
        <v>3.5654564645053822E-8</v>
      </c>
      <c r="K37" s="207">
        <f t="shared" si="9"/>
        <v>43.7106439862145</v>
      </c>
      <c r="L37" s="61">
        <f t="shared" si="1"/>
        <v>4.4660734953320028E-2</v>
      </c>
      <c r="M37" s="170">
        <f t="shared" si="16"/>
        <v>9.2999999999992724</v>
      </c>
      <c r="N37" s="16">
        <f t="shared" si="6"/>
        <v>2.725560299999787</v>
      </c>
      <c r="O37" s="180">
        <f t="shared" si="11"/>
        <v>-0.5</v>
      </c>
      <c r="P37" s="16">
        <f t="shared" si="13"/>
        <v>1.219422249538934E-4</v>
      </c>
      <c r="Q37" s="188">
        <f t="shared" si="14"/>
        <v>9.6029502151190988E-4</v>
      </c>
      <c r="R37" s="38"/>
      <c r="S37" s="38"/>
    </row>
    <row r="38" spans="1:29" ht="15.75" thickBot="1" x14ac:dyDescent="0.3">
      <c r="A38" s="85">
        <v>2050</v>
      </c>
      <c r="B38" s="190">
        <v>42.065376000000001</v>
      </c>
      <c r="C38" s="190">
        <f>((B38*0.0283168*'Factor Sets'!$B$19)/(1000*1000*1000))*(1000*1000*1000*1000)</f>
        <v>987.46901962782715</v>
      </c>
      <c r="D38" s="191">
        <f t="shared" si="2"/>
        <v>8.9325651235384277E-3</v>
      </c>
      <c r="E38" s="208">
        <f t="shared" si="7"/>
        <v>7891.9026246922849</v>
      </c>
      <c r="F38" s="192">
        <f t="shared" si="12"/>
        <v>3.1745421846922852</v>
      </c>
      <c r="G38" s="193">
        <f t="shared" si="4"/>
        <v>3.2148271202358902E-3</v>
      </c>
      <c r="H38" s="208">
        <f t="shared" si="8"/>
        <v>35.207777995308284</v>
      </c>
      <c r="I38" s="208">
        <f t="shared" si="5"/>
        <v>3.5207777995308283E-5</v>
      </c>
      <c r="J38" s="196">
        <f t="shared" si="0"/>
        <v>3.5654564645053822E-8</v>
      </c>
      <c r="K38" s="208">
        <f t="shared" si="9"/>
        <v>44.101092160213163</v>
      </c>
      <c r="L38" s="114">
        <f t="shared" si="1"/>
        <v>4.4660734953320028E-2</v>
      </c>
      <c r="M38" s="209">
        <v>0</v>
      </c>
      <c r="N38" s="210">
        <f t="shared" si="6"/>
        <v>0</v>
      </c>
      <c r="O38" s="168">
        <f t="shared" si="11"/>
        <v>-1</v>
      </c>
      <c r="P38" s="210">
        <f t="shared" si="13"/>
        <v>0</v>
      </c>
      <c r="Q38" s="211">
        <f t="shared" si="14"/>
        <v>0</v>
      </c>
      <c r="R38" s="38"/>
      <c r="S38" s="38"/>
    </row>
    <row r="39" spans="1:29" x14ac:dyDescent="0.25">
      <c r="T39" s="38"/>
      <c r="U39" s="38"/>
    </row>
    <row r="40" spans="1:29" x14ac:dyDescent="0.25">
      <c r="T40" s="38"/>
      <c r="U40" s="38"/>
    </row>
    <row r="41" spans="1:29" ht="15.75" x14ac:dyDescent="0.25">
      <c r="A41" s="281" t="s">
        <v>163</v>
      </c>
      <c r="B41" s="281"/>
      <c r="C41" s="281"/>
      <c r="D41" s="281"/>
      <c r="E41" s="281"/>
      <c r="K41" s="81"/>
      <c r="L41" s="62"/>
    </row>
    <row r="42" spans="1:29" ht="63.75" x14ac:dyDescent="0.25">
      <c r="A42" s="53" t="s">
        <v>162</v>
      </c>
      <c r="B42" s="54" t="s">
        <v>167</v>
      </c>
      <c r="C42" s="54" t="s">
        <v>166</v>
      </c>
      <c r="D42" s="54" t="s">
        <v>165</v>
      </c>
      <c r="E42" s="55" t="s">
        <v>161</v>
      </c>
      <c r="F42" s="63" t="s">
        <v>186</v>
      </c>
      <c r="K42" s="81"/>
      <c r="L42" s="62"/>
    </row>
    <row r="43" spans="1:29" ht="15.75" x14ac:dyDescent="0.25">
      <c r="A43" s="52">
        <v>2017</v>
      </c>
      <c r="B43" s="56">
        <v>0</v>
      </c>
      <c r="C43" s="56">
        <v>0</v>
      </c>
      <c r="D43" s="56">
        <v>0</v>
      </c>
      <c r="E43" s="57">
        <v>0</v>
      </c>
      <c r="F43" t="s">
        <v>187</v>
      </c>
      <c r="K43" s="81"/>
      <c r="L43" s="62"/>
      <c r="Y43" s="281"/>
      <c r="Z43" s="281"/>
      <c r="AA43" s="281"/>
      <c r="AB43" s="281"/>
      <c r="AC43" s="281"/>
    </row>
    <row r="44" spans="1:29" x14ac:dyDescent="0.25">
      <c r="A44" s="52">
        <v>2018</v>
      </c>
      <c r="B44" s="56">
        <v>0</v>
      </c>
      <c r="C44" s="56">
        <v>0</v>
      </c>
      <c r="D44" s="56">
        <v>0</v>
      </c>
      <c r="E44" s="57">
        <v>0</v>
      </c>
      <c r="F44" t="s">
        <v>187</v>
      </c>
      <c r="K44" s="81"/>
      <c r="L44" s="62"/>
    </row>
    <row r="45" spans="1:29" x14ac:dyDescent="0.25">
      <c r="A45" s="52">
        <v>2019</v>
      </c>
      <c r="B45" s="56">
        <v>0</v>
      </c>
      <c r="C45" s="56">
        <v>0</v>
      </c>
      <c r="D45" s="56">
        <v>0</v>
      </c>
      <c r="E45" s="57">
        <v>0</v>
      </c>
      <c r="F45" t="s">
        <v>187</v>
      </c>
    </row>
    <row r="46" spans="1:29" x14ac:dyDescent="0.25">
      <c r="A46" s="52">
        <v>2020</v>
      </c>
      <c r="B46" s="56">
        <v>0</v>
      </c>
      <c r="C46" s="56">
        <v>0</v>
      </c>
      <c r="D46" s="56">
        <v>0</v>
      </c>
      <c r="E46" s="57">
        <v>0</v>
      </c>
      <c r="F46" t="s">
        <v>187</v>
      </c>
    </row>
    <row r="47" spans="1:29" ht="14.45" customHeight="1" x14ac:dyDescent="0.25">
      <c r="A47" s="52">
        <v>2021</v>
      </c>
      <c r="B47" s="56">
        <v>0</v>
      </c>
      <c r="C47" s="56">
        <v>0</v>
      </c>
      <c r="D47" s="56">
        <v>0</v>
      </c>
      <c r="E47" s="57">
        <v>0</v>
      </c>
      <c r="F47" t="s">
        <v>187</v>
      </c>
    </row>
    <row r="48" spans="1:29" x14ac:dyDescent="0.25">
      <c r="A48" s="48">
        <v>2024</v>
      </c>
      <c r="B48" s="47">
        <v>250000</v>
      </c>
      <c r="C48" s="47">
        <v>77000</v>
      </c>
      <c r="D48" s="46">
        <v>2900</v>
      </c>
      <c r="E48" s="46">
        <v>6400000</v>
      </c>
      <c r="F48">
        <f>(B48*0.9071847)/1000000</f>
        <v>0.22679617499999999</v>
      </c>
    </row>
    <row r="49" spans="1:10" x14ac:dyDescent="0.25">
      <c r="A49" s="48">
        <v>2025</v>
      </c>
      <c r="B49" s="47">
        <v>490000</v>
      </c>
      <c r="C49" s="47">
        <v>150000</v>
      </c>
      <c r="D49" s="46">
        <v>5600</v>
      </c>
      <c r="E49" s="46">
        <v>12000000</v>
      </c>
      <c r="F49">
        <f t="shared" ref="F49:F62" si="17">(B49*0.9071847)/1000000</f>
        <v>0.44452050299999996</v>
      </c>
    </row>
    <row r="50" spans="1:10" x14ac:dyDescent="0.25">
      <c r="A50" s="48">
        <v>2026</v>
      </c>
      <c r="B50" s="47">
        <v>700000</v>
      </c>
      <c r="C50" s="47">
        <v>210000</v>
      </c>
      <c r="D50" s="46">
        <v>8000</v>
      </c>
      <c r="E50" s="46">
        <v>18000000</v>
      </c>
      <c r="F50">
        <f t="shared" si="17"/>
        <v>0.63502928999999997</v>
      </c>
    </row>
    <row r="51" spans="1:10" x14ac:dyDescent="0.25">
      <c r="A51" s="48">
        <v>2027</v>
      </c>
      <c r="B51" s="47">
        <v>900000</v>
      </c>
      <c r="C51" s="47">
        <v>270000</v>
      </c>
      <c r="D51" s="46">
        <v>10000</v>
      </c>
      <c r="E51" s="46">
        <v>23000000</v>
      </c>
      <c r="F51">
        <f t="shared" si="17"/>
        <v>0.81646622999999996</v>
      </c>
    </row>
    <row r="52" spans="1:10" x14ac:dyDescent="0.25">
      <c r="A52" s="48">
        <v>2028</v>
      </c>
      <c r="B52" s="47">
        <v>4900000</v>
      </c>
      <c r="C52" s="47">
        <v>1300000</v>
      </c>
      <c r="D52" s="46">
        <v>48000</v>
      </c>
      <c r="E52" s="46">
        <v>120000000</v>
      </c>
      <c r="F52">
        <f t="shared" si="17"/>
        <v>4.4452050299999994</v>
      </c>
    </row>
    <row r="53" spans="1:10" x14ac:dyDescent="0.25">
      <c r="A53" s="48">
        <v>2029</v>
      </c>
      <c r="B53" s="47">
        <v>4900000</v>
      </c>
      <c r="C53" s="47">
        <v>1300000</v>
      </c>
      <c r="D53" s="46">
        <v>49000</v>
      </c>
      <c r="E53" s="46">
        <v>130000000</v>
      </c>
      <c r="F53">
        <f t="shared" si="17"/>
        <v>4.4452050299999994</v>
      </c>
    </row>
    <row r="54" spans="1:10" x14ac:dyDescent="0.25">
      <c r="A54" s="48">
        <v>2030</v>
      </c>
      <c r="B54" s="47">
        <v>5000000</v>
      </c>
      <c r="C54" s="47">
        <v>1300000</v>
      </c>
      <c r="D54" s="46">
        <v>49000</v>
      </c>
      <c r="E54" s="46">
        <v>130000000</v>
      </c>
      <c r="F54">
        <f t="shared" si="17"/>
        <v>4.5359235</v>
      </c>
    </row>
    <row r="55" spans="1:10" x14ac:dyDescent="0.25">
      <c r="A55" s="48">
        <v>2031</v>
      </c>
      <c r="B55" s="47">
        <v>5000000</v>
      </c>
      <c r="C55" s="47">
        <v>1300000</v>
      </c>
      <c r="D55" s="46">
        <v>50000</v>
      </c>
      <c r="E55" s="46">
        <v>130000000</v>
      </c>
      <c r="F55">
        <f t="shared" si="17"/>
        <v>4.5359235</v>
      </c>
    </row>
    <row r="56" spans="1:10" x14ac:dyDescent="0.25">
      <c r="A56" s="48">
        <v>2032</v>
      </c>
      <c r="B56" s="47">
        <v>5100000</v>
      </c>
      <c r="C56" s="47">
        <v>1300000</v>
      </c>
      <c r="D56" s="46">
        <v>50000</v>
      </c>
      <c r="E56" s="46">
        <v>130000000</v>
      </c>
      <c r="F56">
        <f t="shared" si="17"/>
        <v>4.6266419699999997</v>
      </c>
    </row>
    <row r="57" spans="1:10" x14ac:dyDescent="0.25">
      <c r="A57" s="48">
        <v>2033</v>
      </c>
      <c r="B57" s="47">
        <v>5100000</v>
      </c>
      <c r="C57" s="47">
        <v>1400000</v>
      </c>
      <c r="D57" s="46">
        <v>51000</v>
      </c>
      <c r="E57" s="46">
        <v>130000000</v>
      </c>
      <c r="F57">
        <f t="shared" si="17"/>
        <v>4.6266419699999997</v>
      </c>
    </row>
    <row r="58" spans="1:10" x14ac:dyDescent="0.25">
      <c r="A58" s="48">
        <v>2034</v>
      </c>
      <c r="B58" s="47">
        <v>5100000</v>
      </c>
      <c r="C58" s="47">
        <v>1400000</v>
      </c>
      <c r="D58" s="46">
        <v>51000</v>
      </c>
      <c r="E58" s="46">
        <v>130000000</v>
      </c>
      <c r="F58">
        <f t="shared" si="17"/>
        <v>4.6266419699999997</v>
      </c>
    </row>
    <row r="59" spans="1:10" x14ac:dyDescent="0.25">
      <c r="A59" s="48">
        <v>2035</v>
      </c>
      <c r="B59" s="47">
        <v>5100000</v>
      </c>
      <c r="C59" s="47">
        <v>1400000</v>
      </c>
      <c r="D59" s="46">
        <v>52000</v>
      </c>
      <c r="E59" s="46">
        <v>130000000</v>
      </c>
      <c r="F59">
        <f t="shared" si="17"/>
        <v>4.6266419699999997</v>
      </c>
    </row>
    <row r="60" spans="1:10" x14ac:dyDescent="0.25">
      <c r="A60" s="48">
        <v>2036</v>
      </c>
      <c r="B60" s="47">
        <v>5200000</v>
      </c>
      <c r="C60" s="47">
        <v>1400000</v>
      </c>
      <c r="D60" s="46">
        <v>53000</v>
      </c>
      <c r="E60" s="46">
        <v>130000000</v>
      </c>
      <c r="F60">
        <f t="shared" si="17"/>
        <v>4.7173604399999993</v>
      </c>
    </row>
    <row r="61" spans="1:10" x14ac:dyDescent="0.25">
      <c r="A61" s="48">
        <v>2037</v>
      </c>
      <c r="B61" s="47">
        <v>5200000</v>
      </c>
      <c r="C61" s="47">
        <v>1400000</v>
      </c>
      <c r="D61" s="46">
        <v>54000</v>
      </c>
      <c r="E61" s="46">
        <v>130000000</v>
      </c>
      <c r="F61">
        <f t="shared" si="17"/>
        <v>4.7173604399999993</v>
      </c>
    </row>
    <row r="62" spans="1:10" x14ac:dyDescent="0.25">
      <c r="A62" s="45">
        <v>2038</v>
      </c>
      <c r="B62" s="44">
        <v>5200000</v>
      </c>
      <c r="C62" s="44">
        <v>1500000</v>
      </c>
      <c r="D62" s="43">
        <v>55000</v>
      </c>
      <c r="E62" s="43">
        <v>130000000</v>
      </c>
      <c r="F62">
        <f t="shared" si="17"/>
        <v>4.7173604399999993</v>
      </c>
    </row>
    <row r="63" spans="1:10" x14ac:dyDescent="0.25">
      <c r="A63" s="64">
        <v>2039</v>
      </c>
      <c r="B63" s="65">
        <v>5200000</v>
      </c>
      <c r="C63" s="65">
        <v>1500000</v>
      </c>
      <c r="D63" s="66">
        <v>55000</v>
      </c>
      <c r="E63" s="66">
        <v>130000000</v>
      </c>
      <c r="F63" s="16">
        <f t="shared" ref="F63:F74" si="18">(B63*0.9071847)/1000000</f>
        <v>4.7173604399999993</v>
      </c>
      <c r="G63" s="68" t="s">
        <v>190</v>
      </c>
      <c r="H63" s="68"/>
      <c r="I63" s="68"/>
      <c r="J63" s="68"/>
    </row>
    <row r="64" spans="1:10" x14ac:dyDescent="0.25">
      <c r="A64" s="64">
        <v>2040</v>
      </c>
      <c r="B64" s="65">
        <v>5200000</v>
      </c>
      <c r="C64" s="65">
        <v>1500000</v>
      </c>
      <c r="D64" s="66">
        <v>55000</v>
      </c>
      <c r="E64" s="66">
        <v>130000000</v>
      </c>
      <c r="F64" s="16">
        <f t="shared" si="18"/>
        <v>4.7173604399999993</v>
      </c>
    </row>
    <row r="65" spans="1:6" x14ac:dyDescent="0.25">
      <c r="A65" s="64">
        <v>2041</v>
      </c>
      <c r="B65" s="65">
        <v>5200000</v>
      </c>
      <c r="C65" s="65">
        <v>1500000</v>
      </c>
      <c r="D65" s="66">
        <v>55000</v>
      </c>
      <c r="E65" s="66">
        <v>130000000</v>
      </c>
      <c r="F65" s="16">
        <f t="shared" si="18"/>
        <v>4.7173604399999993</v>
      </c>
    </row>
    <row r="66" spans="1:6" x14ac:dyDescent="0.25">
      <c r="A66" s="67">
        <v>2042</v>
      </c>
      <c r="B66" s="65">
        <v>5200000</v>
      </c>
      <c r="C66" s="65">
        <v>1500000</v>
      </c>
      <c r="D66" s="66">
        <v>55000</v>
      </c>
      <c r="E66" s="66">
        <v>130000000</v>
      </c>
      <c r="F66" s="16">
        <f t="shared" si="18"/>
        <v>4.7173604399999993</v>
      </c>
    </row>
    <row r="67" spans="1:6" x14ac:dyDescent="0.25">
      <c r="A67" s="64">
        <v>2043</v>
      </c>
      <c r="B67" s="65">
        <v>5200000</v>
      </c>
      <c r="C67" s="65">
        <v>1500000</v>
      </c>
      <c r="D67" s="66">
        <v>55000</v>
      </c>
      <c r="E67" s="66">
        <v>130000000</v>
      </c>
      <c r="F67" s="16">
        <f t="shared" si="18"/>
        <v>4.7173604399999993</v>
      </c>
    </row>
    <row r="68" spans="1:6" x14ac:dyDescent="0.25">
      <c r="A68" s="64">
        <v>2044</v>
      </c>
      <c r="B68" s="65">
        <v>5200000</v>
      </c>
      <c r="C68" s="65">
        <v>1500000</v>
      </c>
      <c r="D68" s="66">
        <v>55000</v>
      </c>
      <c r="E68" s="66">
        <v>130000000</v>
      </c>
      <c r="F68" s="16">
        <f t="shared" si="18"/>
        <v>4.7173604399999993</v>
      </c>
    </row>
    <row r="69" spans="1:6" x14ac:dyDescent="0.25">
      <c r="A69" s="64">
        <v>2045</v>
      </c>
      <c r="B69" s="65">
        <v>5200000</v>
      </c>
      <c r="C69" s="65">
        <v>1500000</v>
      </c>
      <c r="D69" s="66">
        <v>55000</v>
      </c>
      <c r="E69" s="66">
        <v>130000000</v>
      </c>
      <c r="F69" s="16">
        <f t="shared" si="18"/>
        <v>4.7173604399999993</v>
      </c>
    </row>
    <row r="70" spans="1:6" x14ac:dyDescent="0.25">
      <c r="A70" s="67">
        <v>2046</v>
      </c>
      <c r="B70" s="65">
        <v>5200000</v>
      </c>
      <c r="C70" s="65">
        <v>1500000</v>
      </c>
      <c r="D70" s="66">
        <v>55000</v>
      </c>
      <c r="E70" s="66">
        <v>130000000</v>
      </c>
      <c r="F70" s="16">
        <f t="shared" si="18"/>
        <v>4.7173604399999993</v>
      </c>
    </row>
    <row r="71" spans="1:6" x14ac:dyDescent="0.25">
      <c r="A71" s="64">
        <v>2047</v>
      </c>
      <c r="B71" s="65">
        <v>5200000</v>
      </c>
      <c r="C71" s="65">
        <v>1500000</v>
      </c>
      <c r="D71" s="66">
        <v>55000</v>
      </c>
      <c r="E71" s="66">
        <v>130000000</v>
      </c>
      <c r="F71" s="16">
        <f t="shared" si="18"/>
        <v>4.7173604399999993</v>
      </c>
    </row>
    <row r="72" spans="1:6" x14ac:dyDescent="0.25">
      <c r="A72" s="64">
        <v>2048</v>
      </c>
      <c r="B72" s="65">
        <v>5200000</v>
      </c>
      <c r="C72" s="65">
        <v>1500000</v>
      </c>
      <c r="D72" s="66">
        <v>55000</v>
      </c>
      <c r="E72" s="66">
        <v>130000000</v>
      </c>
      <c r="F72" s="16">
        <f t="shared" si="18"/>
        <v>4.7173604399999993</v>
      </c>
    </row>
    <row r="73" spans="1:6" x14ac:dyDescent="0.25">
      <c r="A73" s="64">
        <v>2049</v>
      </c>
      <c r="B73" s="65">
        <v>5200000</v>
      </c>
      <c r="C73" s="65">
        <v>1500000</v>
      </c>
      <c r="D73" s="66">
        <v>55000</v>
      </c>
      <c r="E73" s="66">
        <v>130000000</v>
      </c>
      <c r="F73" s="16">
        <f t="shared" si="18"/>
        <v>4.7173604399999993</v>
      </c>
    </row>
    <row r="74" spans="1:6" x14ac:dyDescent="0.25">
      <c r="A74" s="67">
        <v>2050</v>
      </c>
      <c r="B74" s="65">
        <v>5200000</v>
      </c>
      <c r="C74" s="65">
        <v>1500000</v>
      </c>
      <c r="D74" s="66">
        <v>55000</v>
      </c>
      <c r="E74" s="66">
        <v>130000000</v>
      </c>
      <c r="F74" s="16">
        <f t="shared" si="18"/>
        <v>4.7173604399999993</v>
      </c>
    </row>
    <row r="75" spans="1:6" ht="38.25" x14ac:dyDescent="0.25">
      <c r="A75" s="97" t="s">
        <v>226</v>
      </c>
      <c r="B75" s="42">
        <v>58000000</v>
      </c>
      <c r="C75" s="42">
        <v>16000000</v>
      </c>
      <c r="D75" s="41">
        <v>590000</v>
      </c>
      <c r="E75" s="41">
        <v>1500000000</v>
      </c>
      <c r="F75">
        <f>SUM(F48:F62)</f>
        <v>52.743718458000004</v>
      </c>
    </row>
    <row r="76" spans="1:6" x14ac:dyDescent="0.25">
      <c r="A76" s="169" t="s">
        <v>160</v>
      </c>
      <c r="B76" s="51"/>
      <c r="C76" s="51"/>
      <c r="D76" s="51"/>
      <c r="E76" s="51"/>
    </row>
  </sheetData>
  <mergeCells count="7">
    <mergeCell ref="A41:E41"/>
    <mergeCell ref="A2:L2"/>
    <mergeCell ref="Y43:AC43"/>
    <mergeCell ref="M2:Q2"/>
    <mergeCell ref="R15:T15"/>
    <mergeCell ref="R10:T10"/>
    <mergeCell ref="AB4:AC4"/>
  </mergeCells>
  <hyperlinks>
    <hyperlink ref="U19" r:id="rId1" xr:uid="{2A1CB526-4E60-4957-8228-B405CE7EB498}"/>
    <hyperlink ref="T6" r:id="rId2" xr:uid="{49672227-D6F2-4465-9B87-91B368E6A442}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91BE-4826-4BDD-A3F6-14037B3F2DEC}">
  <dimension ref="A1:AH51"/>
  <sheetViews>
    <sheetView topLeftCell="T1" zoomScale="85" zoomScaleNormal="85" workbookViewId="0">
      <selection activeCell="M43" sqref="M43:AE43"/>
    </sheetView>
  </sheetViews>
  <sheetFormatPr defaultRowHeight="15" x14ac:dyDescent="0.25"/>
  <cols>
    <col min="1" max="1" width="44.5703125" bestFit="1" customWidth="1"/>
    <col min="2" max="2" width="18" style="7" customWidth="1"/>
    <col min="3" max="3" width="14" style="7" bestFit="1" customWidth="1"/>
    <col min="4" max="4" width="12.5703125" customWidth="1"/>
    <col min="5" max="5" width="15" customWidth="1"/>
    <col min="6" max="6" width="22.7109375" customWidth="1"/>
    <col min="7" max="7" width="13.5703125" bestFit="1" customWidth="1"/>
    <col min="8" max="8" width="14.85546875" customWidth="1"/>
    <col min="9" max="9" width="15.140625" customWidth="1"/>
    <col min="10" max="10" width="18.28515625" bestFit="1" customWidth="1"/>
    <col min="11" max="11" width="13.85546875" customWidth="1"/>
    <col min="12" max="12" width="13.42578125" bestFit="1" customWidth="1"/>
    <col min="13" max="13" width="15.85546875" bestFit="1" customWidth="1"/>
    <col min="14" max="14" width="16.140625" customWidth="1"/>
    <col min="15" max="15" width="16.5703125" customWidth="1"/>
    <col min="16" max="16" width="15.28515625" customWidth="1"/>
    <col min="17" max="17" width="22.85546875" customWidth="1"/>
    <col min="18" max="18" width="17" bestFit="1" customWidth="1"/>
    <col min="19" max="19" width="13.5703125" customWidth="1"/>
    <col min="20" max="20" width="29.28515625" bestFit="1" customWidth="1"/>
    <col min="21" max="21" width="14.85546875" bestFit="1" customWidth="1"/>
    <col min="22" max="22" width="27" bestFit="1" customWidth="1"/>
    <col min="23" max="23" width="14.85546875" bestFit="1" customWidth="1"/>
    <col min="24" max="24" width="15.85546875" bestFit="1" customWidth="1"/>
    <col min="25" max="25" width="10.85546875" bestFit="1" customWidth="1"/>
    <col min="26" max="26" width="14" bestFit="1" customWidth="1"/>
    <col min="27" max="27" width="13.140625" bestFit="1" customWidth="1"/>
    <col min="28" max="28" width="14.85546875" bestFit="1" customWidth="1"/>
    <col min="29" max="29" width="12.5703125" customWidth="1"/>
    <col min="30" max="30" width="12.140625" bestFit="1" customWidth="1"/>
    <col min="31" max="31" width="17.85546875" bestFit="1" customWidth="1"/>
    <col min="32" max="32" width="32.7109375" bestFit="1" customWidth="1"/>
    <col min="33" max="33" width="27" customWidth="1"/>
    <col min="34" max="34" width="51.28515625" bestFit="1" customWidth="1"/>
    <col min="35" max="35" width="43.5703125" bestFit="1" customWidth="1"/>
  </cols>
  <sheetData>
    <row r="1" spans="1:34" s="7" customFormat="1" ht="75" x14ac:dyDescent="0.25">
      <c r="A1" s="7" t="s">
        <v>289</v>
      </c>
      <c r="B1" s="7" t="s">
        <v>65</v>
      </c>
      <c r="C1" s="7" t="s">
        <v>214</v>
      </c>
      <c r="D1" s="7" t="s">
        <v>87</v>
      </c>
      <c r="E1" s="7" t="s">
        <v>290</v>
      </c>
      <c r="F1" s="7" t="s">
        <v>88</v>
      </c>
      <c r="G1" s="7" t="s">
        <v>173</v>
      </c>
      <c r="H1" s="7" t="s">
        <v>170</v>
      </c>
      <c r="I1" s="7" t="s">
        <v>175</v>
      </c>
      <c r="J1" s="7" t="s">
        <v>58</v>
      </c>
      <c r="K1" s="7" t="s">
        <v>54</v>
      </c>
      <c r="L1" s="7" t="s">
        <v>174</v>
      </c>
      <c r="M1" s="7" t="s">
        <v>89</v>
      </c>
      <c r="N1" s="7" t="s">
        <v>25</v>
      </c>
      <c r="O1" s="7" t="s">
        <v>34</v>
      </c>
      <c r="P1" s="7" t="s">
        <v>20</v>
      </c>
      <c r="Q1" s="7" t="s">
        <v>219</v>
      </c>
      <c r="R1" s="7" t="s">
        <v>59</v>
      </c>
      <c r="S1" s="7" t="s">
        <v>60</v>
      </c>
      <c r="T1" s="7" t="s">
        <v>90</v>
      </c>
      <c r="U1" s="7" t="s">
        <v>61</v>
      </c>
      <c r="V1" s="7" t="s">
        <v>62</v>
      </c>
      <c r="W1" s="7" t="s">
        <v>63</v>
      </c>
      <c r="AH1" s="171" t="s">
        <v>245</v>
      </c>
    </row>
    <row r="2" spans="1:34" x14ac:dyDescent="0.25">
      <c r="A2" s="288">
        <f>'Factor Sets'!D33*'Factor Sets'!B32</f>
        <v>64368</v>
      </c>
      <c r="B2" t="s">
        <v>45</v>
      </c>
      <c r="C2" t="s">
        <v>22</v>
      </c>
      <c r="D2" s="33">
        <f>'Factor Sets'!C41</f>
        <v>0.55492424242424243</v>
      </c>
      <c r="E2">
        <f>'Factor Sets'!B34</f>
        <v>1.05</v>
      </c>
      <c r="F2" s="58">
        <f>D2*A2*E2</f>
        <v>37505.331818181825</v>
      </c>
      <c r="G2" s="58">
        <f>(F2/0.1308)*2.931</f>
        <v>840429.1097789827</v>
      </c>
      <c r="H2" s="59">
        <f>'Factor Sets'!$D$19*G2</f>
        <v>696.71573200677665</v>
      </c>
      <c r="I2" s="59">
        <f>H2/2</f>
        <v>348.35786600338832</v>
      </c>
      <c r="J2" s="7">
        <f>'Factor Sets'!B11</f>
        <v>116.65</v>
      </c>
      <c r="K2" s="7" t="s">
        <v>55</v>
      </c>
      <c r="L2" s="7">
        <f>(F2*116.65)/2205</f>
        <v>1984.1256038961046</v>
      </c>
      <c r="M2" s="7">
        <f>L2/2</f>
        <v>992.06280194805231</v>
      </c>
      <c r="N2">
        <f>'Factor Sets'!D47</f>
        <v>0.95</v>
      </c>
      <c r="O2" s="10">
        <f>F2*N2</f>
        <v>35630.065227272731</v>
      </c>
      <c r="P2">
        <v>6</v>
      </c>
      <c r="Q2" s="12">
        <f>(O2/P2)*0.293071</f>
        <v>1740.3564743703412</v>
      </c>
      <c r="R2">
        <f>'Emissions Projection Factors'!M16</f>
        <v>544.375</v>
      </c>
      <c r="S2" s="12">
        <f>(R2*Q2)/2205</f>
        <v>429.66283706818797</v>
      </c>
      <c r="T2" s="12">
        <f>S2/2</f>
        <v>214.83141853409398</v>
      </c>
      <c r="U2" s="12">
        <f>(Q2*'Emissions Projection Factors'!M18)/2205</f>
        <v>403.71534541516081</v>
      </c>
      <c r="V2" s="12">
        <f>(Q2*'Emissions Projection Factors'!M28)/2205</f>
        <v>73.402790075483779</v>
      </c>
      <c r="W2">
        <v>0</v>
      </c>
      <c r="AH2" s="172" t="s">
        <v>243</v>
      </c>
    </row>
    <row r="3" spans="1:34" x14ac:dyDescent="0.25">
      <c r="A3" s="288"/>
      <c r="B3" s="8" t="s">
        <v>46</v>
      </c>
      <c r="C3" s="8" t="s">
        <v>215</v>
      </c>
      <c r="D3" s="34">
        <f>'Factor Sets'!C43</f>
        <v>3.5984848484848488E-2</v>
      </c>
      <c r="E3">
        <f>'Factor Sets'!B35</f>
        <v>2.8</v>
      </c>
      <c r="F3" s="58">
        <f>D3*A2*E3</f>
        <v>6485.5636363636368</v>
      </c>
      <c r="G3" s="58">
        <f t="shared" ref="G3:G4" si="0">(F3/0.1308)*2.931</f>
        <v>145330.17597998332</v>
      </c>
      <c r="H3" s="59" t="s">
        <v>187</v>
      </c>
      <c r="I3" s="59" t="s">
        <v>187</v>
      </c>
      <c r="J3" s="9">
        <f>'Emissions Projection Factors'!M16</f>
        <v>544.375</v>
      </c>
      <c r="K3" s="9" t="s">
        <v>56</v>
      </c>
      <c r="L3" s="79">
        <f>((F3*0.293071)*J3)/2205</f>
        <v>469.2563408253248</v>
      </c>
      <c r="M3" s="9">
        <f>L3/2</f>
        <v>234.6281704126624</v>
      </c>
      <c r="N3">
        <f>'Factor Sets'!D48</f>
        <v>4.1019999999999994</v>
      </c>
      <c r="O3" s="10">
        <f>N3*F3</f>
        <v>26603.782036363635</v>
      </c>
      <c r="P3">
        <v>6</v>
      </c>
      <c r="Q3" s="12">
        <f>(O3/P3)*0.293071</f>
        <v>1299.4661675298546</v>
      </c>
      <c r="R3">
        <f>'Emissions Projection Factors'!M16</f>
        <v>544.375</v>
      </c>
      <c r="S3" s="12">
        <f>(R3*Q3)/2205</f>
        <v>320.81491834424696</v>
      </c>
      <c r="T3" s="12">
        <f t="shared" ref="T3:T4" si="1">S3/2</f>
        <v>160.40745917212348</v>
      </c>
      <c r="U3" s="12">
        <f>(Q3*'Emissions Projection Factors'!M18)/2205</f>
        <v>301.44079124332001</v>
      </c>
      <c r="V3" s="12">
        <f>(Q3*'Emissions Projection Factors'!M29)/2205</f>
        <v>49.326674930723378</v>
      </c>
      <c r="W3">
        <v>0</v>
      </c>
      <c r="AH3" s="173" t="s">
        <v>244</v>
      </c>
    </row>
    <row r="4" spans="1:34" ht="15.75" thickBot="1" x14ac:dyDescent="0.3">
      <c r="A4" s="288"/>
      <c r="B4" s="8" t="s">
        <v>17</v>
      </c>
      <c r="C4" s="8" t="s">
        <v>22</v>
      </c>
      <c r="D4" s="34">
        <f>'Factor Sets'!C42</f>
        <v>0.17234848484848486</v>
      </c>
      <c r="E4">
        <f>'Factor Sets'!B34</f>
        <v>1.05</v>
      </c>
      <c r="F4" s="58">
        <f>D4*A2*E4</f>
        <v>11648.413636363639</v>
      </c>
      <c r="G4" s="58">
        <f t="shared" si="0"/>
        <v>261020.64501668065</v>
      </c>
      <c r="H4" s="59">
        <f>'Factor Sets'!$D$19*G4</f>
        <v>216.38611471882825</v>
      </c>
      <c r="I4" s="59">
        <f t="shared" ref="I4" si="2">H4/2</f>
        <v>108.19305735941413</v>
      </c>
      <c r="J4" s="9">
        <f>'Factor Sets'!B11</f>
        <v>116.65</v>
      </c>
      <c r="K4" s="7" t="s">
        <v>55</v>
      </c>
      <c r="L4" s="9">
        <f>(F4*116.65)/2205</f>
        <v>616.23013636363657</v>
      </c>
      <c r="M4" s="9">
        <f>L4/2</f>
        <v>308.11506818181829</v>
      </c>
      <c r="N4">
        <f>'Factor Sets'!D49</f>
        <v>0.9</v>
      </c>
      <c r="O4" s="10">
        <f>N4*F4</f>
        <v>10483.572272727275</v>
      </c>
      <c r="P4">
        <v>6</v>
      </c>
      <c r="Q4" s="12">
        <f>(O4/P4)*0.293071</f>
        <v>512.07183492340926</v>
      </c>
      <c r="R4">
        <f>'Emissions Projection Factors'!M16</f>
        <v>544.375</v>
      </c>
      <c r="S4" s="12">
        <f>(R4*Q4)/2205</f>
        <v>126.42136287366482</v>
      </c>
      <c r="T4" s="12">
        <f t="shared" si="1"/>
        <v>63.210681436832409</v>
      </c>
      <c r="U4" s="12">
        <f>(Q4*'Emissions Projection Factors'!M18)/2205</f>
        <v>118.78673177475005</v>
      </c>
      <c r="V4" s="12">
        <f>(Q4*'Emissions Projection Factors'!M30)/2205</f>
        <v>17.278070076326774</v>
      </c>
      <c r="W4">
        <v>0</v>
      </c>
      <c r="AH4" s="174" t="s">
        <v>217</v>
      </c>
    </row>
    <row r="5" spans="1:34" ht="15.75" thickBot="1" x14ac:dyDescent="0.3">
      <c r="D5" s="33"/>
      <c r="N5" s="12"/>
    </row>
    <row r="6" spans="1:34" x14ac:dyDescent="0.25">
      <c r="A6" s="95"/>
      <c r="B6" s="302" t="s">
        <v>227</v>
      </c>
      <c r="C6" s="303"/>
      <c r="D6" s="303"/>
      <c r="E6" s="303"/>
      <c r="F6" s="303"/>
      <c r="G6" s="303"/>
      <c r="H6" s="303"/>
      <c r="I6" s="304"/>
      <c r="J6" s="302" t="s">
        <v>216</v>
      </c>
      <c r="K6" s="303"/>
      <c r="L6" s="303"/>
      <c r="M6" s="303"/>
      <c r="N6" s="303"/>
      <c r="O6" s="303"/>
      <c r="P6" s="303"/>
      <c r="Q6" s="304"/>
      <c r="R6" s="302" t="s">
        <v>218</v>
      </c>
      <c r="S6" s="303"/>
      <c r="T6" s="303"/>
      <c r="U6" s="303"/>
      <c r="V6" s="303"/>
      <c r="W6" s="305"/>
      <c r="X6" s="305"/>
      <c r="Y6" s="306"/>
      <c r="Z6" s="282" t="s">
        <v>233</v>
      </c>
      <c r="AA6" s="283"/>
      <c r="AB6" s="311"/>
      <c r="AC6" s="289" t="s">
        <v>235</v>
      </c>
      <c r="AD6" s="290"/>
      <c r="AE6" s="290"/>
      <c r="AF6" s="290"/>
      <c r="AG6" s="291"/>
      <c r="AH6" s="135"/>
    </row>
    <row r="7" spans="1:34" ht="15.6" customHeight="1" x14ac:dyDescent="0.25">
      <c r="A7" s="102"/>
      <c r="B7" s="292" t="s">
        <v>45</v>
      </c>
      <c r="C7" s="293"/>
      <c r="D7" s="294"/>
      <c r="E7" s="307" t="s">
        <v>46</v>
      </c>
      <c r="F7" s="294"/>
      <c r="G7" s="293" t="s">
        <v>17</v>
      </c>
      <c r="H7" s="293"/>
      <c r="I7" s="301"/>
      <c r="J7" s="292" t="s">
        <v>45</v>
      </c>
      <c r="K7" s="293"/>
      <c r="L7" s="294"/>
      <c r="M7" s="307" t="s">
        <v>46</v>
      </c>
      <c r="N7" s="294"/>
      <c r="O7" s="293" t="s">
        <v>17</v>
      </c>
      <c r="P7" s="293"/>
      <c r="Q7" s="301"/>
      <c r="R7" s="293" t="s">
        <v>45</v>
      </c>
      <c r="S7" s="293"/>
      <c r="T7" s="294"/>
      <c r="U7" s="307" t="s">
        <v>46</v>
      </c>
      <c r="V7" s="294"/>
      <c r="W7" s="307" t="s">
        <v>17</v>
      </c>
      <c r="X7" s="293"/>
      <c r="Y7" s="301"/>
      <c r="Z7" s="18" t="s">
        <v>246</v>
      </c>
      <c r="AA7" s="19" t="s">
        <v>247</v>
      </c>
      <c r="AB7" s="19" t="s">
        <v>250</v>
      </c>
      <c r="AC7" s="21" t="s">
        <v>248</v>
      </c>
      <c r="AD7" t="s">
        <v>249</v>
      </c>
      <c r="AE7" t="s">
        <v>251</v>
      </c>
      <c r="AF7" s="246" t="s">
        <v>327</v>
      </c>
      <c r="AG7" s="22" t="s">
        <v>328</v>
      </c>
      <c r="AH7" s="136"/>
    </row>
    <row r="8" spans="1:34" ht="39" customHeight="1" x14ac:dyDescent="0.25">
      <c r="A8" s="103"/>
      <c r="B8" s="87" t="s">
        <v>220</v>
      </c>
      <c r="C8" s="82" t="s">
        <v>221</v>
      </c>
      <c r="D8" s="91" t="s">
        <v>222</v>
      </c>
      <c r="E8" s="92" t="s">
        <v>225</v>
      </c>
      <c r="F8" s="91" t="s">
        <v>223</v>
      </c>
      <c r="G8" s="82" t="s">
        <v>220</v>
      </c>
      <c r="H8" s="82" t="s">
        <v>221</v>
      </c>
      <c r="I8" s="36" t="s">
        <v>224</v>
      </c>
      <c r="J8" s="87" t="s">
        <v>220</v>
      </c>
      <c r="K8" s="82" t="s">
        <v>221</v>
      </c>
      <c r="L8" s="91" t="s">
        <v>222</v>
      </c>
      <c r="M8" s="92" t="s">
        <v>225</v>
      </c>
      <c r="N8" s="91" t="s">
        <v>223</v>
      </c>
      <c r="O8" s="82" t="s">
        <v>220</v>
      </c>
      <c r="P8" s="82" t="s">
        <v>221</v>
      </c>
      <c r="Q8" s="36" t="s">
        <v>224</v>
      </c>
      <c r="R8" s="37" t="s">
        <v>220</v>
      </c>
      <c r="S8" s="82" t="s">
        <v>221</v>
      </c>
      <c r="T8" s="91" t="s">
        <v>222</v>
      </c>
      <c r="U8" s="92" t="s">
        <v>225</v>
      </c>
      <c r="V8" s="91" t="s">
        <v>223</v>
      </c>
      <c r="W8" s="92" t="s">
        <v>220</v>
      </c>
      <c r="X8" s="82" t="s">
        <v>221</v>
      </c>
      <c r="Y8" s="36" t="s">
        <v>224</v>
      </c>
      <c r="Z8" s="312"/>
      <c r="AA8" s="313"/>
      <c r="AB8" s="313"/>
      <c r="AC8" s="312"/>
      <c r="AD8" s="313"/>
      <c r="AE8" s="313"/>
      <c r="AF8" s="249"/>
      <c r="AG8" s="152"/>
      <c r="AH8" s="136"/>
    </row>
    <row r="9" spans="1:34" ht="17.45" customHeight="1" x14ac:dyDescent="0.25">
      <c r="A9" s="104">
        <v>2025</v>
      </c>
      <c r="B9" s="94">
        <f>$H$2*_xlfn.XLOOKUP(A9,'Emissions Projection Factors'!$A$3:$A$38,'Emissions Projection Factors'!$L$3:$L$38,,0)</f>
        <v>31.115836644962993</v>
      </c>
      <c r="C9" s="31">
        <f>'Factor Sets'!$D$14*$F$2</f>
        <v>1990.0329062727278</v>
      </c>
      <c r="D9" s="141">
        <f>SUM(B9:C9)</f>
        <v>2021.1487429176907</v>
      </c>
      <c r="E9" s="101">
        <f>(_xlfn.XLOOKUP(A9,'Emissions Projection Factors'!$A$3:$A$38,'Emissions Projection Factors'!M$3:M$38,,0)*($F$3*0.29307107))/2205</f>
        <v>511.76429921531366</v>
      </c>
      <c r="F9" s="141">
        <f>E9</f>
        <v>511.76429921531366</v>
      </c>
      <c r="G9" s="31">
        <f>$H$4*_xlfn.XLOOKUP(A9,'Emissions Projection Factors'!$A$3:$A$38,'Emissions Projection Factors'!$L$3:$L$38,,0)</f>
        <v>9.6639629170362884</v>
      </c>
      <c r="H9" s="31">
        <f>'Factor Sets'!$D$14*$F$4</f>
        <v>618.0648275454547</v>
      </c>
      <c r="I9" s="141">
        <f>SUM(G9:H9)</f>
        <v>627.72879046249102</v>
      </c>
      <c r="J9" s="88">
        <f>$H$2*_xlfn.XLOOKUP(A9,'Emissions Projection Factors'!$A$3:$A$38,'Emissions Projection Factors'!$J$3:$J$38,,0)*'Factor Sets'!$B$28</f>
        <v>6.5828904681063272E-3</v>
      </c>
      <c r="K9" s="60">
        <f>('Factor Sets'!$D$15*$F$2)*'Factor Sets'!$B$28</f>
        <v>0.99389129318181846</v>
      </c>
      <c r="L9" s="141">
        <f>SUM(J9:K9)</f>
        <v>1.0004741836499247</v>
      </c>
      <c r="M9" s="93">
        <f>((_xlfn.XLOOKUP(A9,'Emissions Projection Factors'!$A$3:$A$38,'Emissions Projection Factors'!$P$3:$P$38,,0)*($F$3*0.29307107))/2205)*'Factor Sets'!$B$28</f>
        <v>1.7782262886071949</v>
      </c>
      <c r="N9" s="141">
        <f>M9</f>
        <v>1.7782262886071949</v>
      </c>
      <c r="O9" s="60">
        <f>$H$4*_xlfn.XLOOKUP(A9,'Emissions Projection Factors'!$A$3:$A$38,'Emissions Projection Factors'!$J$3:$J$38,,0)*'Factor Sets'!$B$28</f>
        <v>2.0445154696166409E-3</v>
      </c>
      <c r="P9" s="60">
        <f>('Factor Sets'!$D$15*$F$4)*'Factor Sets'!$B$28</f>
        <v>0.30868296136363649</v>
      </c>
      <c r="Q9" s="142">
        <f>SUM(O9:P9)</f>
        <v>0.31072747683325314</v>
      </c>
      <c r="R9" s="60">
        <f>$H$2*_xlfn.XLOOKUP(A9,'Emissions Projection Factors'!$A$3:$A$38,'Emissions Projection Factors'!$G$3:$G$38,,0)*'Factor Sets'!$B$27</f>
        <v>145.56905790621923</v>
      </c>
      <c r="S9" s="60">
        <f>('Factor Sets'!$D$16*$F$2)*'Factor Sets'!$B$27</f>
        <v>1.050149290909091</v>
      </c>
      <c r="T9" s="141">
        <f>SUM(R9:S9)</f>
        <v>146.61920719712833</v>
      </c>
      <c r="U9" s="93">
        <f>((_xlfn.XLOOKUP(A9,'Emissions Projection Factors'!$A$3:$A$38,'Emissions Projection Factors'!$Q$3:$Q$38,,0)*($F$3*0.29307107))/2205)*'Factor Sets'!$B$27</f>
        <v>1.4796184778788171</v>
      </c>
      <c r="V9" s="141">
        <f>U9</f>
        <v>1.4796184778788171</v>
      </c>
      <c r="W9" s="134">
        <f>$H$4*_xlfn.XLOOKUP(A9,'Emissions Projection Factors'!$A$3:$A$38,'Emissions Projection Factors'!$G$3:$G$38,,0)*'Factor Sets'!$B$27</f>
        <v>45.210867813876959</v>
      </c>
      <c r="X9" s="60">
        <f>('Factor Sets'!$D$16*$F$4)*'Factor Sets'!$B$27</f>
        <v>0.32615558181818188</v>
      </c>
      <c r="Y9" s="142">
        <f>SUM(W9:X9)</f>
        <v>45.537023395695144</v>
      </c>
      <c r="Z9" s="88">
        <f>SUM(B9:C9,J9:K9,R9:S9)</f>
        <v>2168.7684242984692</v>
      </c>
      <c r="AA9" s="60">
        <f>SUM(E9,M9,U9)</f>
        <v>515.02214398179967</v>
      </c>
      <c r="AB9" s="60">
        <f>SUM(G9:H9,O9:P9,W9:X9)</f>
        <v>673.57654133501933</v>
      </c>
      <c r="AC9" s="143">
        <f t="shared" ref="AC9:AC12" si="3">SUM(D9,L9,T9)</f>
        <v>2168.7684242984687</v>
      </c>
      <c r="AD9" s="144">
        <f t="shared" ref="AD9:AD12" si="4">SUM(F9,N9,V9)</f>
        <v>515.02214398179967</v>
      </c>
      <c r="AE9" s="144">
        <f t="shared" ref="AE9:AE12" si="5">SUM(I9,Q9,Y9)</f>
        <v>673.57654133501933</v>
      </c>
      <c r="AF9" s="250">
        <f>SUM(AC9:AE9)-SUM(Z9:AB9)</f>
        <v>0</v>
      </c>
      <c r="AG9" s="153">
        <f t="shared" ref="AG9:AG35" si="6">(SUM(AC9:AE9)-SUM(Z9:AB9))/SUM(Z9:AB9)</f>
        <v>-2.7089521999789433E-16</v>
      </c>
      <c r="AH9" s="137">
        <v>2025</v>
      </c>
    </row>
    <row r="10" spans="1:34" ht="17.45" customHeight="1" x14ac:dyDescent="0.25">
      <c r="A10" s="104">
        <v>2026</v>
      </c>
      <c r="B10" s="94">
        <f>$H$2*_xlfn.XLOOKUP(A10,'Emissions Projection Factors'!$A$3:$A$38,'Emissions Projection Factors'!$L$3:$L$38,,0)</f>
        <v>31.11583664496299</v>
      </c>
      <c r="C10" s="31">
        <f>'Factor Sets'!$D$14*$F$2</f>
        <v>1990.0329062727278</v>
      </c>
      <c r="D10" s="141">
        <f t="shared" ref="D10:D11" si="7">SUM(B10:C10)</f>
        <v>2021.1487429176907</v>
      </c>
      <c r="E10" s="101">
        <f>(_xlfn.XLOOKUP(A10,'Emissions Projection Factors'!$A$3:$A$38,'Emissions Projection Factors'!M$3:M$38,,0)*($F$3*0.29307107))/2205</f>
        <v>497.59501711260515</v>
      </c>
      <c r="F10" s="141">
        <f t="shared" ref="F10:F11" si="8">E10</f>
        <v>497.59501711260515</v>
      </c>
      <c r="G10" s="31">
        <f>$H$4*_xlfn.XLOOKUP(A10,'Emissions Projection Factors'!$A$3:$A$38,'Emissions Projection Factors'!$L$3:$L$38,,0)</f>
        <v>9.6639629170362866</v>
      </c>
      <c r="H10" s="31">
        <f>'Factor Sets'!$D$14*$F$4</f>
        <v>618.0648275454547</v>
      </c>
      <c r="I10" s="141">
        <f t="shared" ref="I10:I11" si="9">SUM(G10:H10)</f>
        <v>627.72879046249102</v>
      </c>
      <c r="J10" s="88">
        <f>$H$2*_xlfn.XLOOKUP(A10,'Emissions Projection Factors'!$A$3:$A$38,'Emissions Projection Factors'!$J$3:$J$38,,0)*'Factor Sets'!$B$28</f>
        <v>6.582890468106329E-3</v>
      </c>
      <c r="K10" s="60">
        <f>('Factor Sets'!$D$15*$F$2)*'Factor Sets'!$B$28</f>
        <v>0.99389129318181846</v>
      </c>
      <c r="L10" s="141">
        <f t="shared" ref="L10:L11" si="10">SUM(J10:K10)</f>
        <v>1.0004741836499247</v>
      </c>
      <c r="M10" s="93">
        <f>((_xlfn.XLOOKUP(A10,'Emissions Projection Factors'!$A$3:$A$38,'Emissions Projection Factors'!$P$3:$P$38,,0)*($F$3*0.29307107))/2205)*'Factor Sets'!$B$28</f>
        <v>1.7289923151464421</v>
      </c>
      <c r="N10" s="141">
        <f t="shared" ref="N10:N11" si="11">M10</f>
        <v>1.7289923151464421</v>
      </c>
      <c r="O10" s="60">
        <f>$H$4*_xlfn.XLOOKUP(A10,'Emissions Projection Factors'!$A$3:$A$38,'Emissions Projection Factors'!$J$3:$J$38,,0)*'Factor Sets'!$B$28</f>
        <v>2.0445154696166414E-3</v>
      </c>
      <c r="P10" s="60">
        <f>('Factor Sets'!$D$15*$F$4)*'Factor Sets'!$B$28</f>
        <v>0.30868296136363649</v>
      </c>
      <c r="Q10" s="142">
        <f t="shared" ref="Q10:Q11" si="12">SUM(O10:P10)</f>
        <v>0.31072747683325314</v>
      </c>
      <c r="R10" s="60">
        <f>$H$2*_xlfn.XLOOKUP(A10,'Emissions Projection Factors'!$A$3:$A$38,'Emissions Projection Factors'!$G$3:$G$38,,0)*'Factor Sets'!$B$27</f>
        <v>141.32451778840698</v>
      </c>
      <c r="S10" s="60">
        <f>('Factor Sets'!$D$16*$F$2)*'Factor Sets'!$B$27</f>
        <v>1.050149290909091</v>
      </c>
      <c r="T10" s="141">
        <f t="shared" ref="T10:T11" si="13">SUM(R10:S10)</f>
        <v>142.37466707931608</v>
      </c>
      <c r="U10" s="93">
        <f>((_xlfn.XLOOKUP(A10,'Emissions Projection Factors'!$A$3:$A$38,'Emissions Projection Factors'!$Q$3:$Q$38,,0)*($F$3*0.29307107))/2205)*'Factor Sets'!$B$27</f>
        <v>1.4386520961878886</v>
      </c>
      <c r="V10" s="141">
        <f t="shared" ref="V10:V11" si="14">U10</f>
        <v>1.4386520961878886</v>
      </c>
      <c r="W10" s="134">
        <f>$H$4*_xlfn.XLOOKUP(A10,'Emissions Projection Factors'!$A$3:$A$38,'Emissions Projection Factors'!$G$3:$G$38,,0)*'Factor Sets'!$B$27</f>
        <v>43.892597674897736</v>
      </c>
      <c r="X10" s="60">
        <f>('Factor Sets'!$D$16*$F$4)*'Factor Sets'!$B$27</f>
        <v>0.32615558181818188</v>
      </c>
      <c r="Y10" s="142">
        <f t="shared" ref="Y10:Y11" si="15">SUM(W10:X10)</f>
        <v>44.218753256715921</v>
      </c>
      <c r="Z10" s="88">
        <f t="shared" ref="Z10:Z34" si="16">SUM(B10:C10,J10:K10,R10:S10)</f>
        <v>2164.5238841806568</v>
      </c>
      <c r="AA10" s="60">
        <f t="shared" ref="AA10:AA34" si="17">SUM(E10,M10,U10)</f>
        <v>500.76266152393947</v>
      </c>
      <c r="AB10" s="60">
        <f t="shared" ref="AB10:AB34" si="18">SUM(G10:H10,O10:P10,W10:X10)</f>
        <v>672.25827119604014</v>
      </c>
      <c r="AC10" s="143">
        <f t="shared" si="3"/>
        <v>2164.5238841806568</v>
      </c>
      <c r="AD10" s="144">
        <f t="shared" si="4"/>
        <v>500.76266152393947</v>
      </c>
      <c r="AE10" s="144">
        <f t="shared" si="5"/>
        <v>672.25827119604014</v>
      </c>
      <c r="AF10" s="250">
        <f t="shared" ref="AF10:AF34" si="19">SUM(AC10:AE10)-SUM(Z10:AB10)</f>
        <v>0</v>
      </c>
      <c r="AG10" s="153">
        <f t="shared" si="6"/>
        <v>0</v>
      </c>
      <c r="AH10" s="137">
        <v>2026</v>
      </c>
    </row>
    <row r="11" spans="1:34" ht="17.45" customHeight="1" x14ac:dyDescent="0.25">
      <c r="A11" s="104">
        <v>2027</v>
      </c>
      <c r="B11" s="94">
        <f>$H$2*_xlfn.XLOOKUP(A11,'Emissions Projection Factors'!$A$3:$A$38,'Emissions Projection Factors'!$L$3:$L$38,,0)</f>
        <v>31.11583664496299</v>
      </c>
      <c r="C11" s="31">
        <f>'Factor Sets'!$D$14*$F$2</f>
        <v>1990.0329062727278</v>
      </c>
      <c r="D11" s="141">
        <f t="shared" si="7"/>
        <v>2021.1487429176907</v>
      </c>
      <c r="E11" s="101">
        <f>(_xlfn.XLOOKUP(A11,'Emissions Projection Factors'!$A$3:$A$38,'Emissions Projection Factors'!M$3:M$38,,0)*($F$3*0.29307107))/2205</f>
        <v>483.42573500989681</v>
      </c>
      <c r="F11" s="141">
        <f t="shared" si="8"/>
        <v>483.42573500989681</v>
      </c>
      <c r="G11" s="31">
        <f>$H$4*_xlfn.XLOOKUP(A11,'Emissions Projection Factors'!$A$3:$A$38,'Emissions Projection Factors'!$L$3:$L$38,,0)</f>
        <v>9.6639629170362866</v>
      </c>
      <c r="H11" s="31">
        <f>'Factor Sets'!$D$14*$F$4</f>
        <v>618.0648275454547</v>
      </c>
      <c r="I11" s="141">
        <f t="shared" si="9"/>
        <v>627.72879046249102</v>
      </c>
      <c r="J11" s="88">
        <f>$H$2*_xlfn.XLOOKUP(A11,'Emissions Projection Factors'!$A$3:$A$38,'Emissions Projection Factors'!$J$3:$J$38,,0)*'Factor Sets'!$B$28</f>
        <v>6.582890468106329E-3</v>
      </c>
      <c r="K11" s="60">
        <f>('Factor Sets'!$D$15*$F$2)*'Factor Sets'!$B$28</f>
        <v>0.99389129318181846</v>
      </c>
      <c r="L11" s="141">
        <f t="shared" si="10"/>
        <v>1.0004741836499247</v>
      </c>
      <c r="M11" s="93">
        <f>((_xlfn.XLOOKUP(A11,'Emissions Projection Factors'!$A$3:$A$38,'Emissions Projection Factors'!$P$3:$P$38,,0)*($F$3*0.29307107))/2205)*'Factor Sets'!$B$28</f>
        <v>1.6797583416856892</v>
      </c>
      <c r="N11" s="141">
        <f t="shared" si="11"/>
        <v>1.6797583416856892</v>
      </c>
      <c r="O11" s="60">
        <f>$H$4*_xlfn.XLOOKUP(A11,'Emissions Projection Factors'!$A$3:$A$38,'Emissions Projection Factors'!$J$3:$J$38,,0)*'Factor Sets'!$B$28</f>
        <v>2.0445154696166414E-3</v>
      </c>
      <c r="P11" s="60">
        <f>('Factor Sets'!$D$15*$F$4)*'Factor Sets'!$B$28</f>
        <v>0.30868296136363649</v>
      </c>
      <c r="Q11" s="142">
        <f t="shared" si="12"/>
        <v>0.31072747683325314</v>
      </c>
      <c r="R11" s="60">
        <f>$H$2*_xlfn.XLOOKUP(A11,'Emissions Projection Factors'!$A$3:$A$38,'Emissions Projection Factors'!$G$3:$G$38,,0)*'Factor Sets'!$B$27</f>
        <v>137.13289664135164</v>
      </c>
      <c r="S11" s="60">
        <f>('Factor Sets'!$D$16*$F$2)*'Factor Sets'!$B$27</f>
        <v>1.050149290909091</v>
      </c>
      <c r="T11" s="141">
        <f t="shared" si="13"/>
        <v>138.18304593226074</v>
      </c>
      <c r="U11" s="93">
        <f>((_xlfn.XLOOKUP(A11,'Emissions Projection Factors'!$A$3:$A$38,'Emissions Projection Factors'!$Q$3:$Q$38,,0)*($F$3*0.29307107))/2205)*'Factor Sets'!$B$27</f>
        <v>1.3976857144969603</v>
      </c>
      <c r="V11" s="141">
        <f t="shared" si="14"/>
        <v>1.3976857144969603</v>
      </c>
      <c r="W11" s="134">
        <f>$H$4*_xlfn.XLOOKUP(A11,'Emissions Projection Factors'!$A$3:$A$38,'Emissions Projection Factors'!$G$3:$G$38,,0)*'Factor Sets'!$B$27</f>
        <v>42.59076312069282</v>
      </c>
      <c r="X11" s="60">
        <f>('Factor Sets'!$D$16*$F$4)*'Factor Sets'!$B$27</f>
        <v>0.32615558181818188</v>
      </c>
      <c r="Y11" s="142">
        <f t="shared" si="15"/>
        <v>42.916918702511005</v>
      </c>
      <c r="Z11" s="88">
        <f t="shared" si="16"/>
        <v>2160.3322630336015</v>
      </c>
      <c r="AA11" s="60">
        <f t="shared" si="17"/>
        <v>486.50317906607944</v>
      </c>
      <c r="AB11" s="60">
        <f t="shared" si="18"/>
        <v>670.95643664183524</v>
      </c>
      <c r="AC11" s="143">
        <f t="shared" si="3"/>
        <v>2160.3322630336015</v>
      </c>
      <c r="AD11" s="144">
        <f t="shared" si="4"/>
        <v>486.50317906607944</v>
      </c>
      <c r="AE11" s="144">
        <f t="shared" si="5"/>
        <v>670.95643664183524</v>
      </c>
      <c r="AF11" s="250">
        <f t="shared" si="19"/>
        <v>0</v>
      </c>
      <c r="AG11" s="153">
        <f t="shared" si="6"/>
        <v>0</v>
      </c>
      <c r="AH11" s="137">
        <v>2027</v>
      </c>
    </row>
    <row r="12" spans="1:34" ht="17.45" customHeight="1" x14ac:dyDescent="0.25">
      <c r="A12" s="104">
        <v>2028</v>
      </c>
      <c r="B12" s="94">
        <f>$H$2*_xlfn.XLOOKUP(A12,'Emissions Projection Factors'!$A$3:$A$38,'Emissions Projection Factors'!$L$3:$L$38,,0)</f>
        <v>31.11583664496299</v>
      </c>
      <c r="C12" s="31">
        <f>'Factor Sets'!$D$14*$F$2</f>
        <v>1990.0329062727278</v>
      </c>
      <c r="D12" s="145">
        <f>((($Q$2*_xlfn.XLOOKUP(A12,'Emissions Projection Factors'!$A$5:$A$38,'Emissions Projection Factors'!$M$5:$M$38,0))/2205)/2)+(SUM(B12:C12)/2)</f>
        <v>1225.4057899929394</v>
      </c>
      <c r="E12" s="101">
        <f>(_xlfn.XLOOKUP(A12,'Emissions Projection Factors'!$A$3:$A$38,'Emissions Projection Factors'!M$3:M$38,,0)*($F$3*0.29307107))/2205</f>
        <v>469.2564529071883</v>
      </c>
      <c r="F12" s="146">
        <f>(((_xlfn.XLOOKUP(A12,'Emissions Projection Factors'!$A$3:$A$38,'Emissions Projection Factors'!$M$3:$M$38,,0)*$Q$3)/2205)/2)+(E12/2)</f>
        <v>395.03568562571763</v>
      </c>
      <c r="G12" s="31">
        <f>$H$4*_xlfn.XLOOKUP(A12,'Emissions Projection Factors'!$A$3:$A$38,'Emissions Projection Factors'!$L$3:$L$38,,0)</f>
        <v>9.6639629170362866</v>
      </c>
      <c r="H12" s="31">
        <f>'Factor Sets'!$D$14*$F$4</f>
        <v>618.0648275454547</v>
      </c>
      <c r="I12" s="147">
        <f>((($Q$4*_xlfn.XLOOKUP(A12,'Emissions Projection Factors'!$A$5:$A$38,'Emissions Projection Factors'!$M$5:$M$38,0))/2205)/2)+(SUM(G12:H12)/2)</f>
        <v>377.07507666807794</v>
      </c>
      <c r="J12" s="88">
        <f>$H$2*_xlfn.XLOOKUP(A12,'Emissions Projection Factors'!$A$3:$A$38,'Emissions Projection Factors'!$J$3:$J$38,,0)*'Factor Sets'!$B$28</f>
        <v>6.5828904681063272E-3</v>
      </c>
      <c r="K12" s="60">
        <f>('Factor Sets'!$D$15*$F$2)*'Factor Sets'!$B$28</f>
        <v>0.99389129318181846</v>
      </c>
      <c r="L12" s="150">
        <f>((($Q$2*_xlfn.XLOOKUP(A12,'Emissions Projection Factors'!$A$5:$A$38,'Emissions Projection Factors'!$P$5:$P$38,0)*'Factor Sets'!$B$28)/2205)/2)+(SUM(J12:K12)/2)</f>
        <v>1.2467113508575856</v>
      </c>
      <c r="M12" s="93">
        <f>((_xlfn.XLOOKUP(A12,'Emissions Projection Factors'!$A$3:$A$38,'Emissions Projection Factors'!$P$3:$P$38,,0)*($F$3*0.29307107))/2205)*'Factor Sets'!$B$28</f>
        <v>1.6305243682249362</v>
      </c>
      <c r="N12" s="145">
        <f>((((_xlfn.XLOOKUP(A12,'Emissions Projection Factors'!$A$3:$A$38,'Emissions Projection Factors'!$P$3:$P$38,,0)*($Q$3))/2205)*'Factor Sets'!$B$28)/2)+(M12/2)</f>
        <v>1.3726296308568267</v>
      </c>
      <c r="O12" s="60">
        <f>$H$4*_xlfn.XLOOKUP(A12,'Emissions Projection Factors'!$A$3:$A$38,'Emissions Projection Factors'!$J$3:$J$38,,0)*'Factor Sets'!$B$28</f>
        <v>2.0445154696166409E-3</v>
      </c>
      <c r="P12" s="60">
        <f>('Factor Sets'!$D$15*$F$4)*'Factor Sets'!$B$28</f>
        <v>0.30868296136363649</v>
      </c>
      <c r="Q12" s="151">
        <f>((($Q$4*_xlfn.XLOOKUP(A12,'Emissions Projection Factors'!$A$5:$A$38,'Emissions Projection Factors'!$P$5:$P$38,0)*'Factor Sets'!$B$28)/2205)/2)+(SUM(O12:P12)/2)</f>
        <v>0.37500175463639251</v>
      </c>
      <c r="R12" s="60">
        <f>$H$2*_xlfn.XLOOKUP(A12,'Emissions Projection Factors'!$A$3:$A$38,'Emissions Projection Factors'!$G$3:$G$38,,0)*'Factor Sets'!$B$27</f>
        <v>54.528768887192811</v>
      </c>
      <c r="S12" s="60">
        <f>('Factor Sets'!$D$16*$F$2)*'Factor Sets'!$B$27</f>
        <v>1.050149290909091</v>
      </c>
      <c r="T12" s="150">
        <f>((((_xlfn.XLOOKUP(A12,'Emissions Projection Factors'!$A$3:$A$38,'Emissions Projection Factors'!$Q$3:$Q$38,,0)*($Q$2))/2205)*'Factor Sets'!$B$27)/2)+(SUM(R12:S12)/2)</f>
        <v>28.410582010246021</v>
      </c>
      <c r="U12" s="93">
        <f>((_xlfn.XLOOKUP(A12,'Emissions Projection Factors'!$A$3:$A$38,'Emissions Projection Factors'!$Q$3:$Q$38,,0)*($F$3*0.29307107))/2205)*'Factor Sets'!$B$27</f>
        <v>1.3567193328060319</v>
      </c>
      <c r="V12" s="145">
        <f>((((_xlfn.XLOOKUP(A12,'Emissions Projection Factors'!$A$3:$A$38,'Emissions Projection Factors'!$Q$3:$Q$38,,0)*$Q$3)/2205)*'Factor Sets'!$B$27)/2)+(U12/2)</f>
        <v>1.1421314475620012</v>
      </c>
      <c r="W12" s="134">
        <f>$H$4*_xlfn.XLOOKUP(A12,'Emissions Projection Factors'!$A$3:$A$38,'Emissions Projection Factors'!$G$3:$G$38,,0)*'Factor Sets'!$B$27</f>
        <v>16.935556207285142</v>
      </c>
      <c r="X12" s="60">
        <f>('Factor Sets'!$D$16*$F$4)*'Factor Sets'!$B$27</f>
        <v>0.32615558181818188</v>
      </c>
      <c r="Y12" s="151">
        <f>((((_xlfn.XLOOKUP(A12,'Emissions Projection Factors'!$A$3:$A$38,'Emissions Projection Factors'!$Q$3:$Q$38,,0)*($Q$3))/2205)*'Factor Sets'!$B$27)/2)+(SUM(W12:X12))</f>
        <v>17.725483570262309</v>
      </c>
      <c r="Z12" s="88">
        <f t="shared" si="16"/>
        <v>2077.7281352794425</v>
      </c>
      <c r="AA12" s="60">
        <f t="shared" si="17"/>
        <v>472.2436966082193</v>
      </c>
      <c r="AB12" s="60">
        <f t="shared" si="18"/>
        <v>645.30122972842753</v>
      </c>
      <c r="AC12" s="148">
        <f t="shared" si="3"/>
        <v>1255.0630833540431</v>
      </c>
      <c r="AD12" s="149">
        <f t="shared" si="4"/>
        <v>397.55044670413645</v>
      </c>
      <c r="AE12" s="149">
        <f t="shared" si="5"/>
        <v>395.17556199297667</v>
      </c>
      <c r="AF12" s="251">
        <f t="shared" si="19"/>
        <v>-1147.483969564933</v>
      </c>
      <c r="AG12" s="154">
        <f t="shared" si="6"/>
        <v>-0.35911921999698027</v>
      </c>
      <c r="AH12" s="137">
        <v>2028</v>
      </c>
    </row>
    <row r="13" spans="1:34" x14ac:dyDescent="0.25">
      <c r="A13" s="104">
        <v>2029</v>
      </c>
      <c r="B13" s="94">
        <f>$H$2*_xlfn.XLOOKUP(A13,'Emissions Projection Factors'!$A$3:$A$38,'Emissions Projection Factors'!$L$3:$L$38,,0)</f>
        <v>31.11583664496299</v>
      </c>
      <c r="C13" s="31">
        <f>'Factor Sets'!$D$14*$F$2</f>
        <v>1990.0329062727278</v>
      </c>
      <c r="D13" s="96">
        <f>($Q$2*_xlfn.XLOOKUP(A13,'Emissions Projection Factors'!$A$5:$A$38,'Emissions Projection Factors'!$M$5:$M$38,0))/2205</f>
        <v>416.68909124167436</v>
      </c>
      <c r="E13" s="101">
        <f>(_xlfn.XLOOKUP(A13,'Emissions Projection Factors'!$A$3:$A$38,'Emissions Projection Factors'!M$3:M$38,,0)*($F$3*0.29307107))/2205</f>
        <v>455.08717080447985</v>
      </c>
      <c r="F13" s="100">
        <f>(_xlfn.XLOOKUP(A13,'Emissions Projection Factors'!$A$3:$A$38,'Emissions Projection Factors'!$M$3:$M$38,,0)*$Q$3)/2205</f>
        <v>311.12785479378351</v>
      </c>
      <c r="G13" s="31">
        <f>$H$4*_xlfn.XLOOKUP(A13,'Emissions Projection Factors'!$A$3:$A$38,'Emissions Projection Factors'!$L$3:$L$38,,0)</f>
        <v>9.6639629170362866</v>
      </c>
      <c r="H13" s="31">
        <f>'Factor Sets'!$D$14*$F$4</f>
        <v>618.0648275454547</v>
      </c>
      <c r="I13" s="35">
        <f>($Q$4*_xlfn.XLOOKUP(A13,'Emissions Projection Factors'!$A$5:$A$38,'Emissions Projection Factors'!$M$5:$M$38,0))/2205</f>
        <v>122.60404732420744</v>
      </c>
      <c r="J13" s="88">
        <f>$H$2*_xlfn.XLOOKUP(A13,'Emissions Projection Factors'!$A$3:$A$38,'Emissions Projection Factors'!$J$3:$J$38,,0)*'Factor Sets'!$B$28</f>
        <v>6.5828904681063272E-3</v>
      </c>
      <c r="K13" s="60">
        <f>('Factor Sets'!$D$15*$F$2)*'Factor Sets'!$B$28</f>
        <v>0.99389129318181846</v>
      </c>
      <c r="L13" s="90">
        <f>($Q$2*_xlfn.XLOOKUP(A13,'Emissions Projection Factors'!$A$5:$A$38,'Emissions Projection Factors'!$P$5:$P$38,0)*'Factor Sets'!$B$28)/2205</f>
        <v>1.4478686718825642</v>
      </c>
      <c r="M13" s="93">
        <f>((_xlfn.XLOOKUP(A13,'Emissions Projection Factors'!$A$3:$A$38,'Emissions Projection Factors'!$P$3:$P$38,,0)*($F$3*0.29307107))/2205)*'Factor Sets'!$B$28</f>
        <v>1.5812903947641832</v>
      </c>
      <c r="N13" s="96">
        <f>((_xlfn.XLOOKUP(A13,'Emissions Projection Factors'!$A$3:$A$38,'Emissions Projection Factors'!$P$3:$P$38,,0)*($Q$3))/2205)*'Factor Sets'!$B$28</f>
        <v>1.081075275005648</v>
      </c>
      <c r="O13" s="60">
        <f>$H$4*_xlfn.XLOOKUP(A13,'Emissions Projection Factors'!$A$3:$A$38,'Emissions Projection Factors'!$J$3:$J$38,,0)*'Factor Sets'!$B$28</f>
        <v>2.0445154696166409E-3</v>
      </c>
      <c r="P13" s="60">
        <f>('Factor Sets'!$D$15*$F$4)*'Factor Sets'!$B$28</f>
        <v>0.30868296136363649</v>
      </c>
      <c r="Q13" s="89">
        <f>($Q$4*_xlfn.XLOOKUP(A13,'Emissions Projection Factors'!$A$5:$A$38,'Emissions Projection Factors'!$P$5:$P$38,0)*'Factor Sets'!$B$28)/2205</f>
        <v>0.42601201446805115</v>
      </c>
      <c r="R13" s="60">
        <f>$H$2*_xlfn.XLOOKUP(A13,'Emissions Projection Factors'!$A$3:$A$38,'Emissions Projection Factors'!$G$3:$G$38,,0)*'Factor Sets'!$B$27</f>
        <v>55.197277698758242</v>
      </c>
      <c r="S13" s="60">
        <f>('Factor Sets'!$D$16*$F$2)*'Factor Sets'!$B$27</f>
        <v>1.050149290909091</v>
      </c>
      <c r="T13" s="90">
        <f>((_xlfn.XLOOKUP(A13,'Emissions Projection Factors'!$A$3:$A$38,'Emissions Projection Factors'!$Q$3:$Q$38,,0)*($Q$2))/2205)*'Factor Sets'!$B$27</f>
        <v>1.2047360081136054</v>
      </c>
      <c r="U13" s="93">
        <f>((_xlfn.XLOOKUP(A13,'Emissions Projection Factors'!$A$3:$A$38,'Emissions Projection Factors'!$Q$3:$Q$38,,0)*($F$3*0.29307107))/2205)*'Factor Sets'!$B$27</f>
        <v>1.3157529511151034</v>
      </c>
      <c r="V13" s="96">
        <f>((_xlfn.XLOOKUP(A13,'Emissions Projection Factors'!$A$3:$A$38,'Emissions Projection Factors'!$Q$3:$Q$38,,0)*$Q$3)/2205)*'Factor Sets'!$B$27</f>
        <v>0.89953621939149198</v>
      </c>
      <c r="W13" s="134">
        <f>$H$4*_xlfn.XLOOKUP(A13,'Emissions Projection Factors'!$A$3:$A$38,'Emissions Projection Factors'!$G$3:$G$38,,0)*'Factor Sets'!$B$27</f>
        <v>17.143181810877138</v>
      </c>
      <c r="X13" s="60">
        <f>('Factor Sets'!$D$16*$F$4)*'Factor Sets'!$B$27</f>
        <v>0.32615558181818188</v>
      </c>
      <c r="Y13" s="89">
        <f>((_xlfn.XLOOKUP(A13,'Emissions Projection Factors'!$A$3:$A$38,'Emissions Projection Factors'!$Q$3:$Q$38,,0)*($Q$3))/2205)*'Factor Sets'!$B$27</f>
        <v>0.89953621939149198</v>
      </c>
      <c r="Z13" s="88">
        <f t="shared" si="16"/>
        <v>2078.3966440910081</v>
      </c>
      <c r="AA13" s="60">
        <f t="shared" si="17"/>
        <v>457.98421415035915</v>
      </c>
      <c r="AB13" s="60">
        <f t="shared" si="18"/>
        <v>645.50885533201961</v>
      </c>
      <c r="AC13" s="88">
        <f>SUM(D13,L13,T13)</f>
        <v>419.34169592167058</v>
      </c>
      <c r="AD13" s="60">
        <f>SUM(F13,N13,V13)</f>
        <v>313.10846628818069</v>
      </c>
      <c r="AE13" s="60">
        <f>SUM(I13,Q13,Y13)</f>
        <v>123.92959555806699</v>
      </c>
      <c r="AF13" s="252">
        <f t="shared" si="19"/>
        <v>-2325.5099558054685</v>
      </c>
      <c r="AG13" s="123">
        <f t="shared" si="6"/>
        <v>-0.73085812681855322</v>
      </c>
      <c r="AH13" s="137">
        <v>2029</v>
      </c>
    </row>
    <row r="14" spans="1:34" x14ac:dyDescent="0.25">
      <c r="A14" s="104">
        <v>2030</v>
      </c>
      <c r="B14" s="94">
        <f>$H$2*_xlfn.XLOOKUP(A14,'Emissions Projection Factors'!$A$3:$A$38,'Emissions Projection Factors'!$L$3:$L$38,,0)</f>
        <v>31.11583664496299</v>
      </c>
      <c r="C14" s="31">
        <f>'Factor Sets'!$D$14*$F$2</f>
        <v>1990.0329062727278</v>
      </c>
      <c r="D14" s="96">
        <f>($Q$2*_xlfn.XLOOKUP(A14,'Emissions Projection Factors'!$A$5:$A$38,'Emissions Projection Factors'!$M$5:$M$38,0))/2205</f>
        <v>403.71534541516081</v>
      </c>
      <c r="E14" s="101">
        <f>(_xlfn.XLOOKUP(A14,'Emissions Projection Factors'!$A$3:$A$38,'Emissions Projection Factors'!M$3:M$38,,0)*($F$3*0.29307107))/2205</f>
        <v>440.91788870177146</v>
      </c>
      <c r="F14" s="100">
        <f>(_xlfn.XLOOKUP(A14,'Emissions Projection Factors'!$A$3:$A$38,'Emissions Projection Factors'!$M$3:$M$38,,0)*$Q$3)/2205</f>
        <v>301.44079124332001</v>
      </c>
      <c r="G14" s="31">
        <f>$H$4*_xlfn.XLOOKUP(A14,'Emissions Projection Factors'!$A$3:$A$38,'Emissions Projection Factors'!$L$3:$L$38,,0)</f>
        <v>9.6639629170362866</v>
      </c>
      <c r="H14" s="31">
        <f>'Factor Sets'!$D$14*$F$4</f>
        <v>618.0648275454547</v>
      </c>
      <c r="I14" s="35">
        <f>($Q$4*_xlfn.XLOOKUP(A14,'Emissions Projection Factors'!$A$5:$A$38,'Emissions Projection Factors'!$M$5:$M$38,0))/2205</f>
        <v>118.78673177475005</v>
      </c>
      <c r="J14" s="88">
        <f>$H$2*_xlfn.XLOOKUP(A14,'Emissions Projection Factors'!$A$3:$A$38,'Emissions Projection Factors'!$J$3:$J$38,,0)*'Factor Sets'!$B$28</f>
        <v>6.5828904681063272E-3</v>
      </c>
      <c r="K14" s="60">
        <f>('Factor Sets'!$D$15*$F$2)*'Factor Sets'!$B$28</f>
        <v>0.99389129318181846</v>
      </c>
      <c r="L14" s="90">
        <f>($Q$2*_xlfn.XLOOKUP(A14,'Emissions Projection Factors'!$A$5:$A$38,'Emissions Projection Factors'!$P$5:$P$38,0)*'Factor Sets'!$B$28)/2205</f>
        <v>1.4027888256998828</v>
      </c>
      <c r="M14" s="93">
        <f>((_xlfn.XLOOKUP(A14,'Emissions Projection Factors'!$A$3:$A$38,'Emissions Projection Factors'!$P$3:$P$38,,0)*($F$3*0.29307107))/2205)*'Factor Sets'!$B$28</f>
        <v>1.5320564213034307</v>
      </c>
      <c r="N14" s="96">
        <f>((_xlfn.XLOOKUP(A14,'Emissions Projection Factors'!$A$3:$A$38,'Emissions Projection Factors'!$P$3:$P$38,,0)*($Q$3))/2205)*'Factor Sets'!$B$28</f>
        <v>1.0474156565225792</v>
      </c>
      <c r="O14" s="60">
        <f>$H$4*_xlfn.XLOOKUP(A14,'Emissions Projection Factors'!$A$3:$A$38,'Emissions Projection Factors'!$J$3:$J$38,,0)*'Factor Sets'!$B$28</f>
        <v>2.0445154696166409E-3</v>
      </c>
      <c r="P14" s="60">
        <f>('Factor Sets'!$D$15*$F$4)*'Factor Sets'!$B$28</f>
        <v>0.30868296136363649</v>
      </c>
      <c r="Q14" s="89">
        <f>($Q$4*_xlfn.XLOOKUP(A14,'Emissions Projection Factors'!$A$5:$A$38,'Emissions Projection Factors'!$P$5:$P$38,0)*'Factor Sets'!$B$28)/2205</f>
        <v>0.41274799649657057</v>
      </c>
      <c r="R14" s="60">
        <f>$H$2*_xlfn.XLOOKUP(A14,'Emissions Projection Factors'!$A$3:$A$38,'Emissions Projection Factors'!$G$3:$G$38,,0)*'Factor Sets'!$B$27</f>
        <v>54.129898665387152</v>
      </c>
      <c r="S14" s="60">
        <f>('Factor Sets'!$D$16*$F$2)*'Factor Sets'!$B$27</f>
        <v>1.050149290909091</v>
      </c>
      <c r="T14" s="90">
        <f>((_xlfn.XLOOKUP(A14,'Emissions Projection Factors'!$A$3:$A$38,'Emissions Projection Factors'!$Q$3:$Q$38,,0)*($Q$2))/2205)*'Factor Sets'!$B$27</f>
        <v>1.1672261738370722</v>
      </c>
      <c r="U14" s="93">
        <f>((_xlfn.XLOOKUP(A14,'Emissions Projection Factors'!$A$3:$A$38,'Emissions Projection Factors'!$Q$3:$Q$38,,0)*($F$3*0.29307107))/2205)*'Factor Sets'!$B$27</f>
        <v>1.2747865694241753</v>
      </c>
      <c r="V14" s="96">
        <f>((_xlfn.XLOOKUP(A14,'Emissions Projection Factors'!$A$3:$A$38,'Emissions Projection Factors'!$Q$3:$Q$38,,0)*$Q$3)/2205)*'Factor Sets'!$B$27</f>
        <v>0.87152887646501398</v>
      </c>
      <c r="W14" s="134">
        <f>$H$4*_xlfn.XLOOKUP(A14,'Emissions Projection Factors'!$A$3:$A$38,'Emissions Projection Factors'!$G$3:$G$38,,0)*'Factor Sets'!$B$27</f>
        <v>16.811675012116829</v>
      </c>
      <c r="X14" s="60">
        <f>('Factor Sets'!$D$16*$F$4)*'Factor Sets'!$B$27</f>
        <v>0.32615558181818188</v>
      </c>
      <c r="Y14" s="89">
        <f>((_xlfn.XLOOKUP(A14,'Emissions Projection Factors'!$A$3:$A$38,'Emissions Projection Factors'!$Q$3:$Q$38,,0)*($Q$3))/2205)*'Factor Sets'!$B$27</f>
        <v>0.87152887646501398</v>
      </c>
      <c r="Z14" s="88">
        <f t="shared" si="16"/>
        <v>2077.3292650576373</v>
      </c>
      <c r="AA14" s="60">
        <f t="shared" si="17"/>
        <v>443.72473169249906</v>
      </c>
      <c r="AB14" s="60">
        <f t="shared" si="18"/>
        <v>645.17734853325919</v>
      </c>
      <c r="AC14" s="88">
        <f t="shared" ref="AC14:AC34" si="20">SUM(D14,L14,T14)</f>
        <v>406.28536041469778</v>
      </c>
      <c r="AD14" s="60">
        <f t="shared" ref="AD14:AD34" si="21">SUM(F14,N14,V14)</f>
        <v>303.35973577630756</v>
      </c>
      <c r="AE14" s="60">
        <f t="shared" ref="AE14:AE34" si="22">SUM(I14,Q14,Y14)</f>
        <v>120.07100864771164</v>
      </c>
      <c r="AF14" s="252">
        <f t="shared" si="19"/>
        <v>-2336.5152404446785</v>
      </c>
      <c r="AG14" s="123">
        <f t="shared" si="6"/>
        <v>-0.73794836373068229</v>
      </c>
      <c r="AH14" s="137">
        <v>2030</v>
      </c>
    </row>
    <row r="15" spans="1:34" x14ac:dyDescent="0.25">
      <c r="A15" s="104">
        <v>2031</v>
      </c>
      <c r="B15" s="94">
        <f>$H$2*_xlfn.XLOOKUP(A15,'Emissions Projection Factors'!$A$3:$A$38,'Emissions Projection Factors'!$L$3:$L$38,,0)</f>
        <v>31.115836644962986</v>
      </c>
      <c r="C15" s="31">
        <f>'Factor Sets'!$D$14*$F$2</f>
        <v>1990.0329062727278</v>
      </c>
      <c r="D15" s="96">
        <f>($Q$2*_xlfn.XLOOKUP(A15,'Emissions Projection Factors'!$A$5:$A$38,'Emissions Projection Factors'!$M$5:$M$38,0))/2205</f>
        <v>370.68408988118847</v>
      </c>
      <c r="E15" s="101">
        <f>(_xlfn.XLOOKUP(A15,'Emissions Projection Factors'!$A$3:$A$38,'Emissions Projection Factors'!M$3:M$38,,0)*($F$3*0.29307107))/2205</f>
        <v>404.84278871707602</v>
      </c>
      <c r="F15" s="100">
        <f>(_xlfn.XLOOKUP(A15,'Emissions Projection Factors'!$A$3:$A$38,'Emissions Projection Factors'!$M$3:$M$38,,0)*$Q$3)/2205</f>
        <v>276.77745377795401</v>
      </c>
      <c r="G15" s="31">
        <f>$H$4*_xlfn.XLOOKUP(A15,'Emissions Projection Factors'!$A$3:$A$38,'Emissions Projection Factors'!$L$3:$L$38,,0)</f>
        <v>9.6639629170362866</v>
      </c>
      <c r="H15" s="31">
        <f>'Factor Sets'!$D$14*$F$4</f>
        <v>618.0648275454547</v>
      </c>
      <c r="I15" s="35">
        <f>($Q$4*_xlfn.XLOOKUP(A15,'Emissions Projection Factors'!$A$5:$A$38,'Emissions Projection Factors'!$M$5:$M$38,0))/2205</f>
        <v>109.06781735681459</v>
      </c>
      <c r="J15" s="88">
        <f>$H$2*_xlfn.XLOOKUP(A15,'Emissions Projection Factors'!$A$3:$A$38,'Emissions Projection Factors'!$J$3:$J$38,,0)*'Factor Sets'!$B$28</f>
        <v>6.5828904681063272E-3</v>
      </c>
      <c r="K15" s="60">
        <f>('Factor Sets'!$D$15*$F$2)*'Factor Sets'!$B$28</f>
        <v>0.99389129318181846</v>
      </c>
      <c r="L15" s="90">
        <f>($Q$2*_xlfn.XLOOKUP(A15,'Emissions Projection Factors'!$A$5:$A$38,'Emissions Projection Factors'!$P$5:$P$38,0)*'Factor Sets'!$B$28)/2205</f>
        <v>1.2880151945062397</v>
      </c>
      <c r="M15" s="93">
        <f>((_xlfn.XLOOKUP(A15,'Emissions Projection Factors'!$A$3:$A$38,'Emissions Projection Factors'!$P$3:$P$38,,0)*($F$3*0.29307107))/2205)*'Factor Sets'!$B$28</f>
        <v>1.4067063504694959</v>
      </c>
      <c r="N15" s="96">
        <f>((_xlfn.XLOOKUP(A15,'Emissions Projection Factors'!$A$3:$A$38,'Emissions Projection Factors'!$P$3:$P$38,,0)*($Q$3))/2205)*'Factor Sets'!$B$28</f>
        <v>0.96171801189799233</v>
      </c>
      <c r="O15" s="60">
        <f>$H$4*_xlfn.XLOOKUP(A15,'Emissions Projection Factors'!$A$3:$A$38,'Emissions Projection Factors'!$J$3:$J$38,,0)*'Factor Sets'!$B$28</f>
        <v>2.0445154696166409E-3</v>
      </c>
      <c r="P15" s="60">
        <f>('Factor Sets'!$D$15*$F$4)*'Factor Sets'!$B$28</f>
        <v>0.30868296136363649</v>
      </c>
      <c r="Q15" s="89">
        <f>($Q$4*_xlfn.XLOOKUP(A15,'Emissions Projection Factors'!$A$5:$A$38,'Emissions Projection Factors'!$P$5:$P$38,0)*'Factor Sets'!$B$28)/2205</f>
        <v>0.37897770587411916</v>
      </c>
      <c r="R15" s="60">
        <f>$H$2*_xlfn.XLOOKUP(A15,'Emissions Projection Factors'!$A$3:$A$38,'Emissions Projection Factors'!$G$3:$G$38,,0)*'Factor Sets'!$B$27</f>
        <v>55.301150905866919</v>
      </c>
      <c r="S15" s="60">
        <f>('Factor Sets'!$D$16*$F$2)*'Factor Sets'!$B$27</f>
        <v>1.050149290909091</v>
      </c>
      <c r="T15" s="90">
        <f>((_xlfn.XLOOKUP(A15,'Emissions Projection Factors'!$A$3:$A$38,'Emissions Projection Factors'!$Q$3:$Q$38,,0)*($Q$2))/2205)*'Factor Sets'!$B$27</f>
        <v>1.0717258505231162</v>
      </c>
      <c r="U15" s="93">
        <f>((_xlfn.XLOOKUP(A15,'Emissions Projection Factors'!$A$3:$A$38,'Emissions Projection Factors'!$Q$3:$Q$38,,0)*($F$3*0.29307107))/2205)*'Factor Sets'!$B$27</f>
        <v>1.1704858501076369</v>
      </c>
      <c r="V15" s="96">
        <f>((_xlfn.XLOOKUP(A15,'Emissions Projection Factors'!$A$3:$A$38,'Emissions Projection Factors'!$Q$3:$Q$38,,0)*$Q$3)/2205)*'Factor Sets'!$B$27</f>
        <v>0.80022196839059356</v>
      </c>
      <c r="W15" s="134">
        <f>$H$4*_xlfn.XLOOKUP(A15,'Emissions Projection Factors'!$A$3:$A$38,'Emissions Projection Factors'!$G$3:$G$38,,0)*'Factor Sets'!$B$27</f>
        <v>17.175442772811913</v>
      </c>
      <c r="X15" s="60">
        <f>('Factor Sets'!$D$16*$F$4)*'Factor Sets'!$B$27</f>
        <v>0.32615558181818188</v>
      </c>
      <c r="Y15" s="89">
        <f>((_xlfn.XLOOKUP(A15,'Emissions Projection Factors'!$A$3:$A$38,'Emissions Projection Factors'!$Q$3:$Q$38,,0)*($Q$3))/2205)*'Factor Sets'!$B$27</f>
        <v>0.80022196839059356</v>
      </c>
      <c r="Z15" s="88">
        <f t="shared" si="16"/>
        <v>2078.5005172981168</v>
      </c>
      <c r="AA15" s="60">
        <f t="shared" si="17"/>
        <v>407.41998091765316</v>
      </c>
      <c r="AB15" s="60">
        <f t="shared" si="18"/>
        <v>645.54111629395436</v>
      </c>
      <c r="AC15" s="88">
        <f t="shared" si="20"/>
        <v>373.04383092621782</v>
      </c>
      <c r="AD15" s="60">
        <f t="shared" si="21"/>
        <v>278.53939375824257</v>
      </c>
      <c r="AE15" s="60">
        <f t="shared" si="22"/>
        <v>110.2470170310793</v>
      </c>
      <c r="AF15" s="252">
        <f t="shared" si="19"/>
        <v>-2369.6313727941847</v>
      </c>
      <c r="AG15" s="123">
        <f t="shared" si="6"/>
        <v>-0.7567173622101655</v>
      </c>
      <c r="AH15" s="137">
        <v>2031</v>
      </c>
    </row>
    <row r="16" spans="1:34" x14ac:dyDescent="0.25">
      <c r="A16" s="104">
        <v>2032</v>
      </c>
      <c r="B16" s="94">
        <f>$H$2*_xlfn.XLOOKUP(A16,'Emissions Projection Factors'!$A$3:$A$38,'Emissions Projection Factors'!$L$3:$L$38,,0)</f>
        <v>31.11583664496299</v>
      </c>
      <c r="C16" s="31">
        <f>'Factor Sets'!$D$14*$F$2</f>
        <v>1990.0329062727278</v>
      </c>
      <c r="D16" s="96">
        <f>($Q$2*_xlfn.XLOOKUP(A16,'Emissions Projection Factors'!$A$5:$A$38,'Emissions Projection Factors'!$M$5:$M$38,0))/2205</f>
        <v>337.65283434722767</v>
      </c>
      <c r="E16" s="101">
        <f>(_xlfn.XLOOKUP(A16,'Emissions Projection Factors'!$A$3:$A$38,'Emissions Projection Factors'!M$3:M$38,,0)*($F$3*0.29307107))/2205</f>
        <v>368.76768873239314</v>
      </c>
      <c r="F16" s="100">
        <f>(_xlfn.XLOOKUP(A16,'Emissions Projection Factors'!$A$3:$A$38,'Emissions Projection Factors'!$M$3:$M$38,,0)*$Q$3)/2205</f>
        <v>252.11411631259662</v>
      </c>
      <c r="G16" s="31">
        <f>$H$4*_xlfn.XLOOKUP(A16,'Emissions Projection Factors'!$A$3:$A$38,'Emissions Projection Factors'!$L$3:$L$38,,0)</f>
        <v>9.6639629170362866</v>
      </c>
      <c r="H16" s="31">
        <f>'Factor Sets'!$D$14*$F$4</f>
        <v>618.0648275454547</v>
      </c>
      <c r="I16" s="35">
        <f>($Q$4*_xlfn.XLOOKUP(A16,'Emissions Projection Factors'!$A$5:$A$38,'Emissions Projection Factors'!$M$5:$M$38,0))/2205</f>
        <v>99.348902938882532</v>
      </c>
      <c r="J16" s="88">
        <f>$H$2*_xlfn.XLOOKUP(A16,'Emissions Projection Factors'!$A$3:$A$38,'Emissions Projection Factors'!$J$3:$J$38,,0)*'Factor Sets'!$B$28</f>
        <v>6.582890468106329E-3</v>
      </c>
      <c r="K16" s="60">
        <f>('Factor Sets'!$D$15*$F$2)*'Factor Sets'!$B$28</f>
        <v>0.99389129318181846</v>
      </c>
      <c r="L16" s="90">
        <f>($Q$2*_xlfn.XLOOKUP(A16,'Emissions Projection Factors'!$A$5:$A$38,'Emissions Projection Factors'!$P$5:$P$38,0)*'Factor Sets'!$B$28)/2205</f>
        <v>1.1732415633126372</v>
      </c>
      <c r="M16" s="93">
        <f>((_xlfn.XLOOKUP(A16,'Emissions Projection Factors'!$A$3:$A$38,'Emissions Projection Factors'!$P$3:$P$38,,0)*($F$3*0.29307107))/2205)*'Factor Sets'!$B$28</f>
        <v>1.2813562796356051</v>
      </c>
      <c r="N16" s="96">
        <f>((_xlfn.XLOOKUP(A16,'Emissions Projection Factors'!$A$3:$A$38,'Emissions Projection Factors'!$P$3:$P$38,,0)*($Q$3))/2205)*'Factor Sets'!$B$28</f>
        <v>0.87602036727343557</v>
      </c>
      <c r="O16" s="60">
        <f>$H$4*_xlfn.XLOOKUP(A16,'Emissions Projection Factors'!$A$3:$A$38,'Emissions Projection Factors'!$J$3:$J$38,,0)*'Factor Sets'!$B$28</f>
        <v>2.0445154696166414E-3</v>
      </c>
      <c r="P16" s="60">
        <f>('Factor Sets'!$D$15*$F$4)*'Factor Sets'!$B$28</f>
        <v>0.30868296136363649</v>
      </c>
      <c r="Q16" s="89">
        <f>($Q$4*_xlfn.XLOOKUP(A16,'Emissions Projection Factors'!$A$5:$A$38,'Emissions Projection Factors'!$P$5:$P$38,0)*'Factor Sets'!$B$28)/2205</f>
        <v>0.34520741525167953</v>
      </c>
      <c r="R16" s="60">
        <f>$H$2*_xlfn.XLOOKUP(A16,'Emissions Projection Factors'!$A$3:$A$38,'Emissions Projection Factors'!$G$3:$G$38,,0)*'Factor Sets'!$B$27</f>
        <v>54.656975339513416</v>
      </c>
      <c r="S16" s="60">
        <f>('Factor Sets'!$D$16*$F$2)*'Factor Sets'!$B$27</f>
        <v>1.050149290909091</v>
      </c>
      <c r="T16" s="90">
        <f>((_xlfn.XLOOKUP(A16,'Emissions Projection Factors'!$A$3:$A$38,'Emissions Projection Factors'!$Q$3:$Q$38,,0)*($Q$2))/2205)*'Factor Sets'!$B$27</f>
        <v>0.97622552720919398</v>
      </c>
      <c r="U16" s="93">
        <f>((_xlfn.XLOOKUP(A16,'Emissions Projection Factors'!$A$3:$A$38,'Emissions Projection Factors'!$Q$3:$Q$38,,0)*($F$3*0.29307107))/2205)*'Factor Sets'!$B$27</f>
        <v>1.0661851307911354</v>
      </c>
      <c r="V16" s="96">
        <f>((_xlfn.XLOOKUP(A16,'Emissions Projection Factors'!$A$3:$A$38,'Emissions Projection Factors'!$Q$3:$Q$38,,0)*$Q$3)/2205)*'Factor Sets'!$B$27</f>
        <v>0.72891506031619813</v>
      </c>
      <c r="W16" s="134">
        <f>$H$4*_xlfn.XLOOKUP(A16,'Emissions Projection Factors'!$A$3:$A$38,'Emissions Projection Factors'!$G$3:$G$38,,0)*'Factor Sets'!$B$27</f>
        <v>16.975374593500753</v>
      </c>
      <c r="X16" s="60">
        <f>('Factor Sets'!$D$16*$F$4)*'Factor Sets'!$B$27</f>
        <v>0.32615558181818188</v>
      </c>
      <c r="Y16" s="89">
        <f>((_xlfn.XLOOKUP(A16,'Emissions Projection Factors'!$A$3:$A$38,'Emissions Projection Factors'!$Q$3:$Q$38,,0)*($Q$3))/2205)*'Factor Sets'!$B$27</f>
        <v>0.72891506031619813</v>
      </c>
      <c r="Z16" s="88">
        <f t="shared" si="16"/>
        <v>2077.8563417317632</v>
      </c>
      <c r="AA16" s="60">
        <f t="shared" si="17"/>
        <v>371.11523014281988</v>
      </c>
      <c r="AB16" s="60">
        <f t="shared" si="18"/>
        <v>645.34104811464317</v>
      </c>
      <c r="AC16" s="88">
        <f t="shared" si="20"/>
        <v>339.80230143774946</v>
      </c>
      <c r="AD16" s="60">
        <f t="shared" si="21"/>
        <v>253.71905174018627</v>
      </c>
      <c r="AE16" s="60">
        <f t="shared" si="22"/>
        <v>100.42302541445041</v>
      </c>
      <c r="AF16" s="252">
        <f t="shared" si="19"/>
        <v>-2400.3682413968399</v>
      </c>
      <c r="AG16" s="123">
        <f t="shared" si="6"/>
        <v>-0.77573553036964893</v>
      </c>
      <c r="AH16" s="137">
        <v>2032</v>
      </c>
    </row>
    <row r="17" spans="1:34" x14ac:dyDescent="0.25">
      <c r="A17" s="104">
        <v>2033</v>
      </c>
      <c r="B17" s="94">
        <f>$H$2*_xlfn.XLOOKUP(A17,'Emissions Projection Factors'!$A$3:$A$38,'Emissions Projection Factors'!$L$3:$L$38,,0)</f>
        <v>31.11583664496299</v>
      </c>
      <c r="C17" s="31">
        <f>'Factor Sets'!$D$14*$F$2</f>
        <v>1990.0329062727278</v>
      </c>
      <c r="D17" s="96">
        <f>($Q$2*_xlfn.XLOOKUP(A17,'Emissions Projection Factors'!$A$5:$A$38,'Emissions Projection Factors'!$M$5:$M$38,0))/2205</f>
        <v>304.62157881325538</v>
      </c>
      <c r="E17" s="101">
        <f>(_xlfn.XLOOKUP(A17,'Emissions Projection Factors'!$A$3:$A$38,'Emissions Projection Factors'!M$3:M$38,,0)*($F$3*0.29307107))/2205</f>
        <v>332.69258874769776</v>
      </c>
      <c r="F17" s="100">
        <f>(_xlfn.XLOOKUP(A17,'Emissions Projection Factors'!$A$3:$A$38,'Emissions Projection Factors'!$M$3:$M$38,,0)*$Q$3)/2205</f>
        <v>227.45077884723065</v>
      </c>
      <c r="G17" s="31">
        <f>$H$4*_xlfn.XLOOKUP(A17,'Emissions Projection Factors'!$A$3:$A$38,'Emissions Projection Factors'!$L$3:$L$38,,0)</f>
        <v>9.6639629170362866</v>
      </c>
      <c r="H17" s="31">
        <f>'Factor Sets'!$D$14*$F$4</f>
        <v>618.0648275454547</v>
      </c>
      <c r="I17" s="35">
        <f>($Q$4*_xlfn.XLOOKUP(A17,'Emissions Projection Factors'!$A$5:$A$38,'Emissions Projection Factors'!$M$5:$M$38,0))/2205</f>
        <v>89.62998852094708</v>
      </c>
      <c r="J17" s="88">
        <f>$H$2*_xlfn.XLOOKUP(A17,'Emissions Projection Factors'!$A$3:$A$38,'Emissions Projection Factors'!$J$3:$J$38,,0)*'Factor Sets'!$B$28</f>
        <v>6.5828904681063272E-3</v>
      </c>
      <c r="K17" s="60">
        <f>('Factor Sets'!$D$15*$F$2)*'Factor Sets'!$B$28</f>
        <v>0.99389129318181846</v>
      </c>
      <c r="L17" s="90">
        <f>($Q$2*_xlfn.XLOOKUP(A17,'Emissions Projection Factors'!$A$5:$A$38,'Emissions Projection Factors'!$P$5:$P$38,0)*'Factor Sets'!$B$28)/2205</f>
        <v>1.0584679321189945</v>
      </c>
      <c r="M17" s="93">
        <f>((_xlfn.XLOOKUP(A17,'Emissions Projection Factors'!$A$3:$A$38,'Emissions Projection Factors'!$P$3:$P$38,,0)*($F$3*0.29307107))/2205)*'Factor Sets'!$B$28</f>
        <v>1.1560062088016707</v>
      </c>
      <c r="N17" s="96">
        <f>((_xlfn.XLOOKUP(A17,'Emissions Projection Factors'!$A$3:$A$38,'Emissions Projection Factors'!$P$3:$P$38,,0)*($Q$3))/2205)*'Factor Sets'!$B$28</f>
        <v>0.79032272264884917</v>
      </c>
      <c r="O17" s="60">
        <f>$H$4*_xlfn.XLOOKUP(A17,'Emissions Projection Factors'!$A$3:$A$38,'Emissions Projection Factors'!$J$3:$J$38,,0)*'Factor Sets'!$B$28</f>
        <v>2.0445154696166409E-3</v>
      </c>
      <c r="P17" s="60">
        <f>('Factor Sets'!$D$15*$F$4)*'Factor Sets'!$B$28</f>
        <v>0.30868296136363649</v>
      </c>
      <c r="Q17" s="89">
        <f>($Q$4*_xlfn.XLOOKUP(A17,'Emissions Projection Factors'!$A$5:$A$38,'Emissions Projection Factors'!$P$5:$P$38,0)*'Factor Sets'!$B$28)/2205</f>
        <v>0.31143712462922818</v>
      </c>
      <c r="R17" s="60">
        <f>$H$2*_xlfn.XLOOKUP(A17,'Emissions Projection Factors'!$A$3:$A$38,'Emissions Projection Factors'!$G$3:$G$38,,0)*'Factor Sets'!$B$27</f>
        <v>56.174888831625395</v>
      </c>
      <c r="S17" s="60">
        <f>('Factor Sets'!$D$16*$F$2)*'Factor Sets'!$B$27</f>
        <v>1.050149290909091</v>
      </c>
      <c r="T17" s="90">
        <f>((_xlfn.XLOOKUP(A17,'Emissions Projection Factors'!$A$3:$A$38,'Emissions Projection Factors'!$Q$3:$Q$38,,0)*($Q$2))/2205)*'Factor Sets'!$B$27</f>
        <v>0.88072520389523845</v>
      </c>
      <c r="U17" s="93">
        <f>((_xlfn.XLOOKUP(A17,'Emissions Projection Factors'!$A$3:$A$38,'Emissions Projection Factors'!$Q$3:$Q$38,,0)*($F$3*0.29307107))/2205)*'Factor Sets'!$B$27</f>
        <v>0.96188441147459747</v>
      </c>
      <c r="V17" s="96">
        <f>((_xlfn.XLOOKUP(A17,'Emissions Projection Factors'!$A$3:$A$38,'Emissions Projection Factors'!$Q$3:$Q$38,,0)*$Q$3)/2205)*'Factor Sets'!$B$27</f>
        <v>0.65760815224177804</v>
      </c>
      <c r="W17" s="134">
        <f>$H$4*_xlfn.XLOOKUP(A17,'Emissions Projection Factors'!$A$3:$A$38,'Emissions Projection Factors'!$G$3:$G$38,,0)*'Factor Sets'!$B$27</f>
        <v>17.44680847671642</v>
      </c>
      <c r="X17" s="60">
        <f>('Factor Sets'!$D$16*$F$4)*'Factor Sets'!$B$27</f>
        <v>0.32615558181818188</v>
      </c>
      <c r="Y17" s="89">
        <f>((_xlfn.XLOOKUP(A17,'Emissions Projection Factors'!$A$3:$A$38,'Emissions Projection Factors'!$Q$3:$Q$38,,0)*($Q$3))/2205)*'Factor Sets'!$B$27</f>
        <v>0.65760815224177804</v>
      </c>
      <c r="Z17" s="88">
        <f t="shared" si="16"/>
        <v>2079.3742552238755</v>
      </c>
      <c r="AA17" s="60">
        <f t="shared" si="17"/>
        <v>334.81047936797404</v>
      </c>
      <c r="AB17" s="60">
        <f t="shared" si="18"/>
        <v>645.81248199785887</v>
      </c>
      <c r="AC17" s="88">
        <f t="shared" si="20"/>
        <v>306.56077194926962</v>
      </c>
      <c r="AD17" s="60">
        <f t="shared" si="21"/>
        <v>228.89870972212128</v>
      </c>
      <c r="AE17" s="60">
        <f t="shared" si="22"/>
        <v>90.59903379781808</v>
      </c>
      <c r="AF17" s="252">
        <f t="shared" si="19"/>
        <v>-2433.9387011204994</v>
      </c>
      <c r="AG17" s="123">
        <f t="shared" si="6"/>
        <v>-0.7954055277975266</v>
      </c>
      <c r="AH17" s="137">
        <v>2033</v>
      </c>
    </row>
    <row r="18" spans="1:34" x14ac:dyDescent="0.25">
      <c r="A18" s="104">
        <v>2034</v>
      </c>
      <c r="B18" s="94">
        <f>$H$2*_xlfn.XLOOKUP(A18,'Emissions Projection Factors'!$A$3:$A$38,'Emissions Projection Factors'!$L$3:$L$38,,0)</f>
        <v>31.11583664496299</v>
      </c>
      <c r="C18" s="31">
        <f>'Factor Sets'!$D$14*$F$2</f>
        <v>1990.0329062727278</v>
      </c>
      <c r="D18" s="96">
        <f>($Q$2*_xlfn.XLOOKUP(A18,'Emissions Projection Factors'!$A$5:$A$38,'Emissions Projection Factors'!$M$5:$M$38,0))/2205</f>
        <v>271.5903232792831</v>
      </c>
      <c r="E18" s="101">
        <f>(_xlfn.XLOOKUP(A18,'Emissions Projection Factors'!$A$3:$A$38,'Emissions Projection Factors'!M$3:M$38,,0)*($F$3*0.29307107))/2205</f>
        <v>296.61748876300237</v>
      </c>
      <c r="F18" s="100">
        <f>(_xlfn.XLOOKUP(A18,'Emissions Projection Factors'!$A$3:$A$38,'Emissions Projection Factors'!$M$3:$M$38,,0)*$Q$3)/2205</f>
        <v>202.78744138186468</v>
      </c>
      <c r="G18" s="31">
        <f>$H$4*_xlfn.XLOOKUP(A18,'Emissions Projection Factors'!$A$3:$A$38,'Emissions Projection Factors'!$L$3:$L$38,,0)</f>
        <v>9.6639629170362866</v>
      </c>
      <c r="H18" s="31">
        <f>'Factor Sets'!$D$14*$F$4</f>
        <v>618.0648275454547</v>
      </c>
      <c r="I18" s="35">
        <f>($Q$4*_xlfn.XLOOKUP(A18,'Emissions Projection Factors'!$A$5:$A$38,'Emissions Projection Factors'!$M$5:$M$38,0))/2205</f>
        <v>79.911074103011643</v>
      </c>
      <c r="J18" s="88">
        <f>$H$2*_xlfn.XLOOKUP(A18,'Emissions Projection Factors'!$A$3:$A$38,'Emissions Projection Factors'!$J$3:$J$38,,0)*'Factor Sets'!$B$28</f>
        <v>6.582890468106329E-3</v>
      </c>
      <c r="K18" s="60">
        <f>('Factor Sets'!$D$15*$F$2)*'Factor Sets'!$B$28</f>
        <v>0.99389129318181846</v>
      </c>
      <c r="L18" s="90">
        <f>($Q$2*_xlfn.XLOOKUP(A18,'Emissions Projection Factors'!$A$5:$A$38,'Emissions Projection Factors'!$P$5:$P$38,0)*'Factor Sets'!$B$28)/2205</f>
        <v>0.94369430092535189</v>
      </c>
      <c r="M18" s="93">
        <f>((_xlfn.XLOOKUP(A18,'Emissions Projection Factors'!$A$3:$A$38,'Emissions Projection Factors'!$P$3:$P$38,,0)*($F$3*0.29307107))/2205)*'Factor Sets'!$B$28</f>
        <v>1.0306561379677361</v>
      </c>
      <c r="N18" s="96">
        <f>((_xlfn.XLOOKUP(A18,'Emissions Projection Factors'!$A$3:$A$38,'Emissions Projection Factors'!$P$3:$P$38,,0)*($Q$3))/2205)*'Factor Sets'!$B$28</f>
        <v>0.70462507802426266</v>
      </c>
      <c r="O18" s="60">
        <f>$H$4*_xlfn.XLOOKUP(A18,'Emissions Projection Factors'!$A$3:$A$38,'Emissions Projection Factors'!$J$3:$J$38,,0)*'Factor Sets'!$B$28</f>
        <v>2.0445154696166414E-3</v>
      </c>
      <c r="P18" s="60">
        <f>('Factor Sets'!$D$15*$F$4)*'Factor Sets'!$B$28</f>
        <v>0.30868296136363649</v>
      </c>
      <c r="Q18" s="89">
        <f>($Q$4*_xlfn.XLOOKUP(A18,'Emissions Projection Factors'!$A$5:$A$38,'Emissions Projection Factors'!$P$5:$P$38,0)*'Factor Sets'!$B$28)/2205</f>
        <v>0.27766683400677677</v>
      </c>
      <c r="R18" s="60">
        <f>$H$2*_xlfn.XLOOKUP(A18,'Emissions Projection Factors'!$A$3:$A$38,'Emissions Projection Factors'!$G$3:$G$38,,0)*'Factor Sets'!$B$27</f>
        <v>57.438955572755617</v>
      </c>
      <c r="S18" s="60">
        <f>('Factor Sets'!$D$16*$F$2)*'Factor Sets'!$B$27</f>
        <v>1.050149290909091</v>
      </c>
      <c r="T18" s="90">
        <f>((_xlfn.XLOOKUP(A18,'Emissions Projection Factors'!$A$3:$A$38,'Emissions Projection Factors'!$Q$3:$Q$38,,0)*($Q$2))/2205)*'Factor Sets'!$B$27</f>
        <v>0.78522488058128292</v>
      </c>
      <c r="U18" s="93">
        <f>((_xlfn.XLOOKUP(A18,'Emissions Projection Factors'!$A$3:$A$38,'Emissions Projection Factors'!$Q$3:$Q$38,,0)*($F$3*0.29307107))/2205)*'Factor Sets'!$B$27</f>
        <v>0.8575836921580593</v>
      </c>
      <c r="V18" s="96">
        <f>((_xlfn.XLOOKUP(A18,'Emissions Projection Factors'!$A$3:$A$38,'Emissions Projection Factors'!$Q$3:$Q$38,,0)*$Q$3)/2205)*'Factor Sets'!$B$27</f>
        <v>0.58630124416735785</v>
      </c>
      <c r="W18" s="134">
        <f>$H$4*_xlfn.XLOOKUP(A18,'Emissions Projection Factors'!$A$3:$A$38,'Emissions Projection Factors'!$G$3:$G$38,,0)*'Factor Sets'!$B$27</f>
        <v>17.839402584029905</v>
      </c>
      <c r="X18" s="60">
        <f>('Factor Sets'!$D$16*$F$4)*'Factor Sets'!$B$27</f>
        <v>0.32615558181818188</v>
      </c>
      <c r="Y18" s="89">
        <f>((_xlfn.XLOOKUP(A18,'Emissions Projection Factors'!$A$3:$A$38,'Emissions Projection Factors'!$Q$3:$Q$38,,0)*($Q$3))/2205)*'Factor Sets'!$B$27</f>
        <v>0.58630124416735785</v>
      </c>
      <c r="Z18" s="88">
        <f t="shared" si="16"/>
        <v>2080.6383219650056</v>
      </c>
      <c r="AA18" s="60">
        <f t="shared" si="17"/>
        <v>298.5057285931282</v>
      </c>
      <c r="AB18" s="60">
        <f t="shared" si="18"/>
        <v>646.20507610517234</v>
      </c>
      <c r="AC18" s="88">
        <f t="shared" si="20"/>
        <v>273.31924246078972</v>
      </c>
      <c r="AD18" s="60">
        <f t="shared" si="21"/>
        <v>204.07836770405629</v>
      </c>
      <c r="AE18" s="60">
        <f t="shared" si="22"/>
        <v>80.775042181185782</v>
      </c>
      <c r="AF18" s="252">
        <f t="shared" si="19"/>
        <v>-2467.1764743172744</v>
      </c>
      <c r="AG18" s="123">
        <f t="shared" si="6"/>
        <v>-0.81550140860547649</v>
      </c>
      <c r="AH18" s="137">
        <v>2034</v>
      </c>
    </row>
    <row r="19" spans="1:34" x14ac:dyDescent="0.25">
      <c r="A19" s="104">
        <v>2035</v>
      </c>
      <c r="B19" s="94">
        <f>$H$2*_xlfn.XLOOKUP(A19,'Emissions Projection Factors'!$A$3:$A$38,'Emissions Projection Factors'!$L$3:$L$38,,0)</f>
        <v>31.115836644962993</v>
      </c>
      <c r="C19" s="31">
        <f>'Factor Sets'!$D$14*$F$2</f>
        <v>1990.0329062727278</v>
      </c>
      <c r="D19" s="96">
        <f>($Q$2*_xlfn.XLOOKUP(A19,'Emissions Projection Factors'!$A$5:$A$38,'Emissions Projection Factors'!$M$5:$M$38,0))/2205</f>
        <v>238.5590677453223</v>
      </c>
      <c r="E19" s="101">
        <f>(_xlfn.XLOOKUP(A19,'Emissions Projection Factors'!$A$3:$A$38,'Emissions Projection Factors'!M$3:M$38,,0)*($F$3*0.29307107))/2205</f>
        <v>260.54238877831949</v>
      </c>
      <c r="F19" s="100">
        <f>(_xlfn.XLOOKUP(A19,'Emissions Projection Factors'!$A$3:$A$38,'Emissions Projection Factors'!$M$3:$M$38,,0)*$Q$3)/2205</f>
        <v>178.12410391650729</v>
      </c>
      <c r="G19" s="31">
        <f>$H$4*_xlfn.XLOOKUP(A19,'Emissions Projection Factors'!$A$3:$A$38,'Emissions Projection Factors'!$L$3:$L$38,,0)</f>
        <v>9.6639629170362884</v>
      </c>
      <c r="H19" s="31">
        <f>'Factor Sets'!$D$14*$F$4</f>
        <v>618.0648275454547</v>
      </c>
      <c r="I19" s="35">
        <f>($Q$4*_xlfn.XLOOKUP(A19,'Emissions Projection Factors'!$A$5:$A$38,'Emissions Projection Factors'!$M$5:$M$38,0))/2205</f>
        <v>70.192159685079574</v>
      </c>
      <c r="J19" s="88">
        <f>$H$2*_xlfn.XLOOKUP(A19,'Emissions Projection Factors'!$A$3:$A$38,'Emissions Projection Factors'!$J$3:$J$38,,0)*'Factor Sets'!$B$28</f>
        <v>6.582890468106329E-3</v>
      </c>
      <c r="K19" s="60">
        <f>('Factor Sets'!$D$15*$F$2)*'Factor Sets'!$B$28</f>
        <v>0.99389129318181846</v>
      </c>
      <c r="L19" s="90">
        <f>($Q$2*_xlfn.XLOOKUP(A19,'Emissions Projection Factors'!$A$5:$A$38,'Emissions Projection Factors'!$P$5:$P$38,0)*'Factor Sets'!$B$28)/2205</f>
        <v>0.82892066973174905</v>
      </c>
      <c r="M19" s="93">
        <f>((_xlfn.XLOOKUP(A19,'Emissions Projection Factors'!$A$3:$A$38,'Emissions Projection Factors'!$P$3:$P$38,,0)*($F$3*0.29307107))/2205)*'Factor Sets'!$B$28</f>
        <v>0.90530606713384554</v>
      </c>
      <c r="N19" s="96">
        <f>((_xlfn.XLOOKUP(A19,'Emissions Projection Factors'!$A$3:$A$38,'Emissions Projection Factors'!$P$3:$P$38,,0)*($Q$3))/2205)*'Factor Sets'!$B$28</f>
        <v>0.61892743339970591</v>
      </c>
      <c r="O19" s="60">
        <f>$H$4*_xlfn.XLOOKUP(A19,'Emissions Projection Factors'!$A$3:$A$38,'Emissions Projection Factors'!$J$3:$J$38,,0)*'Factor Sets'!$B$28</f>
        <v>2.0445154696166414E-3</v>
      </c>
      <c r="P19" s="60">
        <f>('Factor Sets'!$D$15*$F$4)*'Factor Sets'!$B$28</f>
        <v>0.30868296136363649</v>
      </c>
      <c r="Q19" s="89">
        <f>($Q$4*_xlfn.XLOOKUP(A19,'Emissions Projection Factors'!$A$5:$A$38,'Emissions Projection Factors'!$P$5:$P$38,0)*'Factor Sets'!$B$28)/2205</f>
        <v>0.24389654338433719</v>
      </c>
      <c r="R19" s="60">
        <f>$H$2*_xlfn.XLOOKUP(A19,'Emissions Projection Factors'!$A$3:$A$38,'Emissions Projection Factors'!$G$3:$G$38,,0)*'Factor Sets'!$B$27</f>
        <v>58.564525459522173</v>
      </c>
      <c r="S19" s="60">
        <f>('Factor Sets'!$D$16*$F$2)*'Factor Sets'!$B$27</f>
        <v>1.050149290909091</v>
      </c>
      <c r="T19" s="90">
        <f>((_xlfn.XLOOKUP(A19,'Emissions Projection Factors'!$A$3:$A$38,'Emissions Projection Factors'!$Q$3:$Q$38,,0)*($Q$2))/2205)*'Factor Sets'!$B$27</f>
        <v>0.68972455726736071</v>
      </c>
      <c r="U19" s="93">
        <f>((_xlfn.XLOOKUP(A19,'Emissions Projection Factors'!$A$3:$A$38,'Emissions Projection Factors'!$Q$3:$Q$38,,0)*($F$3*0.29307107))/2205)*'Factor Sets'!$B$27</f>
        <v>0.75328297284155787</v>
      </c>
      <c r="V19" s="96">
        <f>((_xlfn.XLOOKUP(A19,'Emissions Projection Factors'!$A$3:$A$38,'Emissions Projection Factors'!$Q$3:$Q$38,,0)*$Q$3)/2205)*'Factor Sets'!$B$27</f>
        <v>0.51499433609296252</v>
      </c>
      <c r="W19" s="134">
        <f>$H$4*_xlfn.XLOOKUP(A19,'Emissions Projection Factors'!$A$3:$A$38,'Emissions Projection Factors'!$G$3:$G$38,,0)*'Factor Sets'!$B$27</f>
        <v>18.188982309953989</v>
      </c>
      <c r="X19" s="60">
        <f>('Factor Sets'!$D$16*$F$4)*'Factor Sets'!$B$27</f>
        <v>0.32615558181818188</v>
      </c>
      <c r="Y19" s="89">
        <f>((_xlfn.XLOOKUP(A19,'Emissions Projection Factors'!$A$3:$A$38,'Emissions Projection Factors'!$Q$3:$Q$38,,0)*($Q$3))/2205)*'Factor Sets'!$B$27</f>
        <v>0.51499433609296252</v>
      </c>
      <c r="Z19" s="88">
        <f t="shared" si="16"/>
        <v>2081.7638918517719</v>
      </c>
      <c r="AA19" s="60">
        <f t="shared" si="17"/>
        <v>262.20097781829486</v>
      </c>
      <c r="AB19" s="60">
        <f t="shared" si="18"/>
        <v>646.5546558310964</v>
      </c>
      <c r="AC19" s="88">
        <f t="shared" si="20"/>
        <v>240.07771297232142</v>
      </c>
      <c r="AD19" s="60">
        <f t="shared" si="21"/>
        <v>179.25802568599997</v>
      </c>
      <c r="AE19" s="60">
        <f t="shared" si="22"/>
        <v>70.95105056455688</v>
      </c>
      <c r="AF19" s="252">
        <f t="shared" si="19"/>
        <v>-2500.2327362782848</v>
      </c>
      <c r="AG19" s="123">
        <f t="shared" si="6"/>
        <v>-0.83605297171878057</v>
      </c>
      <c r="AH19" s="137">
        <v>2035</v>
      </c>
    </row>
    <row r="20" spans="1:34" x14ac:dyDescent="0.25">
      <c r="A20" s="104">
        <v>2036</v>
      </c>
      <c r="B20" s="94">
        <f>$H$2*_xlfn.XLOOKUP(A20,'Emissions Projection Factors'!$A$3:$A$38,'Emissions Projection Factors'!$L$3:$L$38,,0)</f>
        <v>31.115836644962993</v>
      </c>
      <c r="C20" s="31">
        <f>'Factor Sets'!$D$14*$F$2</f>
        <v>1990.0329062727278</v>
      </c>
      <c r="D20" s="96">
        <f>($Q$2*_xlfn.XLOOKUP(A20,'Emissions Projection Factors'!$A$5:$A$38,'Emissions Projection Factors'!$M$5:$M$38,0))/2205</f>
        <v>205.52781221134998</v>
      </c>
      <c r="E20" s="101">
        <f>(_xlfn.XLOOKUP(A20,'Emissions Projection Factors'!$A$3:$A$38,'Emissions Projection Factors'!M$3:M$38,,0)*($F$3*0.29307107))/2205</f>
        <v>224.46728879362408</v>
      </c>
      <c r="F20" s="100">
        <f>(_xlfn.XLOOKUP(A20,'Emissions Projection Factors'!$A$3:$A$38,'Emissions Projection Factors'!$M$3:$M$38,,0)*$Q$3)/2205</f>
        <v>153.46076645114132</v>
      </c>
      <c r="G20" s="31">
        <f>$H$4*_xlfn.XLOOKUP(A20,'Emissions Projection Factors'!$A$3:$A$38,'Emissions Projection Factors'!$L$3:$L$38,,0)</f>
        <v>9.6639629170362884</v>
      </c>
      <c r="H20" s="31">
        <f>'Factor Sets'!$D$14*$F$4</f>
        <v>618.0648275454547</v>
      </c>
      <c r="I20" s="35">
        <f>($Q$4*_xlfn.XLOOKUP(A20,'Emissions Projection Factors'!$A$5:$A$38,'Emissions Projection Factors'!$M$5:$M$38,0))/2205</f>
        <v>60.473245267144129</v>
      </c>
      <c r="J20" s="88">
        <f>$H$2*_xlfn.XLOOKUP(A20,'Emissions Projection Factors'!$A$3:$A$38,'Emissions Projection Factors'!$J$3:$J$38,,0)*'Factor Sets'!$B$28</f>
        <v>6.582890468106329E-3</v>
      </c>
      <c r="K20" s="60">
        <f>('Factor Sets'!$D$15*$F$2)*'Factor Sets'!$B$28</f>
        <v>0.99389129318181846</v>
      </c>
      <c r="L20" s="90">
        <f>($Q$2*_xlfn.XLOOKUP(A20,'Emissions Projection Factors'!$A$5:$A$38,'Emissions Projection Factors'!$P$5:$P$38,0)*'Factor Sets'!$B$28)/2205</f>
        <v>0.71414703853810624</v>
      </c>
      <c r="M20" s="93">
        <f>((_xlfn.XLOOKUP(A20,'Emissions Projection Factors'!$A$3:$A$38,'Emissions Projection Factors'!$P$3:$P$38,,0)*($F$3*0.29307107))/2205)*'Factor Sets'!$B$28</f>
        <v>0.77995599629991097</v>
      </c>
      <c r="N20" s="96">
        <f>((_xlfn.XLOOKUP(A20,'Emissions Projection Factors'!$A$3:$A$38,'Emissions Projection Factors'!$P$3:$P$38,,0)*($Q$3))/2205)*'Factor Sets'!$B$28</f>
        <v>0.53322978877511917</v>
      </c>
      <c r="O20" s="60">
        <f>$H$4*_xlfn.XLOOKUP(A20,'Emissions Projection Factors'!$A$3:$A$38,'Emissions Projection Factors'!$J$3:$J$38,,0)*'Factor Sets'!$B$28</f>
        <v>2.0445154696166414E-3</v>
      </c>
      <c r="P20" s="60">
        <f>('Factor Sets'!$D$15*$F$4)*'Factor Sets'!$B$28</f>
        <v>0.30868296136363649</v>
      </c>
      <c r="Q20" s="89">
        <f>($Q$4*_xlfn.XLOOKUP(A20,'Emissions Projection Factors'!$A$5:$A$38,'Emissions Projection Factors'!$P$5:$P$38,0)*'Factor Sets'!$B$28)/2205</f>
        <v>0.21012625276188579</v>
      </c>
      <c r="R20" s="60">
        <f>$H$2*_xlfn.XLOOKUP(A20,'Emissions Projection Factors'!$A$3:$A$38,'Emissions Projection Factors'!$G$3:$G$38,,0)*'Factor Sets'!$B$27</f>
        <v>57.552208464776633</v>
      </c>
      <c r="S20" s="60">
        <f>('Factor Sets'!$D$16*$F$2)*'Factor Sets'!$B$27</f>
        <v>1.050149290909091</v>
      </c>
      <c r="T20" s="90">
        <f>((_xlfn.XLOOKUP(A20,'Emissions Projection Factors'!$A$3:$A$38,'Emissions Projection Factors'!$Q$3:$Q$38,,0)*($Q$2))/2205)*'Factor Sets'!$B$27</f>
        <v>0.59422423395340507</v>
      </c>
      <c r="U20" s="93">
        <f>((_xlfn.XLOOKUP(A20,'Emissions Projection Factors'!$A$3:$A$38,'Emissions Projection Factors'!$Q$3:$Q$38,,0)*($F$3*0.29307107))/2205)*'Factor Sets'!$B$27</f>
        <v>0.64898225352501993</v>
      </c>
      <c r="V20" s="96">
        <f>((_xlfn.XLOOKUP(A20,'Emissions Projection Factors'!$A$3:$A$38,'Emissions Projection Factors'!$Q$3:$Q$38,,0)*$Q$3)/2205)*'Factor Sets'!$B$27</f>
        <v>0.44368742801854244</v>
      </c>
      <c r="W20" s="134">
        <f>$H$4*_xlfn.XLOOKUP(A20,'Emissions Projection Factors'!$A$3:$A$38,'Emissions Projection Factors'!$G$3:$G$38,,0)*'Factor Sets'!$B$27</f>
        <v>17.874576690425506</v>
      </c>
      <c r="X20" s="60">
        <f>('Factor Sets'!$D$16*$F$4)*'Factor Sets'!$B$27</f>
        <v>0.32615558181818188</v>
      </c>
      <c r="Y20" s="89">
        <f>((_xlfn.XLOOKUP(A20,'Emissions Projection Factors'!$A$3:$A$38,'Emissions Projection Factors'!$Q$3:$Q$38,,0)*($Q$3))/2205)*'Factor Sets'!$B$27</f>
        <v>0.44368742801854244</v>
      </c>
      <c r="Z20" s="88">
        <f t="shared" si="16"/>
        <v>2080.7515748570263</v>
      </c>
      <c r="AA20" s="60">
        <f t="shared" si="17"/>
        <v>225.89622704344902</v>
      </c>
      <c r="AB20" s="60">
        <f t="shared" si="18"/>
        <v>646.24025021156797</v>
      </c>
      <c r="AC20" s="88">
        <f t="shared" si="20"/>
        <v>206.83618348384149</v>
      </c>
      <c r="AD20" s="60">
        <f t="shared" si="21"/>
        <v>154.43768366793498</v>
      </c>
      <c r="AE20" s="60">
        <f t="shared" si="22"/>
        <v>61.12705894792456</v>
      </c>
      <c r="AF20" s="252">
        <f t="shared" si="19"/>
        <v>-2530.4871260123423</v>
      </c>
      <c r="AG20" s="123">
        <f t="shared" si="6"/>
        <v>-0.85695328822317529</v>
      </c>
      <c r="AH20" s="137">
        <v>2036</v>
      </c>
    </row>
    <row r="21" spans="1:34" x14ac:dyDescent="0.25">
      <c r="A21" s="104">
        <v>2037</v>
      </c>
      <c r="B21" s="94">
        <f>$H$2*_xlfn.XLOOKUP(A21,'Emissions Projection Factors'!$A$3:$A$38,'Emissions Projection Factors'!$L$3:$L$38,,0)</f>
        <v>31.115836644962993</v>
      </c>
      <c r="C21" s="31">
        <f>'Factor Sets'!$D$14*$F$2</f>
        <v>1990.0329062727278</v>
      </c>
      <c r="D21" s="96">
        <f>($Q$2*_xlfn.XLOOKUP(A21,'Emissions Projection Factors'!$A$5:$A$38,'Emissions Projection Factors'!$M$5:$M$38,0))/2205</f>
        <v>172.49655667738918</v>
      </c>
      <c r="E21" s="101">
        <f>(_xlfn.XLOOKUP(A21,'Emissions Projection Factors'!$A$3:$A$38,'Emissions Projection Factors'!M$3:M$38,,0)*($F$3*0.29307107))/2205</f>
        <v>188.3921888089412</v>
      </c>
      <c r="F21" s="100">
        <f>(_xlfn.XLOOKUP(A21,'Emissions Projection Factors'!$A$3:$A$38,'Emissions Projection Factors'!$M$3:$M$38,,0)*$Q$3)/2205</f>
        <v>128.79742898578388</v>
      </c>
      <c r="G21" s="31">
        <f>$H$4*_xlfn.XLOOKUP(A21,'Emissions Projection Factors'!$A$3:$A$38,'Emissions Projection Factors'!$L$3:$L$38,,0)</f>
        <v>9.6639629170362884</v>
      </c>
      <c r="H21" s="31">
        <f>'Factor Sets'!$D$14*$F$4</f>
        <v>618.0648275454547</v>
      </c>
      <c r="I21" s="35">
        <f>($Q$4*_xlfn.XLOOKUP(A21,'Emissions Projection Factors'!$A$5:$A$38,'Emissions Projection Factors'!$M$5:$M$38,0))/2205</f>
        <v>50.754330849212053</v>
      </c>
      <c r="J21" s="88">
        <f>$H$2*_xlfn.XLOOKUP(A21,'Emissions Projection Factors'!$A$3:$A$38,'Emissions Projection Factors'!$J$3:$J$38,,0)*'Factor Sets'!$B$28</f>
        <v>6.582890468106329E-3</v>
      </c>
      <c r="K21" s="60">
        <f>('Factor Sets'!$D$15*$F$2)*'Factor Sets'!$B$28</f>
        <v>0.99389129318181846</v>
      </c>
      <c r="L21" s="90">
        <f>($Q$2*_xlfn.XLOOKUP(A21,'Emissions Projection Factors'!$A$5:$A$38,'Emissions Projection Factors'!$P$5:$P$38,0)*'Factor Sets'!$B$28)/2205</f>
        <v>0.59937340734450339</v>
      </c>
      <c r="M21" s="93">
        <f>((_xlfn.XLOOKUP(A21,'Emissions Projection Factors'!$A$3:$A$38,'Emissions Projection Factors'!$P$3:$P$38,,0)*($F$3*0.29307107))/2205)*'Factor Sets'!$B$28</f>
        <v>0.65460592546602014</v>
      </c>
      <c r="N21" s="96">
        <f>((_xlfn.XLOOKUP(A21,'Emissions Projection Factors'!$A$3:$A$38,'Emissions Projection Factors'!$P$3:$P$38,,0)*($Q$3))/2205)*'Factor Sets'!$B$28</f>
        <v>0.44753214415056253</v>
      </c>
      <c r="O21" s="60">
        <f>$H$4*_xlfn.XLOOKUP(A21,'Emissions Projection Factors'!$A$3:$A$38,'Emissions Projection Factors'!$J$3:$J$38,,0)*'Factor Sets'!$B$28</f>
        <v>2.0445154696166414E-3</v>
      </c>
      <c r="P21" s="60">
        <f>('Factor Sets'!$D$15*$F$4)*'Factor Sets'!$B$28</f>
        <v>0.30868296136363649</v>
      </c>
      <c r="Q21" s="89">
        <f>($Q$4*_xlfn.XLOOKUP(A21,'Emissions Projection Factors'!$A$5:$A$38,'Emissions Projection Factors'!$P$5:$P$38,0)*'Factor Sets'!$B$28)/2205</f>
        <v>0.17635596213944618</v>
      </c>
      <c r="R21" s="60">
        <f>$H$2*_xlfn.XLOOKUP(A21,'Emissions Projection Factors'!$A$3:$A$38,'Emissions Projection Factors'!$G$3:$G$38,,0)*'Factor Sets'!$B$27</f>
        <v>58.437380618192769</v>
      </c>
      <c r="S21" s="60">
        <f>('Factor Sets'!$D$16*$F$2)*'Factor Sets'!$B$27</f>
        <v>1.050149290909091</v>
      </c>
      <c r="T21" s="90">
        <f>((_xlfn.XLOOKUP(A21,'Emissions Projection Factors'!$A$3:$A$38,'Emissions Projection Factors'!$Q$3:$Q$38,,0)*($Q$2))/2205)*'Factor Sets'!$B$27</f>
        <v>0.49872391063948279</v>
      </c>
      <c r="U21" s="93">
        <f>((_xlfn.XLOOKUP(A21,'Emissions Projection Factors'!$A$3:$A$38,'Emissions Projection Factors'!$Q$3:$Q$38,,0)*($F$3*0.29307107))/2205)*'Factor Sets'!$B$27</f>
        <v>0.54468153420851828</v>
      </c>
      <c r="V21" s="96">
        <f>((_xlfn.XLOOKUP(A21,'Emissions Projection Factors'!$A$3:$A$38,'Emissions Projection Factors'!$Q$3:$Q$38,,0)*$Q$3)/2205)*'Factor Sets'!$B$27</f>
        <v>0.37238051994414711</v>
      </c>
      <c r="W21" s="134">
        <f>$H$4*_xlfn.XLOOKUP(A21,'Emissions Projection Factors'!$A$3:$A$38,'Emissions Projection Factors'!$G$3:$G$38,,0)*'Factor Sets'!$B$27</f>
        <v>18.149493639097411</v>
      </c>
      <c r="X21" s="60">
        <f>('Factor Sets'!$D$16*$F$4)*'Factor Sets'!$B$27</f>
        <v>0.32615558181818188</v>
      </c>
      <c r="Y21" s="89">
        <f>((_xlfn.XLOOKUP(A21,'Emissions Projection Factors'!$A$3:$A$38,'Emissions Projection Factors'!$Q$3:$Q$38,,0)*($Q$3))/2205)*'Factor Sets'!$B$27</f>
        <v>0.37238051994414711</v>
      </c>
      <c r="Z21" s="88">
        <f t="shared" si="16"/>
        <v>2081.6367470104428</v>
      </c>
      <c r="AA21" s="60">
        <f t="shared" si="17"/>
        <v>189.59147626861574</v>
      </c>
      <c r="AB21" s="60">
        <f t="shared" si="18"/>
        <v>646.5151671602398</v>
      </c>
      <c r="AC21" s="88">
        <f t="shared" si="20"/>
        <v>173.59465399537316</v>
      </c>
      <c r="AD21" s="60">
        <f t="shared" si="21"/>
        <v>129.6173416498786</v>
      </c>
      <c r="AE21" s="60">
        <f t="shared" si="22"/>
        <v>51.303067331295644</v>
      </c>
      <c r="AF21" s="252">
        <f t="shared" si="19"/>
        <v>-2563.2283274627507</v>
      </c>
      <c r="AG21" s="123">
        <f t="shared" si="6"/>
        <v>-0.87849683281326141</v>
      </c>
      <c r="AH21" s="137">
        <v>2037</v>
      </c>
    </row>
    <row r="22" spans="1:34" x14ac:dyDescent="0.25">
      <c r="A22" s="104">
        <v>2038</v>
      </c>
      <c r="B22" s="94">
        <f>$H$2*_xlfn.XLOOKUP(A22,'Emissions Projection Factors'!$A$3:$A$38,'Emissions Projection Factors'!$L$3:$L$38,,0)</f>
        <v>31.115836644962993</v>
      </c>
      <c r="C22" s="31">
        <f>'Factor Sets'!$D$14*$F$2</f>
        <v>1990.0329062727278</v>
      </c>
      <c r="D22" s="96">
        <f>($Q$2*_xlfn.XLOOKUP(A22,'Emissions Projection Factors'!$A$5:$A$38,'Emissions Projection Factors'!$M$5:$M$38,0))/2205</f>
        <v>139.46530114341687</v>
      </c>
      <c r="E22" s="101">
        <f>(_xlfn.XLOOKUP(A22,'Emissions Projection Factors'!$A$3:$A$38,'Emissions Projection Factors'!M$3:M$38,,0)*($F$3*0.29307107))/2205</f>
        <v>152.31708882424581</v>
      </c>
      <c r="F22" s="100">
        <f>(_xlfn.XLOOKUP(A22,'Emissions Projection Factors'!$A$3:$A$38,'Emissions Projection Factors'!$M$3:$M$38,,0)*$Q$3)/2205</f>
        <v>104.13409152041793</v>
      </c>
      <c r="G22" s="31">
        <f>$H$4*_xlfn.XLOOKUP(A22,'Emissions Projection Factors'!$A$3:$A$38,'Emissions Projection Factors'!$L$3:$L$38,,0)</f>
        <v>9.6639629170362884</v>
      </c>
      <c r="H22" s="31">
        <f>'Factor Sets'!$D$14*$F$4</f>
        <v>618.0648275454547</v>
      </c>
      <c r="I22" s="35">
        <f>($Q$4*_xlfn.XLOOKUP(A22,'Emissions Projection Factors'!$A$5:$A$38,'Emissions Projection Factors'!$M$5:$M$38,0))/2205</f>
        <v>41.035416431276609</v>
      </c>
      <c r="J22" s="88">
        <f>$H$2*_xlfn.XLOOKUP(A22,'Emissions Projection Factors'!$A$3:$A$38,'Emissions Projection Factors'!$J$3:$J$38,,0)*'Factor Sets'!$B$28</f>
        <v>6.582890468106329E-3</v>
      </c>
      <c r="K22" s="60">
        <f>('Factor Sets'!$D$15*$F$2)*'Factor Sets'!$B$28</f>
        <v>0.99389129318181846</v>
      </c>
      <c r="L22" s="90">
        <f>($Q$2*_xlfn.XLOOKUP(A22,'Emissions Projection Factors'!$A$5:$A$38,'Emissions Projection Factors'!$P$5:$P$38,0)*'Factor Sets'!$B$28)/2205</f>
        <v>0.48459977615086075</v>
      </c>
      <c r="M22" s="93">
        <f>((_xlfn.XLOOKUP(A22,'Emissions Projection Factors'!$A$3:$A$38,'Emissions Projection Factors'!$P$3:$P$38,,0)*($F$3*0.29307107))/2205)*'Factor Sets'!$B$28</f>
        <v>0.52925585463208558</v>
      </c>
      <c r="N22" s="96">
        <f>((_xlfn.XLOOKUP(A22,'Emissions Projection Factors'!$A$3:$A$38,'Emissions Projection Factors'!$P$3:$P$38,,0)*($Q$3))/2205)*'Factor Sets'!$B$28</f>
        <v>0.36183449952597596</v>
      </c>
      <c r="O22" s="60">
        <f>$H$4*_xlfn.XLOOKUP(A22,'Emissions Projection Factors'!$A$3:$A$38,'Emissions Projection Factors'!$J$3:$J$38,,0)*'Factor Sets'!$B$28</f>
        <v>2.0445154696166414E-3</v>
      </c>
      <c r="P22" s="60">
        <f>('Factor Sets'!$D$15*$F$4)*'Factor Sets'!$B$28</f>
        <v>0.30868296136363649</v>
      </c>
      <c r="Q22" s="89">
        <f>($Q$4*_xlfn.XLOOKUP(A22,'Emissions Projection Factors'!$A$5:$A$38,'Emissions Projection Factors'!$P$5:$P$38,0)*'Factor Sets'!$B$28)/2205</f>
        <v>0.14258567151699478</v>
      </c>
      <c r="R22" s="60">
        <f>$H$2*_xlfn.XLOOKUP(A22,'Emissions Projection Factors'!$A$3:$A$38,'Emissions Projection Factors'!$G$3:$G$38,,0)*'Factor Sets'!$B$27</f>
        <v>59.091498899592835</v>
      </c>
      <c r="S22" s="60">
        <f>('Factor Sets'!$D$16*$F$2)*'Factor Sets'!$B$27</f>
        <v>1.050149290909091</v>
      </c>
      <c r="T22" s="90">
        <f>((_xlfn.XLOOKUP(A22,'Emissions Projection Factors'!$A$3:$A$38,'Emissions Projection Factors'!$Q$3:$Q$38,,0)*($Q$2))/2205)*'Factor Sets'!$B$27</f>
        <v>0.40322358732552727</v>
      </c>
      <c r="U22" s="93">
        <f>((_xlfn.XLOOKUP(A22,'Emissions Projection Factors'!$A$3:$A$38,'Emissions Projection Factors'!$Q$3:$Q$38,,0)*($F$3*0.29307107))/2205)*'Factor Sets'!$B$27</f>
        <v>0.44038081489198033</v>
      </c>
      <c r="V22" s="96">
        <f>((_xlfn.XLOOKUP(A22,'Emissions Projection Factors'!$A$3:$A$38,'Emissions Projection Factors'!$Q$3:$Q$38,,0)*$Q$3)/2205)*'Factor Sets'!$B$27</f>
        <v>0.30107361186972698</v>
      </c>
      <c r="W22" s="134">
        <f>$H$4*_xlfn.XLOOKUP(A22,'Emissions Projection Factors'!$A$3:$A$38,'Emissions Projection Factors'!$G$3:$G$38,,0)*'Factor Sets'!$B$27</f>
        <v>18.352649828883781</v>
      </c>
      <c r="X22" s="60">
        <f>('Factor Sets'!$D$16*$F$4)*'Factor Sets'!$B$27</f>
        <v>0.32615558181818188</v>
      </c>
      <c r="Y22" s="89">
        <f>((_xlfn.XLOOKUP(A22,'Emissions Projection Factors'!$A$3:$A$38,'Emissions Projection Factors'!$Q$3:$Q$38,,0)*($Q$3))/2205)*'Factor Sets'!$B$27</f>
        <v>0.30107361186972698</v>
      </c>
      <c r="Z22" s="88">
        <f t="shared" si="16"/>
        <v>2082.2908652918427</v>
      </c>
      <c r="AA22" s="60">
        <f t="shared" si="17"/>
        <v>153.28672549376986</v>
      </c>
      <c r="AB22" s="60">
        <f t="shared" si="18"/>
        <v>646.71832335002614</v>
      </c>
      <c r="AC22" s="88">
        <f t="shared" si="20"/>
        <v>140.35312450689327</v>
      </c>
      <c r="AD22" s="60">
        <f t="shared" si="21"/>
        <v>104.79699963181362</v>
      </c>
      <c r="AE22" s="60">
        <f t="shared" si="22"/>
        <v>41.479075714663331</v>
      </c>
      <c r="AF22" s="252">
        <f t="shared" si="19"/>
        <v>-2595.6667142822685</v>
      </c>
      <c r="AG22" s="123">
        <f t="shared" si="6"/>
        <v>-0.90055524887376925</v>
      </c>
      <c r="AH22" s="137">
        <v>2038</v>
      </c>
    </row>
    <row r="23" spans="1:34" x14ac:dyDescent="0.25">
      <c r="A23" s="104">
        <v>2039</v>
      </c>
      <c r="B23" s="94">
        <f>$H$2*_xlfn.XLOOKUP(A23,'Emissions Projection Factors'!$A$3:$A$38,'Emissions Projection Factors'!$L$3:$L$38,,0)</f>
        <v>31.115836644962993</v>
      </c>
      <c r="C23" s="31">
        <f>'Factor Sets'!$D$14*$F$2</f>
        <v>1990.0329062727278</v>
      </c>
      <c r="D23" s="96">
        <f>($Q$2*_xlfn.XLOOKUP(A23,'Emissions Projection Factors'!$A$5:$A$38,'Emissions Projection Factors'!$M$5:$M$38,0))/2205</f>
        <v>106.4340456094446</v>
      </c>
      <c r="E23" s="101">
        <f>(_xlfn.XLOOKUP(A23,'Emissions Projection Factors'!$A$3:$A$38,'Emissions Projection Factors'!M$3:M$38,,0)*($F$3*0.29307107))/2205</f>
        <v>116.24198883955039</v>
      </c>
      <c r="F23" s="100">
        <f>(_xlfn.XLOOKUP(A23,'Emissions Projection Factors'!$A$3:$A$38,'Emissions Projection Factors'!$M$3:$M$38,,0)*$Q$3)/2205</f>
        <v>79.470754055051941</v>
      </c>
      <c r="G23" s="31">
        <f>$H$4*_xlfn.XLOOKUP(A23,'Emissions Projection Factors'!$A$3:$A$38,'Emissions Projection Factors'!$L$3:$L$38,,0)</f>
        <v>9.6639629170362884</v>
      </c>
      <c r="H23" s="31">
        <f>'Factor Sets'!$D$14*$F$4</f>
        <v>618.0648275454547</v>
      </c>
      <c r="I23" s="35">
        <f>($Q$4*_xlfn.XLOOKUP(A23,'Emissions Projection Factors'!$A$5:$A$38,'Emissions Projection Factors'!$M$5:$M$38,0))/2205</f>
        <v>31.316502013341164</v>
      </c>
      <c r="J23" s="88">
        <f>$H$2*_xlfn.XLOOKUP(A23,'Emissions Projection Factors'!$A$3:$A$38,'Emissions Projection Factors'!$J$3:$J$38,,0)*'Factor Sets'!$B$28</f>
        <v>6.582890468106329E-3</v>
      </c>
      <c r="K23" s="60">
        <f>('Factor Sets'!$D$15*$F$2)*'Factor Sets'!$B$28</f>
        <v>0.99389129318181846</v>
      </c>
      <c r="L23" s="90">
        <f>($Q$2*_xlfn.XLOOKUP(A23,'Emissions Projection Factors'!$A$5:$A$38,'Emissions Projection Factors'!$P$5:$P$38,0)*'Factor Sets'!$B$28)/2205</f>
        <v>0.36982614495721799</v>
      </c>
      <c r="M23" s="93">
        <f>((_xlfn.XLOOKUP(A23,'Emissions Projection Factors'!$A$3:$A$38,'Emissions Projection Factors'!$P$3:$P$38,,0)*($F$3*0.29307107))/2205)*'Factor Sets'!$B$28</f>
        <v>0.40390578379815112</v>
      </c>
      <c r="N23" s="96">
        <f>((_xlfn.XLOOKUP(A23,'Emissions Projection Factors'!$A$3:$A$38,'Emissions Projection Factors'!$P$3:$P$38,,0)*($Q$3))/2205)*'Factor Sets'!$B$28</f>
        <v>0.27613685490138939</v>
      </c>
      <c r="O23" s="60">
        <f>$H$4*_xlfn.XLOOKUP(A23,'Emissions Projection Factors'!$A$3:$A$38,'Emissions Projection Factors'!$J$3:$J$38,,0)*'Factor Sets'!$B$28</f>
        <v>2.0445154696166414E-3</v>
      </c>
      <c r="P23" s="60">
        <f>('Factor Sets'!$D$15*$F$4)*'Factor Sets'!$B$28</f>
        <v>0.30868296136363649</v>
      </c>
      <c r="Q23" s="89">
        <f>($Q$4*_xlfn.XLOOKUP(A23,'Emissions Projection Factors'!$A$5:$A$38,'Emissions Projection Factors'!$P$5:$P$38,0)*'Factor Sets'!$B$28)/2205</f>
        <v>0.1088153808945434</v>
      </c>
      <c r="R23" s="60">
        <f>$H$2*_xlfn.XLOOKUP(A23,'Emissions Projection Factors'!$A$3:$A$38,'Emissions Projection Factors'!$G$3:$G$38,,0)*'Factor Sets'!$B$27</f>
        <v>59.667687876685292</v>
      </c>
      <c r="S23" s="60">
        <f>('Factor Sets'!$D$16*$F$2)*'Factor Sets'!$B$27</f>
        <v>1.050149290909091</v>
      </c>
      <c r="T23" s="90">
        <f>((_xlfn.XLOOKUP(A23,'Emissions Projection Factors'!$A$3:$A$38,'Emissions Projection Factors'!$Q$3:$Q$38,,0)*($Q$2))/2205)*'Factor Sets'!$B$27</f>
        <v>0.30772326401157174</v>
      </c>
      <c r="U23" s="93">
        <f>((_xlfn.XLOOKUP(A23,'Emissions Projection Factors'!$A$3:$A$38,'Emissions Projection Factors'!$Q$3:$Q$38,,0)*($F$3*0.29307107))/2205)*'Factor Sets'!$B$27</f>
        <v>0.33608009557544255</v>
      </c>
      <c r="V23" s="96">
        <f>((_xlfn.XLOOKUP(A23,'Emissions Projection Factors'!$A$3:$A$38,'Emissions Projection Factors'!$Q$3:$Q$38,,0)*$Q$3)/2205)*'Factor Sets'!$B$27</f>
        <v>0.22976670379530689</v>
      </c>
      <c r="W23" s="134">
        <f>$H$4*_xlfn.XLOOKUP(A23,'Emissions Projection Factors'!$A$3:$A$38,'Emissions Projection Factors'!$G$3:$G$38,,0)*'Factor Sets'!$B$27</f>
        <v>18.531602719380075</v>
      </c>
      <c r="X23" s="60">
        <f>('Factor Sets'!$D$16*$F$4)*'Factor Sets'!$B$27</f>
        <v>0.32615558181818188</v>
      </c>
      <c r="Y23" s="89">
        <f>((_xlfn.XLOOKUP(A23,'Emissions Projection Factors'!$A$3:$A$38,'Emissions Projection Factors'!$Q$3:$Q$38,,0)*($Q$3))/2205)*'Factor Sets'!$B$27</f>
        <v>0.22976670379530689</v>
      </c>
      <c r="Z23" s="88">
        <f t="shared" si="16"/>
        <v>2082.8670542689351</v>
      </c>
      <c r="AA23" s="60">
        <f t="shared" si="17"/>
        <v>116.98197471892398</v>
      </c>
      <c r="AB23" s="60">
        <f t="shared" si="18"/>
        <v>646.8972762405225</v>
      </c>
      <c r="AC23" s="88">
        <f t="shared" si="20"/>
        <v>107.11159501841338</v>
      </c>
      <c r="AD23" s="60">
        <f t="shared" si="21"/>
        <v>79.976657613748642</v>
      </c>
      <c r="AE23" s="60">
        <f t="shared" si="22"/>
        <v>31.655084098031015</v>
      </c>
      <c r="AF23" s="252">
        <f t="shared" si="19"/>
        <v>-2628.0029684981882</v>
      </c>
      <c r="AG23" s="123">
        <f t="shared" si="6"/>
        <v>-0.9231602281072796</v>
      </c>
      <c r="AH23" s="137">
        <v>2039</v>
      </c>
    </row>
    <row r="24" spans="1:34" x14ac:dyDescent="0.25">
      <c r="A24" s="104">
        <v>2040</v>
      </c>
      <c r="B24" s="94">
        <f>$H$2*_xlfn.XLOOKUP(A24,'Emissions Projection Factors'!$A$3:$A$38,'Emissions Projection Factors'!$L$3:$L$38,,0)</f>
        <v>31.115836644962993</v>
      </c>
      <c r="C24" s="31">
        <f>'Factor Sets'!$D$14*$F$2</f>
        <v>1990.0329062727278</v>
      </c>
      <c r="D24" s="96">
        <f>($Q$2*_xlfn.XLOOKUP(A24,'Emissions Projection Factors'!$A$5:$A$38,'Emissions Projection Factors'!$M$5:$M$38,0))/2205</f>
        <v>73.402790075483779</v>
      </c>
      <c r="E24" s="101">
        <f>(_xlfn.XLOOKUP(A24,'Emissions Projection Factors'!$A$3:$A$38,'Emissions Projection Factors'!M$3:M$38,,0)*($F$3*0.29307107))/2205</f>
        <v>80.166888854867537</v>
      </c>
      <c r="F24" s="100">
        <f>(_xlfn.XLOOKUP(A24,'Emissions Projection Factors'!$A$3:$A$38,'Emissions Projection Factors'!$M$3:$M$38,,0)*$Q$3)/2205</f>
        <v>54.807416589694547</v>
      </c>
      <c r="G24" s="31">
        <f>$H$4*_xlfn.XLOOKUP(A24,'Emissions Projection Factors'!$A$3:$A$38,'Emissions Projection Factors'!$L$3:$L$38,,0)</f>
        <v>9.6639629170362884</v>
      </c>
      <c r="H24" s="31">
        <f>'Factor Sets'!$D$14*$F$4</f>
        <v>618.0648275454547</v>
      </c>
      <c r="I24" s="35">
        <f>($Q$4*_xlfn.XLOOKUP(A24,'Emissions Projection Factors'!$A$5:$A$38,'Emissions Projection Factors'!$M$5:$M$38,0))/2205</f>
        <v>21.597587595409099</v>
      </c>
      <c r="J24" s="88">
        <f>$H$2*_xlfn.XLOOKUP(A24,'Emissions Projection Factors'!$A$3:$A$38,'Emissions Projection Factors'!$J$3:$J$38,,0)*'Factor Sets'!$B$28</f>
        <v>6.5828904681063272E-3</v>
      </c>
      <c r="K24" s="60">
        <f>('Factor Sets'!$D$15*$F$2)*'Factor Sets'!$B$28</f>
        <v>0.99389129318181846</v>
      </c>
      <c r="L24" s="90">
        <f>($Q$2*_xlfn.XLOOKUP(A24,'Emissions Projection Factors'!$A$5:$A$38,'Emissions Projection Factors'!$P$5:$P$38,0)*'Factor Sets'!$B$28)/2205</f>
        <v>0.25505251376361504</v>
      </c>
      <c r="M24" s="93">
        <f>((_xlfn.XLOOKUP(A24,'Emissions Projection Factors'!$A$3:$A$38,'Emissions Projection Factors'!$P$3:$P$38,,0)*($F$3*0.29307107))/2205)*'Factor Sets'!$B$28</f>
        <v>0.27855571296426013</v>
      </c>
      <c r="N24" s="96">
        <f>((_xlfn.XLOOKUP(A24,'Emissions Projection Factors'!$A$3:$A$38,'Emissions Projection Factors'!$P$3:$P$38,,0)*($Q$3))/2205)*'Factor Sets'!$B$28</f>
        <v>0.19043921027683258</v>
      </c>
      <c r="O24" s="60">
        <f>$H$4*_xlfn.XLOOKUP(A24,'Emissions Projection Factors'!$A$3:$A$38,'Emissions Projection Factors'!$J$3:$J$38,,0)*'Factor Sets'!$B$28</f>
        <v>2.0445154696166409E-3</v>
      </c>
      <c r="P24" s="60">
        <f>('Factor Sets'!$D$15*$F$4)*'Factor Sets'!$B$28</f>
        <v>0.30868296136363649</v>
      </c>
      <c r="Q24" s="89">
        <f>($Q$4*_xlfn.XLOOKUP(A24,'Emissions Projection Factors'!$A$5:$A$38,'Emissions Projection Factors'!$P$5:$P$38,0)*'Factor Sets'!$B$28)/2205</f>
        <v>7.5045090272103737E-2</v>
      </c>
      <c r="R24" s="60">
        <f>$H$2*_xlfn.XLOOKUP(A24,'Emissions Projection Factors'!$A$3:$A$38,'Emissions Projection Factors'!$G$3:$G$38,,0)*'Factor Sets'!$B$27</f>
        <v>59.991301608532659</v>
      </c>
      <c r="S24" s="60">
        <f>('Factor Sets'!$D$16*$F$2)*'Factor Sets'!$B$27</f>
        <v>1.050149290909091</v>
      </c>
      <c r="T24" s="90">
        <f>((_xlfn.XLOOKUP(A24,'Emissions Projection Factors'!$A$3:$A$38,'Emissions Projection Factors'!$Q$3:$Q$38,,0)*($Q$2))/2205)*'Factor Sets'!$B$27</f>
        <v>0.21222294069764941</v>
      </c>
      <c r="U24" s="93">
        <f>((_xlfn.XLOOKUP(A24,'Emissions Projection Factors'!$A$3:$A$38,'Emissions Projection Factors'!$Q$3:$Q$38,,0)*($F$3*0.29307107))/2205)*'Factor Sets'!$B$27</f>
        <v>0.23177937625894082</v>
      </c>
      <c r="V24" s="96">
        <f>((_xlfn.XLOOKUP(A24,'Emissions Projection Factors'!$A$3:$A$38,'Emissions Projection Factors'!$Q$3:$Q$38,,0)*$Q$3)/2205)*'Factor Sets'!$B$27</f>
        <v>0.15845979572091154</v>
      </c>
      <c r="W24" s="134">
        <f>$H$4*_xlfn.XLOOKUP(A24,'Emissions Projection Factors'!$A$3:$A$38,'Emissions Projection Factors'!$G$3:$G$38,,0)*'Factor Sets'!$B$27</f>
        <v>18.632110738486251</v>
      </c>
      <c r="X24" s="60">
        <f>('Factor Sets'!$D$16*$F$4)*'Factor Sets'!$B$27</f>
        <v>0.32615558181818188</v>
      </c>
      <c r="Y24" s="89">
        <f>((_xlfn.XLOOKUP(A24,'Emissions Projection Factors'!$A$3:$A$38,'Emissions Projection Factors'!$Q$3:$Q$38,,0)*($Q$3))/2205)*'Factor Sets'!$B$27</f>
        <v>0.15845979572091154</v>
      </c>
      <c r="Z24" s="88">
        <f t="shared" si="16"/>
        <v>2083.1906680007824</v>
      </c>
      <c r="AA24" s="60">
        <f t="shared" si="17"/>
        <v>80.677223944090741</v>
      </c>
      <c r="AB24" s="60">
        <f t="shared" si="18"/>
        <v>646.9977842596287</v>
      </c>
      <c r="AC24" s="88">
        <f t="shared" si="20"/>
        <v>73.870065529945037</v>
      </c>
      <c r="AD24" s="60">
        <f t="shared" si="21"/>
        <v>55.156315595692291</v>
      </c>
      <c r="AE24" s="60">
        <f t="shared" si="22"/>
        <v>21.831092481402113</v>
      </c>
      <c r="AF24" s="252">
        <f t="shared" si="19"/>
        <v>-2660.0082025974621</v>
      </c>
      <c r="AG24" s="123">
        <f t="shared" si="6"/>
        <v>-0.9463306002545302</v>
      </c>
      <c r="AH24" s="137">
        <v>2040</v>
      </c>
    </row>
    <row r="25" spans="1:34" x14ac:dyDescent="0.25">
      <c r="A25" s="104">
        <v>2041</v>
      </c>
      <c r="B25" s="94">
        <f>$H$2*_xlfn.XLOOKUP(A25,'Emissions Projection Factors'!$A$3:$A$38,'Emissions Projection Factors'!$L$3:$L$38,,0)</f>
        <v>31.115836644962993</v>
      </c>
      <c r="C25" s="31">
        <f>'Factor Sets'!$D$14*$F$2</f>
        <v>1990.0329062727278</v>
      </c>
      <c r="D25" s="96">
        <f>($Q$2*_xlfn.XLOOKUP(A25,'Emissions Projection Factors'!$A$5:$A$38,'Emissions Projection Factors'!$M$5:$M$38,0))/2205</f>
        <v>66.062511067933102</v>
      </c>
      <c r="E25" s="101">
        <f>(_xlfn.XLOOKUP(A25,'Emissions Projection Factors'!$A$3:$A$38,'Emissions Projection Factors'!M$3:M$38,,0)*($F$3*0.29307107))/2205</f>
        <v>72.150199969378264</v>
      </c>
      <c r="F25" s="100">
        <f>(_xlfn.XLOOKUP(A25,'Emissions Projection Factors'!$A$3:$A$38,'Emissions Projection Factors'!$M$3:$M$38,,0)*$Q$3)/2205</f>
        <v>49.326674930723378</v>
      </c>
      <c r="G25" s="31">
        <f>$H$4*_xlfn.XLOOKUP(A25,'Emissions Projection Factors'!$A$3:$A$38,'Emissions Projection Factors'!$L$3:$L$38,,0)</f>
        <v>9.6639629170362884</v>
      </c>
      <c r="H25" s="31">
        <f>'Factor Sets'!$D$14*$F$4</f>
        <v>618.0648275454547</v>
      </c>
      <c r="I25" s="35">
        <f>($Q$4*_xlfn.XLOOKUP(A25,'Emissions Projection Factors'!$A$5:$A$38,'Emissions Projection Factors'!$M$5:$M$38,0))/2205</f>
        <v>19.43782883586751</v>
      </c>
      <c r="J25" s="88">
        <f>$H$2*_xlfn.XLOOKUP(A25,'Emissions Projection Factors'!$A$3:$A$38,'Emissions Projection Factors'!$J$3:$J$38,,0)*'Factor Sets'!$B$28</f>
        <v>6.5828904681063272E-3</v>
      </c>
      <c r="K25" s="60">
        <f>('Factor Sets'!$D$15*$F$2)*'Factor Sets'!$B$28</f>
        <v>0.99389129318181846</v>
      </c>
      <c r="L25" s="90">
        <f>($Q$2*_xlfn.XLOOKUP(A25,'Emissions Projection Factors'!$A$5:$A$38,'Emissions Projection Factors'!$P$5:$P$38,0)*'Factor Sets'!$B$28)/2205</f>
        <v>0.2295472623872456</v>
      </c>
      <c r="M25" s="93">
        <f>((_xlfn.XLOOKUP(A25,'Emissions Projection Factors'!$A$3:$A$38,'Emissions Projection Factors'!$P$3:$P$38,,0)*($F$3*0.29307107))/2205)*'Factor Sets'!$B$28</f>
        <v>0.25070014166782539</v>
      </c>
      <c r="N25" s="96">
        <f>((_xlfn.XLOOKUP(A25,'Emissions Projection Factors'!$A$3:$A$38,'Emissions Projection Factors'!$P$3:$P$38,,0)*($Q$3))/2205)*'Factor Sets'!$B$28</f>
        <v>0.17139528924914338</v>
      </c>
      <c r="O25" s="60">
        <f>$H$4*_xlfn.XLOOKUP(A25,'Emissions Projection Factors'!$A$3:$A$38,'Emissions Projection Factors'!$J$3:$J$38,,0)*'Factor Sets'!$B$28</f>
        <v>2.0445154696166409E-3</v>
      </c>
      <c r="P25" s="60">
        <f>('Factor Sets'!$D$15*$F$4)*'Factor Sets'!$B$28</f>
        <v>0.30868296136363649</v>
      </c>
      <c r="Q25" s="89">
        <f>($Q$4*_xlfn.XLOOKUP(A25,'Emissions Projection Factors'!$A$5:$A$38,'Emissions Projection Factors'!$P$5:$P$38,0)*'Factor Sets'!$B$28)/2205</f>
        <v>6.7540581244891013E-2</v>
      </c>
      <c r="R25" s="60">
        <f>$H$2*_xlfn.XLOOKUP(A25,'Emissions Projection Factors'!$A$3:$A$38,'Emissions Projection Factors'!$G$3:$G$38,,0)*'Factor Sets'!$B$27</f>
        <v>60.269621600493934</v>
      </c>
      <c r="S25" s="60">
        <f>('Factor Sets'!$D$16*$F$2)*'Factor Sets'!$B$27</f>
        <v>1.050149290909091</v>
      </c>
      <c r="T25" s="90">
        <f>((_xlfn.XLOOKUP(A25,'Emissions Projection Factors'!$A$3:$A$38,'Emissions Projection Factors'!$Q$3:$Q$38,,0)*($Q$2))/2205)*'Factor Sets'!$B$27</f>
        <v>0.19100064662787786</v>
      </c>
      <c r="U25" s="93">
        <f>((_xlfn.XLOOKUP(A25,'Emissions Projection Factors'!$A$3:$A$38,'Emissions Projection Factors'!$Q$3:$Q$38,,0)*($F$3*0.29307107))/2205)*'Factor Sets'!$B$27</f>
        <v>0.20860143863303954</v>
      </c>
      <c r="V25" s="96">
        <f>((_xlfn.XLOOKUP(A25,'Emissions Projection Factors'!$A$3:$A$38,'Emissions Projection Factors'!$Q$3:$Q$38,,0)*$Q$3)/2205)*'Factor Sets'!$B$27</f>
        <v>0.14261381614881544</v>
      </c>
      <c r="W25" s="134">
        <f>$H$4*_xlfn.XLOOKUP(A25,'Emissions Projection Factors'!$A$3:$A$38,'Emissions Projection Factors'!$G$3:$G$38,,0)*'Factor Sets'!$B$27</f>
        <v>18.718551418583445</v>
      </c>
      <c r="X25" s="60">
        <f>('Factor Sets'!$D$16*$F$4)*'Factor Sets'!$B$27</f>
        <v>0.32615558181818188</v>
      </c>
      <c r="Y25" s="89">
        <f>((_xlfn.XLOOKUP(A25,'Emissions Projection Factors'!$A$3:$A$38,'Emissions Projection Factors'!$Q$3:$Q$38,,0)*($Q$3))/2205)*'Factor Sets'!$B$27</f>
        <v>0.14261381614881544</v>
      </c>
      <c r="Z25" s="88">
        <f t="shared" si="16"/>
        <v>2083.4689879927437</v>
      </c>
      <c r="AA25" s="60">
        <f t="shared" si="17"/>
        <v>72.609501549679123</v>
      </c>
      <c r="AB25" s="60">
        <f t="shared" si="18"/>
        <v>647.08422493972591</v>
      </c>
      <c r="AC25" s="88">
        <f t="shared" si="20"/>
        <v>66.483058976948229</v>
      </c>
      <c r="AD25" s="60">
        <f t="shared" si="21"/>
        <v>49.640684036121336</v>
      </c>
      <c r="AE25" s="60">
        <f t="shared" si="22"/>
        <v>19.647983233261218</v>
      </c>
      <c r="AF25" s="252">
        <f t="shared" si="19"/>
        <v>-2667.390988235818</v>
      </c>
      <c r="AG25" s="123">
        <f t="shared" si="6"/>
        <v>-0.9515648072996673</v>
      </c>
      <c r="AH25" s="137">
        <v>2041</v>
      </c>
    </row>
    <row r="26" spans="1:34" x14ac:dyDescent="0.25">
      <c r="A26" s="104">
        <v>2042</v>
      </c>
      <c r="B26" s="94">
        <f>$H$2*_xlfn.XLOOKUP(A26,'Emissions Projection Factors'!$A$3:$A$38,'Emissions Projection Factors'!$L$3:$L$38,,0)</f>
        <v>31.115836644962993</v>
      </c>
      <c r="C26" s="31">
        <f>'Factor Sets'!$D$14*$F$2</f>
        <v>1990.0329062727278</v>
      </c>
      <c r="D26" s="96">
        <f>($Q$2*_xlfn.XLOOKUP(A26,'Emissions Projection Factors'!$A$5:$A$38,'Emissions Projection Factors'!$M$5:$M$38,0))/2205</f>
        <v>58.722232060385295</v>
      </c>
      <c r="E26" s="101">
        <f>(_xlfn.XLOOKUP(A26,'Emissions Projection Factors'!$A$3:$A$38,'Emissions Projection Factors'!M$3:M$38,,0)*($F$3*0.29307107))/2205</f>
        <v>64.133511083892145</v>
      </c>
      <c r="F26" s="100">
        <f>(_xlfn.XLOOKUP(A26,'Emissions Projection Factors'!$A$3:$A$38,'Emissions Projection Factors'!$M$3:$M$38,,0)*$Q$3)/2205</f>
        <v>43.845933271754355</v>
      </c>
      <c r="G26" s="31">
        <f>$H$4*_xlfn.XLOOKUP(A26,'Emissions Projection Factors'!$A$3:$A$38,'Emissions Projection Factors'!$L$3:$L$38,,0)</f>
        <v>9.6639629170362884</v>
      </c>
      <c r="H26" s="31">
        <f>'Factor Sets'!$D$14*$F$4</f>
        <v>618.0648275454547</v>
      </c>
      <c r="I26" s="35">
        <f>($Q$4*_xlfn.XLOOKUP(A26,'Emissions Projection Factors'!$A$5:$A$38,'Emissions Projection Factors'!$M$5:$M$38,0))/2205</f>
        <v>17.278070076326774</v>
      </c>
      <c r="J26" s="88">
        <f>$H$2*_xlfn.XLOOKUP(A26,'Emissions Projection Factors'!$A$3:$A$38,'Emissions Projection Factors'!$J$3:$J$38,,0)*'Factor Sets'!$B$28</f>
        <v>6.5828904681063272E-3</v>
      </c>
      <c r="K26" s="60">
        <f>('Factor Sets'!$D$15*$F$2)*'Factor Sets'!$B$28</f>
        <v>0.99389129318181846</v>
      </c>
      <c r="L26" s="90">
        <f>($Q$2*_xlfn.XLOOKUP(A26,'Emissions Projection Factors'!$A$5:$A$38,'Emissions Projection Factors'!$P$5:$P$38,0)*'Factor Sets'!$B$28)/2205</f>
        <v>0.20404201101088607</v>
      </c>
      <c r="M26" s="93">
        <f>((_xlfn.XLOOKUP(A26,'Emissions Projection Factors'!$A$3:$A$38,'Emissions Projection Factors'!$P$3:$P$38,,0)*($F$3*0.29307107))/2205)*'Factor Sets'!$B$28</f>
        <v>0.22284457037140157</v>
      </c>
      <c r="N26" s="96">
        <f>((_xlfn.XLOOKUP(A26,'Emissions Projection Factors'!$A$3:$A$38,'Emissions Projection Factors'!$P$3:$P$38,,0)*($Q$3))/2205)*'Factor Sets'!$B$28</f>
        <v>0.15235136822146161</v>
      </c>
      <c r="O26" s="60">
        <f>$H$4*_xlfn.XLOOKUP(A26,'Emissions Projection Factors'!$A$3:$A$38,'Emissions Projection Factors'!$J$3:$J$38,,0)*'Factor Sets'!$B$28</f>
        <v>2.0445154696166409E-3</v>
      </c>
      <c r="P26" s="60">
        <f>('Factor Sets'!$D$15*$F$4)*'Factor Sets'!$B$28</f>
        <v>0.30868296136363649</v>
      </c>
      <c r="Q26" s="89">
        <f>($Q$4*_xlfn.XLOOKUP(A26,'Emissions Projection Factors'!$A$5:$A$38,'Emissions Projection Factors'!$P$5:$P$38,0)*'Factor Sets'!$B$28)/2205</f>
        <v>6.0036072217681244E-2</v>
      </c>
      <c r="R26" s="60">
        <f>$H$2*_xlfn.XLOOKUP(A26,'Emissions Projection Factors'!$A$3:$A$38,'Emissions Projection Factors'!$G$3:$G$38,,0)*'Factor Sets'!$B$27</f>
        <v>60.676274373472161</v>
      </c>
      <c r="S26" s="60">
        <f>('Factor Sets'!$D$16*$F$2)*'Factor Sets'!$B$27</f>
        <v>1.050149290909091</v>
      </c>
      <c r="T26" s="90">
        <f>((_xlfn.XLOOKUP(A26,'Emissions Projection Factors'!$A$3:$A$38,'Emissions Projection Factors'!$Q$3:$Q$38,,0)*($Q$2))/2205)*'Factor Sets'!$B$27</f>
        <v>0.16977835255811458</v>
      </c>
      <c r="U26" s="93">
        <f>((_xlfn.XLOOKUP(A26,'Emissions Projection Factors'!$A$3:$A$38,'Emissions Projection Factors'!$Q$3:$Q$38,,0)*($F$3*0.29307107))/2205)*'Factor Sets'!$B$27</f>
        <v>0.18542350100714725</v>
      </c>
      <c r="V26" s="96">
        <f>((_xlfn.XLOOKUP(A26,'Emissions Projection Factors'!$A$3:$A$38,'Emissions Projection Factors'!$Q$3:$Q$38,,0)*$Q$3)/2205)*'Factor Sets'!$B$27</f>
        <v>0.12676783657672552</v>
      </c>
      <c r="W26" s="134">
        <f>$H$4*_xlfn.XLOOKUP(A26,'Emissions Projection Factors'!$A$3:$A$38,'Emissions Projection Factors'!$G$3:$G$38,,0)*'Factor Sets'!$B$27</f>
        <v>18.844849720088625</v>
      </c>
      <c r="X26" s="60">
        <f>('Factor Sets'!$D$16*$F$4)*'Factor Sets'!$B$27</f>
        <v>0.32615558181818188</v>
      </c>
      <c r="Y26" s="89">
        <f>((_xlfn.XLOOKUP(A26,'Emissions Projection Factors'!$A$3:$A$38,'Emissions Projection Factors'!$Q$3:$Q$38,,0)*($Q$3))/2205)*'Factor Sets'!$B$27</f>
        <v>0.12676783657672552</v>
      </c>
      <c r="Z26" s="88">
        <f t="shared" si="16"/>
        <v>2083.875640765722</v>
      </c>
      <c r="AA26" s="60">
        <f t="shared" si="17"/>
        <v>64.541779155270703</v>
      </c>
      <c r="AB26" s="60">
        <f t="shared" si="18"/>
        <v>647.21052324123104</v>
      </c>
      <c r="AC26" s="88">
        <f t="shared" si="20"/>
        <v>59.096052423954291</v>
      </c>
      <c r="AD26" s="60">
        <f t="shared" si="21"/>
        <v>44.12505247655254</v>
      </c>
      <c r="AE26" s="60">
        <f t="shared" si="22"/>
        <v>17.46487398512118</v>
      </c>
      <c r="AF26" s="252">
        <f t="shared" si="19"/>
        <v>-2674.9419642765956</v>
      </c>
      <c r="AG26" s="123">
        <f t="shared" si="6"/>
        <v>-0.95683045765055685</v>
      </c>
      <c r="AH26" s="137">
        <v>2042</v>
      </c>
    </row>
    <row r="27" spans="1:34" x14ac:dyDescent="0.25">
      <c r="A27" s="104">
        <v>2043</v>
      </c>
      <c r="B27" s="94">
        <f>$H$2*_xlfn.XLOOKUP(A27,'Emissions Projection Factors'!$A$3:$A$38,'Emissions Projection Factors'!$L$3:$L$38,,0)</f>
        <v>31.115836644962993</v>
      </c>
      <c r="C27" s="31">
        <f>'Factor Sets'!$D$14*$F$2</f>
        <v>1990.0329062727278</v>
      </c>
      <c r="D27" s="96">
        <f>($Q$2*_xlfn.XLOOKUP(A27,'Emissions Projection Factors'!$A$5:$A$38,'Emissions Projection Factors'!$M$5:$M$38,0))/2205</f>
        <v>51.381953052837495</v>
      </c>
      <c r="E27" s="101">
        <f>(_xlfn.XLOOKUP(A27,'Emissions Projection Factors'!$A$3:$A$38,'Emissions Projection Factors'!M$3:M$38,,0)*($F$3*0.29307107))/2205</f>
        <v>56.11682219840602</v>
      </c>
      <c r="F27" s="100">
        <f>(_xlfn.XLOOKUP(A27,'Emissions Projection Factors'!$A$3:$A$38,'Emissions Projection Factors'!$M$3:$M$38,,0)*$Q$3)/2205</f>
        <v>38.365191612785331</v>
      </c>
      <c r="G27" s="31">
        <f>$H$4*_xlfn.XLOOKUP(A27,'Emissions Projection Factors'!$A$3:$A$38,'Emissions Projection Factors'!$L$3:$L$38,,0)</f>
        <v>9.6639629170362884</v>
      </c>
      <c r="H27" s="31">
        <f>'Factor Sets'!$D$14*$F$4</f>
        <v>618.0648275454547</v>
      </c>
      <c r="I27" s="35">
        <f>($Q$4*_xlfn.XLOOKUP(A27,'Emissions Projection Factors'!$A$5:$A$38,'Emissions Projection Factors'!$M$5:$M$38,0))/2205</f>
        <v>15.118311316786032</v>
      </c>
      <c r="J27" s="88">
        <f>$H$2*_xlfn.XLOOKUP(A27,'Emissions Projection Factors'!$A$3:$A$38,'Emissions Projection Factors'!$J$3:$J$38,,0)*'Factor Sets'!$B$28</f>
        <v>6.582890468106329E-3</v>
      </c>
      <c r="K27" s="60">
        <f>('Factor Sets'!$D$15*$F$2)*'Factor Sets'!$B$28</f>
        <v>0.99389129318181846</v>
      </c>
      <c r="L27" s="90">
        <f>($Q$2*_xlfn.XLOOKUP(A27,'Emissions Projection Factors'!$A$5:$A$38,'Emissions Projection Factors'!$P$5:$P$38,0)*'Factor Sets'!$B$28)/2205</f>
        <v>0.17853675963452656</v>
      </c>
      <c r="M27" s="93">
        <f>((_xlfn.XLOOKUP(A27,'Emissions Projection Factors'!$A$3:$A$38,'Emissions Projection Factors'!$P$3:$P$38,,0)*($F$3*0.29307107))/2205)*'Factor Sets'!$B$28</f>
        <v>0.19498899907497774</v>
      </c>
      <c r="N27" s="96">
        <f>((_xlfn.XLOOKUP(A27,'Emissions Projection Factors'!$A$3:$A$38,'Emissions Projection Factors'!$P$3:$P$38,,0)*($Q$3))/2205)*'Factor Sets'!$B$28</f>
        <v>0.13330744719377979</v>
      </c>
      <c r="O27" s="60">
        <f>$H$4*_xlfn.XLOOKUP(A27,'Emissions Projection Factors'!$A$3:$A$38,'Emissions Projection Factors'!$J$3:$J$38,,0)*'Factor Sets'!$B$28</f>
        <v>2.0445154696166414E-3</v>
      </c>
      <c r="P27" s="60">
        <f>('Factor Sets'!$D$15*$F$4)*'Factor Sets'!$B$28</f>
        <v>0.30868296136363649</v>
      </c>
      <c r="Q27" s="89">
        <f>($Q$4*_xlfn.XLOOKUP(A27,'Emissions Projection Factors'!$A$5:$A$38,'Emissions Projection Factors'!$P$5:$P$38,0)*'Factor Sets'!$B$28)/2205</f>
        <v>5.2531563190471448E-2</v>
      </c>
      <c r="R27" s="60">
        <f>$H$2*_xlfn.XLOOKUP(A27,'Emissions Projection Factors'!$A$3:$A$38,'Emissions Projection Factors'!$G$3:$G$38,,0)*'Factor Sets'!$B$27</f>
        <v>60.935458080378964</v>
      </c>
      <c r="S27" s="60">
        <f>('Factor Sets'!$D$16*$F$2)*'Factor Sets'!$B$27</f>
        <v>1.050149290909091</v>
      </c>
      <c r="T27" s="90">
        <f>((_xlfn.XLOOKUP(A27,'Emissions Projection Factors'!$A$3:$A$38,'Emissions Projection Factors'!$Q$3:$Q$38,,0)*($Q$2))/2205)*'Factor Sets'!$B$27</f>
        <v>0.14855605848835127</v>
      </c>
      <c r="U27" s="93">
        <f>((_xlfn.XLOOKUP(A27,'Emissions Projection Factors'!$A$3:$A$38,'Emissions Projection Factors'!$Q$3:$Q$38,,0)*($F$3*0.29307107))/2205)*'Factor Sets'!$B$27</f>
        <v>0.16224556338125498</v>
      </c>
      <c r="V27" s="96">
        <f>((_xlfn.XLOOKUP(A27,'Emissions Projection Factors'!$A$3:$A$38,'Emissions Projection Factors'!$Q$3:$Q$38,,0)*$Q$3)/2205)*'Factor Sets'!$B$27</f>
        <v>0.11092185700463561</v>
      </c>
      <c r="W27" s="134">
        <f>$H$4*_xlfn.XLOOKUP(A27,'Emissions Projection Factors'!$A$3:$A$38,'Emissions Projection Factors'!$G$3:$G$38,,0)*'Factor Sets'!$B$27</f>
        <v>18.925347048854899</v>
      </c>
      <c r="X27" s="60">
        <f>('Factor Sets'!$D$16*$F$4)*'Factor Sets'!$B$27</f>
        <v>0.32615558181818188</v>
      </c>
      <c r="Y27" s="89">
        <f>((_xlfn.XLOOKUP(A27,'Emissions Projection Factors'!$A$3:$A$38,'Emissions Projection Factors'!$Q$3:$Q$38,,0)*($Q$3))/2205)*'Factor Sets'!$B$27</f>
        <v>0.11092185700463561</v>
      </c>
      <c r="Z27" s="88">
        <f t="shared" si="16"/>
        <v>2084.1348244726287</v>
      </c>
      <c r="AA27" s="60">
        <f t="shared" si="17"/>
        <v>56.474056760862254</v>
      </c>
      <c r="AB27" s="60">
        <f t="shared" si="18"/>
        <v>647.29102056999727</v>
      </c>
      <c r="AC27" s="88">
        <f t="shared" si="20"/>
        <v>51.709045870960374</v>
      </c>
      <c r="AD27" s="60">
        <f t="shared" si="21"/>
        <v>38.609420916983744</v>
      </c>
      <c r="AE27" s="60">
        <f t="shared" si="22"/>
        <v>15.28176473698114</v>
      </c>
      <c r="AF27" s="252">
        <f t="shared" si="19"/>
        <v>-2682.2996702785631</v>
      </c>
      <c r="AG27" s="123">
        <f t="shared" si="6"/>
        <v>-0.96212194295189268</v>
      </c>
      <c r="AH27" s="137">
        <v>2043</v>
      </c>
    </row>
    <row r="28" spans="1:34" x14ac:dyDescent="0.25">
      <c r="A28" s="104">
        <v>2044</v>
      </c>
      <c r="B28" s="94">
        <f>$H$2*_xlfn.XLOOKUP(A28,'Emissions Projection Factors'!$A$3:$A$38,'Emissions Projection Factors'!$L$3:$L$38,,0)</f>
        <v>31.115836644963</v>
      </c>
      <c r="C28" s="31">
        <f>'Factor Sets'!$D$14*$F$2</f>
        <v>1990.0329062727278</v>
      </c>
      <c r="D28" s="96">
        <f>($Q$2*_xlfn.XLOOKUP(A28,'Emissions Projection Factors'!$A$5:$A$38,'Emissions Projection Factors'!$M$5:$M$38,0))/2205</f>
        <v>44.041674045289696</v>
      </c>
      <c r="E28" s="101">
        <f>(_xlfn.XLOOKUP(A28,'Emissions Projection Factors'!$A$3:$A$38,'Emissions Projection Factors'!M$3:M$38,,0)*($F$3*0.29307107))/2205</f>
        <v>48.100133312919894</v>
      </c>
      <c r="F28" s="100">
        <f>(_xlfn.XLOOKUP(A28,'Emissions Projection Factors'!$A$3:$A$38,'Emissions Projection Factors'!$M$3:$M$38,,0)*$Q$3)/2205</f>
        <v>32.884449953816301</v>
      </c>
      <c r="G28" s="31">
        <f>$H$4*_xlfn.XLOOKUP(A28,'Emissions Projection Factors'!$A$3:$A$38,'Emissions Projection Factors'!$L$3:$L$38,,0)</f>
        <v>9.6639629170362902</v>
      </c>
      <c r="H28" s="31">
        <f>'Factor Sets'!$D$14*$F$4</f>
        <v>618.0648275454547</v>
      </c>
      <c r="I28" s="35">
        <f>($Q$4*_xlfn.XLOOKUP(A28,'Emissions Projection Factors'!$A$5:$A$38,'Emissions Projection Factors'!$M$5:$M$38,0))/2205</f>
        <v>12.958552557245291</v>
      </c>
      <c r="J28" s="88">
        <f>$H$2*_xlfn.XLOOKUP(A28,'Emissions Projection Factors'!$A$3:$A$38,'Emissions Projection Factors'!$J$3:$J$38,,0)*'Factor Sets'!$B$28</f>
        <v>6.5828904681063272E-3</v>
      </c>
      <c r="K28" s="60">
        <f>('Factor Sets'!$D$15*$F$2)*'Factor Sets'!$B$28</f>
        <v>0.99389129318181846</v>
      </c>
      <c r="L28" s="90">
        <f>($Q$2*_xlfn.XLOOKUP(A28,'Emissions Projection Factors'!$A$5:$A$38,'Emissions Projection Factors'!$P$5:$P$38,0)*'Factor Sets'!$B$28)/2205</f>
        <v>0.15303150825816708</v>
      </c>
      <c r="M28" s="93">
        <f>((_xlfn.XLOOKUP(A28,'Emissions Projection Factors'!$A$3:$A$38,'Emissions Projection Factors'!$P$3:$P$38,,0)*($F$3*0.29307107))/2205)*'Factor Sets'!$B$28</f>
        <v>0.16713342777855392</v>
      </c>
      <c r="N28" s="96">
        <f>((_xlfn.XLOOKUP(A28,'Emissions Projection Factors'!$A$3:$A$38,'Emissions Projection Factors'!$P$3:$P$38,,0)*($Q$3))/2205)*'Factor Sets'!$B$28</f>
        <v>0.11426352616609807</v>
      </c>
      <c r="O28" s="60">
        <f>$H$4*_xlfn.XLOOKUP(A28,'Emissions Projection Factors'!$A$3:$A$38,'Emissions Projection Factors'!$J$3:$J$38,,0)*'Factor Sets'!$B$28</f>
        <v>2.0445154696166409E-3</v>
      </c>
      <c r="P28" s="60">
        <f>('Factor Sets'!$D$15*$F$4)*'Factor Sets'!$B$28</f>
        <v>0.30868296136363649</v>
      </c>
      <c r="Q28" s="89">
        <f>($Q$4*_xlfn.XLOOKUP(A28,'Emissions Projection Factors'!$A$5:$A$38,'Emissions Projection Factors'!$P$5:$P$38,0)*'Factor Sets'!$B$28)/2205</f>
        <v>4.5027054163261665E-2</v>
      </c>
      <c r="R28" s="60">
        <f>$H$2*_xlfn.XLOOKUP(A28,'Emissions Projection Factors'!$A$3:$A$38,'Emissions Projection Factors'!$G$3:$G$38,,0)*'Factor Sets'!$B$27</f>
        <v>61.112976610182564</v>
      </c>
      <c r="S28" s="60">
        <f>('Factor Sets'!$D$16*$F$2)*'Factor Sets'!$B$27</f>
        <v>1.050149290909091</v>
      </c>
      <c r="T28" s="90">
        <f>((_xlfn.XLOOKUP(A28,'Emissions Projection Factors'!$A$3:$A$38,'Emissions Projection Factors'!$Q$3:$Q$38,,0)*($Q$2))/2205)*'Factor Sets'!$B$27</f>
        <v>0.12733376441858801</v>
      </c>
      <c r="U28" s="93">
        <f>((_xlfn.XLOOKUP(A28,'Emissions Projection Factors'!$A$3:$A$38,'Emissions Projection Factors'!$Q$3:$Q$38,,0)*($F$3*0.29307107))/2205)*'Factor Sets'!$B$27</f>
        <v>0.13906762575536272</v>
      </c>
      <c r="V28" s="96">
        <f>((_xlfn.XLOOKUP(A28,'Emissions Projection Factors'!$A$3:$A$38,'Emissions Projection Factors'!$Q$3:$Q$38,,0)*$Q$3)/2205)*'Factor Sets'!$B$27</f>
        <v>9.5075877432545697E-2</v>
      </c>
      <c r="W28" s="134">
        <f>$H$4*_xlfn.XLOOKUP(A28,'Emissions Projection Factors'!$A$3:$A$38,'Emissions Projection Factors'!$G$3:$G$38,,0)*'Factor Sets'!$B$27</f>
        <v>18.980480790193219</v>
      </c>
      <c r="X28" s="60">
        <f>('Factor Sets'!$D$16*$F$4)*'Factor Sets'!$B$27</f>
        <v>0.32615558181818188</v>
      </c>
      <c r="Y28" s="89">
        <f>((_xlfn.XLOOKUP(A28,'Emissions Projection Factors'!$A$3:$A$38,'Emissions Projection Factors'!$Q$3:$Q$38,,0)*($Q$3))/2205)*'Factor Sets'!$B$27</f>
        <v>9.5075877432545697E-2</v>
      </c>
      <c r="Z28" s="88">
        <f t="shared" si="16"/>
        <v>2084.3123430024325</v>
      </c>
      <c r="AA28" s="60">
        <f t="shared" si="17"/>
        <v>48.406334366453805</v>
      </c>
      <c r="AB28" s="60">
        <f t="shared" si="18"/>
        <v>647.34615431133568</v>
      </c>
      <c r="AC28" s="88">
        <f t="shared" si="20"/>
        <v>44.32203931796645</v>
      </c>
      <c r="AD28" s="60">
        <f t="shared" si="21"/>
        <v>33.093789357414941</v>
      </c>
      <c r="AE28" s="60">
        <f t="shared" si="22"/>
        <v>13.098655488841098</v>
      </c>
      <c r="AF28" s="252">
        <f t="shared" si="19"/>
        <v>-2689.5503475159994</v>
      </c>
      <c r="AG28" s="123">
        <f t="shared" si="6"/>
        <v>-0.96744159232088223</v>
      </c>
      <c r="AH28" s="137">
        <v>2044</v>
      </c>
    </row>
    <row r="29" spans="1:34" x14ac:dyDescent="0.25">
      <c r="A29" s="104">
        <v>2045</v>
      </c>
      <c r="B29" s="94">
        <f>$H$2*_xlfn.XLOOKUP(A29,'Emissions Projection Factors'!$A$3:$A$38,'Emissions Projection Factors'!$L$3:$L$38,,0)</f>
        <v>31.115836644963</v>
      </c>
      <c r="C29" s="31">
        <f>'Factor Sets'!$D$14*$F$2</f>
        <v>1990.0329062727278</v>
      </c>
      <c r="D29" s="96">
        <f>($Q$2*_xlfn.XLOOKUP(A29,'Emissions Projection Factors'!$A$5:$A$38,'Emissions Projection Factors'!$M$5:$M$38,0))/2205</f>
        <v>36.701395037741889</v>
      </c>
      <c r="E29" s="101">
        <f>(_xlfn.XLOOKUP(A29,'Emissions Projection Factors'!$A$3:$A$38,'Emissions Projection Factors'!M$3:M$38,,0)*($F$3*0.29307107))/2205</f>
        <v>40.083444427433768</v>
      </c>
      <c r="F29" s="100">
        <f>(_xlfn.XLOOKUP(A29,'Emissions Projection Factors'!$A$3:$A$38,'Emissions Projection Factors'!$M$3:$M$38,,0)*$Q$3)/2205</f>
        <v>27.403708294847274</v>
      </c>
      <c r="G29" s="31">
        <f>$H$4*_xlfn.XLOOKUP(A29,'Emissions Projection Factors'!$A$3:$A$38,'Emissions Projection Factors'!$L$3:$L$38,,0)</f>
        <v>9.6639629170362902</v>
      </c>
      <c r="H29" s="31">
        <f>'Factor Sets'!$D$14*$F$4</f>
        <v>618.0648275454547</v>
      </c>
      <c r="I29" s="35">
        <f>($Q$4*_xlfn.XLOOKUP(A29,'Emissions Projection Factors'!$A$5:$A$38,'Emissions Projection Factors'!$M$5:$M$38,0))/2205</f>
        <v>10.798793797704549</v>
      </c>
      <c r="J29" s="88">
        <f>$H$2*_xlfn.XLOOKUP(A29,'Emissions Projection Factors'!$A$3:$A$38,'Emissions Projection Factors'!$J$3:$J$38,,0)*'Factor Sets'!$B$28</f>
        <v>6.5828904681063264E-3</v>
      </c>
      <c r="K29" s="60">
        <f>('Factor Sets'!$D$15*$F$2)*'Factor Sets'!$B$28</f>
        <v>0.99389129318181846</v>
      </c>
      <c r="L29" s="90">
        <f>($Q$2*_xlfn.XLOOKUP(A29,'Emissions Projection Factors'!$A$5:$A$38,'Emissions Projection Factors'!$P$5:$P$38,0)*'Factor Sets'!$B$28)/2205</f>
        <v>0.12752625688180752</v>
      </c>
      <c r="M29" s="93">
        <f>((_xlfn.XLOOKUP(A29,'Emissions Projection Factors'!$A$3:$A$38,'Emissions Projection Factors'!$P$3:$P$38,,0)*($F$3*0.29307107))/2205)*'Factor Sets'!$B$28</f>
        <v>0.13927785648213006</v>
      </c>
      <c r="N29" s="96">
        <f>((_xlfn.XLOOKUP(A29,'Emissions Projection Factors'!$A$3:$A$38,'Emissions Projection Factors'!$P$3:$P$38,,0)*($Q$3))/2205)*'Factor Sets'!$B$28</f>
        <v>9.5219605138416291E-2</v>
      </c>
      <c r="O29" s="60">
        <f>$H$4*_xlfn.XLOOKUP(A29,'Emissions Projection Factors'!$A$3:$A$38,'Emissions Projection Factors'!$J$3:$J$38,,0)*'Factor Sets'!$B$28</f>
        <v>2.0445154696166405E-3</v>
      </c>
      <c r="P29" s="60">
        <f>('Factor Sets'!$D$15*$F$4)*'Factor Sets'!$B$28</f>
        <v>0.30868296136363649</v>
      </c>
      <c r="Q29" s="89">
        <f>($Q$4*_xlfn.XLOOKUP(A29,'Emissions Projection Factors'!$A$5:$A$38,'Emissions Projection Factors'!$P$5:$P$38,0)*'Factor Sets'!$B$28)/2205</f>
        <v>3.7522545136051869E-2</v>
      </c>
      <c r="R29" s="60">
        <f>$H$2*_xlfn.XLOOKUP(A29,'Emissions Projection Factors'!$A$3:$A$38,'Emissions Projection Factors'!$G$3:$G$38,,0)*'Factor Sets'!$B$27</f>
        <v>61.45850542672931</v>
      </c>
      <c r="S29" s="60">
        <f>('Factor Sets'!$D$16*$F$2)*'Factor Sets'!$B$27</f>
        <v>1.050149290909091</v>
      </c>
      <c r="T29" s="90">
        <f>((_xlfn.XLOOKUP(A29,'Emissions Projection Factors'!$A$3:$A$38,'Emissions Projection Factors'!$Q$3:$Q$38,,0)*($Q$2))/2205)*'Factor Sets'!$B$27</f>
        <v>0.1061114703488247</v>
      </c>
      <c r="U29" s="93">
        <f>((_xlfn.XLOOKUP(A29,'Emissions Projection Factors'!$A$3:$A$38,'Emissions Projection Factors'!$Q$3:$Q$38,,0)*($F$3*0.29307107))/2205)*'Factor Sets'!$B$27</f>
        <v>0.11588968812947041</v>
      </c>
      <c r="V29" s="96">
        <f>((_xlfn.XLOOKUP(A29,'Emissions Projection Factors'!$A$3:$A$38,'Emissions Projection Factors'!$Q$3:$Q$38,,0)*$Q$3)/2205)*'Factor Sets'!$B$27</f>
        <v>7.922989786045577E-2</v>
      </c>
      <c r="W29" s="134">
        <f>$H$4*_xlfn.XLOOKUP(A29,'Emissions Projection Factors'!$A$3:$A$38,'Emissions Projection Factors'!$G$3:$G$38,,0)*'Factor Sets'!$B$27</f>
        <v>19.08779520079306</v>
      </c>
      <c r="X29" s="60">
        <f>('Factor Sets'!$D$16*$F$4)*'Factor Sets'!$B$27</f>
        <v>0.32615558181818188</v>
      </c>
      <c r="Y29" s="89">
        <f>((_xlfn.XLOOKUP(A29,'Emissions Projection Factors'!$A$3:$A$38,'Emissions Projection Factors'!$Q$3:$Q$38,,0)*($Q$3))/2205)*'Factor Sets'!$B$27</f>
        <v>7.922989786045577E-2</v>
      </c>
      <c r="Z29" s="88">
        <f>SUM(B29:C29,J29:K29,R29:S29)</f>
        <v>2084.6578718189794</v>
      </c>
      <c r="AA29" s="60">
        <f>SUM(E29,M29,U29)</f>
        <v>40.338611972045371</v>
      </c>
      <c r="AB29" s="60">
        <f>SUM(G29:H29,O29:P29,W29:X29)</f>
        <v>647.45346872193545</v>
      </c>
      <c r="AC29" s="88">
        <f>SUM(D29,L29,T29)</f>
        <v>36.935032764972519</v>
      </c>
      <c r="AD29" s="60">
        <f>SUM(F29,N29,V29)</f>
        <v>27.578157797846146</v>
      </c>
      <c r="AE29" s="60">
        <f t="shared" si="22"/>
        <v>10.915546240701056</v>
      </c>
      <c r="AF29" s="252">
        <f t="shared" si="19"/>
        <v>-2697.0212157094406</v>
      </c>
      <c r="AG29" s="123">
        <f t="shared" si="6"/>
        <v>-0.97279347216524115</v>
      </c>
      <c r="AH29" s="137">
        <v>2045</v>
      </c>
    </row>
    <row r="30" spans="1:34" x14ac:dyDescent="0.25">
      <c r="A30" s="104">
        <v>2046</v>
      </c>
      <c r="B30" s="94">
        <f>$H$2*_xlfn.XLOOKUP(A30,'Emissions Projection Factors'!$A$3:$A$38,'Emissions Projection Factors'!$L$3:$L$38,,0)</f>
        <v>31.115836644963</v>
      </c>
      <c r="C30" s="31">
        <f>'Factor Sets'!$D$14*$F$2</f>
        <v>1990.0329062727278</v>
      </c>
      <c r="D30" s="96">
        <f>($Q$2*_xlfn.XLOOKUP(A30,'Emissions Projection Factors'!$A$5:$A$38,'Emissions Projection Factors'!$M$5:$M$38,0))/2205</f>
        <v>29.361116030191212</v>
      </c>
      <c r="E30" s="101">
        <f>(_xlfn.XLOOKUP(A30,'Emissions Projection Factors'!$A$3:$A$38,'Emissions Projection Factors'!M$3:M$38,,0)*($F$3*0.29307107))/2205</f>
        <v>32.066755541944502</v>
      </c>
      <c r="F30" s="100">
        <f>(_xlfn.XLOOKUP(A30,'Emissions Projection Factors'!$A$3:$A$38,'Emissions Projection Factors'!$M$3:$M$38,,0)*$Q$3)/2205</f>
        <v>21.922966635876104</v>
      </c>
      <c r="G30" s="31">
        <f>$H$4*_xlfn.XLOOKUP(A30,'Emissions Projection Factors'!$A$3:$A$38,'Emissions Projection Factors'!$L$3:$L$38,,0)</f>
        <v>9.6639629170362902</v>
      </c>
      <c r="H30" s="31">
        <f>'Factor Sets'!$D$14*$F$4</f>
        <v>618.0648275454547</v>
      </c>
      <c r="I30" s="35">
        <f>($Q$4*_xlfn.XLOOKUP(A30,'Emissions Projection Factors'!$A$5:$A$38,'Emissions Projection Factors'!$M$5:$M$38,0))/2205</f>
        <v>8.6390350381629624</v>
      </c>
      <c r="J30" s="88">
        <f>$H$2*_xlfn.XLOOKUP(A30,'Emissions Projection Factors'!$A$3:$A$38,'Emissions Projection Factors'!$J$3:$J$38,,0)*'Factor Sets'!$B$28</f>
        <v>6.5828904681063264E-3</v>
      </c>
      <c r="K30" s="60">
        <f>('Factor Sets'!$D$15*$F$2)*'Factor Sets'!$B$28</f>
        <v>0.99389129318181846</v>
      </c>
      <c r="L30" s="90">
        <f>($Q$2*_xlfn.XLOOKUP(A30,'Emissions Projection Factors'!$A$5:$A$38,'Emissions Projection Factors'!$P$5:$P$38,0)*'Factor Sets'!$B$28)/2205</f>
        <v>0.10202100550543805</v>
      </c>
      <c r="M30" s="93">
        <f>((_xlfn.XLOOKUP(A30,'Emissions Projection Factors'!$A$3:$A$38,'Emissions Projection Factors'!$P$3:$P$38,,0)*($F$3*0.29307107))/2205)*'Factor Sets'!$B$28</f>
        <v>0.11142228518569533</v>
      </c>
      <c r="N30" s="96">
        <f>((_xlfn.XLOOKUP(A30,'Emissions Projection Factors'!$A$3:$A$38,'Emissions Projection Factors'!$P$3:$P$38,,0)*($Q$3))/2205)*'Factor Sets'!$B$28</f>
        <v>7.6175684110727074E-2</v>
      </c>
      <c r="O30" s="60">
        <f>$H$4*_xlfn.XLOOKUP(A30,'Emissions Projection Factors'!$A$3:$A$38,'Emissions Projection Factors'!$J$3:$J$38,,0)*'Factor Sets'!$B$28</f>
        <v>2.0445154696166405E-3</v>
      </c>
      <c r="P30" s="60">
        <f>('Factor Sets'!$D$15*$F$4)*'Factor Sets'!$B$28</f>
        <v>0.30868296136363649</v>
      </c>
      <c r="Q30" s="89">
        <f>($Q$4*_xlfn.XLOOKUP(A30,'Emissions Projection Factors'!$A$5:$A$38,'Emissions Projection Factors'!$P$5:$P$38,0)*'Factor Sets'!$B$28)/2205</f>
        <v>3.0018036108839151E-2</v>
      </c>
      <c r="R30" s="60">
        <f>$H$2*_xlfn.XLOOKUP(A30,'Emissions Projection Factors'!$A$3:$A$38,'Emissions Projection Factors'!$G$3:$G$38,,0)*'Factor Sets'!$B$27</f>
        <v>61.081224713348206</v>
      </c>
      <c r="S30" s="60">
        <f>('Factor Sets'!$D$16*$F$2)*'Factor Sets'!$B$27</f>
        <v>1.050149290909091</v>
      </c>
      <c r="T30" s="90">
        <f>((_xlfn.XLOOKUP(A30,'Emissions Projection Factors'!$A$3:$A$38,'Emissions Projection Factors'!$Q$3:$Q$38,,0)*($Q$2))/2205)*'Factor Sets'!$B$27</f>
        <v>8.4889176279053125E-2</v>
      </c>
      <c r="U30" s="93">
        <f>((_xlfn.XLOOKUP(A30,'Emissions Projection Factors'!$A$3:$A$38,'Emissions Projection Factors'!$Q$3:$Q$38,,0)*($F$3*0.29307107))/2205)*'Factor Sets'!$B$27</f>
        <v>9.2711750503569099E-2</v>
      </c>
      <c r="V30" s="96">
        <f>((_xlfn.XLOOKUP(A30,'Emissions Projection Factors'!$A$3:$A$38,'Emissions Projection Factors'!$Q$3:$Q$38,,0)*$Q$3)/2205)*'Factor Sets'!$B$27</f>
        <v>6.3383918288359667E-2</v>
      </c>
      <c r="W30" s="134">
        <f>$H$4*_xlfn.XLOOKUP(A30,'Emissions Projection Factors'!$A$3:$A$38,'Emissions Projection Factors'!$G$3:$G$38,,0)*'Factor Sets'!$B$27</f>
        <v>18.970619279572311</v>
      </c>
      <c r="X30" s="60">
        <f>('Factor Sets'!$D$16*$F$4)*'Factor Sets'!$B$27</f>
        <v>0.32615558181818188</v>
      </c>
      <c r="Y30" s="89">
        <f>((_xlfn.XLOOKUP(A30,'Emissions Projection Factors'!$A$3:$A$38,'Emissions Projection Factors'!$Q$3:$Q$38,,0)*($Q$3))/2205)*'Factor Sets'!$B$27</f>
        <v>6.3383918288359667E-2</v>
      </c>
      <c r="Z30" s="88">
        <f t="shared" si="16"/>
        <v>2084.2805911055984</v>
      </c>
      <c r="AA30" s="60">
        <f t="shared" si="17"/>
        <v>32.270889577633767</v>
      </c>
      <c r="AB30" s="60">
        <f t="shared" si="18"/>
        <v>647.33629280071477</v>
      </c>
      <c r="AC30" s="88">
        <f t="shared" si="20"/>
        <v>29.548026211975703</v>
      </c>
      <c r="AD30" s="60">
        <f t="shared" si="21"/>
        <v>22.06252623827519</v>
      </c>
      <c r="AE30" s="60">
        <f t="shared" si="22"/>
        <v>8.7324369925601601</v>
      </c>
      <c r="AF30" s="252">
        <f t="shared" si="19"/>
        <v>-2703.5447840411362</v>
      </c>
      <c r="AG30" s="123">
        <f t="shared" si="6"/>
        <v>-0.97816735179274406</v>
      </c>
      <c r="AH30" s="137">
        <v>2046</v>
      </c>
    </row>
    <row r="31" spans="1:34" x14ac:dyDescent="0.25">
      <c r="A31" s="104">
        <v>2047</v>
      </c>
      <c r="B31" s="94">
        <f>$H$2*_xlfn.XLOOKUP(A31,'Emissions Projection Factors'!$A$3:$A$38,'Emissions Projection Factors'!$L$3:$L$38,,0)</f>
        <v>31.115836644963</v>
      </c>
      <c r="C31" s="31">
        <f>'Factor Sets'!$D$14*$F$2</f>
        <v>1990.0329062727278</v>
      </c>
      <c r="D31" s="96">
        <f>($Q$2*_xlfn.XLOOKUP(A31,'Emissions Projection Factors'!$A$5:$A$38,'Emissions Projection Factors'!$M$5:$M$38,0))/2205</f>
        <v>22.020837022643413</v>
      </c>
      <c r="E31" s="101">
        <f>(_xlfn.XLOOKUP(A31,'Emissions Projection Factors'!$A$3:$A$38,'Emissions Projection Factors'!M$3:M$38,,0)*($F$3*0.29307107))/2205</f>
        <v>24.050066656458377</v>
      </c>
      <c r="F31" s="100">
        <f>(_xlfn.XLOOKUP(A31,'Emissions Projection Factors'!$A$3:$A$38,'Emissions Projection Factors'!$M$3:$M$38,,0)*$Q$3)/2205</f>
        <v>16.442224976907077</v>
      </c>
      <c r="G31" s="31">
        <f>$H$4*_xlfn.XLOOKUP(A31,'Emissions Projection Factors'!$A$3:$A$38,'Emissions Projection Factors'!$L$3:$L$38,,0)</f>
        <v>9.6639629170362902</v>
      </c>
      <c r="H31" s="31">
        <f>'Factor Sets'!$D$14*$F$4</f>
        <v>618.0648275454547</v>
      </c>
      <c r="I31" s="35">
        <f>($Q$4*_xlfn.XLOOKUP(A31,'Emissions Projection Factors'!$A$5:$A$38,'Emissions Projection Factors'!$M$5:$M$38,0))/2205</f>
        <v>6.4792762786222227</v>
      </c>
      <c r="J31" s="88">
        <f>$H$2*_xlfn.XLOOKUP(A31,'Emissions Projection Factors'!$A$3:$A$38,'Emissions Projection Factors'!$J$3:$J$38,,0)*'Factor Sets'!$B$28</f>
        <v>6.5828904681063272E-3</v>
      </c>
      <c r="K31" s="60">
        <f>('Factor Sets'!$D$15*$F$2)*'Factor Sets'!$B$28</f>
        <v>0.99389129318181846</v>
      </c>
      <c r="L31" s="90">
        <f>($Q$2*_xlfn.XLOOKUP(A31,'Emissions Projection Factors'!$A$5:$A$38,'Emissions Projection Factors'!$P$5:$P$38,0)*'Factor Sets'!$B$28)/2205</f>
        <v>7.6515754129078545E-2</v>
      </c>
      <c r="M31" s="93">
        <f>((_xlfn.XLOOKUP(A31,'Emissions Projection Factors'!$A$3:$A$38,'Emissions Projection Factors'!$P$3:$P$38,,0)*($F$3*0.29307107))/2205)*'Factor Sets'!$B$28</f>
        <v>8.3566713889271518E-2</v>
      </c>
      <c r="N31" s="96">
        <f>((_xlfn.XLOOKUP(A31,'Emissions Projection Factors'!$A$3:$A$38,'Emissions Projection Factors'!$P$3:$P$38,,0)*($Q$3))/2205)*'Factor Sets'!$B$28</f>
        <v>5.7131763083045309E-2</v>
      </c>
      <c r="O31" s="60">
        <f>$H$4*_xlfn.XLOOKUP(A31,'Emissions Projection Factors'!$A$3:$A$38,'Emissions Projection Factors'!$J$3:$J$38,,0)*'Factor Sets'!$B$28</f>
        <v>2.0445154696166409E-3</v>
      </c>
      <c r="P31" s="60">
        <f>('Factor Sets'!$D$15*$F$4)*'Factor Sets'!$B$28</f>
        <v>0.30868296136363649</v>
      </c>
      <c r="Q31" s="89">
        <f>($Q$4*_xlfn.XLOOKUP(A31,'Emissions Projection Factors'!$A$5:$A$38,'Emissions Projection Factors'!$P$5:$P$38,0)*'Factor Sets'!$B$28)/2205</f>
        <v>2.2513527081629368E-2</v>
      </c>
      <c r="R31" s="60">
        <f>$H$2*_xlfn.XLOOKUP(A31,'Emissions Projection Factors'!$A$3:$A$38,'Emissions Projection Factors'!$G$3:$G$38,,0)*'Factor Sets'!$B$27</f>
        <v>61.547649938696182</v>
      </c>
      <c r="S31" s="60">
        <f>('Factor Sets'!$D$16*$F$2)*'Factor Sets'!$B$27</f>
        <v>1.050149290909091</v>
      </c>
      <c r="T31" s="90">
        <f>((_xlfn.XLOOKUP(A31,'Emissions Projection Factors'!$A$3:$A$38,'Emissions Projection Factors'!$Q$3:$Q$38,,0)*($Q$2))/2205)*'Factor Sets'!$B$27</f>
        <v>6.3666882209289857E-2</v>
      </c>
      <c r="U31" s="93">
        <f>((_xlfn.XLOOKUP(A31,'Emissions Projection Factors'!$A$3:$A$38,'Emissions Projection Factors'!$Q$3:$Q$38,,0)*($F$3*0.29307107))/2205)*'Factor Sets'!$B$27</f>
        <v>6.9533812877676821E-2</v>
      </c>
      <c r="V31" s="96">
        <f>((_xlfn.XLOOKUP(A31,'Emissions Projection Factors'!$A$3:$A$38,'Emissions Projection Factors'!$Q$3:$Q$38,,0)*$Q$3)/2205)*'Factor Sets'!$B$27</f>
        <v>4.7537938716269747E-2</v>
      </c>
      <c r="W31" s="134">
        <f>$H$4*_xlfn.XLOOKUP(A31,'Emissions Projection Factors'!$A$3:$A$38,'Emissions Projection Factors'!$G$3:$G$38,,0)*'Factor Sets'!$B$27</f>
        <v>19.115481721574582</v>
      </c>
      <c r="X31" s="60">
        <f>('Factor Sets'!$D$16*$F$4)*'Factor Sets'!$B$27</f>
        <v>0.32615558181818188</v>
      </c>
      <c r="Y31" s="89">
        <f>((_xlfn.XLOOKUP(A31,'Emissions Projection Factors'!$A$3:$A$38,'Emissions Projection Factors'!$Q$3:$Q$38,,0)*($Q$3))/2205)*'Factor Sets'!$B$27</f>
        <v>4.7537938716269747E-2</v>
      </c>
      <c r="Z31" s="88">
        <f t="shared" si="16"/>
        <v>2084.7470163309463</v>
      </c>
      <c r="AA31" s="60">
        <f t="shared" si="17"/>
        <v>24.203167183225325</v>
      </c>
      <c r="AB31" s="60">
        <f t="shared" si="18"/>
        <v>647.48115524271702</v>
      </c>
      <c r="AC31" s="88">
        <f t="shared" si="20"/>
        <v>22.161019658981782</v>
      </c>
      <c r="AD31" s="60">
        <f t="shared" si="21"/>
        <v>16.546894678706394</v>
      </c>
      <c r="AE31" s="60">
        <f t="shared" si="22"/>
        <v>6.549327744420121</v>
      </c>
      <c r="AF31" s="252">
        <f t="shared" si="19"/>
        <v>-2711.1740966747798</v>
      </c>
      <c r="AG31" s="123">
        <f t="shared" si="6"/>
        <v>-0.98358121914891639</v>
      </c>
      <c r="AH31" s="137">
        <v>2047</v>
      </c>
    </row>
    <row r="32" spans="1:34" x14ac:dyDescent="0.25">
      <c r="A32" s="104">
        <v>2048</v>
      </c>
      <c r="B32" s="94">
        <f>$H$2*_xlfn.XLOOKUP(A32,'Emissions Projection Factors'!$A$3:$A$38,'Emissions Projection Factors'!$L$3:$L$38,,0)</f>
        <v>31.115836644963</v>
      </c>
      <c r="C32" s="31">
        <f>'Factor Sets'!$D$14*$F$2</f>
        <v>1990.0329062727278</v>
      </c>
      <c r="D32" s="96">
        <f>($Q$2*_xlfn.XLOOKUP(A32,'Emissions Projection Factors'!$A$5:$A$38,'Emissions Projection Factors'!$M$5:$M$38,0))/2205</f>
        <v>14.680558015095606</v>
      </c>
      <c r="E32" s="101">
        <f>(_xlfn.XLOOKUP(A32,'Emissions Projection Factors'!$A$3:$A$38,'Emissions Projection Factors'!M$3:M$38,,0)*($F$3*0.29307107))/2205</f>
        <v>16.033377770972251</v>
      </c>
      <c r="F32" s="100">
        <f>(_xlfn.XLOOKUP(A32,'Emissions Projection Factors'!$A$3:$A$38,'Emissions Projection Factors'!$M$3:$M$38,,0)*$Q$3)/2205</f>
        <v>10.961483317938052</v>
      </c>
      <c r="G32" s="31">
        <f>$H$4*_xlfn.XLOOKUP(A32,'Emissions Projection Factors'!$A$3:$A$38,'Emissions Projection Factors'!$L$3:$L$38,,0)</f>
        <v>9.6639629170362902</v>
      </c>
      <c r="H32" s="31">
        <f>'Factor Sets'!$D$14*$F$4</f>
        <v>618.0648275454547</v>
      </c>
      <c r="I32" s="35">
        <f>($Q$4*_xlfn.XLOOKUP(A32,'Emissions Projection Factors'!$A$5:$A$38,'Emissions Projection Factors'!$M$5:$M$38,0))/2205</f>
        <v>4.3195175190814812</v>
      </c>
      <c r="J32" s="88">
        <f>$H$2*_xlfn.XLOOKUP(A32,'Emissions Projection Factors'!$A$3:$A$38,'Emissions Projection Factors'!$J$3:$J$38,,0)*'Factor Sets'!$B$28</f>
        <v>6.5828904681063272E-3</v>
      </c>
      <c r="K32" s="60">
        <f>('Factor Sets'!$D$15*$F$2)*'Factor Sets'!$B$28</f>
        <v>0.99389129318181846</v>
      </c>
      <c r="L32" s="90">
        <f>($Q$2*_xlfn.XLOOKUP(A32,'Emissions Projection Factors'!$A$5:$A$38,'Emissions Projection Factors'!$P$5:$P$38,0)*'Factor Sets'!$B$28)/2205</f>
        <v>5.1010502752719032E-2</v>
      </c>
      <c r="M32" s="93">
        <f>((_xlfn.XLOOKUP(A32,'Emissions Projection Factors'!$A$3:$A$38,'Emissions Projection Factors'!$P$3:$P$38,,0)*($F$3*0.29307107))/2205)*'Factor Sets'!$B$28</f>
        <v>5.5711142592847672E-2</v>
      </c>
      <c r="N32" s="96">
        <f>((_xlfn.XLOOKUP(A32,'Emissions Projection Factors'!$A$3:$A$38,'Emissions Projection Factors'!$P$3:$P$38,,0)*($Q$3))/2205)*'Factor Sets'!$B$28</f>
        <v>3.8087842055363537E-2</v>
      </c>
      <c r="O32" s="60">
        <f>$H$4*_xlfn.XLOOKUP(A32,'Emissions Projection Factors'!$A$3:$A$38,'Emissions Projection Factors'!$J$3:$J$38,,0)*'Factor Sets'!$B$28</f>
        <v>2.0445154696166409E-3</v>
      </c>
      <c r="P32" s="60">
        <f>('Factor Sets'!$D$15*$F$4)*'Factor Sets'!$B$28</f>
        <v>0.30868296136363649</v>
      </c>
      <c r="Q32" s="89">
        <f>($Q$4*_xlfn.XLOOKUP(A32,'Emissions Projection Factors'!$A$5:$A$38,'Emissions Projection Factors'!$P$5:$P$38,0)*'Factor Sets'!$B$28)/2205</f>
        <v>1.5009018054419575E-2</v>
      </c>
      <c r="R32" s="60">
        <f>$H$2*_xlfn.XLOOKUP(A32,'Emissions Projection Factors'!$A$3:$A$38,'Emissions Projection Factors'!$G$3:$G$38,,0)*'Factor Sets'!$B$27</f>
        <v>61.702419462200822</v>
      </c>
      <c r="S32" s="60">
        <f>('Factor Sets'!$D$16*$F$2)*'Factor Sets'!$B$27</f>
        <v>1.050149290909091</v>
      </c>
      <c r="T32" s="90">
        <f>((_xlfn.XLOOKUP(A32,'Emissions Projection Factors'!$A$3:$A$38,'Emissions Projection Factors'!$Q$3:$Q$38,,0)*($Q$2))/2205)*'Factor Sets'!$B$27</f>
        <v>4.2444588139526562E-2</v>
      </c>
      <c r="U32" s="93">
        <f>((_xlfn.XLOOKUP(A32,'Emissions Projection Factors'!$A$3:$A$38,'Emissions Projection Factors'!$Q$3:$Q$38,,0)*($F$3*0.29307107))/2205)*'Factor Sets'!$B$27</f>
        <v>4.6355875251784549E-2</v>
      </c>
      <c r="V32" s="96">
        <f>((_xlfn.XLOOKUP(A32,'Emissions Projection Factors'!$A$3:$A$38,'Emissions Projection Factors'!$Q$3:$Q$38,,0)*$Q$3)/2205)*'Factor Sets'!$B$27</f>
        <v>3.1691959144179833E-2</v>
      </c>
      <c r="W32" s="134">
        <f>$H$4*_xlfn.XLOOKUP(A32,'Emissions Projection Factors'!$A$3:$A$38,'Emissions Projection Factors'!$G$3:$G$38,,0)*'Factor Sets'!$B$27</f>
        <v>19.163550071878074</v>
      </c>
      <c r="X32" s="60">
        <f>('Factor Sets'!$D$16*$F$4)*'Factor Sets'!$B$27</f>
        <v>0.32615558181818188</v>
      </c>
      <c r="Y32" s="89">
        <f>((_xlfn.XLOOKUP(A32,'Emissions Projection Factors'!$A$3:$A$38,'Emissions Projection Factors'!$Q$3:$Q$38,,0)*($Q$3))/2205)*'Factor Sets'!$B$27</f>
        <v>3.1691959144179833E-2</v>
      </c>
      <c r="Z32" s="88">
        <f t="shared" si="16"/>
        <v>2084.9017858544507</v>
      </c>
      <c r="AA32" s="60">
        <f t="shared" si="17"/>
        <v>16.135444788816883</v>
      </c>
      <c r="AB32" s="60">
        <f t="shared" si="18"/>
        <v>647.52922359302045</v>
      </c>
      <c r="AC32" s="88">
        <f t="shared" si="20"/>
        <v>14.774013105987851</v>
      </c>
      <c r="AD32" s="60">
        <f t="shared" si="21"/>
        <v>11.031263119137595</v>
      </c>
      <c r="AE32" s="60">
        <f t="shared" si="22"/>
        <v>4.3662184962800801</v>
      </c>
      <c r="AF32" s="252">
        <f t="shared" si="19"/>
        <v>-2718.3949595148829</v>
      </c>
      <c r="AG32" s="123">
        <f t="shared" si="6"/>
        <v>-0.98902282508945605</v>
      </c>
      <c r="AH32" s="137">
        <v>2048</v>
      </c>
    </row>
    <row r="33" spans="1:34" x14ac:dyDescent="0.25">
      <c r="A33" s="104">
        <v>2049</v>
      </c>
      <c r="B33" s="94">
        <f>$H$2*_xlfn.XLOOKUP(A33,'Emissions Projection Factors'!$A$3:$A$38,'Emissions Projection Factors'!$L$3:$L$38,,0)</f>
        <v>31.115836644963</v>
      </c>
      <c r="C33" s="31">
        <f>'Factor Sets'!$D$14*$F$2</f>
        <v>1990.0329062727278</v>
      </c>
      <c r="D33" s="96">
        <f>($Q$2*_xlfn.XLOOKUP(A33,'Emissions Projection Factors'!$A$5:$A$38,'Emissions Projection Factors'!$M$5:$M$38,0))/2205</f>
        <v>7.340279007547803</v>
      </c>
      <c r="E33" s="101">
        <f>(_xlfn.XLOOKUP(A33,'Emissions Projection Factors'!$A$3:$A$38,'Emissions Projection Factors'!M$3:M$38,,0)*($F$3*0.29307107))/2205</f>
        <v>8.0166888854861256</v>
      </c>
      <c r="F33" s="100">
        <f>(_xlfn.XLOOKUP(A33,'Emissions Projection Factors'!$A$3:$A$38,'Emissions Projection Factors'!$M$3:$M$38,,0)*$Q$3)/2205</f>
        <v>5.4807416589690261</v>
      </c>
      <c r="G33" s="31">
        <f>$H$4*_xlfn.XLOOKUP(A33,'Emissions Projection Factors'!$A$3:$A$38,'Emissions Projection Factors'!$L$3:$L$38,,0)</f>
        <v>9.6639629170362902</v>
      </c>
      <c r="H33" s="31">
        <f>'Factor Sets'!$D$14*$F$4</f>
        <v>618.0648275454547</v>
      </c>
      <c r="I33" s="35">
        <f>($Q$4*_xlfn.XLOOKUP(A33,'Emissions Projection Factors'!$A$5:$A$38,'Emissions Projection Factors'!$M$5:$M$38,0))/2205</f>
        <v>2.1597587595407406</v>
      </c>
      <c r="J33" s="88">
        <f>$H$2*_xlfn.XLOOKUP(A33,'Emissions Projection Factors'!$A$3:$A$38,'Emissions Projection Factors'!$J$3:$J$38,,0)*'Factor Sets'!$B$28</f>
        <v>6.5828904681063272E-3</v>
      </c>
      <c r="K33" s="60">
        <f>('Factor Sets'!$D$15*$F$2)*'Factor Sets'!$B$28</f>
        <v>0.99389129318181846</v>
      </c>
      <c r="L33" s="90">
        <f>($Q$2*_xlfn.XLOOKUP(A33,'Emissions Projection Factors'!$A$5:$A$38,'Emissions Projection Factors'!$P$5:$P$38,0)*'Factor Sets'!$B$28)/2205</f>
        <v>2.5505251376359516E-2</v>
      </c>
      <c r="M33" s="93">
        <f>((_xlfn.XLOOKUP(A33,'Emissions Projection Factors'!$A$3:$A$38,'Emissions Projection Factors'!$P$3:$P$38,,0)*($F$3*0.29307107))/2205)*'Factor Sets'!$B$28</f>
        <v>2.7855571296423836E-2</v>
      </c>
      <c r="N33" s="96">
        <f>((_xlfn.XLOOKUP(A33,'Emissions Projection Factors'!$A$3:$A$38,'Emissions Projection Factors'!$P$3:$P$38,,0)*($Q$3))/2205)*'Factor Sets'!$B$28</f>
        <v>1.9043921027681768E-2</v>
      </c>
      <c r="O33" s="60">
        <f>$H$4*_xlfn.XLOOKUP(A33,'Emissions Projection Factors'!$A$3:$A$38,'Emissions Projection Factors'!$J$3:$J$38,,0)*'Factor Sets'!$B$28</f>
        <v>2.0445154696166409E-3</v>
      </c>
      <c r="P33" s="60">
        <f>('Factor Sets'!$D$15*$F$4)*'Factor Sets'!$B$28</f>
        <v>0.30868296136363649</v>
      </c>
      <c r="Q33" s="89">
        <f>($Q$4*_xlfn.XLOOKUP(A33,'Emissions Projection Factors'!$A$5:$A$38,'Emissions Projection Factors'!$P$5:$P$38,0)*'Factor Sets'!$B$28)/2205</f>
        <v>7.5045090272097877E-3</v>
      </c>
      <c r="R33" s="60">
        <f>$H$2*_xlfn.XLOOKUP(A33,'Emissions Projection Factors'!$A$3:$A$38,'Emissions Projection Factors'!$G$3:$G$38,,0)*'Factor Sets'!$B$27</f>
        <v>61.882513727107138</v>
      </c>
      <c r="S33" s="60">
        <f>('Factor Sets'!$D$16*$F$2)*'Factor Sets'!$B$27</f>
        <v>1.050149290909091</v>
      </c>
      <c r="T33" s="90">
        <f>((_xlfn.XLOOKUP(A33,'Emissions Projection Factors'!$A$3:$A$38,'Emissions Projection Factors'!$Q$3:$Q$38,,0)*($Q$2))/2205)*'Factor Sets'!$B$27</f>
        <v>2.1222294069763281E-2</v>
      </c>
      <c r="U33" s="93">
        <f>((_xlfn.XLOOKUP(A33,'Emissions Projection Factors'!$A$3:$A$38,'Emissions Projection Factors'!$Q$3:$Q$38,,0)*($F$3*0.29307107))/2205)*'Factor Sets'!$B$27</f>
        <v>2.3177937625892275E-2</v>
      </c>
      <c r="V33" s="96">
        <f>((_xlfn.XLOOKUP(A33,'Emissions Projection Factors'!$A$3:$A$38,'Emissions Projection Factors'!$Q$3:$Q$38,,0)*$Q$3)/2205)*'Factor Sets'!$B$27</f>
        <v>1.5845979572089917E-2</v>
      </c>
      <c r="W33" s="134">
        <f>$H$4*_xlfn.XLOOKUP(A33,'Emissions Projection Factors'!$A$3:$A$38,'Emissions Projection Factors'!$G$3:$G$38,,0)*'Factor Sets'!$B$27</f>
        <v>19.219483785552043</v>
      </c>
      <c r="X33" s="60">
        <f>('Factor Sets'!$D$16*$F$4)*'Factor Sets'!$B$27</f>
        <v>0.32615558181818188</v>
      </c>
      <c r="Y33" s="89">
        <f>((_xlfn.XLOOKUP(A33,'Emissions Projection Factors'!$A$3:$A$38,'Emissions Projection Factors'!$Q$3:$Q$38,,0)*($Q$3))/2205)*'Factor Sets'!$B$27</f>
        <v>1.5845979572089917E-2</v>
      </c>
      <c r="Z33" s="88">
        <f t="shared" si="16"/>
        <v>2085.0818801193573</v>
      </c>
      <c r="AA33" s="60">
        <f t="shared" si="17"/>
        <v>8.0677223944084417</v>
      </c>
      <c r="AB33" s="60">
        <f t="shared" si="18"/>
        <v>647.58515730669444</v>
      </c>
      <c r="AC33" s="88">
        <f t="shared" si="20"/>
        <v>7.3870065529939257</v>
      </c>
      <c r="AD33" s="60">
        <f t="shared" si="21"/>
        <v>5.5156315595687975</v>
      </c>
      <c r="AE33" s="60">
        <f t="shared" si="22"/>
        <v>2.18310924814004</v>
      </c>
      <c r="AF33" s="252">
        <f t="shared" si="19"/>
        <v>-2725.6490124597572</v>
      </c>
      <c r="AG33" s="157">
        <f t="shared" si="6"/>
        <v>-0.99449572881627879</v>
      </c>
      <c r="AH33" s="137">
        <v>2049</v>
      </c>
    </row>
    <row r="34" spans="1:34" x14ac:dyDescent="0.25">
      <c r="A34" s="104">
        <v>2050</v>
      </c>
      <c r="B34" s="94">
        <f>$H$2*_xlfn.XLOOKUP(A34,'Emissions Projection Factors'!$A$3:$A$38,'Emissions Projection Factors'!$L$3:$L$38,,0)</f>
        <v>31.115836644963</v>
      </c>
      <c r="C34" s="31">
        <f>'Factor Sets'!$D$14*$F$2</f>
        <v>1990.0329062727278</v>
      </c>
      <c r="D34" s="96">
        <f>($Q$2*_xlfn.XLOOKUP(A34,'Emissions Projection Factors'!$A$5:$A$38,'Emissions Projection Factors'!$M$5:$M$38,0))/2205</f>
        <v>0</v>
      </c>
      <c r="E34" s="101">
        <f>(_xlfn.XLOOKUP(A34,'Emissions Projection Factors'!$A$3:$A$38,'Emissions Projection Factors'!M$3:M$38,,0)*($F$3*0.29307107))/2205</f>
        <v>0</v>
      </c>
      <c r="F34" s="100">
        <f>(_xlfn.XLOOKUP(A34,'Emissions Projection Factors'!$A$3:$A$38,'Emissions Projection Factors'!$M$3:$M$38,,0)*$Q$3)/2205</f>
        <v>0</v>
      </c>
      <c r="G34" s="31">
        <f>$H$4*_xlfn.XLOOKUP(A34,'Emissions Projection Factors'!$A$3:$A$38,'Emissions Projection Factors'!$L$3:$L$38,,0)</f>
        <v>9.6639629170362902</v>
      </c>
      <c r="H34" s="31">
        <f>'Factor Sets'!$D$14*$F$4</f>
        <v>618.0648275454547</v>
      </c>
      <c r="I34" s="35">
        <f>($Q$4*_xlfn.XLOOKUP(A34,'Emissions Projection Factors'!$A$5:$A$38,'Emissions Projection Factors'!$M$5:$M$38,0))/2205</f>
        <v>0</v>
      </c>
      <c r="J34" s="88">
        <f>$H$2*_xlfn.XLOOKUP(A34,'Emissions Projection Factors'!$A$3:$A$38,'Emissions Projection Factors'!$J$3:$J$38,,0)*'Factor Sets'!$B$28</f>
        <v>6.5828904681063272E-3</v>
      </c>
      <c r="K34" s="60">
        <f>('Factor Sets'!$D$15*$F$2)*'Factor Sets'!$B$28</f>
        <v>0.99389129318181846</v>
      </c>
      <c r="L34" s="90">
        <f>($Q$2*_xlfn.XLOOKUP(A34,'Emissions Projection Factors'!$A$5:$A$38,'Emissions Projection Factors'!$P$5:$P$38,0)*'Factor Sets'!$B$28)/2205</f>
        <v>0</v>
      </c>
      <c r="M34" s="93">
        <f>((_xlfn.XLOOKUP(A34,'Emissions Projection Factors'!$A$3:$A$38,'Emissions Projection Factors'!$P$3:$P$38,,0)*($F$3*0.29307107))/2205)*'Factor Sets'!$B$28</f>
        <v>0</v>
      </c>
      <c r="N34" s="96">
        <f>((_xlfn.XLOOKUP(A34,'Emissions Projection Factors'!$A$3:$A$38,'Emissions Projection Factors'!$P$3:$P$38,,0)*($Q$3))/2205)*'Factor Sets'!$B$28</f>
        <v>0</v>
      </c>
      <c r="O34" s="60">
        <f>$H$4*_xlfn.XLOOKUP(A34,'Emissions Projection Factors'!$A$3:$A$38,'Emissions Projection Factors'!$J$3:$J$38,,0)*'Factor Sets'!$B$28</f>
        <v>2.0445154696166409E-3</v>
      </c>
      <c r="P34" s="60">
        <f>('Factor Sets'!$D$15*$F$4)*'Factor Sets'!$B$28</f>
        <v>0.30868296136363649</v>
      </c>
      <c r="Q34" s="89">
        <f>($Q$4*_xlfn.XLOOKUP(A34,'Emissions Projection Factors'!$A$5:$A$38,'Emissions Projection Factors'!$P$5:$P$38,0)*'Factor Sets'!$B$28)/2205</f>
        <v>0</v>
      </c>
      <c r="R34" s="60">
        <f>$H$2*_xlfn.XLOOKUP(A34,'Emissions Projection Factors'!$A$3:$A$38,'Emissions Projection Factors'!$G$3:$G$38,,0)*'Factor Sets'!$B$27</f>
        <v>62.714977649810805</v>
      </c>
      <c r="S34" s="60">
        <f>('Factor Sets'!$D$16*$F$2)*'Factor Sets'!$B$27</f>
        <v>1.050149290909091</v>
      </c>
      <c r="T34" s="90">
        <f>((_xlfn.XLOOKUP(A34,'Emissions Projection Factors'!$A$3:$A$38,'Emissions Projection Factors'!$Q$3:$Q$38,,0)*($Q$2))/2205)*'Factor Sets'!$B$27</f>
        <v>0</v>
      </c>
      <c r="U34" s="93">
        <f>((_xlfn.XLOOKUP(A34,'Emissions Projection Factors'!$A$3:$A$38,'Emissions Projection Factors'!$Q$3:$Q$38,,0)*($F$3*0.29307107))/2205)*'Factor Sets'!$B$27</f>
        <v>0</v>
      </c>
      <c r="V34" s="96">
        <f>((_xlfn.XLOOKUP(A34,'Emissions Projection Factors'!$A$3:$A$38,'Emissions Projection Factors'!$Q$3:$Q$38,,0)*$Q$3)/2205)*'Factor Sets'!$B$27</f>
        <v>0</v>
      </c>
      <c r="W34" s="134">
        <f>$H$4*_xlfn.XLOOKUP(A34,'Emissions Projection Factors'!$A$3:$A$38,'Emissions Projection Factors'!$G$3:$G$38,,0)*'Factor Sets'!$B$27</f>
        <v>19.478030601135778</v>
      </c>
      <c r="X34" s="60">
        <f>('Factor Sets'!$D$16*$F$4)*'Factor Sets'!$B$27</f>
        <v>0.32615558181818188</v>
      </c>
      <c r="Y34" s="89">
        <f>((_xlfn.XLOOKUP(A34,'Emissions Projection Factors'!$A$3:$A$38,'Emissions Projection Factors'!$Q$3:$Q$38,,0)*($Q$3))/2205)*'Factor Sets'!$B$27</f>
        <v>0</v>
      </c>
      <c r="Z34" s="88">
        <f t="shared" si="16"/>
        <v>2085.9143440420607</v>
      </c>
      <c r="AA34" s="60">
        <f t="shared" si="17"/>
        <v>0</v>
      </c>
      <c r="AB34" s="60">
        <f t="shared" si="18"/>
        <v>647.84370412227815</v>
      </c>
      <c r="AC34" s="88">
        <f t="shared" si="20"/>
        <v>0</v>
      </c>
      <c r="AD34" s="60">
        <f t="shared" si="21"/>
        <v>0</v>
      </c>
      <c r="AE34" s="60">
        <f t="shared" si="22"/>
        <v>0</v>
      </c>
      <c r="AF34" s="253">
        <f t="shared" si="19"/>
        <v>-2733.758048164339</v>
      </c>
      <c r="AG34" s="123">
        <f t="shared" si="6"/>
        <v>-1</v>
      </c>
      <c r="AH34" s="137">
        <v>2050</v>
      </c>
    </row>
    <row r="35" spans="1:34" s="19" customFormat="1" x14ac:dyDescent="0.25">
      <c r="A35" s="115" t="s">
        <v>75</v>
      </c>
      <c r="B35" s="118">
        <f>SUM(B9:B14)</f>
        <v>186.69501986977795</v>
      </c>
      <c r="C35" s="112">
        <f t="shared" ref="C35:AC35" si="23">SUM(C9:C14)</f>
        <v>11940.197437636369</v>
      </c>
      <c r="D35" s="119">
        <f t="shared" si="23"/>
        <v>8109.2564554028477</v>
      </c>
      <c r="E35" s="124">
        <f t="shared" si="23"/>
        <v>2858.0465637512552</v>
      </c>
      <c r="F35" s="125">
        <f t="shared" si="23"/>
        <v>2500.3893830006368</v>
      </c>
      <c r="G35" s="111">
        <f t="shared" si="23"/>
        <v>57.98377750221772</v>
      </c>
      <c r="H35" s="111">
        <f t="shared" si="23"/>
        <v>3708.388965272728</v>
      </c>
      <c r="I35" s="128">
        <f t="shared" si="23"/>
        <v>2501.6522271545086</v>
      </c>
      <c r="J35" s="130">
        <f t="shared" si="23"/>
        <v>3.949734280863796E-2</v>
      </c>
      <c r="K35" s="111">
        <f t="shared" si="23"/>
        <v>5.9633477590909099</v>
      </c>
      <c r="L35" s="125">
        <f t="shared" si="23"/>
        <v>7.0987913993898069</v>
      </c>
      <c r="M35" s="124">
        <f t="shared" si="23"/>
        <v>9.930848129731876</v>
      </c>
      <c r="N35" s="125">
        <f t="shared" si="23"/>
        <v>8.688097507824379</v>
      </c>
      <c r="O35" s="111">
        <f t="shared" si="23"/>
        <v>1.2267092817699846E-2</v>
      </c>
      <c r="P35" s="111">
        <f t="shared" si="23"/>
        <v>1.8520977681818187</v>
      </c>
      <c r="Q35" s="128">
        <f t="shared" si="23"/>
        <v>2.1459441961007739</v>
      </c>
      <c r="R35" s="111">
        <f t="shared" si="23"/>
        <v>587.88241758731601</v>
      </c>
      <c r="S35" s="111">
        <f t="shared" si="23"/>
        <v>6.3008957454545458</v>
      </c>
      <c r="T35" s="125">
        <f t="shared" si="23"/>
        <v>457.95946440090188</v>
      </c>
      <c r="U35" s="124">
        <f t="shared" si="23"/>
        <v>8.2632151419089777</v>
      </c>
      <c r="V35" s="125">
        <f t="shared" si="23"/>
        <v>7.2291528319821738</v>
      </c>
      <c r="W35" s="124">
        <f t="shared" si="23"/>
        <v>182.58464163974665</v>
      </c>
      <c r="X35" s="111">
        <f>SUM(X9:X14)</f>
        <v>1.9569334909090912</v>
      </c>
      <c r="Y35" s="128">
        <f>SUM(Y9:Y14)</f>
        <v>152.16924402104087</v>
      </c>
      <c r="Z35" s="124">
        <f t="shared" si="23"/>
        <v>12727.078615940814</v>
      </c>
      <c r="AA35" s="111">
        <f>SUM(AA9:AA14)</f>
        <v>2876.2406270228962</v>
      </c>
      <c r="AB35" s="111">
        <f>SUM(AB9:AB14)</f>
        <v>3952.7786827666014</v>
      </c>
      <c r="AC35" s="130">
        <f t="shared" si="23"/>
        <v>8574.3147112031384</v>
      </c>
      <c r="AD35" s="111">
        <f>SUM(AD9:AD14)</f>
        <v>2516.3066333404431</v>
      </c>
      <c r="AE35" s="111">
        <f>SUM(AE9:AE14)</f>
        <v>2655.9674153716501</v>
      </c>
      <c r="AF35" s="254">
        <f>SUM(AF9:AF14)</f>
        <v>-5809.5091658150795</v>
      </c>
      <c r="AG35" s="326">
        <f t="shared" si="6"/>
        <v>-0.29706893409300245</v>
      </c>
      <c r="AH35" s="155" t="s">
        <v>75</v>
      </c>
    </row>
    <row r="36" spans="1:34" x14ac:dyDescent="0.25">
      <c r="A36" s="116" t="s">
        <v>230</v>
      </c>
      <c r="B36" s="308">
        <f>(D35-SUM(B35:C35))/SUM(B35:C35)</f>
        <v>-0.33129971393590735</v>
      </c>
      <c r="C36" s="309"/>
      <c r="D36" s="310"/>
      <c r="E36" s="319">
        <f>(F35-E35)/E35</f>
        <v>-0.12514043168043584</v>
      </c>
      <c r="F36" s="310"/>
      <c r="G36" s="308">
        <f>(I35-SUM(G35:H35))/SUM(G35:H35)</f>
        <v>-0.33579271144805245</v>
      </c>
      <c r="H36" s="309"/>
      <c r="I36" s="310"/>
      <c r="J36" s="308">
        <f>(L35-SUM(J35:K35))/SUM(J35:K35)</f>
        <v>0.18257114399694505</v>
      </c>
      <c r="K36" s="309"/>
      <c r="L36" s="310"/>
      <c r="M36" s="319">
        <f>(N35-M35)/M35</f>
        <v>-0.12514043168043595</v>
      </c>
      <c r="N36" s="310"/>
      <c r="O36" s="308">
        <f>(Q35-SUM(O35:P35))/SUM(O35:P35)</f>
        <v>0.15103231185675525</v>
      </c>
      <c r="P36" s="309"/>
      <c r="Q36" s="310"/>
      <c r="R36" s="308">
        <f>(T35-SUM(R35:S35))/SUM(R35:S35)</f>
        <v>-0.22926232675197486</v>
      </c>
      <c r="S36" s="309"/>
      <c r="T36" s="310"/>
      <c r="U36" s="319">
        <f>(V35-U35)/U35</f>
        <v>-0.1251404316804359</v>
      </c>
      <c r="V36" s="310"/>
      <c r="W36" s="319">
        <f>(Y35-SUM(W35:X35))/SUM(W35:X35)</f>
        <v>-0.17542026010504788</v>
      </c>
      <c r="X36" s="309"/>
      <c r="Y36" s="320"/>
      <c r="Z36" s="314"/>
      <c r="AA36" s="315"/>
      <c r="AB36" s="315"/>
      <c r="AC36" s="120">
        <f>(AC35-Z35)/Z35</f>
        <v>-0.32629356901561768</v>
      </c>
      <c r="AD36" s="61">
        <f t="shared" ref="AD36:AE36" si="24">(AD35-AA35)/AA35</f>
        <v>-0.12514043168043598</v>
      </c>
      <c r="AE36" s="61">
        <f t="shared" si="24"/>
        <v>-0.32807586041910552</v>
      </c>
      <c r="AF36" s="255"/>
      <c r="AG36" s="320"/>
      <c r="AH36" s="156" t="s">
        <v>230</v>
      </c>
    </row>
    <row r="37" spans="1:34" x14ac:dyDescent="0.25">
      <c r="A37" s="116" t="s">
        <v>76</v>
      </c>
      <c r="B37" s="94">
        <f t="shared" ref="B37:Y37" si="25">SUM(B9:B34)</f>
        <v>809.0117527690378</v>
      </c>
      <c r="C37" s="31">
        <f t="shared" si="25"/>
        <v>51740.85556309091</v>
      </c>
      <c r="D37" s="96">
        <f t="shared" si="25"/>
        <v>10660.003410525876</v>
      </c>
      <c r="E37" s="126">
        <f t="shared" si="25"/>
        <v>5643.8459514578635</v>
      </c>
      <c r="F37" s="127">
        <f t="shared" si="25"/>
        <v>4404.9471094924966</v>
      </c>
      <c r="G37" s="113">
        <f t="shared" si="25"/>
        <v>251.26303584294345</v>
      </c>
      <c r="H37" s="113">
        <f t="shared" si="25"/>
        <v>16069.685516181828</v>
      </c>
      <c r="I37" s="129">
        <f t="shared" si="25"/>
        <v>3252.1683960949645</v>
      </c>
      <c r="J37" s="131">
        <f t="shared" si="25"/>
        <v>0.17115515217076457</v>
      </c>
      <c r="K37" s="113">
        <f t="shared" si="25"/>
        <v>25.841173622727272</v>
      </c>
      <c r="L37" s="127">
        <f t="shared" si="25"/>
        <v>15.961866252675309</v>
      </c>
      <c r="M37" s="126">
        <f t="shared" si="25"/>
        <v>19.610659155239787</v>
      </c>
      <c r="N37" s="127">
        <f t="shared" si="25"/>
        <v>15.305860064944222</v>
      </c>
      <c r="O37" s="113">
        <f t="shared" si="25"/>
        <v>5.3157402210032664E-2</v>
      </c>
      <c r="P37" s="113">
        <f t="shared" si="25"/>
        <v>8.025756995454552</v>
      </c>
      <c r="Q37" s="129">
        <f t="shared" si="25"/>
        <v>4.7537610830563422</v>
      </c>
      <c r="R37" s="113">
        <f t="shared" si="25"/>
        <v>1778.1406127467999</v>
      </c>
      <c r="S37" s="113">
        <f t="shared" si="25"/>
        <v>27.303881563636359</v>
      </c>
      <c r="T37" s="127">
        <f t="shared" si="25"/>
        <v>465.33421159014506</v>
      </c>
      <c r="U37" s="126">
        <f t="shared" si="25"/>
        <v>16.317548466907059</v>
      </c>
      <c r="V37" s="127">
        <f t="shared" si="25"/>
        <v>12.735630733283775</v>
      </c>
      <c r="W37" s="126">
        <f t="shared" si="25"/>
        <v>552.25527563125854</v>
      </c>
      <c r="X37" s="113">
        <f t="shared" si="25"/>
        <v>8.4800451272727297</v>
      </c>
      <c r="Y37" s="129">
        <f t="shared" si="25"/>
        <v>157.67572192234246</v>
      </c>
      <c r="Z37" s="126">
        <f t="shared" ref="Z37:AF37" si="26">SUM(Z9:Z34)</f>
        <v>54381.324138945303</v>
      </c>
      <c r="AA37" s="113">
        <f t="shared" si="26"/>
        <v>5679.7741590800124</v>
      </c>
      <c r="AB37" s="113">
        <f t="shared" si="26"/>
        <v>16889.76278718096</v>
      </c>
      <c r="AC37" s="131">
        <f t="shared" si="26"/>
        <v>11141.299488368692</v>
      </c>
      <c r="AD37" s="113">
        <f t="shared" si="26"/>
        <v>4432.9886002907242</v>
      </c>
      <c r="AE37" s="113">
        <f t="shared" si="26"/>
        <v>3414.5978791003636</v>
      </c>
      <c r="AF37" s="256">
        <f t="shared" si="26"/>
        <v>-57961.975117446491</v>
      </c>
      <c r="AG37" s="327">
        <f>(SUM(AC37:AE37)-SUM(Z37:AB37))/SUM(Z37:AB37)</f>
        <v>-0.75323361298408686</v>
      </c>
      <c r="AH37" s="156" t="s">
        <v>76</v>
      </c>
    </row>
    <row r="38" spans="1:34" ht="15.75" thickBot="1" x14ac:dyDescent="0.3">
      <c r="A38" s="117" t="s">
        <v>231</v>
      </c>
      <c r="B38" s="323">
        <f>(D37-SUM(B37:C37))/SUM(B37:C37)</f>
        <v>-0.79714499855057475</v>
      </c>
      <c r="C38" s="324"/>
      <c r="D38" s="322"/>
      <c r="E38" s="321">
        <f>(F37-E37)/E37</f>
        <v>-0.21951322779200708</v>
      </c>
      <c r="F38" s="322"/>
      <c r="G38" s="323">
        <f>(I37-SUM(G37:H37))/SUM(G37:H37)</f>
        <v>-0.80073655733131377</v>
      </c>
      <c r="H38" s="324"/>
      <c r="I38" s="322"/>
      <c r="J38" s="323">
        <f>(L37-SUM(J37:K37))/SUM(J37:K37)</f>
        <v>-0.38637303907681847</v>
      </c>
      <c r="K38" s="324"/>
      <c r="L38" s="322"/>
      <c r="M38" s="321">
        <f>(N37-M37)/M37</f>
        <v>-0.21951322779200735</v>
      </c>
      <c r="N38" s="322"/>
      <c r="O38" s="323">
        <f>(Q37-SUM(O37:P37))/SUM(O37:P37)</f>
        <v>-0.41158417467196617</v>
      </c>
      <c r="P38" s="324"/>
      <c r="Q38" s="322"/>
      <c r="R38" s="323">
        <f>(T37-SUM(R37:S37))/SUM(R37:S37)</f>
        <v>-0.74226058288882879</v>
      </c>
      <c r="S38" s="324"/>
      <c r="T38" s="322"/>
      <c r="U38" s="321">
        <f>(V37-U37)/U37</f>
        <v>-0.21951322779200699</v>
      </c>
      <c r="V38" s="322"/>
      <c r="W38" s="321">
        <f>(Y37-SUM(W37:X37))/SUM(W37:X37)</f>
        <v>-0.71880543977674249</v>
      </c>
      <c r="X38" s="324"/>
      <c r="Y38" s="325"/>
      <c r="Z38" s="316"/>
      <c r="AA38" s="317"/>
      <c r="AB38" s="317"/>
      <c r="AC38" s="121">
        <f>(AC37-Z37)/Z37</f>
        <v>-0.79512636617853472</v>
      </c>
      <c r="AD38" s="114">
        <f t="shared" ref="AD38" si="27">(AD37-AA37)/AA37</f>
        <v>-0.21951322779200744</v>
      </c>
      <c r="AE38" s="114">
        <f t="shared" ref="AE38" si="28">(AE37-AB37)/AB37</f>
        <v>-0.79783032348494642</v>
      </c>
      <c r="AF38" s="257"/>
      <c r="AG38" s="328"/>
      <c r="AH38" s="164" t="s">
        <v>231</v>
      </c>
    </row>
    <row r="39" spans="1:34" x14ac:dyDescent="0.25">
      <c r="A39" s="162"/>
      <c r="B39" s="295" t="s">
        <v>233</v>
      </c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318" t="s">
        <v>234</v>
      </c>
      <c r="N39" s="318"/>
      <c r="O39" s="318"/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158"/>
      <c r="AG39" s="158"/>
      <c r="AH39" s="163"/>
    </row>
    <row r="40" spans="1:34" x14ac:dyDescent="0.25">
      <c r="A40" s="116" t="s">
        <v>232</v>
      </c>
      <c r="B40" s="297">
        <f>SUM(B35:C35,E35,G35:H35,J35:K35,M35,O35:P35,R35:S35,U35,W35:X35)</f>
        <v>19556.097925730312</v>
      </c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331">
        <f>SUM(D35,F35,I35,L35,N35,Q35,T35,V35,Y35)</f>
        <v>13746.588759915234</v>
      </c>
      <c r="N40" s="331"/>
      <c r="O40" s="331"/>
      <c r="P40" s="331"/>
      <c r="Q40" s="331"/>
      <c r="R40" s="331"/>
      <c r="S40" s="331"/>
      <c r="T40" s="331"/>
      <c r="U40" s="331"/>
      <c r="V40" s="331"/>
      <c r="W40" s="331"/>
      <c r="X40" s="331"/>
      <c r="Y40" s="331"/>
      <c r="Z40" s="331"/>
      <c r="AA40" s="331"/>
      <c r="AB40" s="331"/>
      <c r="AC40" s="331"/>
      <c r="AD40" s="331"/>
      <c r="AE40" s="331"/>
      <c r="AF40" s="140"/>
      <c r="AG40" s="140"/>
      <c r="AH40" s="138" t="s">
        <v>232</v>
      </c>
    </row>
    <row r="41" spans="1:34" x14ac:dyDescent="0.25">
      <c r="A41" s="116" t="s">
        <v>106</v>
      </c>
      <c r="B41" s="299"/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32">
        <f>(M40-B40)/B40</f>
        <v>-0.29706893409300233</v>
      </c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332"/>
      <c r="AC41" s="332"/>
      <c r="AD41" s="332"/>
      <c r="AE41" s="332"/>
      <c r="AF41" s="132"/>
      <c r="AG41" s="132"/>
      <c r="AH41" s="138" t="s">
        <v>106</v>
      </c>
    </row>
    <row r="42" spans="1:34" x14ac:dyDescent="0.25">
      <c r="A42" s="116" t="s">
        <v>107</v>
      </c>
      <c r="B42" s="297">
        <f>SUM(B37:C37,E37,G37:H37,J37:K37,M37,O37:P37,R37:S37,U37,W37:X37)</f>
        <v>76950.861085206285</v>
      </c>
      <c r="C42" s="298"/>
      <c r="D42" s="298"/>
      <c r="E42" s="298"/>
      <c r="F42" s="298"/>
      <c r="G42" s="298"/>
      <c r="H42" s="298"/>
      <c r="I42" s="298"/>
      <c r="J42" s="298"/>
      <c r="K42" s="298"/>
      <c r="L42" s="298"/>
      <c r="M42" s="331">
        <f>SUM(D37,F37,I37,L37,N37,Q37,T37,V37,Y37)</f>
        <v>18988.885967759783</v>
      </c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140"/>
      <c r="AG42" s="140"/>
      <c r="AH42" s="138" t="s">
        <v>107</v>
      </c>
    </row>
    <row r="43" spans="1:34" ht="15.75" thickBot="1" x14ac:dyDescent="0.3">
      <c r="A43" s="117" t="s">
        <v>108</v>
      </c>
      <c r="B43" s="329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3">
        <f>(M42-B42)/B42</f>
        <v>-0.75323361298408686</v>
      </c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3"/>
      <c r="Z43" s="333"/>
      <c r="AA43" s="333"/>
      <c r="AB43" s="333"/>
      <c r="AC43" s="333"/>
      <c r="AD43" s="333"/>
      <c r="AE43" s="333"/>
      <c r="AF43" s="133"/>
      <c r="AG43" s="133"/>
      <c r="AH43" s="139" t="s">
        <v>108</v>
      </c>
    </row>
    <row r="45" spans="1:34" x14ac:dyDescent="0.25">
      <c r="T45" s="12">
        <f>(S37/'Factor Sets'!B27)*2205</f>
        <v>2150.1806731363636</v>
      </c>
    </row>
    <row r="47" spans="1:34" x14ac:dyDescent="0.25">
      <c r="G47" s="12"/>
      <c r="V47" s="12"/>
    </row>
    <row r="51" spans="5:5" x14ac:dyDescent="0.25">
      <c r="E51" s="31"/>
    </row>
  </sheetData>
  <mergeCells count="49">
    <mergeCell ref="AC8:AE8"/>
    <mergeCell ref="M40:AE40"/>
    <mergeCell ref="M41:AE41"/>
    <mergeCell ref="M42:AE42"/>
    <mergeCell ref="M43:AE43"/>
    <mergeCell ref="W38:Y38"/>
    <mergeCell ref="AG35:AG36"/>
    <mergeCell ref="AG37:AG38"/>
    <mergeCell ref="B42:L42"/>
    <mergeCell ref="B43:L43"/>
    <mergeCell ref="B38:D38"/>
    <mergeCell ref="E38:F38"/>
    <mergeCell ref="G38:I38"/>
    <mergeCell ref="J38:L38"/>
    <mergeCell ref="B36:D36"/>
    <mergeCell ref="E36:F36"/>
    <mergeCell ref="G36:I36"/>
    <mergeCell ref="B41:L41"/>
    <mergeCell ref="G7:I7"/>
    <mergeCell ref="J6:Q6"/>
    <mergeCell ref="R6:Y6"/>
    <mergeCell ref="B6:I6"/>
    <mergeCell ref="E7:F7"/>
    <mergeCell ref="J36:L36"/>
    <mergeCell ref="O36:Q36"/>
    <mergeCell ref="R36:T36"/>
    <mergeCell ref="W7:Y7"/>
    <mergeCell ref="J7:L7"/>
    <mergeCell ref="M7:N7"/>
    <mergeCell ref="O7:Q7"/>
    <mergeCell ref="R7:T7"/>
    <mergeCell ref="U7:V7"/>
    <mergeCell ref="M39:AE39"/>
    <mergeCell ref="A2:A4"/>
    <mergeCell ref="AC6:AG6"/>
    <mergeCell ref="B7:D7"/>
    <mergeCell ref="B39:L39"/>
    <mergeCell ref="B40:L40"/>
    <mergeCell ref="Z6:AB6"/>
    <mergeCell ref="Z8:AB8"/>
    <mergeCell ref="Z36:AB36"/>
    <mergeCell ref="Z38:AB38"/>
    <mergeCell ref="W36:Y36"/>
    <mergeCell ref="M36:N36"/>
    <mergeCell ref="U36:V36"/>
    <mergeCell ref="M38:N38"/>
    <mergeCell ref="O38:Q38"/>
    <mergeCell ref="R38:T38"/>
    <mergeCell ref="U38:V38"/>
  </mergeCells>
  <pageMargins left="0.7" right="0.7" top="0.75" bottom="0.75" header="0.3" footer="0.3"/>
  <ignoredErrors>
    <ignoredError sqref="E37 G37 J37 M37 O37 R37 U37 W37 AC37:AE37" formula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B6FD-2289-422F-BCE3-747B8815B2E4}">
  <dimension ref="A1:AC42"/>
  <sheetViews>
    <sheetView zoomScale="70" zoomScaleNormal="70" workbookViewId="0">
      <selection activeCell="U8" sqref="U8:U37"/>
    </sheetView>
  </sheetViews>
  <sheetFormatPr defaultRowHeight="15" x14ac:dyDescent="0.25"/>
  <cols>
    <col min="1" max="1" width="33.42578125" bestFit="1" customWidth="1"/>
    <col min="2" max="2" width="16.42578125" style="7" customWidth="1"/>
    <col min="3" max="3" width="13" style="7" customWidth="1"/>
    <col min="4" max="4" width="11.28515625" customWidth="1"/>
    <col min="5" max="5" width="11" customWidth="1"/>
    <col min="6" max="6" width="10.85546875" customWidth="1"/>
    <col min="7" max="7" width="13.5703125" bestFit="1" customWidth="1"/>
    <col min="8" max="8" width="12.42578125" customWidth="1"/>
    <col min="9" max="9" width="13.140625" customWidth="1"/>
    <col min="10" max="10" width="11.28515625" customWidth="1"/>
    <col min="11" max="11" width="16.140625" bestFit="1" customWidth="1"/>
    <col min="12" max="12" width="11.7109375" customWidth="1"/>
    <col min="13" max="13" width="15.85546875" bestFit="1" customWidth="1"/>
    <col min="14" max="14" width="11.140625" customWidth="1"/>
    <col min="15" max="15" width="16.5703125" customWidth="1"/>
    <col min="16" max="16" width="12.85546875" customWidth="1"/>
    <col min="17" max="17" width="16.85546875" bestFit="1" customWidth="1"/>
    <col min="18" max="18" width="14.7109375" customWidth="1"/>
    <col min="19" max="19" width="13.7109375" customWidth="1"/>
    <col min="20" max="20" width="29.28515625" bestFit="1" customWidth="1"/>
    <col min="21" max="21" width="29.28515625" customWidth="1"/>
    <col min="22" max="22" width="30.5703125" bestFit="1" customWidth="1"/>
    <col min="23" max="23" width="50" bestFit="1" customWidth="1"/>
    <col min="24" max="24" width="11.7109375" bestFit="1" customWidth="1"/>
    <col min="25" max="25" width="43.5703125" bestFit="1" customWidth="1"/>
  </cols>
  <sheetData>
    <row r="1" spans="1:29" s="7" customFormat="1" ht="60" x14ac:dyDescent="0.25">
      <c r="A1" s="7" t="s">
        <v>65</v>
      </c>
      <c r="B1" s="7" t="s">
        <v>212</v>
      </c>
      <c r="C1" s="7" t="s">
        <v>173</v>
      </c>
      <c r="D1" s="7" t="s">
        <v>170</v>
      </c>
      <c r="E1" s="7" t="s">
        <v>32</v>
      </c>
      <c r="F1" s="7" t="s">
        <v>208</v>
      </c>
      <c r="G1" s="7" t="s">
        <v>54</v>
      </c>
      <c r="H1" s="7" t="s">
        <v>207</v>
      </c>
      <c r="I1" s="7" t="s">
        <v>64</v>
      </c>
      <c r="J1" s="7" t="s">
        <v>25</v>
      </c>
      <c r="K1" s="7" t="s">
        <v>34</v>
      </c>
      <c r="L1" s="7" t="s">
        <v>20</v>
      </c>
      <c r="M1" s="7" t="s">
        <v>35</v>
      </c>
      <c r="N1" s="7" t="s">
        <v>36</v>
      </c>
      <c r="O1" s="7" t="s">
        <v>59</v>
      </c>
      <c r="P1" s="7" t="s">
        <v>60</v>
      </c>
      <c r="Q1" s="7" t="s">
        <v>67</v>
      </c>
      <c r="R1" s="7" t="s">
        <v>61</v>
      </c>
      <c r="S1" s="7" t="s">
        <v>62</v>
      </c>
      <c r="T1" s="7" t="s">
        <v>63</v>
      </c>
      <c r="W1" s="171" t="s">
        <v>245</v>
      </c>
    </row>
    <row r="2" spans="1:29" x14ac:dyDescent="0.25">
      <c r="A2" t="s">
        <v>66</v>
      </c>
      <c r="B2" s="7">
        <f>'Union Gas Consumption'!B15</f>
        <v>4284.3426125999995</v>
      </c>
      <c r="C2" s="7">
        <f>(B2/0.1308)*2.931</f>
        <v>96004.649828215581</v>
      </c>
      <c r="D2" s="7">
        <f>'Factor Sets'!$D$19*C2</f>
        <v>79.587854707590708</v>
      </c>
      <c r="E2" t="s">
        <v>53</v>
      </c>
      <c r="F2" s="7">
        <f>'Factor Sets'!B11</f>
        <v>116.65</v>
      </c>
      <c r="G2" s="7" t="s">
        <v>55</v>
      </c>
      <c r="H2" s="7">
        <f>(B2*116.65)/2205</f>
        <v>226.65241077541495</v>
      </c>
      <c r="I2" s="7">
        <f>H2/2</f>
        <v>113.32620538770747</v>
      </c>
      <c r="J2">
        <f>'Factor Sets'!D51</f>
        <v>0.89533333333333343</v>
      </c>
      <c r="K2">
        <f>B2*J2</f>
        <v>3835.9147524812001</v>
      </c>
      <c r="L2">
        <v>6</v>
      </c>
      <c r="M2" s="10">
        <f>(K2/0.003412)/L2</f>
        <v>187373.71788204377</v>
      </c>
      <c r="N2" s="12">
        <f>M2/1000</f>
        <v>187.37371788204376</v>
      </c>
      <c r="O2">
        <f>'Emissions Projection Factors'!M16</f>
        <v>544.375</v>
      </c>
      <c r="P2" s="12">
        <f>(O2*N2)/2205</f>
        <v>46.259214363735865</v>
      </c>
      <c r="Q2" s="12">
        <f>P2/2</f>
        <v>23.129607181867932</v>
      </c>
      <c r="R2" s="12">
        <f>(N2*'Emissions Projection Factors'!M18)/2205</f>
        <v>43.46560394406594</v>
      </c>
      <c r="S2" s="12">
        <f>(N2*'Emissions Projection Factors'!M28)/2205</f>
        <v>7.9028370807392605</v>
      </c>
      <c r="T2">
        <v>0</v>
      </c>
      <c r="W2" s="172" t="s">
        <v>243</v>
      </c>
    </row>
    <row r="3" spans="1:29" x14ac:dyDescent="0.25">
      <c r="A3" s="8" t="s">
        <v>57</v>
      </c>
      <c r="B3" s="78">
        <f>'Union Electricity Consumption'!I18</f>
        <v>174891.14740594057</v>
      </c>
      <c r="C3" s="7">
        <f>(B3/0.1308)*2.931</f>
        <v>3919005.7572386228</v>
      </c>
      <c r="D3" s="159" t="s">
        <v>236</v>
      </c>
      <c r="E3" t="s">
        <v>33</v>
      </c>
      <c r="F3" s="9">
        <f>'Emissions Projection Factors'!M13</f>
        <v>593.6875</v>
      </c>
      <c r="G3" s="9" t="s">
        <v>56</v>
      </c>
      <c r="H3" s="79">
        <f>(F3/2205)*(B3/1000)</f>
        <v>47.088747426559792</v>
      </c>
      <c r="I3" s="79">
        <f>(('Emissions Projection Factors'!M16/2205)*(B3/1000))/2</f>
        <v>21.588745661929455</v>
      </c>
      <c r="J3">
        <f>'Union Electricity Consumption'!J17</f>
        <v>4.4402110199296603</v>
      </c>
      <c r="K3" s="12">
        <f>J3*(B3/3413.14)</f>
        <v>227.51882430840809</v>
      </c>
      <c r="L3">
        <v>6</v>
      </c>
      <c r="M3" s="10">
        <f>(J3*B3)/L3</f>
        <v>129425.59999999999</v>
      </c>
      <c r="N3" s="12">
        <f>M3/1000</f>
        <v>129.4256</v>
      </c>
      <c r="O3">
        <f>'Emissions Projection Factors'!M16</f>
        <v>544.375</v>
      </c>
      <c r="P3" s="12">
        <f>(O3*N3)/2205</f>
        <v>31.952862131519275</v>
      </c>
      <c r="Q3" s="12">
        <f>P3/2</f>
        <v>15.976431065759638</v>
      </c>
      <c r="R3" s="12">
        <f>('Emissions Projection Factors'!M18*N3)/2205</f>
        <v>30.023217414965991</v>
      </c>
      <c r="S3" s="12">
        <f>('Emissions Projection Factors'!M28*N3)/2205</f>
        <v>5.4587668027210885</v>
      </c>
      <c r="T3" s="12">
        <f>('Emissions Projection Factors'!M38*N3)/2205</f>
        <v>0</v>
      </c>
      <c r="U3" s="12"/>
      <c r="W3" s="173" t="s">
        <v>244</v>
      </c>
    </row>
    <row r="4" spans="1:29" ht="15.75" thickBot="1" x14ac:dyDescent="0.3">
      <c r="A4" s="8"/>
      <c r="B4" s="78"/>
      <c r="C4"/>
      <c r="D4" s="9"/>
      <c r="E4" s="9"/>
      <c r="F4" s="79"/>
      <c r="G4" s="79"/>
      <c r="I4" s="12"/>
      <c r="K4" s="10"/>
      <c r="L4" s="12"/>
      <c r="N4" s="12"/>
      <c r="O4" s="12"/>
      <c r="P4" s="12"/>
      <c r="Q4" s="12"/>
      <c r="R4" s="12"/>
      <c r="W4" s="174" t="s">
        <v>217</v>
      </c>
    </row>
    <row r="5" spans="1:29" ht="14.45" customHeight="1" x14ac:dyDescent="0.25">
      <c r="A5" s="95"/>
      <c r="B5" s="302" t="s">
        <v>227</v>
      </c>
      <c r="C5" s="303"/>
      <c r="D5" s="303"/>
      <c r="E5" s="303"/>
      <c r="F5" s="303"/>
      <c r="G5" s="302" t="s">
        <v>216</v>
      </c>
      <c r="H5" s="303"/>
      <c r="I5" s="303"/>
      <c r="J5" s="303"/>
      <c r="K5" s="304"/>
      <c r="L5" s="303" t="s">
        <v>218</v>
      </c>
      <c r="M5" s="303"/>
      <c r="N5" s="303"/>
      <c r="O5" s="303"/>
      <c r="P5" s="303"/>
      <c r="Q5" s="289" t="s">
        <v>233</v>
      </c>
      <c r="R5" s="291"/>
      <c r="S5" s="282" t="s">
        <v>235</v>
      </c>
      <c r="T5" s="283"/>
      <c r="U5" s="283"/>
      <c r="V5" s="311"/>
      <c r="W5" s="135"/>
      <c r="X5" s="8"/>
      <c r="Y5" s="8"/>
      <c r="Z5" s="8"/>
      <c r="AB5" s="1"/>
      <c r="AC5" s="1"/>
    </row>
    <row r="6" spans="1:29" x14ac:dyDescent="0.25">
      <c r="A6" s="102"/>
      <c r="B6" s="292" t="s">
        <v>45</v>
      </c>
      <c r="C6" s="293"/>
      <c r="D6" s="294"/>
      <c r="E6" s="307" t="s">
        <v>46</v>
      </c>
      <c r="F6" s="294"/>
      <c r="G6" s="292" t="s">
        <v>45</v>
      </c>
      <c r="H6" s="293"/>
      <c r="I6" s="294"/>
      <c r="J6" s="307" t="s">
        <v>46</v>
      </c>
      <c r="K6" s="301"/>
      <c r="L6" s="293" t="s">
        <v>45</v>
      </c>
      <c r="M6" s="293"/>
      <c r="N6" s="294"/>
      <c r="O6" s="307" t="s">
        <v>46</v>
      </c>
      <c r="P6" s="301"/>
      <c r="Q6" s="19" t="s">
        <v>246</v>
      </c>
      <c r="R6" s="19" t="s">
        <v>247</v>
      </c>
      <c r="S6" s="21" t="s">
        <v>248</v>
      </c>
      <c r="T6" t="s">
        <v>249</v>
      </c>
      <c r="U6" t="s">
        <v>327</v>
      </c>
      <c r="V6" s="22" t="s">
        <v>328</v>
      </c>
      <c r="W6" s="136"/>
    </row>
    <row r="7" spans="1:29" ht="45" x14ac:dyDescent="0.25">
      <c r="A7" s="103"/>
      <c r="B7" s="87" t="s">
        <v>220</v>
      </c>
      <c r="C7" s="82" t="s">
        <v>221</v>
      </c>
      <c r="D7" s="91" t="s">
        <v>222</v>
      </c>
      <c r="E7" s="92" t="s">
        <v>225</v>
      </c>
      <c r="F7" s="91" t="s">
        <v>223</v>
      </c>
      <c r="G7" s="87" t="s">
        <v>220</v>
      </c>
      <c r="H7" s="82" t="s">
        <v>221</v>
      </c>
      <c r="I7" s="91" t="s">
        <v>224</v>
      </c>
      <c r="J7" s="92" t="s">
        <v>225</v>
      </c>
      <c r="K7" s="122" t="s">
        <v>224</v>
      </c>
      <c r="L7" s="37" t="s">
        <v>220</v>
      </c>
      <c r="M7" s="82" t="s">
        <v>221</v>
      </c>
      <c r="N7" s="91" t="s">
        <v>222</v>
      </c>
      <c r="O7" s="92" t="s">
        <v>225</v>
      </c>
      <c r="P7" s="122" t="s">
        <v>223</v>
      </c>
      <c r="Q7" s="109"/>
      <c r="R7" s="109"/>
      <c r="S7" s="160"/>
      <c r="T7" s="109"/>
      <c r="U7" s="109"/>
      <c r="V7" s="152"/>
      <c r="W7" s="136"/>
    </row>
    <row r="8" spans="1:29" x14ac:dyDescent="0.25">
      <c r="A8" s="104">
        <v>2025</v>
      </c>
      <c r="B8" s="94">
        <f>$D$2*_xlfn.XLOOKUP(A8,'Emissions Projection Factors'!$A$3:$A$38,'Emissions Projection Factors'!$L$3:$L$38,,0)</f>
        <v>3.5544520845990517</v>
      </c>
      <c r="C8" s="31">
        <f>'Factor Sets'!$D$14*$B$2</f>
        <v>227.32721902455597</v>
      </c>
      <c r="D8" s="141">
        <f>SUM(B8:C8)</f>
        <v>230.88167110915504</v>
      </c>
      <c r="E8" s="101">
        <f>(_xlfn.XLOOKUP(A8,'Emissions Projection Factors'!$A$3:$A$38,'Emissions Projection Factors'!M$3:M$38,,0)*($B$3*0.001))/2205</f>
        <v>47.088747426559799</v>
      </c>
      <c r="F8" s="141">
        <f>E8</f>
        <v>47.088747426559799</v>
      </c>
      <c r="G8" s="88">
        <f>$D$2*_xlfn.XLOOKUP(A8,'Emissions Projection Factors'!$A$3:$A$38,'Emissions Projection Factors'!$J$3:$J$38,,0)*'Factor Sets'!$B$28</f>
        <v>7.5198263231773018E-4</v>
      </c>
      <c r="H8" s="60">
        <f>('Factor Sets'!$D$15*$B$2)*'Factor Sets'!$B$28</f>
        <v>0.11353507923389999</v>
      </c>
      <c r="I8" s="141">
        <f>SUM(G8:H8)</f>
        <v>0.11428706186621772</v>
      </c>
      <c r="J8" s="93">
        <f>((_xlfn.XLOOKUP(A8,'Emissions Projection Factors'!$A$3:$A$38,'Emissions Projection Factors'!$P$3:$P$38,,0)*($B$3*0.001))/2205)*'Factor Sets'!$B$28</f>
        <v>0.16361916745635202</v>
      </c>
      <c r="K8" s="142">
        <f>J8</f>
        <v>0.16361916745635202</v>
      </c>
      <c r="L8" s="60">
        <f>$D$2*_xlfn.XLOOKUP(A8,'Emissions Projection Factors'!$A$3:$A$38,'Emissions Projection Factors'!$G$3:$G$38,,0)*'Factor Sets'!$B$27</f>
        <v>16.628774833590732</v>
      </c>
      <c r="M8" s="60">
        <f>('Factor Sets'!$D$16*$B$2)*'Factor Sets'!$B$27</f>
        <v>0.11996159315279999</v>
      </c>
      <c r="N8" s="141">
        <f>SUM(L8:M8)</f>
        <v>16.748736426743534</v>
      </c>
      <c r="O8" s="93">
        <f>((_xlfn.XLOOKUP(A8,'Emissions Projection Factors'!$A$3:$A$38,'Emissions Projection Factors'!$Q$3:$Q$38,,0)*($B$3*0.001))/2205)*'Factor Sets'!$B$27</f>
        <v>0.13614349594009664</v>
      </c>
      <c r="P8" s="142">
        <f>O8</f>
        <v>0.13614349594009664</v>
      </c>
      <c r="Q8" s="60">
        <f>SUM(B8:C8,G8:H8,L8:M8)</f>
        <v>247.74469459776481</v>
      </c>
      <c r="R8" s="60">
        <f t="shared" ref="R8:R33" si="0">SUM(E8,J8,O8)</f>
        <v>47.388510089956249</v>
      </c>
      <c r="S8" s="143">
        <f t="shared" ref="S8:S33" si="1">SUM(D8,I8,N8)</f>
        <v>247.74469459776478</v>
      </c>
      <c r="T8" s="144">
        <f t="shared" ref="T8:T33" si="2">SUM(F8,K8,P8)</f>
        <v>47.388510089956249</v>
      </c>
      <c r="U8" s="259">
        <f>SUM(S8:T8)-SUM(Q8:R8)</f>
        <v>0</v>
      </c>
      <c r="V8" s="153">
        <f t="shared" ref="V8:V34" si="3">(SUM(S8:T8)-SUM(Q8:R8))/SUM(Q8:R8)</f>
        <v>0</v>
      </c>
      <c r="W8" s="137">
        <v>2025</v>
      </c>
    </row>
    <row r="9" spans="1:29" x14ac:dyDescent="0.25">
      <c r="A9" s="104">
        <v>2026</v>
      </c>
      <c r="B9" s="94">
        <f>$D$2*_xlfn.XLOOKUP(A9,'Emissions Projection Factors'!$A$3:$A$38,'Emissions Projection Factors'!$L$3:$L$38,,0)</f>
        <v>3.5544520845990513</v>
      </c>
      <c r="C9" s="31">
        <f>'Factor Sets'!$D$14*$B$2</f>
        <v>227.32721902455597</v>
      </c>
      <c r="D9" s="141">
        <f t="shared" ref="D9:D10" si="4">SUM(B9:C9)</f>
        <v>230.88167110915504</v>
      </c>
      <c r="E9" s="101">
        <f>(_xlfn.XLOOKUP(A9,'Emissions Projection Factors'!$A$3:$A$38,'Emissions Projection Factors'!M$3:M$38,,0)*($B$3*0.001))/2205</f>
        <v>45.784995392326167</v>
      </c>
      <c r="F9" s="141">
        <f t="shared" ref="F9:F10" si="5">E9</f>
        <v>45.784995392326167</v>
      </c>
      <c r="G9" s="88">
        <f>$D$2*_xlfn.XLOOKUP(A9,'Emissions Projection Factors'!$A$3:$A$38,'Emissions Projection Factors'!$J$3:$J$38,,0)*'Factor Sets'!$B$28</f>
        <v>7.5198263231773029E-4</v>
      </c>
      <c r="H9" s="60">
        <f>('Factor Sets'!$D$15*$B$2)*'Factor Sets'!$B$28</f>
        <v>0.11353507923389999</v>
      </c>
      <c r="I9" s="141">
        <f t="shared" ref="I9:I10" si="6">SUM(G9:H9)</f>
        <v>0.11428706186621772</v>
      </c>
      <c r="J9" s="93">
        <f>((_xlfn.XLOOKUP(A9,'Emissions Projection Factors'!$A$3:$A$38,'Emissions Projection Factors'!$P$3:$P$38,,0)*($B$3*0.001))/2205)*'Factor Sets'!$B$28</f>
        <v>0.15908902312105139</v>
      </c>
      <c r="K9" s="142">
        <f t="shared" ref="K9:K10" si="7">J9</f>
        <v>0.15908902312105139</v>
      </c>
      <c r="L9" s="60">
        <f>$D$2*_xlfn.XLOOKUP(A9,'Emissions Projection Factors'!$A$3:$A$38,'Emissions Projection Factors'!$G$3:$G$38,,0)*'Factor Sets'!$B$27</f>
        <v>16.143908730131351</v>
      </c>
      <c r="M9" s="60">
        <f>('Factor Sets'!$D$16*$B$2)*'Factor Sets'!$B$27</f>
        <v>0.11996159315279999</v>
      </c>
      <c r="N9" s="141">
        <f t="shared" ref="N9:N10" si="8">SUM(L9:M9)</f>
        <v>16.263870323284152</v>
      </c>
      <c r="O9" s="93">
        <f>((_xlfn.XLOOKUP(A9,'Emissions Projection Factors'!$A$3:$A$38,'Emissions Projection Factors'!$Q$3:$Q$38,,0)*($B$3*0.001))/2205)*'Factor Sets'!$B$27</f>
        <v>0.13237407395544087</v>
      </c>
      <c r="P9" s="142">
        <f t="shared" ref="P9:P10" si="9">O9</f>
        <v>0.13237407395544087</v>
      </c>
      <c r="Q9" s="60">
        <f t="shared" ref="Q9:Q33" si="10">SUM(B9:C9,G9:H9,L9:M9)</f>
        <v>247.25982849430542</v>
      </c>
      <c r="R9" s="60">
        <f t="shared" si="0"/>
        <v>46.076458489402654</v>
      </c>
      <c r="S9" s="143">
        <f t="shared" si="1"/>
        <v>247.2598284943054</v>
      </c>
      <c r="T9" s="144">
        <f t="shared" si="2"/>
        <v>46.076458489402654</v>
      </c>
      <c r="U9" s="259">
        <f t="shared" ref="U9:U33" si="11">SUM(S9:T9)-SUM(Q9:R9)</f>
        <v>0</v>
      </c>
      <c r="V9" s="153">
        <f t="shared" si="3"/>
        <v>0</v>
      </c>
      <c r="W9" s="137">
        <v>2026</v>
      </c>
    </row>
    <row r="10" spans="1:29" x14ac:dyDescent="0.25">
      <c r="A10" s="104">
        <v>2027</v>
      </c>
      <c r="B10" s="94">
        <f>$D$2*_xlfn.XLOOKUP(A10,'Emissions Projection Factors'!$A$3:$A$38,'Emissions Projection Factors'!$L$3:$L$38,,0)</f>
        <v>3.5544520845990513</v>
      </c>
      <c r="C10" s="31">
        <f>'Factor Sets'!$D$14*$B$2</f>
        <v>227.32721902455597</v>
      </c>
      <c r="D10" s="141">
        <f t="shared" si="4"/>
        <v>230.88167110915504</v>
      </c>
      <c r="E10" s="101">
        <f>(_xlfn.XLOOKUP(A10,'Emissions Projection Factors'!$A$3:$A$38,'Emissions Projection Factors'!M$3:M$38,,0)*($B$3*0.001))/2205</f>
        <v>44.481243358092541</v>
      </c>
      <c r="F10" s="141">
        <f t="shared" si="5"/>
        <v>44.481243358092541</v>
      </c>
      <c r="G10" s="88">
        <f>$D$2*_xlfn.XLOOKUP(A10,'Emissions Projection Factors'!$A$3:$A$38,'Emissions Projection Factors'!$J$3:$J$38,,0)*'Factor Sets'!$B$28</f>
        <v>7.5198263231773029E-4</v>
      </c>
      <c r="H10" s="60">
        <f>('Factor Sets'!$D$15*$B$2)*'Factor Sets'!$B$28</f>
        <v>0.11353507923389999</v>
      </c>
      <c r="I10" s="141">
        <f t="shared" si="6"/>
        <v>0.11428706186621772</v>
      </c>
      <c r="J10" s="93">
        <f>((_xlfn.XLOOKUP(A10,'Emissions Projection Factors'!$A$3:$A$38,'Emissions Projection Factors'!$P$3:$P$38,,0)*($B$3*0.001))/2205)*'Factor Sets'!$B$28</f>
        <v>0.15455887878575075</v>
      </c>
      <c r="K10" s="142">
        <f t="shared" si="7"/>
        <v>0.15455887878575075</v>
      </c>
      <c r="L10" s="60">
        <f>$D$2*_xlfn.XLOOKUP(A10,'Emissions Projection Factors'!$A$3:$A$38,'Emissions Projection Factors'!$G$3:$G$38,,0)*'Factor Sets'!$B$27</f>
        <v>15.665087713875232</v>
      </c>
      <c r="M10" s="60">
        <f>('Factor Sets'!$D$16*$B$2)*'Factor Sets'!$B$27</f>
        <v>0.11996159315279999</v>
      </c>
      <c r="N10" s="141">
        <f t="shared" si="8"/>
        <v>15.785049307028032</v>
      </c>
      <c r="O10" s="93">
        <f>((_xlfn.XLOOKUP(A10,'Emissions Projection Factors'!$A$3:$A$38,'Emissions Projection Factors'!$Q$3:$Q$38,,0)*($B$3*0.001))/2205)*'Factor Sets'!$B$27</f>
        <v>0.12860465197078505</v>
      </c>
      <c r="P10" s="142">
        <f t="shared" si="9"/>
        <v>0.12860465197078505</v>
      </c>
      <c r="Q10" s="60">
        <f t="shared" si="10"/>
        <v>246.7810074780493</v>
      </c>
      <c r="R10" s="60">
        <f t="shared" si="0"/>
        <v>44.764406888849074</v>
      </c>
      <c r="S10" s="143">
        <f t="shared" si="1"/>
        <v>246.78100747804928</v>
      </c>
      <c r="T10" s="144">
        <f t="shared" si="2"/>
        <v>44.764406888849074</v>
      </c>
      <c r="U10" s="259">
        <f t="shared" si="11"/>
        <v>0</v>
      </c>
      <c r="V10" s="153">
        <f t="shared" si="3"/>
        <v>-1.9497277631426853E-16</v>
      </c>
      <c r="W10" s="137">
        <v>2027</v>
      </c>
    </row>
    <row r="11" spans="1:29" x14ac:dyDescent="0.25">
      <c r="A11" s="104">
        <v>2028</v>
      </c>
      <c r="B11" s="94">
        <f>$D$2*_xlfn.XLOOKUP(A11,'Emissions Projection Factors'!$A$3:$A$38,'Emissions Projection Factors'!$L$3:$L$38,,0)</f>
        <v>3.5544520845990513</v>
      </c>
      <c r="C11" s="31">
        <f>'Factor Sets'!$D$14*$B$2</f>
        <v>227.32721902455597</v>
      </c>
      <c r="D11" s="145">
        <f>((($N$2*_xlfn.XLOOKUP(A11,'Emissions Projection Factors'!$A$5:$A$38,'Emissions Projection Factors'!$M$5:$M$38,0))/2205)/2)+(SUM(B11:C11)/2)</f>
        <v>138.57044273644544</v>
      </c>
      <c r="E11" s="101">
        <f>(_xlfn.XLOOKUP(A11,'Emissions Projection Factors'!$A$3:$A$38,'Emissions Projection Factors'!M$3:M$38,,0)*($B$3*0.001))/2205</f>
        <v>43.177491323858916</v>
      </c>
      <c r="F11" s="146">
        <f>(((_xlfn.XLOOKUP(A11,'Emissions Projection Factors'!$A$3:$A$38,'Emissions Projection Factors'!$M$3:$M$38,,0)*$P$3)/2205)/2)+(E11/2)</f>
        <v>25.533040292960251</v>
      </c>
      <c r="G11" s="88">
        <f>$D$2*_xlfn.XLOOKUP(A11,'Emissions Projection Factors'!$A$3:$A$38,'Emissions Projection Factors'!$J$3:$J$38,,0)*'Factor Sets'!$B$28</f>
        <v>7.5198263231773018E-4</v>
      </c>
      <c r="H11" s="60">
        <f>('Factor Sets'!$D$15*$B$2)*'Factor Sets'!$B$28</f>
        <v>0.11353507923389999</v>
      </c>
      <c r="I11" s="150">
        <f>((($N$2*_xlfn.XLOOKUP(A11,'Emissions Projection Factors'!$A$5:$A$38,'Emissions Projection Factors'!$P$5:$P$38,0)*'Factor Sets'!$B$28)/2205)/2)+(SUM(G11:H11)/2)</f>
        <v>0.137511926303828</v>
      </c>
      <c r="J11" s="93">
        <f>((_xlfn.XLOOKUP(A11,'Emissions Projection Factors'!$A$3:$A$38,'Emissions Projection Factors'!$P$3:$P$38,,0)*($B$3*0.001))/2205)*'Factor Sets'!$B$28</f>
        <v>0.15002873445045015</v>
      </c>
      <c r="K11" s="166">
        <f>((((_xlfn.XLOOKUP(A11,'Emissions Projection Factors'!$A$3:$A$38,'Emissions Projection Factors'!$P$3:$P$38,,0)*($P$3))/2205)*'Factor Sets'!$B$28)/2)+(J11/2)</f>
        <v>8.8719599133088689E-2</v>
      </c>
      <c r="L11" s="60">
        <f>$D$2*_xlfn.XLOOKUP(A11,'Emissions Projection Factors'!$A$3:$A$38,'Emissions Projection Factors'!$G$3:$G$38,,0)*'Factor Sets'!$B$27</f>
        <v>6.2289791032528061</v>
      </c>
      <c r="M11" s="60">
        <f>('Factor Sets'!$D$16*$B$2)*'Factor Sets'!$B$27</f>
        <v>0.11996159315279999</v>
      </c>
      <c r="N11" s="150">
        <f>((((_xlfn.XLOOKUP(A11,'Emissions Projection Factors'!$A$3:$A$38,'Emissions Projection Factors'!$Q$3:$Q$38,,0)*($N$2))/2205)*'Factor Sets'!$B$27)/2)+(SUM(L11:M11)/2)</f>
        <v>3.2413429186905147</v>
      </c>
      <c r="O11" s="93">
        <f>((_xlfn.XLOOKUP(A11,'Emissions Projection Factors'!$A$3:$A$38,'Emissions Projection Factors'!$Q$3:$Q$38,,0)*($B$3*0.001))/2205)*'Factor Sets'!$B$27</f>
        <v>0.12483522998612928</v>
      </c>
      <c r="P11" s="166">
        <f>((((_xlfn.XLOOKUP(A11,'Emissions Projection Factors'!$A$3:$A$38,'Emissions Projection Factors'!$Q$3:$Q$38,,0)*$N$3)/2205)*'Factor Sets'!$B$27)/2)+(O11/2)</f>
        <v>0.10860884531472004</v>
      </c>
      <c r="Q11" s="60">
        <f t="shared" si="10"/>
        <v>237.34489886742688</v>
      </c>
      <c r="R11" s="60">
        <f t="shared" si="0"/>
        <v>43.4523552882955</v>
      </c>
      <c r="S11" s="148">
        <f t="shared" si="1"/>
        <v>141.94929758143979</v>
      </c>
      <c r="T11" s="248">
        <f t="shared" si="2"/>
        <v>25.73036873740806</v>
      </c>
      <c r="U11" s="260">
        <f t="shared" si="11"/>
        <v>-113.11758783687452</v>
      </c>
      <c r="V11" s="154">
        <f t="shared" si="3"/>
        <v>-0.40284435179748102</v>
      </c>
      <c r="W11" s="137">
        <v>2028</v>
      </c>
    </row>
    <row r="12" spans="1:29" x14ac:dyDescent="0.25">
      <c r="A12" s="104">
        <v>2029</v>
      </c>
      <c r="B12" s="94">
        <f>$D$2*_xlfn.XLOOKUP(A12,'Emissions Projection Factors'!$A$3:$A$38,'Emissions Projection Factors'!$L$3:$L$38,,0)</f>
        <v>3.5544520845990513</v>
      </c>
      <c r="C12" s="31">
        <f>'Factor Sets'!$D$14*$B$2</f>
        <v>227.32721902455597</v>
      </c>
      <c r="D12" s="96">
        <f>($N$2*_xlfn.XLOOKUP(A12,'Emissions Projection Factors'!$A$5:$A$38,'Emissions Projection Factors'!$M$5:$M$38,0))/2205</f>
        <v>44.862409153900899</v>
      </c>
      <c r="E12" s="101">
        <f>(_xlfn.XLOOKUP(A12,'Emissions Projection Factors'!$A$3:$A$38,'Emissions Projection Factors'!M$3:M$38,,0)*($B$3*0.001))/2205</f>
        <v>41.873739289625291</v>
      </c>
      <c r="F12" s="100">
        <f>(_xlfn.XLOOKUP(A12,'Emissions Projection Factors'!$A$3:$A$38,'Emissions Projection Factors'!$M$3:$M$38,,0)*$N$3)/2205</f>
        <v>30.98803977324263</v>
      </c>
      <c r="G12" s="88">
        <f>$D$2*_xlfn.XLOOKUP(A12,'Emissions Projection Factors'!$A$3:$A$38,'Emissions Projection Factors'!$J$3:$J$38,,0)*'Factor Sets'!$B$28</f>
        <v>7.5198263231773018E-4</v>
      </c>
      <c r="H12" s="60">
        <f>('Factor Sets'!$D$15*$B$2)*'Factor Sets'!$B$28</f>
        <v>0.11353507923389999</v>
      </c>
      <c r="I12" s="90">
        <f>($N$2*_xlfn.XLOOKUP(A12,'Emissions Projection Factors'!$A$5:$A$38,'Emissions Projection Factors'!$P$5:$P$38,0)*'Factor Sets'!$B$28)/2205</f>
        <v>0.15588331474086442</v>
      </c>
      <c r="J12" s="93">
        <f>((_xlfn.XLOOKUP(A12,'Emissions Projection Factors'!$A$3:$A$38,'Emissions Projection Factors'!$P$3:$P$38,,0)*($B$3*0.001))/2205)*'Factor Sets'!$B$28</f>
        <v>0.14549859011514951</v>
      </c>
      <c r="K12" s="80">
        <f>((_xlfn.XLOOKUP(A12,'Emissions Projection Factors'!$A$3:$A$38,'Emissions Projection Factors'!$P$3:$P$38,,0)*($N$3))/2205)*'Factor Sets'!$B$28</f>
        <v>0.10767407386891927</v>
      </c>
      <c r="L12" s="60">
        <f>$D$2*_xlfn.XLOOKUP(A12,'Emissions Projection Factors'!$A$3:$A$38,'Emissions Projection Factors'!$G$3:$G$38,,0)*'Factor Sets'!$B$27</f>
        <v>6.3053447997935823</v>
      </c>
      <c r="M12" s="60">
        <f>('Factor Sets'!$D$16*$B$2)*'Factor Sets'!$B$27</f>
        <v>0.11996159315279999</v>
      </c>
      <c r="N12" s="90">
        <f>((_xlfn.XLOOKUP(A12,'Emissions Projection Factors'!$A$3:$A$38,'Emissions Projection Factors'!$Q$3:$Q$38,,0)*($N$2))/2205)*'Factor Sets'!$B$27</f>
        <v>0.12970668264287019</v>
      </c>
      <c r="O12" s="93">
        <f>((_xlfn.XLOOKUP(A12,'Emissions Projection Factors'!$A$3:$A$38,'Emissions Projection Factors'!$Q$3:$Q$38,,0)*($B$3*0.001))/2205)*'Factor Sets'!$B$27</f>
        <v>0.12106580800147346</v>
      </c>
      <c r="P12" s="80">
        <f>((_xlfn.XLOOKUP(A12,'Emissions Projection Factors'!$A$3:$A$38,'Emissions Projection Factors'!$Q$3:$Q$38,,0)*$R$3)/2205)*'Factor Sets'!$B$27</f>
        <v>2.0783127843000838E-2</v>
      </c>
      <c r="Q12" s="60">
        <f t="shared" si="10"/>
        <v>237.42126456396764</v>
      </c>
      <c r="R12" s="60">
        <f t="shared" si="0"/>
        <v>42.140303687741913</v>
      </c>
      <c r="S12" s="88">
        <f t="shared" si="1"/>
        <v>45.14799915128463</v>
      </c>
      <c r="T12" s="60">
        <f t="shared" si="2"/>
        <v>31.116496974954551</v>
      </c>
      <c r="U12" s="261">
        <f t="shared" si="11"/>
        <v>-203.29707212547038</v>
      </c>
      <c r="V12" s="123">
        <f t="shared" si="3"/>
        <v>-0.7271996411982754</v>
      </c>
      <c r="W12" s="137">
        <v>2029</v>
      </c>
    </row>
    <row r="13" spans="1:29" x14ac:dyDescent="0.25">
      <c r="A13" s="104">
        <v>2030</v>
      </c>
      <c r="B13" s="94">
        <f>$D$2*_xlfn.XLOOKUP(A13,'Emissions Projection Factors'!$A$3:$A$38,'Emissions Projection Factors'!$L$3:$L$38,,0)</f>
        <v>3.5544520845990513</v>
      </c>
      <c r="C13" s="31">
        <f>'Factor Sets'!$D$14*$B$2</f>
        <v>227.32721902455597</v>
      </c>
      <c r="D13" s="96">
        <f>($P$2*_xlfn.XLOOKUP(A13,'Emissions Projection Factors'!$A$5:$A$38,'Emissions Projection Factors'!$M$5:$M$38,0))/2205</f>
        <v>10.730878978254376</v>
      </c>
      <c r="E13" s="101">
        <f>(_xlfn.XLOOKUP(A13,'Emissions Projection Factors'!$A$3:$A$38,'Emissions Projection Factors'!M$3:M$38,,0)*($B$3*0.001))/2205</f>
        <v>40.569987255391659</v>
      </c>
      <c r="F13" s="100">
        <f>(_xlfn.XLOOKUP(A13,'Emissions Projection Factors'!$A$3:$A$38,'Emissions Projection Factors'!$M$3:$M$38,,0)*$N$3)/2205</f>
        <v>30.023217414965991</v>
      </c>
      <c r="G13" s="88">
        <f>$D$2*_xlfn.XLOOKUP(A13,'Emissions Projection Factors'!$A$3:$A$38,'Emissions Projection Factors'!$J$3:$J$38,,0)*'Factor Sets'!$B$28</f>
        <v>7.5198263231773018E-4</v>
      </c>
      <c r="H13" s="60">
        <f>('Factor Sets'!$D$15*$B$2)*'Factor Sets'!$B$28</f>
        <v>0.11353507923389999</v>
      </c>
      <c r="I13" s="90">
        <f>($N$2*_xlfn.XLOOKUP(A13,'Emissions Projection Factors'!$A$5:$A$38,'Emissions Projection Factors'!$P$5:$P$38,0)*'Factor Sets'!$B$28)/2205</f>
        <v>0.15102983874029058</v>
      </c>
      <c r="J13" s="93">
        <f>((_xlfn.XLOOKUP(A13,'Emissions Projection Factors'!$A$3:$A$38,'Emissions Projection Factors'!$P$3:$P$38,,0)*($B$3*0.001))/2205)*'Factor Sets'!$B$28</f>
        <v>0.14096844577984893</v>
      </c>
      <c r="K13" s="80">
        <f>((_xlfn.XLOOKUP(A13,'Emissions Projection Factors'!$A$3:$A$38,'Emissions Projection Factors'!$P$3:$P$38,,0)*($N$3))/2205)*'Factor Sets'!$B$28</f>
        <v>0.10432160773567369</v>
      </c>
      <c r="L13" s="60">
        <f>$D$2*_xlfn.XLOOKUP(A13,'Emissions Projection Factors'!$A$3:$A$38,'Emissions Projection Factors'!$G$3:$G$38,,0)*'Factor Sets'!$B$27</f>
        <v>6.183415003287938</v>
      </c>
      <c r="M13" s="60">
        <f>('Factor Sets'!$D$16*$B$2)*'Factor Sets'!$B$27</f>
        <v>0.11996159315279999</v>
      </c>
      <c r="N13" s="90">
        <f>((_xlfn.XLOOKUP(A13,'Emissions Projection Factors'!$A$3:$A$38,'Emissions Projection Factors'!$Q$3:$Q$38,,0)*($N$2))/2205)*'Factor Sets'!$B$27</f>
        <v>0.12566822431031727</v>
      </c>
      <c r="O13" s="93">
        <f>((_xlfn.XLOOKUP(A13,'Emissions Projection Factors'!$A$3:$A$38,'Emissions Projection Factors'!$Q$3:$Q$38,,0)*($B$3*0.001))/2205)*'Factor Sets'!$B$27</f>
        <v>0.1172963860168177</v>
      </c>
      <c r="P13" s="80">
        <f>((_xlfn.XLOOKUP(A13,'Emissions Projection Factors'!$A$3:$A$38,'Emissions Projection Factors'!$Q$3:$Q$38,,0)*$R$3)/2205)*'Factor Sets'!$B$27</f>
        <v>2.0136038625206451E-2</v>
      </c>
      <c r="Q13" s="60">
        <f t="shared" si="10"/>
        <v>237.299334767462</v>
      </c>
      <c r="R13" s="60">
        <f t="shared" si="0"/>
        <v>40.828252087188325</v>
      </c>
      <c r="S13" s="88">
        <f t="shared" si="1"/>
        <v>11.007577041304984</v>
      </c>
      <c r="T13" s="60">
        <f t="shared" si="2"/>
        <v>30.147675061326872</v>
      </c>
      <c r="U13" s="261">
        <f t="shared" si="11"/>
        <v>-236.97233475201844</v>
      </c>
      <c r="V13" s="123">
        <f t="shared" si="3"/>
        <v>-0.85202743615598397</v>
      </c>
      <c r="W13" s="137">
        <v>2030</v>
      </c>
    </row>
    <row r="14" spans="1:29" x14ac:dyDescent="0.25">
      <c r="A14" s="104">
        <v>2031</v>
      </c>
      <c r="B14" s="94">
        <f>$D$2*_xlfn.XLOOKUP(A14,'Emissions Projection Factors'!$A$3:$A$38,'Emissions Projection Factors'!$L$3:$L$38,,0)</f>
        <v>3.5544520845990504</v>
      </c>
      <c r="C14" s="31">
        <f>'Factor Sets'!$D$14*$B$2</f>
        <v>227.32721902455597</v>
      </c>
      <c r="D14" s="96">
        <f>($P$2*_xlfn.XLOOKUP(A14,'Emissions Projection Factors'!$A$5:$A$38,'Emissions Projection Factors'!$M$5:$M$38,0))/2205</f>
        <v>9.8528979709425304</v>
      </c>
      <c r="E14" s="101">
        <f>(_xlfn.XLOOKUP(A14,'Emissions Projection Factors'!$A$3:$A$38,'Emissions Projection Factors'!M$3:M$38,,0)*($B$3*0.001))/2205</f>
        <v>37.250624661768242</v>
      </c>
      <c r="F14" s="100">
        <f>(_xlfn.XLOOKUP(A14,'Emissions Projection Factors'!$A$3:$A$38,'Emissions Projection Factors'!$M$3:$M$38,,0)*$N$3)/2205</f>
        <v>27.566772353741158</v>
      </c>
      <c r="G14" s="88">
        <f>$D$2*_xlfn.XLOOKUP(A14,'Emissions Projection Factors'!$A$3:$A$38,'Emissions Projection Factors'!$J$3:$J$38,,0)*'Factor Sets'!$B$28</f>
        <v>7.5198263231773018E-4</v>
      </c>
      <c r="H14" s="60">
        <f>('Factor Sets'!$D$15*$B$2)*'Factor Sets'!$B$28</f>
        <v>0.11353507923389999</v>
      </c>
      <c r="I14" s="90">
        <f>($N$2*_xlfn.XLOOKUP(A14,'Emissions Projection Factors'!$A$5:$A$38,'Emissions Projection Factors'!$P$5:$P$38,0)*'Factor Sets'!$B$28)/2205</f>
        <v>0.13867285193426507</v>
      </c>
      <c r="J14" s="93">
        <f>((_xlfn.XLOOKUP(A14,'Emissions Projection Factors'!$A$3:$A$38,'Emissions Projection Factors'!$P$3:$P$38,,0)*($B$3*0.001))/2205)*'Factor Sets'!$B$28</f>
        <v>0.1294346638524051</v>
      </c>
      <c r="K14" s="80">
        <f>((_xlfn.XLOOKUP(A14,'Emissions Projection Factors'!$A$3:$A$38,'Emissions Projection Factors'!$P$3:$P$38,,0)*($N$3))/2205)*'Factor Sets'!$B$28</f>
        <v>9.578620346639008E-2</v>
      </c>
      <c r="L14" s="60">
        <f>$D$2*_xlfn.XLOOKUP(A14,'Emissions Projection Factors'!$A$3:$A$38,'Emissions Projection Factors'!$G$3:$G$38,,0)*'Factor Sets'!$B$27</f>
        <v>6.317210536902123</v>
      </c>
      <c r="M14" s="60">
        <f>('Factor Sets'!$D$16*$B$2)*'Factor Sets'!$B$27</f>
        <v>0.11996159315279999</v>
      </c>
      <c r="N14" s="90">
        <f>((_xlfn.XLOOKUP(A14,'Emissions Projection Factors'!$A$3:$A$38,'Emissions Projection Factors'!$Q$3:$Q$38,,0)*($N$2))/2205)*'Factor Sets'!$B$27</f>
        <v>0.11538627868492619</v>
      </c>
      <c r="O14" s="93">
        <f>((_xlfn.XLOOKUP(A14,'Emissions Projection Factors'!$A$3:$A$38,'Emissions Projection Factors'!$Q$3:$Q$38,,0)*($B$3*0.001))/2205)*'Factor Sets'!$B$27</f>
        <v>0.10769940897907669</v>
      </c>
      <c r="P14" s="80">
        <f>((_xlfn.XLOOKUP(A14,'Emissions Projection Factors'!$A$3:$A$38,'Emissions Projection Factors'!$Q$3:$Q$38,,0)*$R$3)/2205)*'Factor Sets'!$B$27</f>
        <v>1.8488544555871143E-2</v>
      </c>
      <c r="Q14" s="60">
        <f t="shared" si="10"/>
        <v>237.43313030107618</v>
      </c>
      <c r="R14" s="60">
        <f t="shared" si="0"/>
        <v>37.48775873459973</v>
      </c>
      <c r="S14" s="88">
        <f t="shared" si="1"/>
        <v>10.106957101561722</v>
      </c>
      <c r="T14" s="60">
        <f t="shared" si="2"/>
        <v>27.681047101763419</v>
      </c>
      <c r="U14" s="261">
        <f t="shared" si="11"/>
        <v>-237.13288483235073</v>
      </c>
      <c r="V14" s="123">
        <f t="shared" si="3"/>
        <v>-0.86254953439197746</v>
      </c>
      <c r="W14" s="137">
        <v>2031</v>
      </c>
    </row>
    <row r="15" spans="1:29" x14ac:dyDescent="0.25">
      <c r="A15" s="104">
        <v>2032</v>
      </c>
      <c r="B15" s="94">
        <f>$D$2*_xlfn.XLOOKUP(A15,'Emissions Projection Factors'!$A$3:$A$38,'Emissions Projection Factors'!$L$3:$L$38,,0)</f>
        <v>3.5544520845990513</v>
      </c>
      <c r="C15" s="31">
        <f>'Factor Sets'!$D$14*$B$2</f>
        <v>227.32721902455597</v>
      </c>
      <c r="D15" s="96">
        <f>($P$2*_xlfn.XLOOKUP(A15,'Emissions Projection Factors'!$A$5:$A$38,'Emissions Projection Factors'!$M$5:$M$38,0))/2205</f>
        <v>8.9749169636309922</v>
      </c>
      <c r="E15" s="101">
        <f>(_xlfn.XLOOKUP(A15,'Emissions Projection Factors'!$A$3:$A$38,'Emissions Projection Factors'!M$3:M$38,,0)*($B$3*0.001))/2205</f>
        <v>33.931262068145983</v>
      </c>
      <c r="F15" s="100">
        <f>(_xlfn.XLOOKUP(A15,'Emissions Projection Factors'!$A$3:$A$38,'Emissions Projection Factors'!$M$3:$M$38,,0)*$N$3)/2205</f>
        <v>25.110327292517177</v>
      </c>
      <c r="G15" s="88">
        <f>$D$2*_xlfn.XLOOKUP(A15,'Emissions Projection Factors'!$A$3:$A$38,'Emissions Projection Factors'!$J$3:$J$38,,0)*'Factor Sets'!$B$28</f>
        <v>7.5198263231773029E-4</v>
      </c>
      <c r="H15" s="60">
        <f>('Factor Sets'!$D$15*$B$2)*'Factor Sets'!$B$28</f>
        <v>0.11353507923389999</v>
      </c>
      <c r="I15" s="90">
        <f>($N$2*_xlfn.XLOOKUP(A15,'Emissions Projection Factors'!$A$5:$A$38,'Emissions Projection Factors'!$P$5:$P$38,0)*'Factor Sets'!$B$28)/2205</f>
        <v>0.12631586512824386</v>
      </c>
      <c r="J15" s="93">
        <f>((_xlfn.XLOOKUP(A15,'Emissions Projection Factors'!$A$3:$A$38,'Emissions Projection Factors'!$P$3:$P$38,,0)*($B$3*0.001))/2205)*'Factor Sets'!$B$28</f>
        <v>0.11790088192496535</v>
      </c>
      <c r="K15" s="80">
        <f>((_xlfn.XLOOKUP(A15,'Emissions Projection Factors'!$A$3:$A$38,'Emissions Projection Factors'!$P$3:$P$38,,0)*($N$3))/2205)*'Factor Sets'!$B$28</f>
        <v>8.7250799197109485E-2</v>
      </c>
      <c r="L15" s="60">
        <f>$D$2*_xlfn.XLOOKUP(A15,'Emissions Projection Factors'!$A$3:$A$38,'Emissions Projection Factors'!$G$3:$G$38,,0)*'Factor Sets'!$B$27</f>
        <v>6.2436244973943706</v>
      </c>
      <c r="M15" s="60">
        <f>('Factor Sets'!$D$16*$B$2)*'Factor Sets'!$B$27</f>
        <v>0.11996159315279999</v>
      </c>
      <c r="N15" s="90">
        <f>((_xlfn.XLOOKUP(A15,'Emissions Projection Factors'!$A$3:$A$38,'Emissions Projection Factors'!$Q$3:$Q$38,,0)*($N$2))/2205)*'Factor Sets'!$B$27</f>
        <v>0.10510433305953876</v>
      </c>
      <c r="O15" s="93">
        <f>((_xlfn.XLOOKUP(A15,'Emissions Projection Factors'!$A$3:$A$38,'Emissions Projection Factors'!$Q$3:$Q$38,,0)*($B$3*0.001))/2205)*'Factor Sets'!$B$27</f>
        <v>9.810243194133908E-2</v>
      </c>
      <c r="P15" s="80">
        <f>((_xlfn.XLOOKUP(A15,'Emissions Projection Factors'!$A$3:$A$38,'Emissions Projection Factors'!$Q$3:$Q$38,,0)*$R$3)/2205)*'Factor Sets'!$B$27</f>
        <v>1.6841050486536415E-2</v>
      </c>
      <c r="Q15" s="60">
        <f t="shared" si="10"/>
        <v>237.35954426156843</v>
      </c>
      <c r="R15" s="60">
        <f t="shared" si="0"/>
        <v>34.147265382012293</v>
      </c>
      <c r="S15" s="88">
        <f t="shared" si="1"/>
        <v>9.2063371618187748</v>
      </c>
      <c r="T15" s="60">
        <f t="shared" si="2"/>
        <v>25.214419142200825</v>
      </c>
      <c r="U15" s="261">
        <f t="shared" si="11"/>
        <v>-237.08605333956112</v>
      </c>
      <c r="V15" s="123">
        <f t="shared" si="3"/>
        <v>-0.87322323020477732</v>
      </c>
      <c r="W15" s="137">
        <v>2032</v>
      </c>
    </row>
    <row r="16" spans="1:29" x14ac:dyDescent="0.25">
      <c r="A16" s="104">
        <v>2033</v>
      </c>
      <c r="B16" s="94">
        <f>$D$2*_xlfn.XLOOKUP(A16,'Emissions Projection Factors'!$A$3:$A$38,'Emissions Projection Factors'!$L$3:$L$38,,0)</f>
        <v>3.5544520845990513</v>
      </c>
      <c r="C16" s="31">
        <f>'Factor Sets'!$D$14*$B$2</f>
        <v>227.32721902455597</v>
      </c>
      <c r="D16" s="96">
        <f>($P$2*_xlfn.XLOOKUP(A16,'Emissions Projection Factors'!$A$5:$A$38,'Emissions Projection Factors'!$M$5:$M$38,0))/2205</f>
        <v>8.0969359563191485</v>
      </c>
      <c r="E16" s="101">
        <f>(_xlfn.XLOOKUP(A16,'Emissions Projection Factors'!$A$3:$A$38,'Emissions Projection Factors'!M$3:M$38,,0)*($B$3*0.001))/2205</f>
        <v>30.611899474522566</v>
      </c>
      <c r="F16" s="100">
        <f>(_xlfn.XLOOKUP(A16,'Emissions Projection Factors'!$A$3:$A$38,'Emissions Projection Factors'!$M$3:$M$38,,0)*$N$3)/2205</f>
        <v>22.653882231292346</v>
      </c>
      <c r="G16" s="88">
        <f>$D$2*_xlfn.XLOOKUP(A16,'Emissions Projection Factors'!$A$3:$A$38,'Emissions Projection Factors'!$J$3:$J$38,,0)*'Factor Sets'!$B$28</f>
        <v>7.5198263231773018E-4</v>
      </c>
      <c r="H16" s="60">
        <f>('Factor Sets'!$D$15*$B$2)*'Factor Sets'!$B$28</f>
        <v>0.11353507923389999</v>
      </c>
      <c r="I16" s="90">
        <f>($N$2*_xlfn.XLOOKUP(A16,'Emissions Projection Factors'!$A$5:$A$38,'Emissions Projection Factors'!$P$5:$P$38,0)*'Factor Sets'!$B$28)/2205</f>
        <v>0.1139588783222184</v>
      </c>
      <c r="J16" s="93">
        <f>((_xlfn.XLOOKUP(A16,'Emissions Projection Factors'!$A$3:$A$38,'Emissions Projection Factors'!$P$3:$P$38,,0)*($B$3*0.001))/2205)*'Factor Sets'!$B$28</f>
        <v>0.10636709999752157</v>
      </c>
      <c r="K16" s="80">
        <f>((_xlfn.XLOOKUP(A16,'Emissions Projection Factors'!$A$3:$A$38,'Emissions Projection Factors'!$P$3:$P$38,,0)*($N$3))/2205)*'Factor Sets'!$B$28</f>
        <v>7.8715394927825907E-2</v>
      </c>
      <c r="L16" s="60">
        <f>$D$2*_xlfn.XLOOKUP(A16,'Emissions Projection Factors'!$A$3:$A$38,'Emissions Projection Factors'!$G$3:$G$38,,0)*'Factor Sets'!$B$27</f>
        <v>6.417020149191889</v>
      </c>
      <c r="M16" s="60">
        <f>('Factor Sets'!$D$16*$B$2)*'Factor Sets'!$B$27</f>
        <v>0.11996159315279999</v>
      </c>
      <c r="N16" s="90">
        <f>((_xlfn.XLOOKUP(A16,'Emissions Projection Factors'!$A$3:$A$38,'Emissions Projection Factors'!$Q$3:$Q$38,,0)*($N$2))/2205)*'Factor Sets'!$B$27</f>
        <v>9.4822387434147726E-2</v>
      </c>
      <c r="O16" s="93">
        <f>((_xlfn.XLOOKUP(A16,'Emissions Projection Factors'!$A$3:$A$38,'Emissions Projection Factors'!$Q$3:$Q$38,,0)*($B$3*0.001))/2205)*'Factor Sets'!$B$27</f>
        <v>8.850545490359811E-2</v>
      </c>
      <c r="P16" s="80">
        <f>((_xlfn.XLOOKUP(A16,'Emissions Projection Factors'!$A$3:$A$38,'Emissions Projection Factors'!$Q$3:$Q$38,,0)*$R$3)/2205)*'Factor Sets'!$B$27</f>
        <v>1.5193556417201111E-2</v>
      </c>
      <c r="Q16" s="60">
        <f t="shared" si="10"/>
        <v>237.53293991336596</v>
      </c>
      <c r="R16" s="60">
        <f t="shared" si="0"/>
        <v>30.806772029423684</v>
      </c>
      <c r="S16" s="88">
        <f t="shared" si="1"/>
        <v>8.3057172220755149</v>
      </c>
      <c r="T16" s="60">
        <f t="shared" si="2"/>
        <v>22.747791182637375</v>
      </c>
      <c r="U16" s="261">
        <f t="shared" si="11"/>
        <v>-237.28620353807679</v>
      </c>
      <c r="V16" s="123">
        <f t="shared" si="3"/>
        <v>-0.8842753904001599</v>
      </c>
      <c r="W16" s="137">
        <v>2033</v>
      </c>
    </row>
    <row r="17" spans="1:23" x14ac:dyDescent="0.25">
      <c r="A17" s="104">
        <v>2034</v>
      </c>
      <c r="B17" s="94">
        <f>$D$2*_xlfn.XLOOKUP(A17,'Emissions Projection Factors'!$A$3:$A$38,'Emissions Projection Factors'!$L$3:$L$38,,0)</f>
        <v>3.5544520845990513</v>
      </c>
      <c r="C17" s="31">
        <f>'Factor Sets'!$D$14*$B$2</f>
        <v>227.32721902455597</v>
      </c>
      <c r="D17" s="96">
        <f>($P$2*_xlfn.XLOOKUP(A17,'Emissions Projection Factors'!$A$5:$A$38,'Emissions Projection Factors'!$M$5:$M$38,0))/2205</f>
        <v>7.2189549490073048</v>
      </c>
      <c r="E17" s="101">
        <f>(_xlfn.XLOOKUP(A17,'Emissions Projection Factors'!$A$3:$A$38,'Emissions Projection Factors'!M$3:M$38,,0)*($B$3*0.001))/2205</f>
        <v>27.292536880899149</v>
      </c>
      <c r="F17" s="100">
        <f>(_xlfn.XLOOKUP(A17,'Emissions Projection Factors'!$A$3:$A$38,'Emissions Projection Factors'!$M$3:$M$38,,0)*$N$3)/2205</f>
        <v>20.197437170067513</v>
      </c>
      <c r="G17" s="88">
        <f>$D$2*_xlfn.XLOOKUP(A17,'Emissions Projection Factors'!$A$3:$A$38,'Emissions Projection Factors'!$J$3:$J$38,,0)*'Factor Sets'!$B$28</f>
        <v>7.5198263231773029E-4</v>
      </c>
      <c r="H17" s="60">
        <f>('Factor Sets'!$D$15*$B$2)*'Factor Sets'!$B$28</f>
        <v>0.11353507923389999</v>
      </c>
      <c r="I17" s="90">
        <f>($N$2*_xlfn.XLOOKUP(A17,'Emissions Projection Factors'!$A$5:$A$38,'Emissions Projection Factors'!$P$5:$P$38,0)*'Factor Sets'!$B$28)/2205</f>
        <v>0.10160189151619292</v>
      </c>
      <c r="J17" s="93">
        <f>((_xlfn.XLOOKUP(A17,'Emissions Projection Factors'!$A$3:$A$38,'Emissions Projection Factors'!$P$3:$P$38,,0)*($B$3*0.001))/2205)*'Factor Sets'!$B$28</f>
        <v>9.4833318070077791E-2</v>
      </c>
      <c r="K17" s="80">
        <f>((_xlfn.XLOOKUP(A17,'Emissions Projection Factors'!$A$3:$A$38,'Emissions Projection Factors'!$P$3:$P$38,,0)*($N$3))/2205)*'Factor Sets'!$B$28</f>
        <v>7.0179990658542329E-2</v>
      </c>
      <c r="L17" s="60">
        <f>$D$2*_xlfn.XLOOKUP(A17,'Emissions Projection Factors'!$A$3:$A$38,'Emissions Projection Factors'!$G$3:$G$38,,0)*'Factor Sets'!$B$27</f>
        <v>6.5614181518665173</v>
      </c>
      <c r="M17" s="60">
        <f>('Factor Sets'!$D$16*$B$2)*'Factor Sets'!$B$27</f>
        <v>0.11996159315279999</v>
      </c>
      <c r="N17" s="90">
        <f>((_xlfn.XLOOKUP(A17,'Emissions Projection Factors'!$A$3:$A$38,'Emissions Projection Factors'!$Q$3:$Q$38,,0)*($N$2))/2205)*'Factor Sets'!$B$27</f>
        <v>8.4540441808756708E-2</v>
      </c>
      <c r="O17" s="93">
        <f>((_xlfn.XLOOKUP(A17,'Emissions Projection Factors'!$A$3:$A$38,'Emissions Projection Factors'!$Q$3:$Q$38,,0)*($B$3*0.001))/2205)*'Factor Sets'!$B$27</f>
        <v>7.8908477865857141E-2</v>
      </c>
      <c r="P17" s="80">
        <f>((_xlfn.XLOOKUP(A17,'Emissions Projection Factors'!$A$3:$A$38,'Emissions Projection Factors'!$Q$3:$Q$38,,0)*$R$3)/2205)*'Factor Sets'!$B$27</f>
        <v>1.3546062347865807E-2</v>
      </c>
      <c r="Q17" s="60">
        <f t="shared" si="10"/>
        <v>237.67733791604059</v>
      </c>
      <c r="R17" s="60">
        <f t="shared" si="0"/>
        <v>27.466278676835081</v>
      </c>
      <c r="S17" s="88">
        <f t="shared" si="1"/>
        <v>7.4050972823322541</v>
      </c>
      <c r="T17" s="60">
        <f t="shared" si="2"/>
        <v>20.281163223073921</v>
      </c>
      <c r="U17" s="261">
        <f t="shared" si="11"/>
        <v>-237.45735608746949</v>
      </c>
      <c r="V17" s="123">
        <f t="shared" si="3"/>
        <v>-0.89558013554624605</v>
      </c>
      <c r="W17" s="137">
        <v>2034</v>
      </c>
    </row>
    <row r="18" spans="1:23" x14ac:dyDescent="0.25">
      <c r="A18" s="104">
        <v>2035</v>
      </c>
      <c r="B18" s="94">
        <f>$D$2*_xlfn.XLOOKUP(A18,'Emissions Projection Factors'!$A$3:$A$38,'Emissions Projection Factors'!$L$3:$L$38,,0)</f>
        <v>3.5544520845990517</v>
      </c>
      <c r="C18" s="31">
        <f>'Factor Sets'!$D$14*$B$2</f>
        <v>227.32721902455597</v>
      </c>
      <c r="D18" s="96">
        <f>($P$2*_xlfn.XLOOKUP(A18,'Emissions Projection Factors'!$A$5:$A$38,'Emissions Projection Factors'!$M$5:$M$38,0))/2205</f>
        <v>6.3409739416957667</v>
      </c>
      <c r="E18" s="101">
        <f>(_xlfn.XLOOKUP(A18,'Emissions Projection Factors'!$A$3:$A$38,'Emissions Projection Factors'!M$3:M$38,,0)*($B$3*0.001))/2205</f>
        <v>23.973174287276887</v>
      </c>
      <c r="F18" s="100">
        <f>(_xlfn.XLOOKUP(A18,'Emissions Projection Factors'!$A$3:$A$38,'Emissions Projection Factors'!$M$3:$M$38,,0)*$N$3)/2205</f>
        <v>17.740992108843539</v>
      </c>
      <c r="G18" s="88">
        <f>$D$2*_xlfn.XLOOKUP(A18,'Emissions Projection Factors'!$A$3:$A$38,'Emissions Projection Factors'!$J$3:$J$38,,0)*'Factor Sets'!$B$28</f>
        <v>7.5198263231773029E-4</v>
      </c>
      <c r="H18" s="60">
        <f>('Factor Sets'!$D$15*$B$2)*'Factor Sets'!$B$28</f>
        <v>0.11353507923389999</v>
      </c>
      <c r="I18" s="90">
        <f>($N$2*_xlfn.XLOOKUP(A18,'Emissions Projection Factors'!$A$5:$A$38,'Emissions Projection Factors'!$P$5:$P$38,0)*'Factor Sets'!$B$28)/2205</f>
        <v>8.9244904710171727E-2</v>
      </c>
      <c r="J18" s="93">
        <f>((_xlfn.XLOOKUP(A18,'Emissions Projection Factors'!$A$3:$A$38,'Emissions Projection Factors'!$P$3:$P$38,,0)*($B$3*0.001))/2205)*'Factor Sets'!$B$28</f>
        <v>8.3299536142638034E-2</v>
      </c>
      <c r="K18" s="80">
        <f>((_xlfn.XLOOKUP(A18,'Emissions Projection Factors'!$A$3:$A$38,'Emissions Projection Factors'!$P$3:$P$38,,0)*($N$3))/2205)*'Factor Sets'!$B$28</f>
        <v>6.1644586389261735E-2</v>
      </c>
      <c r="L18" s="60">
        <f>$D$2*_xlfn.XLOOKUP(A18,'Emissions Projection Factors'!$A$3:$A$38,'Emissions Projection Factors'!$G$3:$G$38,,0)*'Factor Sets'!$B$27</f>
        <v>6.6899952579886799</v>
      </c>
      <c r="M18" s="60">
        <f>('Factor Sets'!$D$16*$B$2)*'Factor Sets'!$B$27</f>
        <v>0.11996159315279999</v>
      </c>
      <c r="N18" s="90">
        <f>((_xlfn.XLOOKUP(A18,'Emissions Projection Factors'!$A$3:$A$38,'Emissions Projection Factors'!$Q$3:$Q$38,,0)*($N$2))/2205)*'Factor Sets'!$B$27</f>
        <v>7.4258496183369258E-2</v>
      </c>
      <c r="O18" s="93">
        <f>((_xlfn.XLOOKUP(A18,'Emissions Projection Factors'!$A$3:$A$38,'Emissions Projection Factors'!$Q$3:$Q$38,,0)*($B$3*0.001))/2205)*'Factor Sets'!$B$27</f>
        <v>6.9311500828119516E-2</v>
      </c>
      <c r="P18" s="80">
        <f>((_xlfn.XLOOKUP(A18,'Emissions Projection Factors'!$A$3:$A$38,'Emissions Projection Factors'!$Q$3:$Q$38,,0)*$R$3)/2205)*'Factor Sets'!$B$27</f>
        <v>1.189856827853108E-2</v>
      </c>
      <c r="Q18" s="60">
        <f t="shared" si="10"/>
        <v>237.80591502216274</v>
      </c>
      <c r="R18" s="60">
        <f t="shared" si="0"/>
        <v>24.125785324247644</v>
      </c>
      <c r="S18" s="88">
        <f t="shared" si="1"/>
        <v>6.5044773425893077</v>
      </c>
      <c r="T18" s="60">
        <f t="shared" si="2"/>
        <v>17.814535263511331</v>
      </c>
      <c r="U18" s="261">
        <f t="shared" si="11"/>
        <v>-237.61268774030972</v>
      </c>
      <c r="V18" s="123">
        <f t="shared" si="3"/>
        <v>-0.90715513787014623</v>
      </c>
      <c r="W18" s="137">
        <v>2035</v>
      </c>
    </row>
    <row r="19" spans="1:23" x14ac:dyDescent="0.25">
      <c r="A19" s="104">
        <v>2036</v>
      </c>
      <c r="B19" s="94">
        <f>$D$2*_xlfn.XLOOKUP(A19,'Emissions Projection Factors'!$A$3:$A$38,'Emissions Projection Factors'!$L$3:$L$38,,0)</f>
        <v>3.5544520845990517</v>
      </c>
      <c r="C19" s="31">
        <f>'Factor Sets'!$D$14*$B$2</f>
        <v>227.32721902455597</v>
      </c>
      <c r="D19" s="96">
        <f>($P$2*_xlfn.XLOOKUP(A19,'Emissions Projection Factors'!$A$5:$A$38,'Emissions Projection Factors'!$M$5:$M$38,0))/2205</f>
        <v>5.462992934383923</v>
      </c>
      <c r="E19" s="101">
        <f>(_xlfn.XLOOKUP(A19,'Emissions Projection Factors'!$A$3:$A$38,'Emissions Projection Factors'!M$3:M$38,,0)*($B$3*0.001))/2205</f>
        <v>20.653811693653473</v>
      </c>
      <c r="F19" s="100">
        <f>(_xlfn.XLOOKUP(A19,'Emissions Projection Factors'!$A$3:$A$38,'Emissions Projection Factors'!$M$3:$M$38,,0)*$N$3)/2205</f>
        <v>15.284547047618705</v>
      </c>
      <c r="G19" s="88">
        <f>$D$2*_xlfn.XLOOKUP(A19,'Emissions Projection Factors'!$A$3:$A$38,'Emissions Projection Factors'!$J$3:$J$38,,0)*'Factor Sets'!$B$28</f>
        <v>7.5198263231773029E-4</v>
      </c>
      <c r="H19" s="60">
        <f>('Factor Sets'!$D$15*$B$2)*'Factor Sets'!$B$28</f>
        <v>0.11353507923389999</v>
      </c>
      <c r="I19" s="90">
        <f>($N$2*_xlfn.XLOOKUP(A19,'Emissions Projection Factors'!$A$5:$A$38,'Emissions Projection Factors'!$P$5:$P$38,0)*'Factor Sets'!$B$28)/2205</f>
        <v>7.6887917904146216E-2</v>
      </c>
      <c r="J19" s="93">
        <f>((_xlfn.XLOOKUP(A19,'Emissions Projection Factors'!$A$3:$A$38,'Emissions Projection Factors'!$P$3:$P$38,,0)*($B$3*0.001))/2205)*'Factor Sets'!$B$28</f>
        <v>7.1765754215194225E-2</v>
      </c>
      <c r="K19" s="80">
        <f>((_xlfn.XLOOKUP(A19,'Emissions Projection Factors'!$A$3:$A$38,'Emissions Projection Factors'!$P$3:$P$38,,0)*($N$3))/2205)*'Factor Sets'!$B$28</f>
        <v>5.3109182119978143E-2</v>
      </c>
      <c r="L19" s="60">
        <f>$D$2*_xlfn.XLOOKUP(A19,'Emissions Projection Factors'!$A$3:$A$38,'Emissions Projection Factors'!$G$3:$G$38,,0)*'Factor Sets'!$B$27</f>
        <v>6.5743553575320473</v>
      </c>
      <c r="M19" s="60">
        <f>('Factor Sets'!$D$16*$B$2)*'Factor Sets'!$B$27</f>
        <v>0.11996159315279999</v>
      </c>
      <c r="N19" s="90">
        <f>((_xlfn.XLOOKUP(A19,'Emissions Projection Factors'!$A$3:$A$38,'Emissions Projection Factors'!$Q$3:$Q$38,,0)*($N$2))/2205)*'Factor Sets'!$B$27</f>
        <v>6.397655055797824E-2</v>
      </c>
      <c r="O19" s="93">
        <f>((_xlfn.XLOOKUP(A19,'Emissions Projection Factors'!$A$3:$A$38,'Emissions Projection Factors'!$Q$3:$Q$38,,0)*($B$3*0.001))/2205)*'Factor Sets'!$B$27</f>
        <v>5.9714523790378546E-2</v>
      </c>
      <c r="P19" s="80">
        <f>((_xlfn.XLOOKUP(A19,'Emissions Projection Factors'!$A$3:$A$38,'Emissions Projection Factors'!$Q$3:$Q$38,,0)*$R$3)/2205)*'Factor Sets'!$B$27</f>
        <v>1.0251074209195776E-2</v>
      </c>
      <c r="Q19" s="60">
        <f t="shared" si="10"/>
        <v>237.69027512170612</v>
      </c>
      <c r="R19" s="60">
        <f t="shared" si="0"/>
        <v>20.785291971659046</v>
      </c>
      <c r="S19" s="88">
        <f t="shared" si="1"/>
        <v>5.6038574028460477</v>
      </c>
      <c r="T19" s="60">
        <f t="shared" si="2"/>
        <v>15.347907303947879</v>
      </c>
      <c r="U19" s="261">
        <f t="shared" si="11"/>
        <v>-237.52380238657122</v>
      </c>
      <c r="V19" s="123">
        <f t="shared" si="3"/>
        <v>-0.91894102432039215</v>
      </c>
      <c r="W19" s="137">
        <v>2036</v>
      </c>
    </row>
    <row r="20" spans="1:23" x14ac:dyDescent="0.25">
      <c r="A20" s="104">
        <v>2037</v>
      </c>
      <c r="B20" s="94">
        <f>$D$2*_xlfn.XLOOKUP(A20,'Emissions Projection Factors'!$A$3:$A$38,'Emissions Projection Factors'!$L$3:$L$38,,0)</f>
        <v>3.5544520845990517</v>
      </c>
      <c r="C20" s="31">
        <f>'Factor Sets'!$D$14*$B$2</f>
        <v>227.32721902455597</v>
      </c>
      <c r="D20" s="96">
        <f>($P$2*_xlfn.XLOOKUP(A20,'Emissions Projection Factors'!$A$5:$A$38,'Emissions Projection Factors'!$M$5:$M$38,0))/2205</f>
        <v>4.5850119270723848</v>
      </c>
      <c r="E20" s="101">
        <f>(_xlfn.XLOOKUP(A20,'Emissions Projection Factors'!$A$3:$A$38,'Emissions Projection Factors'!M$3:M$38,,0)*($B$3*0.001))/2205</f>
        <v>17.334449100031211</v>
      </c>
      <c r="F20" s="100">
        <f>(_xlfn.XLOOKUP(A20,'Emissions Projection Factors'!$A$3:$A$38,'Emissions Projection Factors'!$M$3:$M$38,,0)*$N$3)/2205</f>
        <v>12.82810198639473</v>
      </c>
      <c r="G20" s="88">
        <f>$D$2*_xlfn.XLOOKUP(A20,'Emissions Projection Factors'!$A$3:$A$38,'Emissions Projection Factors'!$J$3:$J$38,,0)*'Factor Sets'!$B$28</f>
        <v>7.5198263231773029E-4</v>
      </c>
      <c r="H20" s="60">
        <f>('Factor Sets'!$D$15*$B$2)*'Factor Sets'!$B$28</f>
        <v>0.11353507923389999</v>
      </c>
      <c r="I20" s="90">
        <f>($N$2*_xlfn.XLOOKUP(A20,'Emissions Projection Factors'!$A$5:$A$38,'Emissions Projection Factors'!$P$5:$P$38,0)*'Factor Sets'!$B$28)/2205</f>
        <v>6.4530931098125036E-2</v>
      </c>
      <c r="J20" s="93">
        <f>((_xlfn.XLOOKUP(A20,'Emissions Projection Factors'!$A$3:$A$38,'Emissions Projection Factors'!$P$3:$P$38,,0)*($B$3*0.001))/2205)*'Factor Sets'!$B$28</f>
        <v>6.0231972287754447E-2</v>
      </c>
      <c r="K20" s="80">
        <f>((_xlfn.XLOOKUP(A20,'Emissions Projection Factors'!$A$3:$A$38,'Emissions Projection Factors'!$P$3:$P$38,,0)*($N$3))/2205)*'Factor Sets'!$B$28</f>
        <v>4.4573777850697542E-2</v>
      </c>
      <c r="L20" s="60">
        <f>$D$2*_xlfn.XLOOKUP(A20,'Emissions Projection Factors'!$A$3:$A$38,'Emissions Projection Factors'!$G$3:$G$38,,0)*'Factor Sets'!$B$27</f>
        <v>6.6754711347434679</v>
      </c>
      <c r="M20" s="60">
        <f>('Factor Sets'!$D$16*$B$2)*'Factor Sets'!$B$27</f>
        <v>0.11996159315279999</v>
      </c>
      <c r="N20" s="90">
        <f>((_xlfn.XLOOKUP(A20,'Emissions Projection Factors'!$A$3:$A$38,'Emissions Projection Factors'!$Q$3:$Q$38,,0)*($N$2))/2205)*'Factor Sets'!$B$27</f>
        <v>5.3694604932590796E-2</v>
      </c>
      <c r="O20" s="93">
        <f>((_xlfn.XLOOKUP(A20,'Emissions Projection Factors'!$A$3:$A$38,'Emissions Projection Factors'!$Q$3:$Q$38,,0)*($B$3*0.001))/2205)*'Factor Sets'!$B$27</f>
        <v>5.0117546752640935E-2</v>
      </c>
      <c r="P20" s="80">
        <f>((_xlfn.XLOOKUP(A20,'Emissions Projection Factors'!$A$3:$A$38,'Emissions Projection Factors'!$Q$3:$Q$38,,0)*$R$3)/2205)*'Factor Sets'!$B$27</f>
        <v>8.6035801398610477E-3</v>
      </c>
      <c r="Q20" s="60">
        <f t="shared" si="10"/>
        <v>237.79139089891754</v>
      </c>
      <c r="R20" s="60">
        <f t="shared" si="0"/>
        <v>17.444798619071609</v>
      </c>
      <c r="S20" s="88">
        <f t="shared" si="1"/>
        <v>4.7032374631031004</v>
      </c>
      <c r="T20" s="60">
        <f t="shared" si="2"/>
        <v>12.881279344385288</v>
      </c>
      <c r="U20" s="261">
        <f t="shared" si="11"/>
        <v>-237.65167271050075</v>
      </c>
      <c r="V20" s="123">
        <f t="shared" si="3"/>
        <v>-0.93110492348010454</v>
      </c>
      <c r="W20" s="137">
        <v>2037</v>
      </c>
    </row>
    <row r="21" spans="1:23" x14ac:dyDescent="0.25">
      <c r="A21" s="104">
        <v>2038</v>
      </c>
      <c r="B21" s="94">
        <f>$D$2*_xlfn.XLOOKUP(A21,'Emissions Projection Factors'!$A$3:$A$38,'Emissions Projection Factors'!$L$3:$L$38,,0)</f>
        <v>3.5544520845990517</v>
      </c>
      <c r="C21" s="31">
        <f>'Factor Sets'!$D$14*$B$2</f>
        <v>227.32721902455597</v>
      </c>
      <c r="D21" s="96">
        <f>($P$2*_xlfn.XLOOKUP(A21,'Emissions Projection Factors'!$A$5:$A$38,'Emissions Projection Factors'!$M$5:$M$38,0))/2205</f>
        <v>3.7070309197605411</v>
      </c>
      <c r="E21" s="101">
        <f>(_xlfn.XLOOKUP(A21,'Emissions Projection Factors'!$A$3:$A$38,'Emissions Projection Factors'!M$3:M$38,,0)*($B$3*0.001))/2205</f>
        <v>14.015086506407798</v>
      </c>
      <c r="F21" s="100">
        <f>(_xlfn.XLOOKUP(A21,'Emissions Projection Factors'!$A$3:$A$38,'Emissions Projection Factors'!$M$3:$M$38,,0)*$N$3)/2205</f>
        <v>10.371656925169898</v>
      </c>
      <c r="G21" s="88">
        <f>$D$2*_xlfn.XLOOKUP(A21,'Emissions Projection Factors'!$A$3:$A$38,'Emissions Projection Factors'!$J$3:$J$38,,0)*'Factor Sets'!$B$28</f>
        <v>7.5198263231773029E-4</v>
      </c>
      <c r="H21" s="60">
        <f>('Factor Sets'!$D$15*$B$2)*'Factor Sets'!$B$28</f>
        <v>0.11353507923389999</v>
      </c>
      <c r="I21" s="90">
        <f>($N$2*_xlfn.XLOOKUP(A21,'Emissions Projection Factors'!$A$5:$A$38,'Emissions Projection Factors'!$P$5:$P$38,0)*'Factor Sets'!$B$28)/2205</f>
        <v>5.2173944292099532E-2</v>
      </c>
      <c r="J21" s="93">
        <f>((_xlfn.XLOOKUP(A21,'Emissions Projection Factors'!$A$3:$A$38,'Emissions Projection Factors'!$P$3:$P$38,,0)*($B$3*0.001))/2205)*'Factor Sets'!$B$28</f>
        <v>4.8698190360310659E-2</v>
      </c>
      <c r="K21" s="80">
        <f>((_xlfn.XLOOKUP(A21,'Emissions Projection Factors'!$A$3:$A$38,'Emissions Projection Factors'!$P$3:$P$38,,0)*($N$3))/2205)*'Factor Sets'!$B$28</f>
        <v>3.6038373581413957E-2</v>
      </c>
      <c r="L21" s="60">
        <f>$D$2*_xlfn.XLOOKUP(A21,'Emissions Projection Factors'!$A$3:$A$38,'Emissions Projection Factors'!$G$3:$G$38,,0)*'Factor Sets'!$B$27</f>
        <v>6.7501929593701311</v>
      </c>
      <c r="M21" s="60">
        <f>('Factor Sets'!$D$16*$B$2)*'Factor Sets'!$B$27</f>
        <v>0.11996159315279999</v>
      </c>
      <c r="N21" s="90">
        <f>((_xlfn.XLOOKUP(A21,'Emissions Projection Factors'!$A$3:$A$38,'Emissions Projection Factors'!$Q$3:$Q$38,,0)*($N$2))/2205)*'Factor Sets'!$B$27</f>
        <v>4.3412659307199772E-2</v>
      </c>
      <c r="O21" s="93">
        <f>((_xlfn.XLOOKUP(A21,'Emissions Projection Factors'!$A$3:$A$38,'Emissions Projection Factors'!$Q$3:$Q$38,,0)*($B$3*0.001))/2205)*'Factor Sets'!$B$27</f>
        <v>4.0520569714899979E-2</v>
      </c>
      <c r="P21" s="80">
        <f>((_xlfn.XLOOKUP(A21,'Emissions Projection Factors'!$A$3:$A$38,'Emissions Projection Factors'!$Q$3:$Q$38,,0)*$R$3)/2205)*'Factor Sets'!$B$27</f>
        <v>6.956086070525746E-3</v>
      </c>
      <c r="Q21" s="60">
        <f t="shared" si="10"/>
        <v>237.86611272354421</v>
      </c>
      <c r="R21" s="60">
        <f t="shared" si="0"/>
        <v>14.104305266483008</v>
      </c>
      <c r="S21" s="88">
        <f t="shared" si="1"/>
        <v>3.8026175233598405</v>
      </c>
      <c r="T21" s="60">
        <f t="shared" si="2"/>
        <v>10.414651384821838</v>
      </c>
      <c r="U21" s="261">
        <f t="shared" si="11"/>
        <v>-237.75314908184555</v>
      </c>
      <c r="V21" s="123">
        <f t="shared" si="3"/>
        <v>-0.94357564264252491</v>
      </c>
      <c r="W21" s="137">
        <v>2038</v>
      </c>
    </row>
    <row r="22" spans="1:23" x14ac:dyDescent="0.25">
      <c r="A22" s="104">
        <v>2039</v>
      </c>
      <c r="B22" s="94">
        <f>$D$2*_xlfn.XLOOKUP(A22,'Emissions Projection Factors'!$A$3:$A$38,'Emissions Projection Factors'!$L$3:$L$38,,0)</f>
        <v>3.5544520845990517</v>
      </c>
      <c r="C22" s="31">
        <f>'Factor Sets'!$D$14*$B$2</f>
        <v>227.32721902455597</v>
      </c>
      <c r="D22" s="96">
        <f>($P$2*_xlfn.XLOOKUP(A22,'Emissions Projection Factors'!$A$5:$A$38,'Emissions Projection Factors'!$M$5:$M$38,0))/2205</f>
        <v>2.829049912448697</v>
      </c>
      <c r="E22" s="101">
        <f>(_xlfn.XLOOKUP(A22,'Emissions Projection Factors'!$A$3:$A$38,'Emissions Projection Factors'!M$3:M$38,,0)*($B$3*0.001))/2205</f>
        <v>10.695723912784381</v>
      </c>
      <c r="F22" s="100">
        <f>(_xlfn.XLOOKUP(A22,'Emissions Projection Factors'!$A$3:$A$38,'Emissions Projection Factors'!$M$3:$M$38,,0)*$N$3)/2205</f>
        <v>7.9152118639450659</v>
      </c>
      <c r="G22" s="88">
        <f>$D$2*_xlfn.XLOOKUP(A22,'Emissions Projection Factors'!$A$3:$A$38,'Emissions Projection Factors'!$J$3:$J$38,,0)*'Factor Sets'!$B$28</f>
        <v>7.5198263231773029E-4</v>
      </c>
      <c r="H22" s="60">
        <f>('Factor Sets'!$D$15*$B$2)*'Factor Sets'!$B$28</f>
        <v>0.11353507923389999</v>
      </c>
      <c r="I22" s="90">
        <f>($N$2*_xlfn.XLOOKUP(A22,'Emissions Projection Factors'!$A$5:$A$38,'Emissions Projection Factors'!$P$5:$P$38,0)*'Factor Sets'!$B$28)/2205</f>
        <v>3.9816957486074042E-2</v>
      </c>
      <c r="J22" s="93">
        <f>((_xlfn.XLOOKUP(A22,'Emissions Projection Factors'!$A$3:$A$38,'Emissions Projection Factors'!$P$3:$P$38,,0)*($B$3*0.001))/2205)*'Factor Sets'!$B$28</f>
        <v>3.716440843286687E-2</v>
      </c>
      <c r="K22" s="80">
        <f>((_xlfn.XLOOKUP(A22,'Emissions Projection Factors'!$A$3:$A$38,'Emissions Projection Factors'!$P$3:$P$38,,0)*($N$3))/2205)*'Factor Sets'!$B$28</f>
        <v>2.7502969312130379E-2</v>
      </c>
      <c r="L22" s="60">
        <f>$D$2*_xlfn.XLOOKUP(A22,'Emissions Projection Factors'!$A$3:$A$38,'Emissions Projection Factors'!$G$3:$G$38,,0)*'Factor Sets'!$B$27</f>
        <v>6.8160126939997259</v>
      </c>
      <c r="M22" s="60">
        <f>('Factor Sets'!$D$16*$B$2)*'Factor Sets'!$B$27</f>
        <v>0.11996159315279999</v>
      </c>
      <c r="N22" s="90">
        <f>((_xlfn.XLOOKUP(A22,'Emissions Projection Factors'!$A$3:$A$38,'Emissions Projection Factors'!$Q$3:$Q$38,,0)*($N$2))/2205)*'Factor Sets'!$B$27</f>
        <v>3.3130713681808761E-2</v>
      </c>
      <c r="O22" s="93">
        <f>((_xlfn.XLOOKUP(A22,'Emissions Projection Factors'!$A$3:$A$38,'Emissions Projection Factors'!$Q$3:$Q$38,,0)*($B$3*0.001))/2205)*'Factor Sets'!$B$27</f>
        <v>3.0923592677159013E-2</v>
      </c>
      <c r="P22" s="80">
        <f>((_xlfn.XLOOKUP(A22,'Emissions Projection Factors'!$A$3:$A$38,'Emissions Projection Factors'!$Q$3:$Q$38,,0)*$R$3)/2205)*'Factor Sets'!$B$27</f>
        <v>5.3085920011904462E-3</v>
      </c>
      <c r="Q22" s="60">
        <f t="shared" si="10"/>
        <v>237.9319324581738</v>
      </c>
      <c r="R22" s="60">
        <f t="shared" si="0"/>
        <v>10.763811913894406</v>
      </c>
      <c r="S22" s="88">
        <f t="shared" si="1"/>
        <v>2.9019975836165797</v>
      </c>
      <c r="T22" s="60">
        <f t="shared" si="2"/>
        <v>7.9480234252583868</v>
      </c>
      <c r="U22" s="261">
        <f t="shared" si="11"/>
        <v>-237.84572336319326</v>
      </c>
      <c r="V22" s="123">
        <f t="shared" si="3"/>
        <v>-0.95637230932008843</v>
      </c>
      <c r="W22" s="137">
        <v>2039</v>
      </c>
    </row>
    <row r="23" spans="1:23" x14ac:dyDescent="0.25">
      <c r="A23" s="104">
        <v>2040</v>
      </c>
      <c r="B23" s="94">
        <f>$D$2*_xlfn.XLOOKUP(A23,'Emissions Projection Factors'!$A$3:$A$38,'Emissions Projection Factors'!$L$3:$L$38,,0)</f>
        <v>3.5544520845990517</v>
      </c>
      <c r="C23" s="31">
        <f>'Factor Sets'!$D$14*$B$2</f>
        <v>227.32721902455597</v>
      </c>
      <c r="D23" s="96">
        <f>($P$2*_xlfn.XLOOKUP(A23,'Emissions Projection Factors'!$A$5:$A$38,'Emissions Projection Factors'!$M$5:$M$38,0))/2205</f>
        <v>1.9510689051371588</v>
      </c>
      <c r="E23" s="101">
        <f>(_xlfn.XLOOKUP(A23,'Emissions Projection Factors'!$A$3:$A$38,'Emissions Projection Factors'!M$3:M$38,,0)*($B$3*0.001))/2205</f>
        <v>7.37636131916212</v>
      </c>
      <c r="F23" s="100">
        <f>(_xlfn.XLOOKUP(A23,'Emissions Projection Factors'!$A$3:$A$38,'Emissions Projection Factors'!$M$3:$M$38,,0)*$N$3)/2205</f>
        <v>5.4587668027210885</v>
      </c>
      <c r="G23" s="88">
        <f>$D$2*_xlfn.XLOOKUP(A23,'Emissions Projection Factors'!$A$3:$A$38,'Emissions Projection Factors'!$J$3:$J$38,,0)*'Factor Sets'!$B$28</f>
        <v>7.5198263231773018E-4</v>
      </c>
      <c r="H23" s="60">
        <f>('Factor Sets'!$D$15*$B$2)*'Factor Sets'!$B$28</f>
        <v>0.11353507923389999</v>
      </c>
      <c r="I23" s="90">
        <f>($N$2*_xlfn.XLOOKUP(A23,'Emissions Projection Factors'!$A$5:$A$38,'Emissions Projection Factors'!$P$5:$P$38,0)*'Factor Sets'!$B$28)/2205</f>
        <v>2.7459970680052837E-2</v>
      </c>
      <c r="J23" s="93">
        <f>((_xlfn.XLOOKUP(A23,'Emissions Projection Factors'!$A$3:$A$38,'Emissions Projection Factors'!$P$3:$P$38,,0)*($B$3*0.001))/2205)*'Factor Sets'!$B$28</f>
        <v>2.5630626505427082E-2</v>
      </c>
      <c r="K23" s="80">
        <f>((_xlfn.XLOOKUP(A23,'Emissions Projection Factors'!$A$3:$A$38,'Emissions Projection Factors'!$P$3:$P$38,,0)*($N$3))/2205)*'Factor Sets'!$B$28</f>
        <v>1.8967565042849761E-2</v>
      </c>
      <c r="L23" s="60">
        <f>$D$2*_xlfn.XLOOKUP(A23,'Emissions Projection Factors'!$A$3:$A$38,'Emissions Projection Factors'!$G$3:$G$38,,0)*'Factor Sets'!$B$27</f>
        <v>6.8529800272870975</v>
      </c>
      <c r="M23" s="60">
        <f>('Factor Sets'!$D$16*$B$2)*'Factor Sets'!$B$27</f>
        <v>0.11996159315279999</v>
      </c>
      <c r="N23" s="90">
        <f>((_xlfn.XLOOKUP(A23,'Emissions Projection Factors'!$A$3:$A$38,'Emissions Projection Factors'!$Q$3:$Q$38,,0)*($N$2))/2205)*'Factor Sets'!$B$27</f>
        <v>2.2848768056421311E-2</v>
      </c>
      <c r="O23" s="93">
        <f>((_xlfn.XLOOKUP(A23,'Emissions Projection Factors'!$A$3:$A$38,'Emissions Projection Factors'!$Q$3:$Q$38,,0)*($B$3*0.001))/2205)*'Factor Sets'!$B$27</f>
        <v>2.1326615639421388E-2</v>
      </c>
      <c r="P23" s="80">
        <f>((_xlfn.XLOOKUP(A23,'Emissions Projection Factors'!$A$3:$A$38,'Emissions Projection Factors'!$Q$3:$Q$38,,0)*$R$3)/2205)*'Factor Sets'!$B$27</f>
        <v>3.6610979318557166E-3</v>
      </c>
      <c r="Q23" s="60">
        <f t="shared" si="10"/>
        <v>237.96889979146115</v>
      </c>
      <c r="R23" s="60">
        <f t="shared" si="0"/>
        <v>7.4233185613069681</v>
      </c>
      <c r="S23" s="88">
        <f t="shared" si="1"/>
        <v>2.0013776438736328</v>
      </c>
      <c r="T23" s="60">
        <f t="shared" si="2"/>
        <v>5.4813954656957939</v>
      </c>
      <c r="U23" s="261">
        <f t="shared" si="11"/>
        <v>-237.90944524319869</v>
      </c>
      <c r="V23" s="123">
        <f t="shared" si="3"/>
        <v>-0.96950688510092675</v>
      </c>
      <c r="W23" s="137">
        <v>2040</v>
      </c>
    </row>
    <row r="24" spans="1:23" x14ac:dyDescent="0.25">
      <c r="A24" s="104">
        <v>2041</v>
      </c>
      <c r="B24" s="94">
        <f>$D$2*_xlfn.XLOOKUP(A24,'Emissions Projection Factors'!$A$3:$A$38,'Emissions Projection Factors'!$L$3:$L$38,,0)</f>
        <v>3.5544520845990517</v>
      </c>
      <c r="C24" s="31">
        <f>'Factor Sets'!$D$14*$B$2</f>
        <v>227.32721902455597</v>
      </c>
      <c r="D24" s="96">
        <f>($P$2*_xlfn.XLOOKUP(A24,'Emissions Projection Factors'!$A$5:$A$38,'Emissions Projection Factors'!$M$5:$M$38,0))/2205</f>
        <v>1.7559620146233819</v>
      </c>
      <c r="E24" s="101">
        <f>(_xlfn.XLOOKUP(A24,'Emissions Projection Factors'!$A$3:$A$38,'Emissions Projection Factors'!M$3:M$38,,0)*($B$3*0.001))/2205</f>
        <v>6.6387251872456767</v>
      </c>
      <c r="F24" s="100">
        <f>(_xlfn.XLOOKUP(A24,'Emissions Projection Factors'!$A$3:$A$38,'Emissions Projection Factors'!$M$3:$M$38,,0)*$N$3)/2205</f>
        <v>4.9128901224488093</v>
      </c>
      <c r="G24" s="88">
        <f>$D$2*_xlfn.XLOOKUP(A24,'Emissions Projection Factors'!$A$3:$A$38,'Emissions Projection Factors'!$J$3:$J$38,,0)*'Factor Sets'!$B$28</f>
        <v>7.5198263231773018E-4</v>
      </c>
      <c r="H24" s="60">
        <f>('Factor Sets'!$D$15*$B$2)*'Factor Sets'!$B$28</f>
        <v>0.11353507923389999</v>
      </c>
      <c r="I24" s="90">
        <f>($N$2*_xlfn.XLOOKUP(A24,'Emissions Projection Factors'!$A$5:$A$38,'Emissions Projection Factors'!$P$5:$P$38,0)*'Factor Sets'!$B$28)/2205</f>
        <v>2.4713973612046695E-2</v>
      </c>
      <c r="J24" s="93">
        <f>((_xlfn.XLOOKUP(A24,'Emissions Projection Factors'!$A$3:$A$38,'Emissions Projection Factors'!$P$3:$P$38,,0)*($B$3*0.001))/2205)*'Factor Sets'!$B$28</f>
        <v>2.3067563854883573E-2</v>
      </c>
      <c r="K24" s="80">
        <f>((_xlfn.XLOOKUP(A24,'Emissions Projection Factors'!$A$3:$A$38,'Emissions Projection Factors'!$P$3:$P$38,,0)*($N$3))/2205)*'Factor Sets'!$B$28</f>
        <v>1.707080853856419E-2</v>
      </c>
      <c r="L24" s="60">
        <f>$D$2*_xlfn.XLOOKUP(A24,'Emissions Projection Factors'!$A$3:$A$38,'Emissions Projection Factors'!$G$3:$G$38,,0)*'Factor Sets'!$B$27</f>
        <v>6.8847733255647601</v>
      </c>
      <c r="M24" s="60">
        <f>('Factor Sets'!$D$16*$B$2)*'Factor Sets'!$B$27</f>
        <v>0.11996159315279999</v>
      </c>
      <c r="N24" s="90">
        <f>((_xlfn.XLOOKUP(A24,'Emissions Projection Factors'!$A$3:$A$38,'Emissions Projection Factors'!$Q$3:$Q$38,,0)*($N$2))/2205)*'Factor Sets'!$B$27</f>
        <v>2.0563891250778465E-2</v>
      </c>
      <c r="O24" s="93">
        <f>((_xlfn.XLOOKUP(A24,'Emissions Projection Factors'!$A$3:$A$38,'Emissions Projection Factors'!$Q$3:$Q$38,,0)*($B$3*0.001))/2205)*'Factor Sets'!$B$27</f>
        <v>1.9193954075478588E-2</v>
      </c>
      <c r="P24" s="80">
        <f>((_xlfn.XLOOKUP(A24,'Emissions Projection Factors'!$A$3:$A$38,'Emissions Projection Factors'!$Q$3:$Q$38,,0)*$R$3)/2205)*'Factor Sets'!$B$27</f>
        <v>3.2949881386700312E-3</v>
      </c>
      <c r="Q24" s="60">
        <f t="shared" si="10"/>
        <v>238.00069308973883</v>
      </c>
      <c r="R24" s="60">
        <f t="shared" si="0"/>
        <v>6.6809867051760392</v>
      </c>
      <c r="S24" s="88">
        <f t="shared" si="1"/>
        <v>1.801239879486207</v>
      </c>
      <c r="T24" s="60">
        <f t="shared" si="2"/>
        <v>4.9332559191260437</v>
      </c>
      <c r="U24" s="261">
        <f t="shared" si="11"/>
        <v>-237.94718399630264</v>
      </c>
      <c r="V24" s="123">
        <f t="shared" si="3"/>
        <v>-0.97247650169699296</v>
      </c>
      <c r="W24" s="137">
        <v>2041</v>
      </c>
    </row>
    <row r="25" spans="1:23" x14ac:dyDescent="0.25">
      <c r="A25" s="104">
        <v>2042</v>
      </c>
      <c r="B25" s="94">
        <f>$D$2*_xlfn.XLOOKUP(A25,'Emissions Projection Factors'!$A$3:$A$38,'Emissions Projection Factors'!$L$3:$L$38,,0)</f>
        <v>3.5544520845990517</v>
      </c>
      <c r="C25" s="31">
        <f>'Factor Sets'!$D$14*$B$2</f>
        <v>227.32721902455597</v>
      </c>
      <c r="D25" s="96">
        <f>($P$2*_xlfn.XLOOKUP(A25,'Emissions Projection Factors'!$A$5:$A$38,'Emissions Projection Factors'!$M$5:$M$38,0))/2205</f>
        <v>1.5608551241096813</v>
      </c>
      <c r="E25" s="101">
        <f>(_xlfn.XLOOKUP(A25,'Emissions Projection Factors'!$A$3:$A$38,'Emissions Projection Factors'!M$3:M$38,,0)*($B$3*0.001))/2205</f>
        <v>5.901089055329523</v>
      </c>
      <c r="F25" s="100">
        <f>(_xlfn.XLOOKUP(A25,'Emissions Projection Factors'!$A$3:$A$38,'Emissions Projection Factors'!$M$3:$M$38,,0)*$N$3)/2205</f>
        <v>4.3670134421767424</v>
      </c>
      <c r="G25" s="88">
        <f>$D$2*_xlfn.XLOOKUP(A25,'Emissions Projection Factors'!$A$3:$A$38,'Emissions Projection Factors'!$J$3:$J$38,,0)*'Factor Sets'!$B$28</f>
        <v>7.5198263231773018E-4</v>
      </c>
      <c r="H25" s="60">
        <f>('Factor Sets'!$D$15*$B$2)*'Factor Sets'!$B$28</f>
        <v>0.11353507923389999</v>
      </c>
      <c r="I25" s="90">
        <f>($N$2*_xlfn.XLOOKUP(A25,'Emissions Projection Factors'!$A$5:$A$38,'Emissions Projection Factors'!$P$5:$P$38,0)*'Factor Sets'!$B$28)/2205</f>
        <v>2.1967976544041624E-2</v>
      </c>
      <c r="J25" s="93">
        <f>((_xlfn.XLOOKUP(A25,'Emissions Projection Factors'!$A$3:$A$38,'Emissions Projection Factors'!$P$3:$P$38,,0)*($B$3*0.001))/2205)*'Factor Sets'!$B$28</f>
        <v>2.0504501204341066E-2</v>
      </c>
      <c r="K25" s="80">
        <f>((_xlfn.XLOOKUP(A25,'Emissions Projection Factors'!$A$3:$A$38,'Emissions Projection Factors'!$P$3:$P$38,,0)*($N$3))/2205)*'Factor Sets'!$B$28</f>
        <v>1.5174052034279366E-2</v>
      </c>
      <c r="L25" s="60">
        <f>$D$2*_xlfn.XLOOKUP(A25,'Emissions Projection Factors'!$A$3:$A$38,'Emissions Projection Factors'!$G$3:$G$38,,0)*'Factor Sets'!$B$27</f>
        <v>6.9312264488766289</v>
      </c>
      <c r="M25" s="60">
        <f>('Factor Sets'!$D$16*$B$2)*'Factor Sets'!$B$27</f>
        <v>0.11996159315279999</v>
      </c>
      <c r="N25" s="90">
        <f>((_xlfn.XLOOKUP(A25,'Emissions Projection Factors'!$A$3:$A$38,'Emissions Projection Factors'!$Q$3:$Q$38,,0)*($N$2))/2205)*'Factor Sets'!$B$27</f>
        <v>1.8279014445136511E-2</v>
      </c>
      <c r="O25" s="93">
        <f>((_xlfn.XLOOKUP(A25,'Emissions Projection Factors'!$A$3:$A$38,'Emissions Projection Factors'!$Q$3:$Q$38,,0)*($B$3*0.001))/2205)*'Factor Sets'!$B$27</f>
        <v>1.7061292511536614E-2</v>
      </c>
      <c r="P25" s="80">
        <f>((_xlfn.XLOOKUP(A25,'Emissions Projection Factors'!$A$3:$A$38,'Emissions Projection Factors'!$Q$3:$Q$38,,0)*$R$3)/2205)*'Factor Sets'!$B$27</f>
        <v>2.9288783454844876E-3</v>
      </c>
      <c r="Q25" s="60">
        <f t="shared" si="10"/>
        <v>238.04714621305069</v>
      </c>
      <c r="R25" s="60">
        <f t="shared" si="0"/>
        <v>5.9386548490454008</v>
      </c>
      <c r="S25" s="88">
        <f t="shared" si="1"/>
        <v>1.6011021150988596</v>
      </c>
      <c r="T25" s="60">
        <f t="shared" si="2"/>
        <v>4.3851163725565057</v>
      </c>
      <c r="U25" s="261">
        <f t="shared" si="11"/>
        <v>-237.99958257444072</v>
      </c>
      <c r="V25" s="123">
        <f t="shared" si="3"/>
        <v>-0.97546488991737745</v>
      </c>
      <c r="W25" s="137">
        <v>2042</v>
      </c>
    </row>
    <row r="26" spans="1:23" x14ac:dyDescent="0.25">
      <c r="A26" s="104">
        <v>2043</v>
      </c>
      <c r="B26" s="94">
        <f>$D$2*_xlfn.XLOOKUP(A26,'Emissions Projection Factors'!$A$3:$A$38,'Emissions Projection Factors'!$L$3:$L$38,,0)</f>
        <v>3.5544520845990517</v>
      </c>
      <c r="C26" s="31">
        <f>'Factor Sets'!$D$14*$B$2</f>
        <v>227.32721902455597</v>
      </c>
      <c r="D26" s="96">
        <f>($P$2*_xlfn.XLOOKUP(A26,'Emissions Projection Factors'!$A$5:$A$38,'Emissions Projection Factors'!$M$5:$M$38,0))/2205</f>
        <v>1.3657482335959807</v>
      </c>
      <c r="E26" s="101">
        <f>(_xlfn.XLOOKUP(A26,'Emissions Projection Factors'!$A$3:$A$38,'Emissions Projection Factors'!M$3:M$38,,0)*($B$3*0.001))/2205</f>
        <v>5.1634529234133684</v>
      </c>
      <c r="F26" s="100">
        <f>(_xlfn.XLOOKUP(A26,'Emissions Projection Factors'!$A$3:$A$38,'Emissions Projection Factors'!$M$3:$M$38,,0)*$N$3)/2205</f>
        <v>3.8211367619046763</v>
      </c>
      <c r="G26" s="88">
        <f>$D$2*_xlfn.XLOOKUP(A26,'Emissions Projection Factors'!$A$3:$A$38,'Emissions Projection Factors'!$J$3:$J$38,,0)*'Factor Sets'!$B$28</f>
        <v>7.5198263231773029E-4</v>
      </c>
      <c r="H26" s="60">
        <f>('Factor Sets'!$D$15*$B$2)*'Factor Sets'!$B$28</f>
        <v>0.11353507923389999</v>
      </c>
      <c r="I26" s="90">
        <f>($N$2*_xlfn.XLOOKUP(A26,'Emissions Projection Factors'!$A$5:$A$38,'Emissions Projection Factors'!$P$5:$P$38,0)*'Factor Sets'!$B$28)/2205</f>
        <v>1.9221979476036554E-2</v>
      </c>
      <c r="J26" s="93">
        <f>((_xlfn.XLOOKUP(A26,'Emissions Projection Factors'!$A$3:$A$38,'Emissions Projection Factors'!$P$3:$P$38,,0)*($B$3*0.001))/2205)*'Factor Sets'!$B$28</f>
        <v>1.7941438553798556E-2</v>
      </c>
      <c r="K26" s="80">
        <f>((_xlfn.XLOOKUP(A26,'Emissions Projection Factors'!$A$3:$A$38,'Emissions Projection Factors'!$P$3:$P$38,,0)*($N$3))/2205)*'Factor Sets'!$B$28</f>
        <v>1.3277295529994536E-2</v>
      </c>
      <c r="L26" s="60">
        <f>$D$2*_xlfn.XLOOKUP(A26,'Emissions Projection Factors'!$A$3:$A$38,'Emissions Projection Factors'!$G$3:$G$38,,0)*'Factor Sets'!$B$27</f>
        <v>6.9608337539226319</v>
      </c>
      <c r="M26" s="60">
        <f>('Factor Sets'!$D$16*$B$2)*'Factor Sets'!$B$27</f>
        <v>0.11996159315279999</v>
      </c>
      <c r="N26" s="90">
        <f>((_xlfn.XLOOKUP(A26,'Emissions Projection Factors'!$A$3:$A$38,'Emissions Projection Factors'!$Q$3:$Q$38,,0)*($N$2))/2205)*'Factor Sets'!$B$27</f>
        <v>1.599413763949456E-2</v>
      </c>
      <c r="O26" s="93">
        <f>((_xlfn.XLOOKUP(A26,'Emissions Projection Factors'!$A$3:$A$38,'Emissions Projection Factors'!$Q$3:$Q$38,,0)*($B$3*0.001))/2205)*'Factor Sets'!$B$27</f>
        <v>1.4928630947594636E-2</v>
      </c>
      <c r="P26" s="80">
        <f>((_xlfn.XLOOKUP(A26,'Emissions Projection Factors'!$A$3:$A$38,'Emissions Projection Factors'!$Q$3:$Q$38,,0)*$R$3)/2205)*'Factor Sets'!$B$27</f>
        <v>2.562768552298944E-3</v>
      </c>
      <c r="Q26" s="60">
        <f t="shared" si="10"/>
        <v>238.07675351809669</v>
      </c>
      <c r="R26" s="60">
        <f t="shared" si="0"/>
        <v>5.1963229929147614</v>
      </c>
      <c r="S26" s="88">
        <f t="shared" si="1"/>
        <v>1.4009643507115119</v>
      </c>
      <c r="T26" s="60">
        <f t="shared" si="2"/>
        <v>3.8369768259869699</v>
      </c>
      <c r="U26" s="261">
        <f t="shared" si="11"/>
        <v>-238.03513533431297</v>
      </c>
      <c r="V26" s="123">
        <f t="shared" si="3"/>
        <v>-0.97846888257500453</v>
      </c>
      <c r="W26" s="137">
        <v>2043</v>
      </c>
    </row>
    <row r="27" spans="1:23" x14ac:dyDescent="0.25">
      <c r="A27" s="104">
        <v>2044</v>
      </c>
      <c r="B27" s="94">
        <f>$D$2*_xlfn.XLOOKUP(A27,'Emissions Projection Factors'!$A$3:$A$38,'Emissions Projection Factors'!$L$3:$L$38,,0)</f>
        <v>3.5544520845990522</v>
      </c>
      <c r="C27" s="31">
        <f>'Factor Sets'!$D$14*$B$2</f>
        <v>227.32721902455597</v>
      </c>
      <c r="D27" s="96">
        <f>($P$2*_xlfn.XLOOKUP(A27,'Emissions Projection Factors'!$A$5:$A$38,'Emissions Projection Factors'!$M$5:$M$38,0))/2205</f>
        <v>1.1706413430822802</v>
      </c>
      <c r="E27" s="101">
        <f>(_xlfn.XLOOKUP(A27,'Emissions Projection Factors'!$A$3:$A$38,'Emissions Projection Factors'!M$3:M$38,,0)*($B$3*0.001))/2205</f>
        <v>4.4258167914972146</v>
      </c>
      <c r="F27" s="100">
        <f>(_xlfn.XLOOKUP(A27,'Emissions Projection Factors'!$A$3:$A$38,'Emissions Projection Factors'!$M$3:$M$38,,0)*$N$3)/2205</f>
        <v>3.2752600816326107</v>
      </c>
      <c r="G27" s="88">
        <f>$D$2*_xlfn.XLOOKUP(A27,'Emissions Projection Factors'!$A$3:$A$38,'Emissions Projection Factors'!$J$3:$J$38,,0)*'Factor Sets'!$B$28</f>
        <v>7.5198263231773018E-4</v>
      </c>
      <c r="H27" s="60">
        <f>('Factor Sets'!$D$15*$B$2)*'Factor Sets'!$B$28</f>
        <v>0.11353507923389999</v>
      </c>
      <c r="I27" s="90">
        <f>($N$2*_xlfn.XLOOKUP(A27,'Emissions Projection Factors'!$A$5:$A$38,'Emissions Projection Factors'!$P$5:$P$38,0)*'Factor Sets'!$B$28)/2205</f>
        <v>1.6475982408031487E-2</v>
      </c>
      <c r="J27" s="93">
        <f>((_xlfn.XLOOKUP(A27,'Emissions Projection Factors'!$A$3:$A$38,'Emissions Projection Factors'!$P$3:$P$38,,0)*($B$3*0.001))/2205)*'Factor Sets'!$B$28</f>
        <v>1.537837590325605E-2</v>
      </c>
      <c r="K27" s="80">
        <f>((_xlfn.XLOOKUP(A27,'Emissions Projection Factors'!$A$3:$A$38,'Emissions Projection Factors'!$P$3:$P$38,,0)*($N$3))/2205)*'Factor Sets'!$B$28</f>
        <v>1.1380539025709709E-2</v>
      </c>
      <c r="L27" s="60">
        <f>$D$2*_xlfn.XLOOKUP(A27,'Emissions Projection Factors'!$A$3:$A$38,'Emissions Projection Factors'!$G$3:$G$38,,0)*'Factor Sets'!$B$27</f>
        <v>6.981112209408658</v>
      </c>
      <c r="M27" s="60">
        <f>('Factor Sets'!$D$16*$B$2)*'Factor Sets'!$B$27</f>
        <v>0.11996159315279999</v>
      </c>
      <c r="N27" s="90">
        <f>((_xlfn.XLOOKUP(A27,'Emissions Projection Factors'!$A$3:$A$38,'Emissions Projection Factors'!$Q$3:$Q$38,,0)*($N$2))/2205)*'Factor Sets'!$B$27</f>
        <v>1.3709260833852609E-2</v>
      </c>
      <c r="O27" s="93">
        <f>((_xlfn.XLOOKUP(A27,'Emissions Projection Factors'!$A$3:$A$38,'Emissions Projection Factors'!$Q$3:$Q$38,,0)*($B$3*0.001))/2205)*'Factor Sets'!$B$27</f>
        <v>1.2795969383652669E-2</v>
      </c>
      <c r="P27" s="80">
        <f>((_xlfn.XLOOKUP(A27,'Emissions Projection Factors'!$A$3:$A$38,'Emissions Projection Factors'!$Q$3:$Q$38,,0)*$R$3)/2205)*'Factor Sets'!$B$27</f>
        <v>2.1966587591134012E-3</v>
      </c>
      <c r="Q27" s="60">
        <f t="shared" si="10"/>
        <v>238.09703197358272</v>
      </c>
      <c r="R27" s="60">
        <f t="shared" si="0"/>
        <v>4.4539911367841238</v>
      </c>
      <c r="S27" s="88">
        <f t="shared" si="1"/>
        <v>1.2008265863241643</v>
      </c>
      <c r="T27" s="60">
        <f t="shared" si="2"/>
        <v>3.2888372794174341</v>
      </c>
      <c r="U27" s="261">
        <f t="shared" si="11"/>
        <v>-238.06135924462524</v>
      </c>
      <c r="V27" s="123">
        <f t="shared" si="3"/>
        <v>-0.98148981683042136</v>
      </c>
      <c r="W27" s="137">
        <v>2044</v>
      </c>
    </row>
    <row r="28" spans="1:23" x14ac:dyDescent="0.25">
      <c r="A28" s="104">
        <v>2045</v>
      </c>
      <c r="B28" s="94">
        <f>$D$2*_xlfn.XLOOKUP(A28,'Emissions Projection Factors'!$A$3:$A$38,'Emissions Projection Factors'!$L$3:$L$38,,0)</f>
        <v>3.5544520845990522</v>
      </c>
      <c r="C28" s="31">
        <f>'Factor Sets'!$D$14*$B$2</f>
        <v>227.32721902455597</v>
      </c>
      <c r="D28" s="96">
        <f>($P$2*_xlfn.XLOOKUP(A28,'Emissions Projection Factors'!$A$5:$A$38,'Emissions Projection Factors'!$M$5:$M$38,0))/2205</f>
        <v>0.9755344525685794</v>
      </c>
      <c r="E28" s="101">
        <f>(_xlfn.XLOOKUP(A28,'Emissions Projection Factors'!$A$3:$A$38,'Emissions Projection Factors'!M$3:M$38,,0)*($B$3*0.001))/2205</f>
        <v>3.68818065958106</v>
      </c>
      <c r="F28" s="100">
        <f>(_xlfn.XLOOKUP(A28,'Emissions Projection Factors'!$A$3:$A$38,'Emissions Projection Factors'!$M$3:$M$38,,0)*$N$3)/2205</f>
        <v>2.7293834013605442</v>
      </c>
      <c r="G28" s="88">
        <f>$D$2*_xlfn.XLOOKUP(A28,'Emissions Projection Factors'!$A$3:$A$38,'Emissions Projection Factors'!$J$3:$J$38,,0)*'Factor Sets'!$B$28</f>
        <v>7.5198263231773007E-4</v>
      </c>
      <c r="H28" s="60">
        <f>('Factor Sets'!$D$15*$B$2)*'Factor Sets'!$B$28</f>
        <v>0.11353507923389999</v>
      </c>
      <c r="I28" s="90">
        <f>($N$2*_xlfn.XLOOKUP(A28,'Emissions Projection Factors'!$A$5:$A$38,'Emissions Projection Factors'!$P$5:$P$38,0)*'Factor Sets'!$B$28)/2205</f>
        <v>1.3729985340026419E-2</v>
      </c>
      <c r="J28" s="93">
        <f>((_xlfn.XLOOKUP(A28,'Emissions Projection Factors'!$A$3:$A$38,'Emissions Projection Factors'!$P$3:$P$38,,0)*($B$3*0.001))/2205)*'Factor Sets'!$B$28</f>
        <v>1.2815313252713541E-2</v>
      </c>
      <c r="K28" s="80">
        <f>((_xlfn.XLOOKUP(A28,'Emissions Projection Factors'!$A$3:$A$38,'Emissions Projection Factors'!$P$3:$P$38,,0)*($N$3))/2205)*'Factor Sets'!$B$28</f>
        <v>9.4837825214248803E-3</v>
      </c>
      <c r="L28" s="60">
        <f>$D$2*_xlfn.XLOOKUP(A28,'Emissions Projection Factors'!$A$3:$A$38,'Emissions Projection Factors'!$G$3:$G$38,,0)*'Factor Sets'!$B$27</f>
        <v>7.0205829662543513</v>
      </c>
      <c r="M28" s="60">
        <f>('Factor Sets'!$D$16*$B$2)*'Factor Sets'!$B$27</f>
        <v>0.11996159315279999</v>
      </c>
      <c r="N28" s="90">
        <f>((_xlfn.XLOOKUP(A28,'Emissions Projection Factors'!$A$3:$A$38,'Emissions Projection Factors'!$Q$3:$Q$38,,0)*($N$2))/2205)*'Factor Sets'!$B$27</f>
        <v>1.1424384028210655E-2</v>
      </c>
      <c r="O28" s="93">
        <f>((_xlfn.XLOOKUP(A28,'Emissions Projection Factors'!$A$3:$A$38,'Emissions Projection Factors'!$Q$3:$Q$38,,0)*($B$3*0.001))/2205)*'Factor Sets'!$B$27</f>
        <v>1.0663307819710694E-2</v>
      </c>
      <c r="P28" s="80">
        <f>((_xlfn.XLOOKUP(A28,'Emissions Projection Factors'!$A$3:$A$38,'Emissions Projection Factors'!$Q$3:$Q$38,,0)*$R$3)/2205)*'Factor Sets'!$B$27</f>
        <v>1.8305489659278583E-3</v>
      </c>
      <c r="Q28" s="60">
        <f t="shared" si="10"/>
        <v>238.13650273042842</v>
      </c>
      <c r="R28" s="60">
        <f t="shared" si="0"/>
        <v>3.711659280653484</v>
      </c>
      <c r="S28" s="88">
        <f t="shared" si="1"/>
        <v>1.0006888219368164</v>
      </c>
      <c r="T28" s="60">
        <f t="shared" si="2"/>
        <v>2.740697732847897</v>
      </c>
      <c r="U28" s="261">
        <f t="shared" si="11"/>
        <v>-238.10677545629719</v>
      </c>
      <c r="V28" s="123">
        <f t="shared" si="3"/>
        <v>-0.98453001865437673</v>
      </c>
      <c r="W28" s="137">
        <v>2045</v>
      </c>
    </row>
    <row r="29" spans="1:23" x14ac:dyDescent="0.25">
      <c r="A29" s="104">
        <v>2046</v>
      </c>
      <c r="B29" s="94">
        <f>$D$2*_xlfn.XLOOKUP(A29,'Emissions Projection Factors'!$A$3:$A$38,'Emissions Projection Factors'!$L$3:$L$38,,0)</f>
        <v>3.5544520845990522</v>
      </c>
      <c r="C29" s="31">
        <f>'Factor Sets'!$D$14*$B$2</f>
        <v>227.32721902455597</v>
      </c>
      <c r="D29" s="96">
        <f>($P$2*_xlfn.XLOOKUP(A29,'Emissions Projection Factors'!$A$5:$A$38,'Emissions Projection Factors'!$M$5:$M$38,0))/2205</f>
        <v>0.78042756205480257</v>
      </c>
      <c r="E29" s="101">
        <f>(_xlfn.XLOOKUP(A29,'Emissions Projection Factors'!$A$3:$A$38,'Emissions Projection Factors'!M$3:M$38,,0)*($B$3*0.001))/2205</f>
        <v>2.9505445276646172</v>
      </c>
      <c r="F29" s="100">
        <f>(_xlfn.XLOOKUP(A29,'Emissions Projection Factors'!$A$3:$A$38,'Emissions Projection Factors'!$M$3:$M$38,,0)*$N$3)/2205</f>
        <v>2.1835067210882646</v>
      </c>
      <c r="G29" s="88">
        <f>$D$2*_xlfn.XLOOKUP(A29,'Emissions Projection Factors'!$A$3:$A$38,'Emissions Projection Factors'!$J$3:$J$38,,0)*'Factor Sets'!$B$28</f>
        <v>7.5198263231773007E-4</v>
      </c>
      <c r="H29" s="60">
        <f>('Factor Sets'!$D$15*$B$2)*'Factor Sets'!$B$28</f>
        <v>0.11353507923389999</v>
      </c>
      <c r="I29" s="90">
        <f>($N$2*_xlfn.XLOOKUP(A29,'Emissions Projection Factors'!$A$5:$A$38,'Emissions Projection Factors'!$P$5:$P$38,0)*'Factor Sets'!$B$28)/2205</f>
        <v>1.0983988272020274E-2</v>
      </c>
      <c r="J29" s="93">
        <f>((_xlfn.XLOOKUP(A29,'Emissions Projection Factors'!$A$3:$A$38,'Emissions Projection Factors'!$P$3:$P$38,,0)*($B$3*0.001))/2205)*'Factor Sets'!$B$28</f>
        <v>1.025225060217003E-2</v>
      </c>
      <c r="K29" s="80">
        <f>((_xlfn.XLOOKUP(A29,'Emissions Projection Factors'!$A$3:$A$38,'Emissions Projection Factors'!$P$3:$P$38,,0)*($N$3))/2205)*'Factor Sets'!$B$28</f>
        <v>7.587026017139311E-3</v>
      </c>
      <c r="L29" s="60">
        <f>$D$2*_xlfn.XLOOKUP(A29,'Emissions Projection Factors'!$A$3:$A$38,'Emissions Projection Factors'!$G$3:$G$38,,0)*'Factor Sets'!$B$27</f>
        <v>6.9774850983275511</v>
      </c>
      <c r="M29" s="60">
        <f>('Factor Sets'!$D$16*$B$2)*'Factor Sets'!$B$27</f>
        <v>0.11996159315279999</v>
      </c>
      <c r="N29" s="90">
        <f>((_xlfn.XLOOKUP(A29,'Emissions Projection Factors'!$A$3:$A$38,'Emissions Projection Factors'!$Q$3:$Q$38,,0)*($N$2))/2205)*'Factor Sets'!$B$27</f>
        <v>9.1395072225678095E-3</v>
      </c>
      <c r="O29" s="93">
        <f>((_xlfn.XLOOKUP(A29,'Emissions Projection Factors'!$A$3:$A$38,'Emissions Projection Factors'!$Q$3:$Q$38,,0)*($B$3*0.001))/2205)*'Factor Sets'!$B$27</f>
        <v>8.5306462557678889E-3</v>
      </c>
      <c r="P29" s="80">
        <f>((_xlfn.XLOOKUP(A29,'Emissions Projection Factors'!$A$3:$A$38,'Emissions Projection Factors'!$Q$3:$Q$38,,0)*$R$3)/2205)*'Factor Sets'!$B$27</f>
        <v>1.464439172742172E-3</v>
      </c>
      <c r="Q29" s="60">
        <f t="shared" si="10"/>
        <v>238.09340486250161</v>
      </c>
      <c r="R29" s="60">
        <f t="shared" si="0"/>
        <v>2.9693274245225552</v>
      </c>
      <c r="S29" s="88">
        <f t="shared" si="1"/>
        <v>0.80055105754939071</v>
      </c>
      <c r="T29" s="60">
        <f t="shared" si="2"/>
        <v>2.1925581862781458</v>
      </c>
      <c r="U29" s="261">
        <f t="shared" si="11"/>
        <v>-238.06962304319663</v>
      </c>
      <c r="V29" s="123">
        <f t="shared" si="3"/>
        <v>-0.98758369153360559</v>
      </c>
      <c r="W29" s="137">
        <v>2046</v>
      </c>
    </row>
    <row r="30" spans="1:23" x14ac:dyDescent="0.25">
      <c r="A30" s="104">
        <v>2047</v>
      </c>
      <c r="B30" s="94">
        <f>$D$2*_xlfn.XLOOKUP(A30,'Emissions Projection Factors'!$A$3:$A$38,'Emissions Projection Factors'!$L$3:$L$38,,0)</f>
        <v>3.5544520845990522</v>
      </c>
      <c r="C30" s="31">
        <f>'Factor Sets'!$D$14*$B$2</f>
        <v>227.32721902455597</v>
      </c>
      <c r="D30" s="96">
        <f>($P$2*_xlfn.XLOOKUP(A30,'Emissions Projection Factors'!$A$5:$A$38,'Emissions Projection Factors'!$M$5:$M$38,0))/2205</f>
        <v>0.5853206715411019</v>
      </c>
      <c r="E30" s="101">
        <f>(_xlfn.XLOOKUP(A30,'Emissions Projection Factors'!$A$3:$A$38,'Emissions Projection Factors'!M$3:M$38,,0)*($B$3*0.001))/2205</f>
        <v>2.212908395748463</v>
      </c>
      <c r="F30" s="100">
        <f>(_xlfn.XLOOKUP(A30,'Emissions Projection Factors'!$A$3:$A$38,'Emissions Projection Factors'!$M$3:$M$38,,0)*$N$3)/2205</f>
        <v>1.6376300408161986</v>
      </c>
      <c r="G30" s="88">
        <f>$D$2*_xlfn.XLOOKUP(A30,'Emissions Projection Factors'!$A$3:$A$38,'Emissions Projection Factors'!$J$3:$J$38,,0)*'Factor Sets'!$B$28</f>
        <v>7.5198263231773018E-4</v>
      </c>
      <c r="H30" s="60">
        <f>('Factor Sets'!$D$15*$B$2)*'Factor Sets'!$B$28</f>
        <v>0.11353507923389999</v>
      </c>
      <c r="I30" s="90">
        <f>($N$2*_xlfn.XLOOKUP(A30,'Emissions Projection Factors'!$A$5:$A$38,'Emissions Projection Factors'!$P$5:$P$38,0)*'Factor Sets'!$B$28)/2205</f>
        <v>8.2379912040152058E-3</v>
      </c>
      <c r="J30" s="93">
        <f>((_xlfn.XLOOKUP(A30,'Emissions Projection Factors'!$A$3:$A$38,'Emissions Projection Factors'!$P$3:$P$38,,0)*($B$3*0.001))/2205)*'Factor Sets'!$B$28</f>
        <v>7.6891879516275243E-3</v>
      </c>
      <c r="K30" s="80">
        <f>((_xlfn.XLOOKUP(A30,'Emissions Projection Factors'!$A$3:$A$38,'Emissions Projection Factors'!$P$3:$P$38,,0)*($N$3))/2205)*'Factor Sets'!$B$28</f>
        <v>5.6902695128544841E-3</v>
      </c>
      <c r="L30" s="60">
        <f>$D$2*_xlfn.XLOOKUP(A30,'Emissions Projection Factors'!$A$3:$A$38,'Emissions Projection Factors'!$G$3:$G$38,,0)*'Factor Sets'!$B$27</f>
        <v>7.0307662018847035</v>
      </c>
      <c r="M30" s="60">
        <f>('Factor Sets'!$D$16*$B$2)*'Factor Sets'!$B$27</f>
        <v>0.11996159315279999</v>
      </c>
      <c r="N30" s="90">
        <f>((_xlfn.XLOOKUP(A30,'Emissions Projection Factors'!$A$3:$A$38,'Emissions Projection Factors'!$Q$3:$Q$38,,0)*($N$2))/2205)*'Factor Sets'!$B$27</f>
        <v>6.8546304169258571E-3</v>
      </c>
      <c r="O30" s="93">
        <f>((_xlfn.XLOOKUP(A30,'Emissions Projection Factors'!$A$3:$A$38,'Emissions Projection Factors'!$Q$3:$Q$38,,0)*($B$3*0.001))/2205)*'Factor Sets'!$B$27</f>
        <v>6.3979846918259175E-3</v>
      </c>
      <c r="P30" s="80">
        <f>((_xlfn.XLOOKUP(A30,'Emissions Projection Factors'!$A$3:$A$38,'Emissions Projection Factors'!$Q$3:$Q$38,,0)*$R$3)/2205)*'Factor Sets'!$B$27</f>
        <v>1.0983293795566291E-3</v>
      </c>
      <c r="Q30" s="60">
        <f t="shared" si="10"/>
        <v>238.14668596605878</v>
      </c>
      <c r="R30" s="60">
        <f t="shared" si="0"/>
        <v>2.2269955683919167</v>
      </c>
      <c r="S30" s="88">
        <f t="shared" si="1"/>
        <v>0.60041329316204306</v>
      </c>
      <c r="T30" s="60">
        <f t="shared" si="2"/>
        <v>1.6444186397086096</v>
      </c>
      <c r="U30" s="261">
        <f t="shared" si="11"/>
        <v>-238.12884960158004</v>
      </c>
      <c r="V30" s="123">
        <f t="shared" si="3"/>
        <v>-0.99066107437993822</v>
      </c>
      <c r="W30" s="137">
        <v>2047</v>
      </c>
    </row>
    <row r="31" spans="1:23" x14ac:dyDescent="0.25">
      <c r="A31" s="104">
        <v>2048</v>
      </c>
      <c r="B31" s="94">
        <f>$D$2*_xlfn.XLOOKUP(A31,'Emissions Projection Factors'!$A$3:$A$38,'Emissions Projection Factors'!$L$3:$L$38,,0)</f>
        <v>3.5544520845990522</v>
      </c>
      <c r="C31" s="31">
        <f>'Factor Sets'!$D$14*$B$2</f>
        <v>227.32721902455597</v>
      </c>
      <c r="D31" s="96">
        <f>($P$2*_xlfn.XLOOKUP(A31,'Emissions Projection Factors'!$A$5:$A$38,'Emissions Projection Factors'!$M$5:$M$38,0))/2205</f>
        <v>0.39021378102740129</v>
      </c>
      <c r="E31" s="101">
        <f>(_xlfn.XLOOKUP(A31,'Emissions Projection Factors'!$A$3:$A$38,'Emissions Projection Factors'!M$3:M$38,,0)*($B$3*0.001))/2205</f>
        <v>1.4752722638323086</v>
      </c>
      <c r="F31" s="100">
        <f>(_xlfn.XLOOKUP(A31,'Emissions Projection Factors'!$A$3:$A$38,'Emissions Projection Factors'!$M$3:$M$38,,0)*$N$3)/2205</f>
        <v>1.0917533605441323</v>
      </c>
      <c r="G31" s="88">
        <f>$D$2*_xlfn.XLOOKUP(A31,'Emissions Projection Factors'!$A$3:$A$38,'Emissions Projection Factors'!$J$3:$J$38,,0)*'Factor Sets'!$B$28</f>
        <v>7.5198263231773018E-4</v>
      </c>
      <c r="H31" s="60">
        <f>('Factor Sets'!$D$15*$B$2)*'Factor Sets'!$B$28</f>
        <v>0.11353507923389999</v>
      </c>
      <c r="I31" s="90">
        <f>($N$2*_xlfn.XLOOKUP(A31,'Emissions Projection Factors'!$A$5:$A$38,'Emissions Projection Factors'!$P$5:$P$38,0)*'Factor Sets'!$B$28)/2205</f>
        <v>5.4919941360101381E-3</v>
      </c>
      <c r="J31" s="93">
        <f>((_xlfn.XLOOKUP(A31,'Emissions Projection Factors'!$A$3:$A$38,'Emissions Projection Factors'!$P$3:$P$38,,0)*($B$3*0.001))/2205)*'Factor Sets'!$B$28</f>
        <v>5.1261253010850159E-3</v>
      </c>
      <c r="K31" s="80">
        <f>((_xlfn.XLOOKUP(A31,'Emissions Projection Factors'!$A$3:$A$38,'Emissions Projection Factors'!$P$3:$P$38,,0)*($N$3))/2205)*'Factor Sets'!$B$28</f>
        <v>3.7935130085696564E-3</v>
      </c>
      <c r="L31" s="60">
        <f>$D$2*_xlfn.XLOOKUP(A31,'Emissions Projection Factors'!$A$3:$A$38,'Emissions Projection Factors'!$G$3:$G$38,,0)*'Factor Sets'!$B$27</f>
        <v>7.0484459725343065</v>
      </c>
      <c r="M31" s="60">
        <f>('Factor Sets'!$D$16*$B$2)*'Factor Sets'!$B$27</f>
        <v>0.11996159315279999</v>
      </c>
      <c r="N31" s="90">
        <f>((_xlfn.XLOOKUP(A31,'Emissions Projection Factors'!$A$3:$A$38,'Emissions Projection Factors'!$Q$3:$Q$38,,0)*($N$2))/2205)*'Factor Sets'!$B$27</f>
        <v>4.5697536112839048E-3</v>
      </c>
      <c r="O31" s="93">
        <f>((_xlfn.XLOOKUP(A31,'Emissions Projection Factors'!$A$3:$A$38,'Emissions Projection Factors'!$Q$3:$Q$38,,0)*($B$3*0.001))/2205)*'Factor Sets'!$B$27</f>
        <v>4.2653231278839444E-3</v>
      </c>
      <c r="P31" s="80">
        <f>((_xlfn.XLOOKUP(A31,'Emissions Projection Factors'!$A$3:$A$38,'Emissions Projection Factors'!$Q$3:$Q$38,,0)*$R$3)/2205)*'Factor Sets'!$B$27</f>
        <v>7.3221958637108601E-4</v>
      </c>
      <c r="Q31" s="60">
        <f t="shared" si="10"/>
        <v>238.16436573670836</v>
      </c>
      <c r="R31" s="60">
        <f t="shared" si="0"/>
        <v>1.4846637122612776</v>
      </c>
      <c r="S31" s="88">
        <f t="shared" si="1"/>
        <v>0.40027552877469535</v>
      </c>
      <c r="T31" s="60">
        <f t="shared" si="2"/>
        <v>1.0962790931390729</v>
      </c>
      <c r="U31" s="261">
        <f t="shared" si="11"/>
        <v>-238.15247482705587</v>
      </c>
      <c r="V31" s="123">
        <f t="shared" si="3"/>
        <v>-0.99375522352268719</v>
      </c>
      <c r="W31" s="137">
        <v>2048</v>
      </c>
    </row>
    <row r="32" spans="1:23" x14ac:dyDescent="0.25">
      <c r="A32" s="104">
        <v>2049</v>
      </c>
      <c r="B32" s="94">
        <f>$D$2*_xlfn.XLOOKUP(A32,'Emissions Projection Factors'!$A$3:$A$38,'Emissions Projection Factors'!$L$3:$L$38,,0)</f>
        <v>3.5544520845990522</v>
      </c>
      <c r="C32" s="31">
        <f>'Factor Sets'!$D$14*$B$2</f>
        <v>227.32721902455597</v>
      </c>
      <c r="D32" s="96">
        <f>($P$2*_xlfn.XLOOKUP(A32,'Emissions Projection Factors'!$A$5:$A$38,'Emissions Projection Factors'!$M$5:$M$38,0))/2205</f>
        <v>0.19510689051370064</v>
      </c>
      <c r="E32" s="101">
        <f>(_xlfn.XLOOKUP(A32,'Emissions Projection Factors'!$A$3:$A$38,'Emissions Projection Factors'!M$3:M$38,,0)*($B$3*0.001))/2205</f>
        <v>0.73763613191615429</v>
      </c>
      <c r="F32" s="100">
        <f>(_xlfn.XLOOKUP(A32,'Emissions Projection Factors'!$A$3:$A$38,'Emissions Projection Factors'!$M$3:$M$38,,0)*$N$3)/2205</f>
        <v>0.54587668027206615</v>
      </c>
      <c r="G32" s="88">
        <f>$D$2*_xlfn.XLOOKUP(A32,'Emissions Projection Factors'!$A$3:$A$38,'Emissions Projection Factors'!$J$3:$J$38,,0)*'Factor Sets'!$B$28</f>
        <v>7.5198263231773018E-4</v>
      </c>
      <c r="H32" s="60">
        <f>('Factor Sets'!$D$15*$B$2)*'Factor Sets'!$B$28</f>
        <v>0.11353507923389999</v>
      </c>
      <c r="I32" s="90">
        <f>($N$2*_xlfn.XLOOKUP(A32,'Emissions Projection Factors'!$A$5:$A$38,'Emissions Projection Factors'!$P$5:$P$38,0)*'Factor Sets'!$B$28)/2205</f>
        <v>2.745997068005069E-3</v>
      </c>
      <c r="J32" s="93">
        <f>((_xlfn.XLOOKUP(A32,'Emissions Projection Factors'!$A$3:$A$38,'Emissions Projection Factors'!$P$3:$P$38,,0)*($B$3*0.001))/2205)*'Factor Sets'!$B$28</f>
        <v>2.5630626505425079E-3</v>
      </c>
      <c r="K32" s="80">
        <f>((_xlfn.XLOOKUP(A32,'Emissions Projection Factors'!$A$3:$A$38,'Emissions Projection Factors'!$P$3:$P$38,,0)*($N$3))/2205)*'Factor Sets'!$B$28</f>
        <v>1.8967565042848282E-3</v>
      </c>
      <c r="L32" s="60">
        <f>$D$2*_xlfn.XLOOKUP(A32,'Emissions Projection Factors'!$A$3:$A$38,'Emissions Projection Factors'!$G$3:$G$38,,0)*'Factor Sets'!$B$27</f>
        <v>7.0690186616965693</v>
      </c>
      <c r="M32" s="60">
        <f>('Factor Sets'!$D$16*$B$2)*'Factor Sets'!$B$27</f>
        <v>0.11996159315279999</v>
      </c>
      <c r="N32" s="90">
        <f>((_xlfn.XLOOKUP(A32,'Emissions Projection Factors'!$A$3:$A$38,'Emissions Projection Factors'!$Q$3:$Q$38,,0)*($N$2))/2205)*'Factor Sets'!$B$27</f>
        <v>2.2848768056419524E-3</v>
      </c>
      <c r="O32" s="93">
        <f>((_xlfn.XLOOKUP(A32,'Emissions Projection Factors'!$A$3:$A$38,'Emissions Projection Factors'!$Q$3:$Q$38,,0)*($B$3*0.001))/2205)*'Factor Sets'!$B$27</f>
        <v>2.1326615639419722E-3</v>
      </c>
      <c r="P32" s="80">
        <f>((_xlfn.XLOOKUP(A32,'Emissions Projection Factors'!$A$3:$A$38,'Emissions Projection Factors'!$Q$3:$Q$38,,0)*$R$3)/2205)*'Factor Sets'!$B$27</f>
        <v>3.66109793185543E-4</v>
      </c>
      <c r="Q32" s="60">
        <f t="shared" si="10"/>
        <v>238.18493842587063</v>
      </c>
      <c r="R32" s="60">
        <f t="shared" si="0"/>
        <v>0.74233185613063879</v>
      </c>
      <c r="S32" s="88">
        <f t="shared" si="1"/>
        <v>0.20013776438734768</v>
      </c>
      <c r="T32" s="60">
        <f t="shared" si="2"/>
        <v>0.54813954656953645</v>
      </c>
      <c r="U32" s="261">
        <f t="shared" si="11"/>
        <v>-238.17899297104438</v>
      </c>
      <c r="V32" s="157">
        <f t="shared" si="3"/>
        <v>-0.99686817955073226</v>
      </c>
      <c r="W32" s="137">
        <v>2049</v>
      </c>
    </row>
    <row r="33" spans="1:23" x14ac:dyDescent="0.25">
      <c r="A33" s="104">
        <v>2050</v>
      </c>
      <c r="B33" s="94">
        <f>$D$2*_xlfn.XLOOKUP(A33,'Emissions Projection Factors'!$A$3:$A$38,'Emissions Projection Factors'!$L$3:$L$38,,0)</f>
        <v>3.5544520845990522</v>
      </c>
      <c r="C33" s="31">
        <f>'Factor Sets'!$D$14*$B$2</f>
        <v>227.32721902455597</v>
      </c>
      <c r="D33" s="96">
        <f>($P$2*_xlfn.XLOOKUP(A33,'Emissions Projection Factors'!$A$5:$A$38,'Emissions Projection Factors'!$M$5:$M$38,0))/2205</f>
        <v>0</v>
      </c>
      <c r="E33" s="101">
        <f>(_xlfn.XLOOKUP(A33,'Emissions Projection Factors'!$A$3:$A$38,'Emissions Projection Factors'!M$3:M$38,,0)*($B$3*0.001))/2205</f>
        <v>0</v>
      </c>
      <c r="F33" s="100">
        <f>(_xlfn.XLOOKUP(A33,'Emissions Projection Factors'!$A$3:$A$38,'Emissions Projection Factors'!$M$3:$M$38,,0)*$N$3)/2205</f>
        <v>0</v>
      </c>
      <c r="G33" s="88">
        <f>$D$2*_xlfn.XLOOKUP(A33,'Emissions Projection Factors'!$A$3:$A$38,'Emissions Projection Factors'!$J$3:$J$38,,0)*'Factor Sets'!$B$28</f>
        <v>7.5198263231773018E-4</v>
      </c>
      <c r="H33" s="60">
        <f>('Factor Sets'!$D$15*$B$2)*'Factor Sets'!$B$28</f>
        <v>0.11353507923389999</v>
      </c>
      <c r="I33" s="90">
        <f>($N$2*_xlfn.XLOOKUP(A33,'Emissions Projection Factors'!$A$5:$A$38,'Emissions Projection Factors'!$P$5:$P$38,0)*'Factor Sets'!$B$28)/2205</f>
        <v>0</v>
      </c>
      <c r="J33" s="93">
        <f>((_xlfn.XLOOKUP(A33,'Emissions Projection Factors'!$A$3:$A$38,'Emissions Projection Factors'!$P$3:$P$38,,0)*($B$3*0.001))/2205)*'Factor Sets'!$B$28</f>
        <v>0</v>
      </c>
      <c r="K33" s="80">
        <f>((_xlfn.XLOOKUP(A33,'Emissions Projection Factors'!$A$3:$A$38,'Emissions Projection Factors'!$P$3:$P$38,,0)*($N$3))/2205)*'Factor Sets'!$B$28</f>
        <v>0</v>
      </c>
      <c r="L33" s="60">
        <f>$D$2*_xlfn.XLOOKUP(A33,'Emissions Projection Factors'!$A$3:$A$38,'Emissions Projection Factors'!$G$3:$G$38,,0)*'Factor Sets'!$B$27</f>
        <v>7.1641134251499752</v>
      </c>
      <c r="M33" s="60">
        <f>('Factor Sets'!$D$16*$B$2)*'Factor Sets'!$B$27</f>
        <v>0.11996159315279999</v>
      </c>
      <c r="N33" s="90">
        <f>((_xlfn.XLOOKUP(A33,'Emissions Projection Factors'!$A$3:$A$38,'Emissions Projection Factors'!$Q$3:$Q$38,,0)*($N$2))/2205)*'Factor Sets'!$B$27</f>
        <v>0</v>
      </c>
      <c r="O33" s="93">
        <f>((_xlfn.XLOOKUP(A33,'Emissions Projection Factors'!$A$3:$A$38,'Emissions Projection Factors'!$Q$3:$Q$38,,0)*($B$3*0.001))/2205)*'Factor Sets'!$B$27</f>
        <v>0</v>
      </c>
      <c r="P33" s="80">
        <f>((_xlfn.XLOOKUP(A33,'Emissions Projection Factors'!$A$3:$A$38,'Emissions Projection Factors'!$Q$3:$Q$38,,0)*$R$3)/2205)*'Factor Sets'!$B$27</f>
        <v>0</v>
      </c>
      <c r="Q33" s="60">
        <f t="shared" si="10"/>
        <v>238.28003318932403</v>
      </c>
      <c r="R33" s="60">
        <f t="shared" si="0"/>
        <v>0</v>
      </c>
      <c r="S33" s="88">
        <f t="shared" si="1"/>
        <v>0</v>
      </c>
      <c r="T33" s="258">
        <f t="shared" si="2"/>
        <v>0</v>
      </c>
      <c r="U33" s="262">
        <f t="shared" si="11"/>
        <v>-238.28003318932403</v>
      </c>
      <c r="V33" s="123">
        <f t="shared" si="3"/>
        <v>-1</v>
      </c>
      <c r="W33" s="137">
        <v>2050</v>
      </c>
    </row>
    <row r="34" spans="1:23" x14ac:dyDescent="0.25">
      <c r="A34" s="115" t="s">
        <v>75</v>
      </c>
      <c r="B34" s="118">
        <f>SUM(B8:B13)</f>
        <v>21.326712507594308</v>
      </c>
      <c r="C34" s="112">
        <f t="shared" ref="C34:S34" si="12">SUM(C8:C13)</f>
        <v>1363.9633141473357</v>
      </c>
      <c r="D34" s="119">
        <f t="shared" si="12"/>
        <v>886.80874419606585</v>
      </c>
      <c r="E34" s="124">
        <f t="shared" si="12"/>
        <v>262.97620404585439</v>
      </c>
      <c r="F34" s="125">
        <f t="shared" si="12"/>
        <v>223.8992836581474</v>
      </c>
      <c r="G34" s="130">
        <f t="shared" si="12"/>
        <v>4.5118957939063817E-3</v>
      </c>
      <c r="H34" s="111">
        <f t="shared" si="12"/>
        <v>0.68121047540340007</v>
      </c>
      <c r="I34" s="125">
        <f t="shared" si="12"/>
        <v>0.78728626538363611</v>
      </c>
      <c r="J34" s="124">
        <f t="shared" si="12"/>
        <v>0.91376283970860273</v>
      </c>
      <c r="K34" s="128">
        <f t="shared" si="12"/>
        <v>0.77798235010083583</v>
      </c>
      <c r="L34" s="111">
        <f t="shared" si="12"/>
        <v>67.155510183931639</v>
      </c>
      <c r="M34" s="111">
        <f t="shared" si="12"/>
        <v>0.71976955891679995</v>
      </c>
      <c r="N34" s="125">
        <f t="shared" si="12"/>
        <v>52.294373882699418</v>
      </c>
      <c r="O34" s="124">
        <f t="shared" si="12"/>
        <v>0.76031964587074308</v>
      </c>
      <c r="P34" s="128">
        <f t="shared" si="12"/>
        <v>0.54665023364924992</v>
      </c>
      <c r="Q34" s="111">
        <f t="shared" si="12"/>
        <v>1453.851028768976</v>
      </c>
      <c r="R34" s="111">
        <f>SUM(R8:R13)</f>
        <v>264.65028653143372</v>
      </c>
      <c r="S34" s="130">
        <f t="shared" si="12"/>
        <v>939.89040434414881</v>
      </c>
      <c r="T34" s="111">
        <f>SUM(T8:T13)</f>
        <v>225.22391624189746</v>
      </c>
      <c r="U34" s="263">
        <f>SUM(U8:U13)</f>
        <v>-553.38699471436337</v>
      </c>
      <c r="V34" s="326">
        <f t="shared" si="3"/>
        <v>-0.32201720754436919</v>
      </c>
      <c r="W34" s="155" t="s">
        <v>75</v>
      </c>
    </row>
    <row r="35" spans="1:23" x14ac:dyDescent="0.25">
      <c r="A35" s="116" t="s">
        <v>230</v>
      </c>
      <c r="B35" s="308">
        <f>(D34-SUM(B34:C34))/SUM(B34:C34)</f>
        <v>-0.35983893110278903</v>
      </c>
      <c r="C35" s="309"/>
      <c r="D35" s="310"/>
      <c r="E35" s="319">
        <f>(F34-E34)/E34</f>
        <v>-0.14859489104532539</v>
      </c>
      <c r="F35" s="310"/>
      <c r="G35" s="308">
        <f>(I34-SUM(G34:H34))/SUM(G34:H34)</f>
        <v>0.14811226591454765</v>
      </c>
      <c r="H35" s="309"/>
      <c r="I35" s="310"/>
      <c r="J35" s="319">
        <f>(K34-J34)/J34</f>
        <v>-0.14859489104532533</v>
      </c>
      <c r="K35" s="320"/>
      <c r="L35" s="309">
        <f>(N34-SUM(L34:M34))/SUM(L34:M34)</f>
        <v>-0.22955199476420091</v>
      </c>
      <c r="M35" s="309"/>
      <c r="N35" s="310"/>
      <c r="O35" s="319">
        <f>(P34-O34)/O34</f>
        <v>-0.28102576775691746</v>
      </c>
      <c r="P35" s="320"/>
      <c r="Q35" s="161"/>
      <c r="R35" s="161"/>
      <c r="S35" s="120">
        <f>(S34-Q34)/Q34</f>
        <v>-0.35351670443155014</v>
      </c>
      <c r="T35" s="61">
        <f>(T34-R34)/R34</f>
        <v>-0.14897535463220976</v>
      </c>
      <c r="U35" s="161"/>
      <c r="V35" s="320"/>
      <c r="W35" s="156" t="s">
        <v>230</v>
      </c>
    </row>
    <row r="36" spans="1:23" x14ac:dyDescent="0.25">
      <c r="A36" s="116" t="s">
        <v>76</v>
      </c>
      <c r="B36" s="94">
        <f t="shared" ref="B36:U36" si="13">SUM(B8:B33)</f>
        <v>92.415754199575304</v>
      </c>
      <c r="C36" s="31">
        <f t="shared" si="13"/>
        <v>5910.5076946384579</v>
      </c>
      <c r="D36" s="96">
        <f t="shared" si="13"/>
        <v>954.60838864958134</v>
      </c>
      <c r="E36" s="126">
        <f t="shared" si="13"/>
        <v>519.30475988673459</v>
      </c>
      <c r="F36" s="127">
        <f t="shared" si="13"/>
        <v>413.59143005270272</v>
      </c>
      <c r="G36" s="131">
        <f t="shared" si="13"/>
        <v>1.9551548440260989E-2</v>
      </c>
      <c r="H36" s="113">
        <f t="shared" si="13"/>
        <v>2.9519120600814008</v>
      </c>
      <c r="I36" s="127">
        <f t="shared" si="13"/>
        <v>1.7415202465154589</v>
      </c>
      <c r="J36" s="126">
        <f t="shared" si="13"/>
        <v>1.8044271107721814</v>
      </c>
      <c r="K36" s="129">
        <f t="shared" si="13"/>
        <v>1.4371052353398563</v>
      </c>
      <c r="L36" s="113">
        <f t="shared" si="13"/>
        <v>203.12214901382777</v>
      </c>
      <c r="M36" s="113">
        <f t="shared" si="13"/>
        <v>3.1190014219728015</v>
      </c>
      <c r="N36" s="127">
        <f t="shared" si="13"/>
        <v>53.088368572660038</v>
      </c>
      <c r="O36" s="126">
        <f t="shared" si="13"/>
        <v>1.501419539340626</v>
      </c>
      <c r="P36" s="129">
        <f t="shared" si="13"/>
        <v>0.67387338678123454</v>
      </c>
      <c r="Q36" s="113">
        <f t="shared" si="13"/>
        <v>6212.1360628823531</v>
      </c>
      <c r="R36" s="113">
        <f t="shared" si="13"/>
        <v>522.6106065368474</v>
      </c>
      <c r="S36" s="131">
        <f t="shared" si="13"/>
        <v>1009.4382774687566</v>
      </c>
      <c r="T36" s="113">
        <f t="shared" si="13"/>
        <v>415.70240867482374</v>
      </c>
      <c r="U36" s="247">
        <f t="shared" si="13"/>
        <v>-5309.6059832756209</v>
      </c>
      <c r="V36" s="327">
        <f>(SUM(S36:T36)-SUM(Q36:R36))/SUM(Q36:R36)</f>
        <v>-0.78838985991636656</v>
      </c>
      <c r="W36" s="156" t="s">
        <v>76</v>
      </c>
    </row>
    <row r="37" spans="1:23" ht="15.75" thickBot="1" x14ac:dyDescent="0.3">
      <c r="A37" s="117" t="s">
        <v>231</v>
      </c>
      <c r="B37" s="323">
        <f>(D36-SUM(B36:C36))/SUM(B36:C36)</f>
        <v>-0.84097608493835418</v>
      </c>
      <c r="C37" s="324"/>
      <c r="D37" s="322"/>
      <c r="E37" s="321">
        <f>(F36-E36)/E36</f>
        <v>-0.20356703423455808</v>
      </c>
      <c r="F37" s="322"/>
      <c r="G37" s="323">
        <f>(I36-SUM(G36:H36))/SUM(G36:H36)</f>
        <v>-0.41391836618120803</v>
      </c>
      <c r="H37" s="324"/>
      <c r="I37" s="322"/>
      <c r="J37" s="321">
        <f>(K36-J36)/J36</f>
        <v>-0.20356703423455791</v>
      </c>
      <c r="K37" s="325"/>
      <c r="L37" s="324">
        <f>(N36-SUM(L36:M36))/SUM(L36:M36)</f>
        <v>-0.74259080469401484</v>
      </c>
      <c r="M37" s="324"/>
      <c r="N37" s="322"/>
      <c r="O37" s="321">
        <f>(P36-O36)/O36</f>
        <v>-0.55117582452858083</v>
      </c>
      <c r="P37" s="325"/>
      <c r="Q37" s="167"/>
      <c r="R37" s="165"/>
      <c r="S37" s="121">
        <f>(S36-Q36)/Q36</f>
        <v>-0.83750544623448098</v>
      </c>
      <c r="T37" s="114">
        <f>(T36-R36)/R36</f>
        <v>-0.20456568719579926</v>
      </c>
      <c r="U37" s="167"/>
      <c r="V37" s="328"/>
      <c r="W37" s="164" t="s">
        <v>231</v>
      </c>
    </row>
    <row r="38" spans="1:23" x14ac:dyDescent="0.25">
      <c r="A38" s="162"/>
      <c r="B38" s="295" t="s">
        <v>233</v>
      </c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338" t="s">
        <v>234</v>
      </c>
      <c r="N38" s="338"/>
      <c r="O38" s="338"/>
      <c r="P38" s="338"/>
      <c r="Q38" s="338"/>
      <c r="R38" s="338"/>
      <c r="S38" s="338"/>
      <c r="T38" s="338"/>
      <c r="U38" s="318"/>
      <c r="V38" s="338"/>
      <c r="W38" s="163"/>
    </row>
    <row r="39" spans="1:23" x14ac:dyDescent="0.25">
      <c r="A39" s="116" t="s">
        <v>232</v>
      </c>
      <c r="B39" s="297">
        <f>SUM(B34:C34,E34,G34:H34,J34,L34:M34,O34)</f>
        <v>1718.5013153004097</v>
      </c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334">
        <f>SUM(D34,F34,I34,K34,N34,P34)</f>
        <v>1165.1143205860462</v>
      </c>
      <c r="N39" s="334"/>
      <c r="O39" s="334"/>
      <c r="P39" s="334"/>
      <c r="Q39" s="334"/>
      <c r="R39" s="334"/>
      <c r="S39" s="334"/>
      <c r="T39" s="334"/>
      <c r="U39" s="334"/>
      <c r="V39" s="334"/>
      <c r="W39" s="138" t="s">
        <v>232</v>
      </c>
    </row>
    <row r="40" spans="1:23" x14ac:dyDescent="0.25">
      <c r="A40" s="116" t="s">
        <v>106</v>
      </c>
      <c r="B40" s="299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35">
        <f>(M39-B39)/B39</f>
        <v>-0.32201720754436919</v>
      </c>
      <c r="N40" s="335"/>
      <c r="O40" s="335"/>
      <c r="P40" s="335"/>
      <c r="Q40" s="335"/>
      <c r="R40" s="335"/>
      <c r="S40" s="335"/>
      <c r="T40" s="335"/>
      <c r="U40" s="335"/>
      <c r="V40" s="335"/>
      <c r="W40" s="138" t="s">
        <v>106</v>
      </c>
    </row>
    <row r="41" spans="1:23" x14ac:dyDescent="0.25">
      <c r="A41" s="116" t="s">
        <v>107</v>
      </c>
      <c r="B41" s="297">
        <f>SUM(B36:C36,E36,G36:H36,J36,L36:M36,O36)</f>
        <v>6734.7466694192026</v>
      </c>
      <c r="C41" s="298"/>
      <c r="D41" s="298"/>
      <c r="E41" s="298"/>
      <c r="F41" s="298"/>
      <c r="G41" s="298"/>
      <c r="H41" s="298"/>
      <c r="I41" s="298"/>
      <c r="J41" s="298"/>
      <c r="K41" s="298"/>
      <c r="L41" s="298"/>
      <c r="M41" s="336">
        <f>SUM(D36,F36,I36,K36,N36,P36)</f>
        <v>1425.1406861435808</v>
      </c>
      <c r="N41" s="336"/>
      <c r="O41" s="336"/>
      <c r="P41" s="336"/>
      <c r="Q41" s="336"/>
      <c r="R41" s="336"/>
      <c r="S41" s="336"/>
      <c r="T41" s="336"/>
      <c r="U41" s="336"/>
      <c r="V41" s="336"/>
      <c r="W41" s="138" t="s">
        <v>107</v>
      </c>
    </row>
    <row r="42" spans="1:23" ht="15.75" thickBot="1" x14ac:dyDescent="0.3">
      <c r="A42" s="117" t="s">
        <v>108</v>
      </c>
      <c r="B42" s="329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7">
        <f>(M41-B41)/B41</f>
        <v>-0.78838985991636668</v>
      </c>
      <c r="N42" s="337"/>
      <c r="O42" s="337"/>
      <c r="P42" s="337"/>
      <c r="Q42" s="337"/>
      <c r="R42" s="337"/>
      <c r="S42" s="337"/>
      <c r="T42" s="337"/>
      <c r="U42" s="337"/>
      <c r="V42" s="337"/>
      <c r="W42" s="139" t="s">
        <v>108</v>
      </c>
    </row>
  </sheetData>
  <mergeCells count="35">
    <mergeCell ref="G5:K5"/>
    <mergeCell ref="L5:P5"/>
    <mergeCell ref="S5:V5"/>
    <mergeCell ref="Q5:R5"/>
    <mergeCell ref="M38:V38"/>
    <mergeCell ref="V36:V37"/>
    <mergeCell ref="V34:V35"/>
    <mergeCell ref="O37:P37"/>
    <mergeCell ref="B38:L38"/>
    <mergeCell ref="G37:I37"/>
    <mergeCell ref="J37:K37"/>
    <mergeCell ref="L37:N37"/>
    <mergeCell ref="O6:P6"/>
    <mergeCell ref="B35:D35"/>
    <mergeCell ref="E35:F35"/>
    <mergeCell ref="G35:I35"/>
    <mergeCell ref="M41:V41"/>
    <mergeCell ref="B41:L41"/>
    <mergeCell ref="B42:L42"/>
    <mergeCell ref="M42:V42"/>
    <mergeCell ref="B39:L39"/>
    <mergeCell ref="B40:L40"/>
    <mergeCell ref="J35:K35"/>
    <mergeCell ref="L35:N35"/>
    <mergeCell ref="O35:P35"/>
    <mergeCell ref="G6:I6"/>
    <mergeCell ref="J6:K6"/>
    <mergeCell ref="L6:N6"/>
    <mergeCell ref="M39:V39"/>
    <mergeCell ref="M40:V40"/>
    <mergeCell ref="B5:F5"/>
    <mergeCell ref="B6:D6"/>
    <mergeCell ref="E6:F6"/>
    <mergeCell ref="B37:D37"/>
    <mergeCell ref="E37:F3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4D43B-0007-4482-9DEA-BF1F3B09BD6B}">
  <dimension ref="A1:O27"/>
  <sheetViews>
    <sheetView zoomScale="85" zoomScaleNormal="85" workbookViewId="0">
      <selection activeCell="K23" sqref="K23"/>
    </sheetView>
  </sheetViews>
  <sheetFormatPr defaultColWidth="8.7109375" defaultRowHeight="15" x14ac:dyDescent="0.25"/>
  <cols>
    <col min="1" max="2" width="9.28515625" style="3" bestFit="1" customWidth="1"/>
    <col min="3" max="3" width="10.85546875" style="3" bestFit="1" customWidth="1"/>
    <col min="4" max="7" width="8.7109375" style="3"/>
    <col min="8" max="8" width="9.85546875" style="3" bestFit="1" customWidth="1"/>
    <col min="9" max="9" width="16.28515625" style="3" customWidth="1"/>
    <col min="10" max="10" width="9.85546875" style="3" bestFit="1" customWidth="1"/>
    <col min="11" max="11" width="11.42578125" style="3" customWidth="1"/>
    <col min="12" max="12" width="2.85546875" style="3" customWidth="1"/>
    <col min="13" max="13" width="7.42578125" style="3" customWidth="1"/>
    <col min="14" max="16384" width="8.7109375" style="3"/>
  </cols>
  <sheetData>
    <row r="1" spans="1:15" x14ac:dyDescent="0.25">
      <c r="A1" s="339" t="s">
        <v>191</v>
      </c>
      <c r="B1" s="339"/>
      <c r="C1" s="339"/>
      <c r="D1" s="339"/>
      <c r="I1" s="339" t="s">
        <v>192</v>
      </c>
      <c r="J1" s="339"/>
      <c r="K1" s="339"/>
      <c r="L1" s="339"/>
    </row>
    <row r="2" spans="1:15" x14ac:dyDescent="0.25">
      <c r="A2" s="3" t="s">
        <v>13</v>
      </c>
      <c r="B2" s="3" t="s">
        <v>14</v>
      </c>
      <c r="C2" s="4" t="s">
        <v>15</v>
      </c>
      <c r="I2" s="3" t="s">
        <v>280</v>
      </c>
    </row>
    <row r="3" spans="1:15" x14ac:dyDescent="0.25">
      <c r="A3" s="5">
        <v>45296</v>
      </c>
      <c r="B3" s="5">
        <v>45328</v>
      </c>
      <c r="C3" s="6">
        <v>181692</v>
      </c>
      <c r="D3" s="3" t="s">
        <v>2</v>
      </c>
      <c r="I3" s="3" t="s">
        <v>281</v>
      </c>
    </row>
    <row r="4" spans="1:15" x14ac:dyDescent="0.25">
      <c r="A4" s="5">
        <v>45267</v>
      </c>
      <c r="B4" s="5">
        <v>45295</v>
      </c>
      <c r="C4" s="6">
        <v>163461</v>
      </c>
      <c r="D4" s="3" t="s">
        <v>1</v>
      </c>
      <c r="I4" s="69" t="s">
        <v>0</v>
      </c>
      <c r="J4" s="69" t="s">
        <v>193</v>
      </c>
      <c r="K4" s="69" t="s">
        <v>197</v>
      </c>
    </row>
    <row r="5" spans="1:15" x14ac:dyDescent="0.25">
      <c r="A5" s="5">
        <v>45237</v>
      </c>
      <c r="B5" s="5">
        <v>45266</v>
      </c>
      <c r="C5" s="6">
        <v>170877</v>
      </c>
      <c r="D5" s="3" t="s">
        <v>12</v>
      </c>
      <c r="I5" s="69" t="s">
        <v>5</v>
      </c>
      <c r="J5" s="3">
        <v>31</v>
      </c>
      <c r="K5" s="73">
        <f>C12</f>
        <v>178292.9999</v>
      </c>
    </row>
    <row r="6" spans="1:15" x14ac:dyDescent="0.25">
      <c r="A6" s="5">
        <v>45208</v>
      </c>
      <c r="B6" s="5">
        <v>45236</v>
      </c>
      <c r="C6" s="6">
        <v>179529</v>
      </c>
      <c r="D6" s="3" t="s">
        <v>11</v>
      </c>
      <c r="I6" s="69" t="s">
        <v>6</v>
      </c>
      <c r="J6" s="3">
        <v>30</v>
      </c>
      <c r="K6" s="73">
        <f>C11</f>
        <v>183855</v>
      </c>
    </row>
    <row r="7" spans="1:15" x14ac:dyDescent="0.25">
      <c r="A7" s="5">
        <v>45177</v>
      </c>
      <c r="B7" s="5">
        <v>45207</v>
      </c>
      <c r="C7" s="6">
        <v>206721</v>
      </c>
      <c r="D7" s="3" t="s">
        <v>10</v>
      </c>
      <c r="I7" s="69" t="s">
        <v>7</v>
      </c>
      <c r="J7" s="3">
        <v>31</v>
      </c>
      <c r="K7" s="73">
        <f>C10</f>
        <v>226497</v>
      </c>
    </row>
    <row r="8" spans="1:15" x14ac:dyDescent="0.25">
      <c r="A8" s="5">
        <v>45146</v>
      </c>
      <c r="B8" s="5">
        <v>45176</v>
      </c>
      <c r="C8" s="6">
        <v>220935</v>
      </c>
      <c r="D8" s="3" t="s">
        <v>9</v>
      </c>
      <c r="I8" s="69" t="s">
        <v>8</v>
      </c>
      <c r="J8" s="3">
        <v>31</v>
      </c>
      <c r="K8" s="73">
        <f>C9</f>
        <v>222171</v>
      </c>
    </row>
    <row r="9" spans="1:15" x14ac:dyDescent="0.25">
      <c r="A9" s="5">
        <v>45117</v>
      </c>
      <c r="B9" s="5">
        <v>45145</v>
      </c>
      <c r="C9" s="6">
        <v>222171</v>
      </c>
      <c r="D9" s="3" t="s">
        <v>8</v>
      </c>
      <c r="I9" s="69" t="s">
        <v>9</v>
      </c>
      <c r="J9" s="3">
        <v>30</v>
      </c>
      <c r="K9" s="73">
        <f>C8</f>
        <v>220935</v>
      </c>
    </row>
    <row r="10" spans="1:15" x14ac:dyDescent="0.25">
      <c r="A10" s="5">
        <v>45085</v>
      </c>
      <c r="B10" s="5">
        <v>45116</v>
      </c>
      <c r="C10" s="6">
        <v>226497</v>
      </c>
      <c r="D10" s="3" t="s">
        <v>7</v>
      </c>
      <c r="F10" s="3" t="s">
        <v>19</v>
      </c>
      <c r="G10" s="3">
        <f>SUM(C:C)</f>
        <v>2442644.9999000002</v>
      </c>
      <c r="I10" s="69" t="s">
        <v>10</v>
      </c>
      <c r="J10" s="3">
        <v>31</v>
      </c>
      <c r="K10" s="73">
        <f>C7</f>
        <v>206721</v>
      </c>
    </row>
    <row r="11" spans="1:15" x14ac:dyDescent="0.25">
      <c r="A11" s="5">
        <v>45055</v>
      </c>
      <c r="B11" s="5">
        <v>45084</v>
      </c>
      <c r="C11" s="6">
        <v>183855</v>
      </c>
      <c r="D11" s="3" t="s">
        <v>6</v>
      </c>
      <c r="I11" s="69" t="s">
        <v>68</v>
      </c>
      <c r="J11" s="3">
        <f>SUM(J5:J10)</f>
        <v>184</v>
      </c>
      <c r="K11" s="73">
        <f>SUM(K5:K10)</f>
        <v>1238471.9998999999</v>
      </c>
    </row>
    <row r="12" spans="1:15" x14ac:dyDescent="0.25">
      <c r="A12" s="5">
        <v>45026</v>
      </c>
      <c r="B12" s="5">
        <v>45054</v>
      </c>
      <c r="C12" s="6">
        <v>178292.9999</v>
      </c>
      <c r="D12" s="3" t="s">
        <v>5</v>
      </c>
      <c r="I12" s="70" t="s">
        <v>194</v>
      </c>
      <c r="J12" s="71">
        <f>12*J11</f>
        <v>2208</v>
      </c>
      <c r="K12" s="72" t="s">
        <v>195</v>
      </c>
    </row>
    <row r="13" spans="1:15" x14ac:dyDescent="0.25">
      <c r="A13" s="5">
        <v>44994</v>
      </c>
      <c r="B13" s="5">
        <v>45025</v>
      </c>
      <c r="C13" s="6">
        <v>176439</v>
      </c>
      <c r="D13" s="3" t="s">
        <v>4</v>
      </c>
      <c r="I13" t="s">
        <v>196</v>
      </c>
    </row>
    <row r="14" spans="1:15" x14ac:dyDescent="0.25">
      <c r="A14" s="5">
        <v>44994</v>
      </c>
      <c r="B14" s="5">
        <v>45025</v>
      </c>
      <c r="C14" s="6">
        <v>0</v>
      </c>
      <c r="I14" s="69" t="s">
        <v>204</v>
      </c>
      <c r="J14" s="69" t="s">
        <v>205</v>
      </c>
      <c r="K14" s="69">
        <f>100*3.517</f>
        <v>351.7</v>
      </c>
      <c r="L14" s="69" t="s">
        <v>203</v>
      </c>
    </row>
    <row r="15" spans="1:15" x14ac:dyDescent="0.25">
      <c r="A15" s="5">
        <v>44964</v>
      </c>
      <c r="B15" s="5">
        <v>44993</v>
      </c>
      <c r="C15" s="6">
        <v>159135</v>
      </c>
      <c r="D15" s="3" t="s">
        <v>3</v>
      </c>
      <c r="I15" s="69" t="s">
        <v>199</v>
      </c>
      <c r="O15" s="3" t="s">
        <v>198</v>
      </c>
    </row>
    <row r="16" spans="1:15" x14ac:dyDescent="0.25">
      <c r="A16" s="5">
        <v>44964</v>
      </c>
      <c r="B16" s="5">
        <v>44993</v>
      </c>
      <c r="C16" s="6">
        <v>0</v>
      </c>
      <c r="I16" s="69" t="s">
        <v>201</v>
      </c>
      <c r="J16" s="3">
        <f>MEDIAN(13.7,16.6)</f>
        <v>15.15</v>
      </c>
      <c r="K16" s="69"/>
    </row>
    <row r="17" spans="1:10" x14ac:dyDescent="0.25">
      <c r="A17" s="5">
        <v>44932</v>
      </c>
      <c r="B17" s="5">
        <v>44963</v>
      </c>
      <c r="C17" s="6">
        <v>173040</v>
      </c>
      <c r="D17" s="3" t="s">
        <v>2</v>
      </c>
      <c r="I17" s="69" t="s">
        <v>202</v>
      </c>
      <c r="J17" s="3">
        <f>J16/3.412</f>
        <v>4.4402110199296603</v>
      </c>
    </row>
    <row r="18" spans="1:10" x14ac:dyDescent="0.25">
      <c r="A18" s="5">
        <v>44932</v>
      </c>
      <c r="B18" s="5">
        <v>44963</v>
      </c>
      <c r="C18" s="6">
        <v>0</v>
      </c>
      <c r="H18" s="75"/>
      <c r="I18" s="76">
        <f>(K14/J17)*J12</f>
        <v>174891.14740594057</v>
      </c>
      <c r="J18" s="77" t="s">
        <v>206</v>
      </c>
    </row>
    <row r="19" spans="1:10" x14ac:dyDescent="0.25">
      <c r="A19" s="5">
        <v>44902</v>
      </c>
      <c r="B19" s="5">
        <v>44931</v>
      </c>
      <c r="C19" s="6">
        <v>0</v>
      </c>
    </row>
    <row r="20" spans="1:10" x14ac:dyDescent="0.25">
      <c r="A20" s="5">
        <v>44872</v>
      </c>
      <c r="B20" s="5">
        <v>44901</v>
      </c>
      <c r="C20" s="6">
        <v>0</v>
      </c>
    </row>
    <row r="21" spans="1:10" x14ac:dyDescent="0.25">
      <c r="A21" s="5">
        <v>44841</v>
      </c>
      <c r="B21" s="5">
        <v>44871</v>
      </c>
      <c r="C21" s="6">
        <v>0</v>
      </c>
      <c r="I21" s="74"/>
    </row>
    <row r="22" spans="1:10" x14ac:dyDescent="0.25">
      <c r="A22" s="5">
        <v>44812</v>
      </c>
      <c r="B22" s="5">
        <v>44840</v>
      </c>
      <c r="C22" s="6">
        <v>0</v>
      </c>
    </row>
    <row r="23" spans="1:10" x14ac:dyDescent="0.25">
      <c r="A23" s="5">
        <v>44781</v>
      </c>
      <c r="B23" s="5">
        <v>44811</v>
      </c>
      <c r="C23" s="6">
        <v>0</v>
      </c>
    </row>
    <row r="24" spans="1:10" x14ac:dyDescent="0.25">
      <c r="A24" s="5">
        <v>44750</v>
      </c>
      <c r="B24" s="5">
        <v>44780</v>
      </c>
      <c r="C24" s="6">
        <v>0</v>
      </c>
    </row>
    <row r="25" spans="1:10" x14ac:dyDescent="0.25">
      <c r="A25" s="5">
        <v>44720</v>
      </c>
      <c r="B25" s="5">
        <v>44749</v>
      </c>
      <c r="C25" s="6">
        <v>0</v>
      </c>
    </row>
    <row r="26" spans="1:10" x14ac:dyDescent="0.25">
      <c r="A26" s="5">
        <v>44690</v>
      </c>
      <c r="B26" s="5">
        <v>44719</v>
      </c>
      <c r="C26" s="6">
        <v>0</v>
      </c>
    </row>
    <row r="27" spans="1:10" x14ac:dyDescent="0.25">
      <c r="A27" s="5">
        <v>44659</v>
      </c>
      <c r="B27" s="5">
        <v>44689</v>
      </c>
      <c r="C27" s="6">
        <v>0</v>
      </c>
    </row>
  </sheetData>
  <mergeCells count="2">
    <mergeCell ref="A1:D1"/>
    <mergeCell ref="I1:L1"/>
  </mergeCells>
  <phoneticPr fontId="2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29F0-B31F-4BEE-8B62-A2D7B7E18414}">
  <dimension ref="A1:F17"/>
  <sheetViews>
    <sheetView topLeftCell="A22" zoomScale="115" zoomScaleNormal="115" workbookViewId="0">
      <selection activeCell="O23" sqref="N23:O24"/>
    </sheetView>
  </sheetViews>
  <sheetFormatPr defaultRowHeight="15" x14ac:dyDescent="0.25"/>
  <cols>
    <col min="1" max="1" width="8.7109375" style="2"/>
    <col min="2" max="2" width="30.140625" bestFit="1" customWidth="1"/>
    <col min="3" max="3" width="9" customWidth="1"/>
    <col min="4" max="4" width="17.7109375" bestFit="1" customWidth="1"/>
  </cols>
  <sheetData>
    <row r="1" spans="1:6" x14ac:dyDescent="0.25">
      <c r="A1" s="25" t="s">
        <v>0</v>
      </c>
      <c r="B1" s="26" t="s">
        <v>168</v>
      </c>
      <c r="D1" t="s">
        <v>26</v>
      </c>
    </row>
    <row r="2" spans="1:6" x14ac:dyDescent="0.25">
      <c r="A2" s="2" t="s">
        <v>1</v>
      </c>
      <c r="B2">
        <v>5709.5990000000002</v>
      </c>
      <c r="C2" t="s">
        <v>282</v>
      </c>
      <c r="E2" t="s">
        <v>100</v>
      </c>
      <c r="F2" t="s">
        <v>27</v>
      </c>
    </row>
    <row r="3" spans="1:6" x14ac:dyDescent="0.25">
      <c r="A3" s="2" t="s">
        <v>2</v>
      </c>
      <c r="B3">
        <v>6339.1490000000003</v>
      </c>
      <c r="C3" t="s">
        <v>282</v>
      </c>
      <c r="D3" t="s">
        <v>238</v>
      </c>
      <c r="E3">
        <v>92.7</v>
      </c>
      <c r="F3">
        <v>2019</v>
      </c>
    </row>
    <row r="4" spans="1:6" x14ac:dyDescent="0.25">
      <c r="A4" s="2" t="s">
        <v>3</v>
      </c>
      <c r="B4">
        <v>7813.1350000000002</v>
      </c>
      <c r="C4" t="s">
        <v>282</v>
      </c>
      <c r="D4" t="s">
        <v>239</v>
      </c>
      <c r="E4">
        <v>92.7</v>
      </c>
      <c r="F4">
        <v>2017</v>
      </c>
    </row>
    <row r="5" spans="1:6" x14ac:dyDescent="0.25">
      <c r="A5" s="2" t="s">
        <v>4</v>
      </c>
      <c r="B5">
        <v>6683.3029999999999</v>
      </c>
      <c r="C5" t="s">
        <v>282</v>
      </c>
      <c r="D5" t="s">
        <v>240</v>
      </c>
      <c r="E5">
        <v>83.2</v>
      </c>
      <c r="F5">
        <v>2010</v>
      </c>
    </row>
    <row r="6" spans="1:6" x14ac:dyDescent="0.25">
      <c r="A6" s="2" t="s">
        <v>5</v>
      </c>
      <c r="B6">
        <v>6424.768</v>
      </c>
      <c r="C6" t="s">
        <v>282</v>
      </c>
      <c r="D6" t="s">
        <v>105</v>
      </c>
      <c r="E6" s="1">
        <f>AVERAGE(E3:E5)</f>
        <v>89.533333333333346</v>
      </c>
    </row>
    <row r="7" spans="1:6" x14ac:dyDescent="0.25">
      <c r="A7" s="2" t="s">
        <v>6</v>
      </c>
      <c r="B7">
        <v>3656.4259999999999</v>
      </c>
      <c r="C7" t="s">
        <v>282</v>
      </c>
    </row>
    <row r="8" spans="1:6" x14ac:dyDescent="0.25">
      <c r="A8" s="2" t="s">
        <v>7</v>
      </c>
      <c r="B8">
        <v>787.35699999999997</v>
      </c>
      <c r="C8" t="s">
        <v>282</v>
      </c>
    </row>
    <row r="9" spans="1:6" x14ac:dyDescent="0.25">
      <c r="A9" s="2" t="s">
        <v>8</v>
      </c>
      <c r="B9">
        <v>0</v>
      </c>
      <c r="C9" t="s">
        <v>282</v>
      </c>
    </row>
    <row r="10" spans="1:6" x14ac:dyDescent="0.25">
      <c r="A10" s="2" t="s">
        <v>9</v>
      </c>
      <c r="B10">
        <v>1.679</v>
      </c>
      <c r="C10" t="s">
        <v>282</v>
      </c>
    </row>
    <row r="11" spans="1:6" x14ac:dyDescent="0.25">
      <c r="A11" s="2" t="s">
        <v>10</v>
      </c>
      <c r="B11">
        <v>3.3580000000000001</v>
      </c>
      <c r="C11" t="s">
        <v>282</v>
      </c>
    </row>
    <row r="12" spans="1:6" x14ac:dyDescent="0.25">
      <c r="A12" s="2" t="s">
        <v>11</v>
      </c>
      <c r="B12">
        <v>787.35699999999997</v>
      </c>
      <c r="C12" t="s">
        <v>282</v>
      </c>
    </row>
    <row r="13" spans="1:6" x14ac:dyDescent="0.25">
      <c r="A13" s="2" t="s">
        <v>12</v>
      </c>
      <c r="B13">
        <v>3068.846</v>
      </c>
      <c r="C13" t="s">
        <v>282</v>
      </c>
    </row>
    <row r="14" spans="1:6" x14ac:dyDescent="0.25">
      <c r="A14" s="27" t="s">
        <v>52</v>
      </c>
      <c r="B14" s="16">
        <f>SUM(B2:B13)</f>
        <v>41274.976999999992</v>
      </c>
      <c r="C14" t="s">
        <v>282</v>
      </c>
    </row>
    <row r="15" spans="1:6" x14ac:dyDescent="0.25">
      <c r="A15" s="28" t="s">
        <v>52</v>
      </c>
      <c r="B15" s="29">
        <f>B14*0.1038</f>
        <v>4284.3426125999995</v>
      </c>
      <c r="C15" t="s">
        <v>53</v>
      </c>
    </row>
    <row r="16" spans="1:6" x14ac:dyDescent="0.25">
      <c r="A16" s="28" t="s">
        <v>52</v>
      </c>
      <c r="B16" s="29">
        <f>B14*2.931</f>
        <v>120976.95758699998</v>
      </c>
      <c r="C16" t="s">
        <v>283</v>
      </c>
    </row>
    <row r="17" spans="1:4" x14ac:dyDescent="0.25">
      <c r="A17" s="28" t="s">
        <v>169</v>
      </c>
      <c r="B17" s="29"/>
      <c r="D17" t="s">
        <v>171</v>
      </c>
    </row>
  </sheetData>
  <phoneticPr fontId="21" type="noConversion"/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A95ED-5EDE-4F3E-990B-08572D4B7917}">
  <dimension ref="A2:F23"/>
  <sheetViews>
    <sheetView zoomScale="70" zoomScaleNormal="70" workbookViewId="0">
      <selection activeCell="B23" sqref="B23"/>
    </sheetView>
  </sheetViews>
  <sheetFormatPr defaultRowHeight="15" x14ac:dyDescent="0.25"/>
  <cols>
    <col min="1" max="1" width="14.5703125" customWidth="1"/>
    <col min="2" max="2" width="36.5703125" customWidth="1"/>
    <col min="3" max="3" width="22.140625" bestFit="1" customWidth="1"/>
    <col min="4" max="4" width="27.5703125" bestFit="1" customWidth="1"/>
  </cols>
  <sheetData>
    <row r="2" spans="1:6" x14ac:dyDescent="0.25">
      <c r="A2" s="340" t="s">
        <v>301</v>
      </c>
      <c r="B2" s="340"/>
      <c r="C2" s="340"/>
      <c r="D2" s="340"/>
      <c r="F2" s="32" t="s">
        <v>298</v>
      </c>
    </row>
    <row r="3" spans="1:6" x14ac:dyDescent="0.25">
      <c r="B3" s="7" t="s">
        <v>302</v>
      </c>
      <c r="C3" t="s">
        <v>299</v>
      </c>
      <c r="D3" t="s">
        <v>54</v>
      </c>
    </row>
    <row r="4" spans="1:6" x14ac:dyDescent="0.25">
      <c r="A4" t="s">
        <v>303</v>
      </c>
      <c r="C4">
        <v>285</v>
      </c>
    </row>
    <row r="5" spans="1:6" x14ac:dyDescent="0.25">
      <c r="A5" t="s">
        <v>304</v>
      </c>
      <c r="C5">
        <v>5</v>
      </c>
    </row>
    <row r="6" spans="1:6" x14ac:dyDescent="0.25">
      <c r="A6" t="s">
        <v>300</v>
      </c>
      <c r="B6">
        <v>375</v>
      </c>
      <c r="C6">
        <f>C5*C4</f>
        <v>1425</v>
      </c>
      <c r="D6" t="s">
        <v>305</v>
      </c>
    </row>
    <row r="7" spans="1:6" x14ac:dyDescent="0.25">
      <c r="A7" t="s">
        <v>306</v>
      </c>
      <c r="C7">
        <f>C6/B6</f>
        <v>3.8</v>
      </c>
    </row>
    <row r="8" spans="1:6" x14ac:dyDescent="0.25">
      <c r="A8" s="340" t="s">
        <v>315</v>
      </c>
      <c r="B8" s="340"/>
      <c r="C8" s="340"/>
      <c r="D8" s="340"/>
    </row>
    <row r="9" spans="1:6" ht="29.1" customHeight="1" x14ac:dyDescent="0.25">
      <c r="A9" t="s">
        <v>312</v>
      </c>
      <c r="B9" s="7" t="s">
        <v>308</v>
      </c>
      <c r="C9" s="7" t="s">
        <v>313</v>
      </c>
      <c r="D9" s="7" t="s">
        <v>314</v>
      </c>
    </row>
    <row r="10" spans="1:6" x14ac:dyDescent="0.25">
      <c r="A10" t="s">
        <v>297</v>
      </c>
      <c r="B10" s="228">
        <v>194</v>
      </c>
      <c r="C10" s="228">
        <f>B10*$C$7</f>
        <v>737.19999999999993</v>
      </c>
      <c r="D10" s="228">
        <f>C10*21.5</f>
        <v>15849.8</v>
      </c>
    </row>
    <row r="11" spans="1:6" x14ac:dyDescent="0.25">
      <c r="A11" t="s">
        <v>44</v>
      </c>
      <c r="B11" s="228">
        <v>11</v>
      </c>
      <c r="C11" s="228">
        <f t="shared" ref="C11:C16" si="0">B11*$C$7</f>
        <v>41.8</v>
      </c>
      <c r="D11" s="228">
        <f t="shared" ref="D11:D16" si="1">C11*21.5</f>
        <v>898.69999999999993</v>
      </c>
    </row>
    <row r="12" spans="1:6" x14ac:dyDescent="0.25">
      <c r="A12" t="s">
        <v>296</v>
      </c>
      <c r="B12" s="228">
        <v>457</v>
      </c>
      <c r="C12" s="228">
        <f t="shared" si="0"/>
        <v>1736.6</v>
      </c>
      <c r="D12" s="228">
        <f t="shared" si="1"/>
        <v>37336.9</v>
      </c>
    </row>
    <row r="13" spans="1:6" x14ac:dyDescent="0.25">
      <c r="A13" t="s">
        <v>309</v>
      </c>
      <c r="B13" s="228">
        <v>9</v>
      </c>
      <c r="C13" s="228">
        <f t="shared" si="0"/>
        <v>34.199999999999996</v>
      </c>
      <c r="D13" s="228">
        <f t="shared" si="1"/>
        <v>735.3</v>
      </c>
    </row>
    <row r="14" spans="1:6" x14ac:dyDescent="0.25">
      <c r="A14" t="s">
        <v>310</v>
      </c>
      <c r="B14" s="228">
        <v>37</v>
      </c>
      <c r="C14" s="228">
        <f t="shared" si="0"/>
        <v>140.6</v>
      </c>
      <c r="D14" s="228">
        <f t="shared" si="1"/>
        <v>3022.9</v>
      </c>
    </row>
    <row r="15" spans="1:6" x14ac:dyDescent="0.25">
      <c r="A15" t="s">
        <v>326</v>
      </c>
      <c r="B15" s="228">
        <v>12</v>
      </c>
      <c r="C15" s="228">
        <f t="shared" si="0"/>
        <v>45.599999999999994</v>
      </c>
      <c r="D15" s="228">
        <f t="shared" si="1"/>
        <v>980.39999999999986</v>
      </c>
    </row>
    <row r="16" spans="1:6" x14ac:dyDescent="0.25">
      <c r="A16" t="s">
        <v>307</v>
      </c>
      <c r="B16" s="228">
        <v>3</v>
      </c>
      <c r="C16" s="228">
        <f t="shared" si="0"/>
        <v>11.399999999999999</v>
      </c>
      <c r="D16" s="228">
        <f t="shared" si="1"/>
        <v>245.09999999999997</v>
      </c>
    </row>
    <row r="17" spans="1:4" x14ac:dyDescent="0.25">
      <c r="A17" s="15" t="s">
        <v>68</v>
      </c>
      <c r="B17" s="228">
        <f>SUM(B10:B16)</f>
        <v>723</v>
      </c>
      <c r="C17" s="228">
        <f>SUM(C10:C16)</f>
        <v>2747.3999999999996</v>
      </c>
      <c r="D17" s="228">
        <f>SUM(D10:D16)</f>
        <v>59069.100000000006</v>
      </c>
    </row>
    <row r="18" spans="1:4" x14ac:dyDescent="0.25">
      <c r="A18" s="340" t="s">
        <v>316</v>
      </c>
      <c r="B18" s="340"/>
      <c r="C18" s="340"/>
      <c r="D18" s="340"/>
    </row>
    <row r="19" spans="1:4" ht="45" x14ac:dyDescent="0.25">
      <c r="A19" t="s">
        <v>311</v>
      </c>
      <c r="B19" s="7" t="s">
        <v>318</v>
      </c>
      <c r="C19" s="7" t="s">
        <v>317</v>
      </c>
      <c r="D19" t="s">
        <v>319</v>
      </c>
    </row>
    <row r="20" spans="1:4" x14ac:dyDescent="0.25">
      <c r="A20" t="s">
        <v>41</v>
      </c>
      <c r="B20" s="229">
        <f>SUM(Multifamily!D35,Multifamily!F35,Multifamily!I35,'Union Station'!D34,'Union Station'!F34)-SUM(Multifamily!B35:C35,Multifamily!E35,Multifamily!G35:H35,'Union Station'!B34:C34,'Union Station'!E34)</f>
        <v>-6177.5719013209255</v>
      </c>
      <c r="C20" s="229">
        <f>SUM(Multifamily!D37,Multifamily!F37,Multifamily!I37,'Union Station'!D36,'Union Station'!F36)-SUM(Multifamily!B37:C37,Multifamily!E37,Multifamily!G37:H37,'Union Station'!B36:C36,'Union Station'!E36)</f>
        <v>-61351.571293251734</v>
      </c>
      <c r="D20" s="231">
        <f>2205*C20</f>
        <v>-135280214.70162007</v>
      </c>
    </row>
    <row r="21" spans="1:4" x14ac:dyDescent="0.25">
      <c r="A21" t="s">
        <v>71</v>
      </c>
      <c r="B21" s="12">
        <f>SUM(Multifamily!L35,Multifamily!N35,Multifamily!Q35,'Union Station'!I34,'Union Station'!K34)-SUM(Multifamily!J35:K35,Multifamily!M35,Multifamily!O35:P35,'Union Station'!G34:H34,'Union Station'!J34)</f>
        <v>0.10055841526257581</v>
      </c>
      <c r="C21" s="230">
        <f>SUM(Multifamily!L37,Multifamily!N37,Multifamily!Q37,'Union Station'!I36,'Union Station'!K36)-SUM(Multifamily!J37:K37,Multifamily!M37,Multifamily!O37:P37,'Union Station'!G36:H36,'Union Station'!J36)</f>
        <v>-19.277680164565062</v>
      </c>
      <c r="D21" s="231">
        <f t="shared" ref="D21:D23" si="2">2205*C21</f>
        <v>-42507.284762865966</v>
      </c>
    </row>
    <row r="22" spans="1:4" x14ac:dyDescent="0.25">
      <c r="A22" t="s">
        <v>44</v>
      </c>
      <c r="B22" s="181">
        <f>SUM(Multifamily!T35,Multifamily!V35,Multifamily!Y35,'Union Station'!N34,'Union Station'!P34)-SUM(Multifamily!R35:S35,Multifamily!U35,Multifamily!W35:X35,'Union Station'!L34:M34,'Union Station'!O34)</f>
        <v>-185.42481762378077</v>
      </c>
      <c r="C22" s="230">
        <f>SUM(Multifamily!T37,Multifamily!V37,Multifamily!Y37,'Union Station'!N36,'Union Station'!P36)-SUM(Multifamily!R37:S37,Multifamily!U37,Multifamily!W37:X37,'Union Station'!L36:M36,'Union Station'!O36)</f>
        <v>-1900.7321273058033</v>
      </c>
      <c r="D22" s="231">
        <f t="shared" si="2"/>
        <v>-4191114.3407092961</v>
      </c>
    </row>
    <row r="23" spans="1:4" x14ac:dyDescent="0.25">
      <c r="A23" s="15" t="s">
        <v>68</v>
      </c>
      <c r="B23" s="229">
        <f>SUM(B20:B22)</f>
        <v>-6362.8961605294435</v>
      </c>
      <c r="C23" s="229">
        <f>SUM(C20:C22)</f>
        <v>-63271.581100722105</v>
      </c>
      <c r="D23" s="231">
        <f t="shared" si="2"/>
        <v>-139513836.32709223</v>
      </c>
    </row>
  </sheetData>
  <mergeCells count="3">
    <mergeCell ref="A8:D8"/>
    <mergeCell ref="A2:D2"/>
    <mergeCell ref="A18:D18"/>
  </mergeCells>
  <hyperlinks>
    <hyperlink ref="F2" r:id="rId1" xr:uid="{41452815-07C9-49DE-98F0-2A14FBC004E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Emissions Summary</vt:lpstr>
      <vt:lpstr>Factor Sets</vt:lpstr>
      <vt:lpstr>Emissions Projection Factors</vt:lpstr>
      <vt:lpstr>Multifamily</vt:lpstr>
      <vt:lpstr>Union Station</vt:lpstr>
      <vt:lpstr>Union Electricity Consumption</vt:lpstr>
      <vt:lpstr>Union Gas Consumption</vt:lpstr>
      <vt:lpstr>CAPs &amp; HAPs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Teirstein</dc:creator>
  <cp:lastModifiedBy>Steven Winter</cp:lastModifiedBy>
  <dcterms:created xsi:type="dcterms:W3CDTF">2024-03-19T14:34:09Z</dcterms:created>
  <dcterms:modified xsi:type="dcterms:W3CDTF">2024-04-02T02:14:46Z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556900c-5ad4-4f2b-8019-65cb4ed22374_Enabled">
    <vt:lpwstr>true</vt:lpwstr>
  </property>
  <property fmtid="{D5CDD505-2E9C-101B-9397-08002B2CF9AE}" pid="3" name="MSIP_Label_c556900c-5ad4-4f2b-8019-65cb4ed22374_SetDate">
    <vt:lpwstr>2024-03-20T16:16:24Z</vt:lpwstr>
  </property>
  <property fmtid="{D5CDD505-2E9C-101B-9397-08002B2CF9AE}" pid="4" name="MSIP_Label_c556900c-5ad4-4f2b-8019-65cb4ed22374_Method">
    <vt:lpwstr>Standard</vt:lpwstr>
  </property>
  <property fmtid="{D5CDD505-2E9C-101B-9397-08002B2CF9AE}" pid="5" name="MSIP_Label_c556900c-5ad4-4f2b-8019-65cb4ed22374_Name">
    <vt:lpwstr>defa4170-0d19-0005-0004-bc88714345d2</vt:lpwstr>
  </property>
  <property fmtid="{D5CDD505-2E9C-101B-9397-08002B2CF9AE}" pid="6" name="MSIP_Label_c556900c-5ad4-4f2b-8019-65cb4ed22374_SiteId">
    <vt:lpwstr>dd83ce47-326d-4fe9-a0e5-7530887f77ab</vt:lpwstr>
  </property>
  <property fmtid="{D5CDD505-2E9C-101B-9397-08002B2CF9AE}" pid="7" name="MSIP_Label_c556900c-5ad4-4f2b-8019-65cb4ed22374_ActionId">
    <vt:lpwstr>d4b64759-969f-489b-8ce6-42a9e0058cef</vt:lpwstr>
  </property>
  <property fmtid="{D5CDD505-2E9C-101B-9397-08002B2CF9AE}" pid="8" name="MSIP_Label_c556900c-5ad4-4f2b-8019-65cb4ed22374_ContentBits">
    <vt:lpwstr>0</vt:lpwstr>
  </property>
</Properties>
</file>