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25"/>
  <workbookPr defaultThemeVersion="166925"/>
  <mc:AlternateContent xmlns:mc="http://schemas.openxmlformats.org/markup-compatibility/2006">
    <mc:Choice Requires="x15">
      <x15ac:absPath xmlns:x15ac="http://schemas.microsoft.com/office/spreadsheetml/2010/11/ac" url="C:\Users\jb2756\Box\James Bradbury\Documents\SDI\MHDV Corridors\M-A ZEV freight CPRG\Files-for-submission\"/>
    </mc:Choice>
  </mc:AlternateContent>
  <xr:revisionPtr revIDLastSave="0" documentId="8_{6889E8B4-A6B9-4F88-B698-DCABD31EFE21}" xr6:coauthVersionLast="47" xr6:coauthVersionMax="47" xr10:uidLastSave="{00000000-0000-0000-0000-000000000000}"/>
  <bookViews>
    <workbookView xWindow="0" yWindow="0" windowWidth="28290" windowHeight="10440" xr2:uid="{04D09721-DCF8-4934-9DF0-1D9F98F71FFF}"/>
  </bookViews>
  <sheets>
    <sheet name="Annual" sheetId="1" r:id="rId1"/>
    <sheet name="factors" sheetId="2" r:id="rId2"/>
    <sheet name="Notes" sheetId="3" state="hidden" r:id="rId3"/>
    <sheet name="Lit Review" sheetId="4" state="hidden" r:id="rId4"/>
    <sheet name="Charging potential Table" sheetId="5" state="hidden" r:id="rId5"/>
  </sheets>
  <externalReferences>
    <externalReference r:id="rId6"/>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2" l="1"/>
  <c r="M38" i="2" l="1"/>
  <c r="M37" i="2"/>
  <c r="M36" i="2"/>
  <c r="M29" i="2"/>
  <c r="M30" i="2"/>
  <c r="M28" i="2"/>
  <c r="H39" i="2" l="1"/>
  <c r="I3" i="1"/>
  <c r="J3" i="1"/>
  <c r="K3" i="1"/>
  <c r="L3" i="1"/>
  <c r="M3" i="1"/>
  <c r="N3" i="1"/>
  <c r="O3" i="1"/>
  <c r="P3" i="1"/>
  <c r="Q3" i="1"/>
  <c r="R3" i="1"/>
  <c r="S3" i="1"/>
  <c r="T3" i="1"/>
  <c r="U3" i="1"/>
  <c r="V3" i="1"/>
  <c r="W3" i="1"/>
  <c r="X3" i="1"/>
  <c r="Y3" i="1"/>
  <c r="Z3" i="1"/>
  <c r="AA3" i="1"/>
  <c r="AB3" i="1"/>
  <c r="H3" i="1"/>
  <c r="AB109" i="1" l="1"/>
  <c r="AB108" i="1"/>
  <c r="AB107" i="1"/>
  <c r="AB106" i="1"/>
  <c r="AB81" i="1" s="1"/>
  <c r="W109" i="1"/>
  <c r="W108" i="1"/>
  <c r="W107" i="1"/>
  <c r="W106" i="1"/>
  <c r="R109" i="1"/>
  <c r="R108" i="1"/>
  <c r="R107" i="1"/>
  <c r="R106" i="1"/>
  <c r="M109" i="1"/>
  <c r="M108" i="1"/>
  <c r="M107" i="1"/>
  <c r="M106" i="1"/>
  <c r="H109" i="1"/>
  <c r="H108" i="1"/>
  <c r="H107" i="1"/>
  <c r="H106" i="1"/>
  <c r="H81" i="1" s="1"/>
  <c r="C109" i="1"/>
  <c r="C108" i="1"/>
  <c r="C107" i="1"/>
  <c r="C106" i="1"/>
  <c r="M113" i="1" l="1"/>
  <c r="M117" i="1"/>
  <c r="M114" i="1"/>
  <c r="M118" i="1"/>
  <c r="R81" i="1"/>
  <c r="AB82" i="1"/>
  <c r="S109" i="1"/>
  <c r="C82" i="1"/>
  <c r="U107" i="1"/>
  <c r="C81" i="1"/>
  <c r="M82" i="1"/>
  <c r="Y109" i="1"/>
  <c r="M81" i="1"/>
  <c r="AA106" i="1"/>
  <c r="W81" i="1"/>
  <c r="Z107" i="1"/>
  <c r="Z108" i="1"/>
  <c r="W82" i="1"/>
  <c r="H82" i="1"/>
  <c r="S108" i="1"/>
  <c r="R82" i="1"/>
  <c r="O108" i="1"/>
  <c r="G109" i="1"/>
  <c r="V107" i="1"/>
  <c r="Q106" i="1"/>
  <c r="Y108" i="1"/>
  <c r="N107" i="1"/>
  <c r="X108" i="1"/>
  <c r="G108" i="1"/>
  <c r="N108" i="1"/>
  <c r="X107" i="1"/>
  <c r="P108" i="1"/>
  <c r="N109" i="1"/>
  <c r="Q108" i="1"/>
  <c r="V106" i="1"/>
  <c r="Q107" i="1"/>
  <c r="S107" i="1"/>
  <c r="X106" i="1"/>
  <c r="Y106" i="1"/>
  <c r="T107" i="1"/>
  <c r="Z109" i="1"/>
  <c r="X109" i="1"/>
  <c r="Y107" i="1"/>
  <c r="L106" i="1"/>
  <c r="L109" i="1"/>
  <c r="AA109" i="1"/>
  <c r="I107" i="1"/>
  <c r="K109" i="1"/>
  <c r="J109" i="1"/>
  <c r="D106" i="1"/>
  <c r="E106" i="1"/>
  <c r="F106" i="1"/>
  <c r="G106" i="1"/>
  <c r="I109" i="1"/>
  <c r="D107" i="1"/>
  <c r="L108" i="1"/>
  <c r="E107" i="1"/>
  <c r="K108" i="1"/>
  <c r="P107" i="1"/>
  <c r="F107" i="1"/>
  <c r="J108" i="1"/>
  <c r="O107" i="1"/>
  <c r="G107" i="1"/>
  <c r="I108" i="1"/>
  <c r="D108" i="1"/>
  <c r="L107" i="1"/>
  <c r="S106" i="1"/>
  <c r="E108" i="1"/>
  <c r="K107" i="1"/>
  <c r="T106" i="1"/>
  <c r="F108" i="1"/>
  <c r="J107" i="1"/>
  <c r="U106" i="1"/>
  <c r="D109" i="1"/>
  <c r="N106" i="1"/>
  <c r="V109" i="1"/>
  <c r="Z106" i="1"/>
  <c r="E109" i="1"/>
  <c r="O106" i="1"/>
  <c r="U109" i="1"/>
  <c r="F109" i="1"/>
  <c r="P106" i="1"/>
  <c r="T109" i="1"/>
  <c r="I106" i="1"/>
  <c r="Q109" i="1"/>
  <c r="V108" i="1"/>
  <c r="AA108" i="1"/>
  <c r="J106" i="1"/>
  <c r="P109" i="1"/>
  <c r="U108" i="1"/>
  <c r="K106" i="1"/>
  <c r="O109" i="1"/>
  <c r="T108" i="1"/>
  <c r="AA107" i="1"/>
  <c r="K81" i="1" l="1"/>
  <c r="G81" i="1"/>
  <c r="E82" i="1"/>
  <c r="T82" i="1"/>
  <c r="AA82" i="1"/>
  <c r="O81" i="1"/>
  <c r="I81" i="1"/>
  <c r="F81" i="1"/>
  <c r="X82" i="1"/>
  <c r="V81" i="1"/>
  <c r="L81" i="1"/>
  <c r="N81" i="1"/>
  <c r="U82" i="1"/>
  <c r="P81" i="1"/>
  <c r="D81" i="1"/>
  <c r="Q82" i="1"/>
  <c r="Y82" i="1"/>
  <c r="S81" i="1"/>
  <c r="Z81" i="1"/>
  <c r="J82" i="1"/>
  <c r="G82" i="1"/>
  <c r="S82" i="1"/>
  <c r="E81" i="1"/>
  <c r="K82" i="1"/>
  <c r="U81" i="1"/>
  <c r="Q81" i="1"/>
  <c r="Z82" i="1"/>
  <c r="I82" i="1"/>
  <c r="P82" i="1"/>
  <c r="D82" i="1"/>
  <c r="F82" i="1"/>
  <c r="Y81" i="1"/>
  <c r="J81" i="1"/>
  <c r="L82" i="1"/>
  <c r="V82" i="1"/>
  <c r="T81" i="1"/>
  <c r="X81" i="1"/>
  <c r="N82" i="1"/>
  <c r="O82" i="1"/>
  <c r="AA81" i="1"/>
  <c r="C7" i="2"/>
  <c r="C24" i="2" l="1"/>
  <c r="D22" i="2"/>
  <c r="D23" i="2"/>
  <c r="D21" i="2"/>
  <c r="H7" i="1"/>
  <c r="H9" i="1"/>
  <c r="I9" i="1" s="1"/>
  <c r="C16" i="1"/>
  <c r="B15" i="1"/>
  <c r="C15" i="1"/>
  <c r="D15" i="1"/>
  <c r="E15" i="1"/>
  <c r="F15" i="1"/>
  <c r="G15" i="1"/>
  <c r="H15" i="1"/>
  <c r="I15" i="1"/>
  <c r="J15" i="1"/>
  <c r="K15" i="1"/>
  <c r="L15" i="1"/>
  <c r="N15" i="1"/>
  <c r="O15" i="1"/>
  <c r="P15" i="1"/>
  <c r="Q15" i="1"/>
  <c r="R15" i="1"/>
  <c r="S15" i="1"/>
  <c r="T15" i="1"/>
  <c r="U15" i="1"/>
  <c r="V15" i="1"/>
  <c r="W15" i="1"/>
  <c r="X15" i="1"/>
  <c r="Y15" i="1"/>
  <c r="Z15" i="1"/>
  <c r="AA15" i="1"/>
  <c r="AB15" i="1"/>
  <c r="K5" i="2"/>
  <c r="K6" i="2"/>
  <c r="K4" i="2"/>
  <c r="T16" i="1"/>
  <c r="U16" i="1"/>
  <c r="V16" i="1"/>
  <c r="W16" i="1"/>
  <c r="X16" i="1"/>
  <c r="Y16" i="1"/>
  <c r="Z16" i="1"/>
  <c r="AA16" i="1"/>
  <c r="AB16" i="1"/>
  <c r="S16" i="1"/>
  <c r="B5" i="5"/>
  <c r="B4" i="5"/>
  <c r="B3" i="5"/>
  <c r="B2" i="5"/>
  <c r="D2" i="1"/>
  <c r="E2" i="1" s="1"/>
  <c r="D20" i="2" l="1"/>
  <c r="AB9" i="1"/>
  <c r="AA9" i="1"/>
  <c r="G9" i="1"/>
  <c r="Z9" i="1"/>
  <c r="F9" i="1"/>
  <c r="Y9" i="1"/>
  <c r="E9" i="1"/>
  <c r="X9" i="1"/>
  <c r="D9" i="1"/>
  <c r="W9" i="1"/>
  <c r="V9" i="1"/>
  <c r="U9" i="1"/>
  <c r="T9" i="1"/>
  <c r="S9" i="1"/>
  <c r="R9" i="1"/>
  <c r="Q9" i="1"/>
  <c r="P9" i="1"/>
  <c r="O9" i="1"/>
  <c r="N9" i="1"/>
  <c r="M9" i="1"/>
  <c r="L9" i="1"/>
  <c r="K9" i="1"/>
  <c r="J9" i="1"/>
  <c r="F2" i="1"/>
  <c r="G2" i="1" s="1"/>
  <c r="H2" i="1" s="1"/>
  <c r="I2" i="1" l="1"/>
  <c r="J2" i="1" l="1"/>
  <c r="K2" i="1" l="1"/>
  <c r="L2" i="1" l="1"/>
  <c r="M2" i="1" l="1"/>
  <c r="N2" i="1" l="1"/>
  <c r="O2" i="1" l="1"/>
  <c r="P2" i="1" l="1"/>
  <c r="Q2" i="1" l="1"/>
  <c r="R2" i="1" l="1"/>
  <c r="S2" i="1" l="1"/>
  <c r="T2" i="1" l="1"/>
  <c r="U2" i="1" l="1"/>
  <c r="V2" i="1" l="1"/>
  <c r="W2" i="1" l="1"/>
  <c r="X2" i="1" l="1"/>
  <c r="Y2" i="1" l="1"/>
  <c r="Z2" i="1" l="1"/>
  <c r="AA2" i="1" l="1"/>
  <c r="AB2" i="1" l="1"/>
  <c r="Q10" i="1" l="1"/>
  <c r="D8" i="1"/>
  <c r="D16" i="1"/>
  <c r="E16" i="1"/>
  <c r="F16" i="1"/>
  <c r="G16" i="1"/>
  <c r="H16" i="1"/>
  <c r="I16" i="1"/>
  <c r="J16" i="1"/>
  <c r="K16" i="1"/>
  <c r="L16" i="1"/>
  <c r="M16" i="1"/>
  <c r="N16" i="1"/>
  <c r="O16" i="1"/>
  <c r="P16" i="1"/>
  <c r="Q16" i="1"/>
  <c r="D14" i="1"/>
  <c r="E14" i="1"/>
  <c r="F14" i="1"/>
  <c r="G14" i="1"/>
  <c r="H14" i="1"/>
  <c r="I14" i="1"/>
  <c r="J14" i="1"/>
  <c r="K14" i="1"/>
  <c r="L14" i="1"/>
  <c r="C14" i="1"/>
  <c r="O13" i="1"/>
  <c r="P13" i="1"/>
  <c r="Q13" i="1"/>
  <c r="R13" i="1"/>
  <c r="S13" i="1"/>
  <c r="T13" i="1"/>
  <c r="U13" i="1"/>
  <c r="V13" i="1"/>
  <c r="W13" i="1"/>
  <c r="X13" i="1"/>
  <c r="Y13" i="1"/>
  <c r="Z13" i="1"/>
  <c r="AA13" i="1"/>
  <c r="AB13" i="1"/>
  <c r="O14" i="1"/>
  <c r="P14" i="1"/>
  <c r="Q14" i="1"/>
  <c r="R14" i="1"/>
  <c r="S14" i="1"/>
  <c r="T14" i="1"/>
  <c r="U14" i="1"/>
  <c r="V14" i="1"/>
  <c r="W14" i="1"/>
  <c r="X14" i="1"/>
  <c r="Y14" i="1"/>
  <c r="Z14" i="1"/>
  <c r="AA14" i="1"/>
  <c r="AB14" i="1"/>
  <c r="N14" i="1"/>
  <c r="N13" i="1"/>
  <c r="L13" i="1"/>
  <c r="K13" i="1"/>
  <c r="J13" i="1"/>
  <c r="I13" i="1"/>
  <c r="G13" i="1"/>
  <c r="F13" i="1"/>
  <c r="E13" i="1"/>
  <c r="D13" i="1"/>
  <c r="C13" i="1"/>
  <c r="H13" i="1"/>
  <c r="C20" i="1" l="1"/>
  <c r="C19" i="1"/>
  <c r="F7" i="1"/>
  <c r="X8" i="1"/>
  <c r="V8" i="1"/>
  <c r="P8" i="1"/>
  <c r="F8" i="1"/>
  <c r="N8" i="1"/>
  <c r="X10" i="1"/>
  <c r="V10" i="1"/>
  <c r="S7" i="1"/>
  <c r="I7" i="1"/>
  <c r="Q7" i="1"/>
  <c r="K7" i="1"/>
  <c r="AA7" i="1"/>
  <c r="P10" i="1"/>
  <c r="Y7" i="1"/>
  <c r="G8" i="1"/>
  <c r="W8" i="1"/>
  <c r="O8" i="1"/>
  <c r="Z7" i="1"/>
  <c r="R7" i="1"/>
  <c r="J7" i="1"/>
  <c r="W10" i="1"/>
  <c r="O10" i="1"/>
  <c r="E8" i="1"/>
  <c r="I8" i="1"/>
  <c r="U8" i="1"/>
  <c r="M8" i="1"/>
  <c r="X7" i="1"/>
  <c r="X20" i="1" s="1"/>
  <c r="P7" i="1"/>
  <c r="N10" i="1"/>
  <c r="U10" i="1"/>
  <c r="AB8" i="1"/>
  <c r="T8" i="1"/>
  <c r="L8" i="1"/>
  <c r="W7" i="1"/>
  <c r="O7" i="1"/>
  <c r="AB10" i="1"/>
  <c r="T10" i="1"/>
  <c r="AA8" i="1"/>
  <c r="S8" i="1"/>
  <c r="K8" i="1"/>
  <c r="V7" i="1"/>
  <c r="N7" i="1"/>
  <c r="AA10" i="1"/>
  <c r="S10" i="1"/>
  <c r="Z8" i="1"/>
  <c r="R8" i="1"/>
  <c r="J8" i="1"/>
  <c r="U7" i="1"/>
  <c r="M7" i="1"/>
  <c r="M20" i="1" s="1"/>
  <c r="Z10" i="1"/>
  <c r="R10" i="1"/>
  <c r="Y8" i="1"/>
  <c r="Q8" i="1"/>
  <c r="AB7" i="1"/>
  <c r="T7" i="1"/>
  <c r="L7" i="1"/>
  <c r="Y10" i="1"/>
  <c r="E7" i="1"/>
  <c r="G7" i="1"/>
  <c r="D7" i="1"/>
  <c r="AA20" i="1" l="1"/>
  <c r="S20" i="1"/>
  <c r="O20" i="1"/>
  <c r="Y20" i="1"/>
  <c r="T20" i="1"/>
  <c r="W20" i="1"/>
  <c r="Q20" i="1"/>
  <c r="U20" i="1"/>
  <c r="V20" i="1"/>
  <c r="AB20" i="1"/>
  <c r="P20" i="1"/>
  <c r="N20" i="1"/>
  <c r="R20" i="1"/>
  <c r="Z20" i="1"/>
  <c r="X19" i="1"/>
  <c r="Y19" i="1"/>
  <c r="AA19" i="1"/>
  <c r="P19" i="1"/>
  <c r="Q19" i="1"/>
  <c r="Z19" i="1"/>
  <c r="N19" i="1"/>
  <c r="V19" i="1"/>
  <c r="S19" i="1"/>
  <c r="R19" i="1"/>
  <c r="O19" i="1"/>
  <c r="W19" i="1"/>
  <c r="T19" i="1"/>
  <c r="AB19" i="1"/>
  <c r="M19" i="1"/>
  <c r="U19" i="1"/>
  <c r="B14" i="1"/>
  <c r="B16" i="1"/>
  <c r="B13" i="1"/>
  <c r="W23" i="1" l="1"/>
  <c r="W24" i="1" s="1"/>
  <c r="C23" i="1"/>
  <c r="C24" i="1" s="1"/>
  <c r="S23" i="1"/>
  <c r="S24" i="1" s="1"/>
  <c r="M23" i="1"/>
  <c r="M24" i="1" s="1"/>
  <c r="R23" i="1"/>
  <c r="R24" i="1" s="1"/>
  <c r="AA23" i="1"/>
  <c r="AA24" i="1" s="1"/>
  <c r="U23" i="1"/>
  <c r="U24" i="1" s="1"/>
  <c r="AB23" i="1"/>
  <c r="AB24" i="1" s="1"/>
  <c r="Y23" i="1"/>
  <c r="Y24" i="1" s="1"/>
  <c r="O23" i="1"/>
  <c r="O24" i="1" s="1"/>
  <c r="X23" i="1"/>
  <c r="X24" i="1" s="1"/>
  <c r="V23" i="1"/>
  <c r="V24" i="1" s="1"/>
  <c r="T23" i="1"/>
  <c r="T24" i="1" s="1"/>
  <c r="Q23" i="1"/>
  <c r="Q24" i="1" s="1"/>
  <c r="Z23" i="1"/>
  <c r="Z24" i="1" s="1"/>
  <c r="P23" i="1"/>
  <c r="P24" i="1" s="1"/>
  <c r="N23" i="1"/>
  <c r="N24" i="1" s="1"/>
  <c r="U56" i="1" l="1"/>
  <c r="U55" i="1"/>
  <c r="U54" i="1"/>
  <c r="U53" i="1"/>
  <c r="X54" i="1"/>
  <c r="X53" i="1"/>
  <c r="X56" i="1"/>
  <c r="X55" i="1"/>
  <c r="Z53" i="1"/>
  <c r="Z56" i="1"/>
  <c r="Z55" i="1"/>
  <c r="Z54" i="1"/>
  <c r="Q53" i="1"/>
  <c r="Q54" i="1"/>
  <c r="Q56" i="1"/>
  <c r="Q55" i="1"/>
  <c r="AA56" i="1"/>
  <c r="AA55" i="1"/>
  <c r="AA53" i="1"/>
  <c r="AA54" i="1"/>
  <c r="P54" i="1"/>
  <c r="P53" i="1"/>
  <c r="P56" i="1"/>
  <c r="P55" i="1"/>
  <c r="T56" i="1"/>
  <c r="T55" i="1"/>
  <c r="T54" i="1"/>
  <c r="T53" i="1"/>
  <c r="R53" i="1"/>
  <c r="R56" i="1"/>
  <c r="R55" i="1"/>
  <c r="R54" i="1"/>
  <c r="AB56" i="1"/>
  <c r="AB55" i="1"/>
  <c r="AB54" i="1"/>
  <c r="AB53" i="1"/>
  <c r="V55" i="1"/>
  <c r="V54" i="1"/>
  <c r="V53" i="1"/>
  <c r="V56" i="1"/>
  <c r="M55" i="1"/>
  <c r="M54" i="1"/>
  <c r="M56" i="1"/>
  <c r="M53" i="1"/>
  <c r="S56" i="1"/>
  <c r="S55" i="1"/>
  <c r="S54" i="1"/>
  <c r="S53" i="1"/>
  <c r="C53" i="1"/>
  <c r="C56" i="1"/>
  <c r="C55" i="1"/>
  <c r="C54" i="1"/>
  <c r="O54" i="1"/>
  <c r="O53" i="1"/>
  <c r="O55" i="1"/>
  <c r="O56" i="1"/>
  <c r="N55" i="1"/>
  <c r="N54" i="1"/>
  <c r="N53" i="1"/>
  <c r="N56" i="1"/>
  <c r="Y53" i="1"/>
  <c r="Y56" i="1"/>
  <c r="Y55" i="1"/>
  <c r="Y54" i="1"/>
  <c r="W54" i="1"/>
  <c r="W53" i="1"/>
  <c r="W56" i="1"/>
  <c r="W55" i="1"/>
  <c r="Q25" i="1"/>
  <c r="Q29" i="1" s="1"/>
  <c r="Q26" i="1"/>
  <c r="Q30" i="1" s="1"/>
  <c r="Q85" i="1" s="1"/>
  <c r="R25" i="1"/>
  <c r="R29" i="1" s="1"/>
  <c r="R26" i="1"/>
  <c r="R30" i="1" s="1"/>
  <c r="R85" i="1" s="1"/>
  <c r="AB25" i="1"/>
  <c r="AB29" i="1" s="1"/>
  <c r="AB26" i="1"/>
  <c r="AB30" i="1" s="1"/>
  <c r="AB85" i="1" s="1"/>
  <c r="T25" i="1"/>
  <c r="T29" i="1" s="1"/>
  <c r="T26" i="1"/>
  <c r="T30" i="1" s="1"/>
  <c r="T85" i="1" s="1"/>
  <c r="M26" i="1"/>
  <c r="M30" i="1" s="1"/>
  <c r="M85" i="1" s="1"/>
  <c r="M25" i="1"/>
  <c r="M29" i="1" s="1"/>
  <c r="S26" i="1"/>
  <c r="S30" i="1" s="1"/>
  <c r="S85" i="1" s="1"/>
  <c r="S25" i="1"/>
  <c r="S29" i="1" s="1"/>
  <c r="P25" i="1"/>
  <c r="P29" i="1" s="1"/>
  <c r="P26" i="1"/>
  <c r="P30" i="1" s="1"/>
  <c r="P85" i="1" s="1"/>
  <c r="Z25" i="1"/>
  <c r="Z29" i="1" s="1"/>
  <c r="Z26" i="1"/>
  <c r="Z30" i="1" s="1"/>
  <c r="Z85" i="1" s="1"/>
  <c r="AA25" i="1"/>
  <c r="AA29" i="1" s="1"/>
  <c r="AA26" i="1"/>
  <c r="AA30" i="1" s="1"/>
  <c r="AA85" i="1" s="1"/>
  <c r="V26" i="1"/>
  <c r="V30" i="1" s="1"/>
  <c r="V85" i="1" s="1"/>
  <c r="V25" i="1"/>
  <c r="V29" i="1" s="1"/>
  <c r="X25" i="1"/>
  <c r="X29" i="1" s="1"/>
  <c r="X26" i="1"/>
  <c r="X30" i="1" s="1"/>
  <c r="X85" i="1" s="1"/>
  <c r="O25" i="1"/>
  <c r="O29" i="1" s="1"/>
  <c r="O26" i="1"/>
  <c r="O30" i="1" s="1"/>
  <c r="O85" i="1" s="1"/>
  <c r="C26" i="1"/>
  <c r="C30" i="1" s="1"/>
  <c r="C85" i="1" s="1"/>
  <c r="C25" i="1"/>
  <c r="C29" i="1" s="1"/>
  <c r="U25" i="1"/>
  <c r="U29" i="1" s="1"/>
  <c r="U26" i="1"/>
  <c r="U30" i="1" s="1"/>
  <c r="U85" i="1" s="1"/>
  <c r="N26" i="1"/>
  <c r="N30" i="1" s="1"/>
  <c r="N85" i="1" s="1"/>
  <c r="N25" i="1"/>
  <c r="N29" i="1" s="1"/>
  <c r="Y25" i="1"/>
  <c r="Y29" i="1" s="1"/>
  <c r="Y26" i="1"/>
  <c r="Y30" i="1" s="1"/>
  <c r="Y85" i="1" s="1"/>
  <c r="W25" i="1"/>
  <c r="W29" i="1" s="1"/>
  <c r="W26" i="1"/>
  <c r="W30" i="1" s="1"/>
  <c r="W85" i="1" s="1"/>
  <c r="Z36" i="1" l="1"/>
  <c r="Z34" i="1"/>
  <c r="Z37" i="1"/>
  <c r="Z35" i="1"/>
  <c r="M35" i="1"/>
  <c r="M36" i="1"/>
  <c r="M34" i="1"/>
  <c r="M37" i="1"/>
  <c r="T34" i="1"/>
  <c r="T37" i="1"/>
  <c r="T36" i="1"/>
  <c r="T35" i="1"/>
  <c r="R34" i="1"/>
  <c r="R37" i="1"/>
  <c r="R35" i="1"/>
  <c r="R36" i="1"/>
  <c r="P37" i="1"/>
  <c r="P34" i="1"/>
  <c r="P35" i="1"/>
  <c r="P36" i="1"/>
  <c r="Y36" i="1"/>
  <c r="Y34" i="1"/>
  <c r="Y35" i="1"/>
  <c r="Y37" i="1"/>
  <c r="N35" i="1"/>
  <c r="N34" i="1"/>
  <c r="N36" i="1"/>
  <c r="N37" i="1"/>
  <c r="AB36" i="1"/>
  <c r="AB35" i="1"/>
  <c r="AB37" i="1"/>
  <c r="AB34" i="1"/>
  <c r="V37" i="1"/>
  <c r="V36" i="1"/>
  <c r="V35" i="1"/>
  <c r="V34" i="1"/>
  <c r="AA36" i="1"/>
  <c r="AA34" i="1"/>
  <c r="AA35" i="1"/>
  <c r="AA37" i="1"/>
  <c r="W37" i="1"/>
  <c r="W36" i="1"/>
  <c r="W34" i="1"/>
  <c r="W35" i="1"/>
  <c r="S34" i="1"/>
  <c r="S37" i="1"/>
  <c r="S35" i="1"/>
  <c r="S36" i="1"/>
  <c r="U34" i="1"/>
  <c r="U37" i="1"/>
  <c r="U36" i="1"/>
  <c r="U35" i="1"/>
  <c r="C37" i="1"/>
  <c r="C36" i="1"/>
  <c r="C35" i="1"/>
  <c r="C34" i="1"/>
  <c r="O35" i="1"/>
  <c r="O36" i="1"/>
  <c r="O34" i="1"/>
  <c r="O37" i="1"/>
  <c r="X36" i="1"/>
  <c r="X34" i="1"/>
  <c r="X35" i="1"/>
  <c r="X37" i="1"/>
  <c r="Q34" i="1"/>
  <c r="Q37" i="1"/>
  <c r="Q36" i="1"/>
  <c r="Q35" i="1"/>
  <c r="M84" i="1"/>
  <c r="M86" i="1" s="1"/>
  <c r="S84" i="1"/>
  <c r="S86" i="1" s="1"/>
  <c r="R84" i="1"/>
  <c r="R86" i="1" s="1"/>
  <c r="X84" i="1"/>
  <c r="X86" i="1" s="1"/>
  <c r="N84" i="1"/>
  <c r="N86" i="1" s="1"/>
  <c r="Z84" i="1"/>
  <c r="Z86" i="1" s="1"/>
  <c r="AB84" i="1"/>
  <c r="AB86" i="1" s="1"/>
  <c r="AA84" i="1"/>
  <c r="AA86" i="1" s="1"/>
  <c r="V84" i="1"/>
  <c r="V86" i="1" s="1"/>
  <c r="U84" i="1"/>
  <c r="U86" i="1" s="1"/>
  <c r="T84" i="1"/>
  <c r="T86" i="1" s="1"/>
  <c r="T43" i="1"/>
  <c r="Y84" i="1"/>
  <c r="Y86" i="1" s="1"/>
  <c r="W84" i="1"/>
  <c r="W86" i="1" s="1"/>
  <c r="P84" i="1"/>
  <c r="P86" i="1" s="1"/>
  <c r="Q84" i="1"/>
  <c r="Q86" i="1" s="1"/>
  <c r="O84" i="1"/>
  <c r="O86" i="1" s="1"/>
  <c r="C84" i="1"/>
  <c r="C86" i="1" s="1"/>
  <c r="Y31" i="1"/>
  <c r="Q31" i="1"/>
  <c r="S31" i="1"/>
  <c r="W31" i="1"/>
  <c r="T31" i="1"/>
  <c r="M31" i="1"/>
  <c r="M41" i="1"/>
  <c r="N31" i="1"/>
  <c r="AA31" i="1"/>
  <c r="U31" i="1"/>
  <c r="X31" i="1"/>
  <c r="V31" i="1"/>
  <c r="P31" i="1"/>
  <c r="AB31" i="1"/>
  <c r="Z31" i="1"/>
  <c r="R31" i="1"/>
  <c r="O31" i="1"/>
  <c r="C31" i="1"/>
  <c r="D10" i="1"/>
  <c r="D20" i="1" s="1"/>
  <c r="F10" i="1"/>
  <c r="F20" i="1" s="1"/>
  <c r="E10" i="1"/>
  <c r="G10" i="1"/>
  <c r="G20" i="1" s="1"/>
  <c r="H10" i="1"/>
  <c r="H20" i="1" s="1"/>
  <c r="I10" i="1"/>
  <c r="I20" i="1" s="1"/>
  <c r="J10" i="1"/>
  <c r="K10" i="1"/>
  <c r="L10" i="1"/>
  <c r="M43" i="1" l="1"/>
  <c r="M49" i="1"/>
  <c r="S41" i="1"/>
  <c r="S60" i="1" s="1"/>
  <c r="V40" i="1"/>
  <c r="V59" i="1" s="1"/>
  <c r="V41" i="1"/>
  <c r="V47" i="1" s="1"/>
  <c r="T49" i="1"/>
  <c r="M47" i="1"/>
  <c r="V43" i="1"/>
  <c r="V68" i="1" s="1"/>
  <c r="M66" i="1"/>
  <c r="R43" i="1"/>
  <c r="R68" i="1" s="1"/>
  <c r="X42" i="1"/>
  <c r="X48" i="1" s="1"/>
  <c r="X61" i="1"/>
  <c r="Q41" i="1"/>
  <c r="Q47" i="1" s="1"/>
  <c r="R42" i="1"/>
  <c r="R48" i="1" s="1"/>
  <c r="O40" i="1"/>
  <c r="O46" i="1" s="1"/>
  <c r="AA40" i="1"/>
  <c r="AA46" i="1" s="1"/>
  <c r="R40" i="1"/>
  <c r="R46" i="1" s="1"/>
  <c r="R59" i="1"/>
  <c r="T40" i="1"/>
  <c r="T46" i="1" s="1"/>
  <c r="T59" i="1"/>
  <c r="AB43" i="1"/>
  <c r="AB49" i="1" s="1"/>
  <c r="S42" i="1"/>
  <c r="S48" i="1" s="1"/>
  <c r="U40" i="1"/>
  <c r="U46" i="1" s="1"/>
  <c r="U43" i="1"/>
  <c r="U49" i="1" s="1"/>
  <c r="P41" i="1"/>
  <c r="P47" i="1" s="1"/>
  <c r="U41" i="1"/>
  <c r="U47" i="1" s="1"/>
  <c r="Z43" i="1"/>
  <c r="Z49" i="1" s="1"/>
  <c r="M40" i="1"/>
  <c r="M46" i="1" s="1"/>
  <c r="X41" i="1"/>
  <c r="X47" i="1" s="1"/>
  <c r="AA41" i="1"/>
  <c r="AA60" i="1" s="1"/>
  <c r="O42" i="1"/>
  <c r="O48" i="1" s="1"/>
  <c r="T42" i="1"/>
  <c r="T48" i="1" s="1"/>
  <c r="R41" i="1"/>
  <c r="R47" i="1" s="1"/>
  <c r="Q42" i="1"/>
  <c r="Q48" i="1" s="1"/>
  <c r="T41" i="1"/>
  <c r="T47" i="1" s="1"/>
  <c r="T60" i="1"/>
  <c r="Z41" i="1"/>
  <c r="Z47" i="1" s="1"/>
  <c r="Z40" i="1"/>
  <c r="Z46" i="1" s="1"/>
  <c r="U42" i="1"/>
  <c r="U48" i="1" s="1"/>
  <c r="V42" i="1"/>
  <c r="V48" i="1" s="1"/>
  <c r="W41" i="1"/>
  <c r="W47" i="1" s="1"/>
  <c r="N42" i="1"/>
  <c r="N48" i="1" s="1"/>
  <c r="M60" i="1"/>
  <c r="X43" i="1"/>
  <c r="X49" i="1" s="1"/>
  <c r="O41" i="1"/>
  <c r="O47" i="1" s="1"/>
  <c r="Y40" i="1"/>
  <c r="Y46" i="1" s="1"/>
  <c r="AB42" i="1"/>
  <c r="AB48" i="1" s="1"/>
  <c r="Q43" i="1"/>
  <c r="Q49" i="1" s="1"/>
  <c r="AB41" i="1"/>
  <c r="AB47" i="1" s="1"/>
  <c r="S40" i="1"/>
  <c r="S46" i="1" s="1"/>
  <c r="P42" i="1"/>
  <c r="P48" i="1" s="1"/>
  <c r="W43" i="1"/>
  <c r="W62" i="1" s="1"/>
  <c r="N40" i="1"/>
  <c r="N46" i="1" s="1"/>
  <c r="W40" i="1"/>
  <c r="W46" i="1" s="1"/>
  <c r="M62" i="1"/>
  <c r="Y41" i="1"/>
  <c r="Y47" i="1" s="1"/>
  <c r="Y42" i="1"/>
  <c r="Y48" i="1" s="1"/>
  <c r="X40" i="1"/>
  <c r="X46" i="1" s="1"/>
  <c r="X59" i="1"/>
  <c r="AB40" i="1"/>
  <c r="AB46" i="1" s="1"/>
  <c r="T62" i="1"/>
  <c r="Q40" i="1"/>
  <c r="Q59" i="1" s="1"/>
  <c r="P40" i="1"/>
  <c r="P46" i="1" s="1"/>
  <c r="M42" i="1"/>
  <c r="M48" i="1" s="1"/>
  <c r="W42" i="1"/>
  <c r="W48" i="1" s="1"/>
  <c r="N41" i="1"/>
  <c r="N47" i="1" s="1"/>
  <c r="E19" i="1"/>
  <c r="E20" i="1"/>
  <c r="E23" i="1" s="1"/>
  <c r="E24" i="1" s="1"/>
  <c r="L19" i="1"/>
  <c r="L20" i="1"/>
  <c r="L23" i="1" s="1"/>
  <c r="L24" i="1" s="1"/>
  <c r="K19" i="1"/>
  <c r="K20" i="1"/>
  <c r="K23" i="1" s="1"/>
  <c r="K24" i="1" s="1"/>
  <c r="J19" i="1"/>
  <c r="J20" i="1"/>
  <c r="J23" i="1" s="1"/>
  <c r="J24" i="1" s="1"/>
  <c r="O43" i="1"/>
  <c r="O49" i="1" s="1"/>
  <c r="P43" i="1"/>
  <c r="P49" i="1" s="1"/>
  <c r="T68" i="1"/>
  <c r="N43" i="1"/>
  <c r="N49" i="1" s="1"/>
  <c r="AA43" i="1"/>
  <c r="AA49" i="1" s="1"/>
  <c r="S43" i="1"/>
  <c r="S49" i="1" s="1"/>
  <c r="Y43" i="1"/>
  <c r="Y49" i="1" s="1"/>
  <c r="M68" i="1"/>
  <c r="C40" i="1"/>
  <c r="C46" i="1" s="1"/>
  <c r="C42" i="1"/>
  <c r="C48" i="1" s="1"/>
  <c r="C41" i="1"/>
  <c r="C47" i="1" s="1"/>
  <c r="C43" i="1"/>
  <c r="C49" i="1" s="1"/>
  <c r="AA42" i="1"/>
  <c r="AA48" i="1" s="1"/>
  <c r="Z42" i="1"/>
  <c r="Z48" i="1" s="1"/>
  <c r="S66" i="1"/>
  <c r="H19" i="1"/>
  <c r="I19" i="1"/>
  <c r="G19" i="1"/>
  <c r="F19" i="1"/>
  <c r="D19" i="1"/>
  <c r="G23" i="1"/>
  <c r="G24" i="1" s="1"/>
  <c r="I23" i="1"/>
  <c r="I24" i="1" s="1"/>
  <c r="F23" i="1"/>
  <c r="F24" i="1" s="1"/>
  <c r="H23" i="1"/>
  <c r="H24" i="1" s="1"/>
  <c r="D23" i="1"/>
  <c r="D24" i="1" s="1"/>
  <c r="Q62" i="1" l="1"/>
  <c r="V62" i="1"/>
  <c r="N59" i="1"/>
  <c r="AB61" i="1"/>
  <c r="V49" i="1"/>
  <c r="N61" i="1"/>
  <c r="R62" i="1"/>
  <c r="AB60" i="1"/>
  <c r="V46" i="1"/>
  <c r="M61" i="1"/>
  <c r="Y61" i="1"/>
  <c r="U62" i="1"/>
  <c r="S47" i="1"/>
  <c r="AA47" i="1"/>
  <c r="Q46" i="1"/>
  <c r="O68" i="1"/>
  <c r="V66" i="1"/>
  <c r="R49" i="1"/>
  <c r="V65" i="1"/>
  <c r="W49" i="1"/>
  <c r="V60" i="1"/>
  <c r="X65" i="1"/>
  <c r="U68" i="1"/>
  <c r="AA65" i="1"/>
  <c r="N65" i="1"/>
  <c r="T66" i="1"/>
  <c r="M65" i="1"/>
  <c r="U65" i="1"/>
  <c r="O65" i="1"/>
  <c r="N66" i="1"/>
  <c r="O66" i="1"/>
  <c r="Z66" i="1"/>
  <c r="AB66" i="1"/>
  <c r="P65" i="1"/>
  <c r="Y67" i="1"/>
  <c r="Q68" i="1"/>
  <c r="N67" i="1"/>
  <c r="Q67" i="1"/>
  <c r="S61" i="1"/>
  <c r="R67" i="1"/>
  <c r="C68" i="1"/>
  <c r="C60" i="1"/>
  <c r="W65" i="1"/>
  <c r="N68" i="1"/>
  <c r="M67" i="1"/>
  <c r="Y66" i="1"/>
  <c r="W68" i="1"/>
  <c r="W66" i="1"/>
  <c r="R66" i="1"/>
  <c r="Z62" i="1"/>
  <c r="AB62" i="1"/>
  <c r="Q66" i="1"/>
  <c r="AA68" i="1"/>
  <c r="W67" i="1"/>
  <c r="X62" i="1"/>
  <c r="X66" i="1"/>
  <c r="C59" i="1"/>
  <c r="Z67" i="1"/>
  <c r="Y68" i="1"/>
  <c r="O62" i="1"/>
  <c r="Q65" i="1"/>
  <c r="P67" i="1"/>
  <c r="AB67" i="1"/>
  <c r="V67" i="1"/>
  <c r="T67" i="1"/>
  <c r="U66" i="1"/>
  <c r="AB65" i="1"/>
  <c r="Z65" i="1"/>
  <c r="P66" i="1"/>
  <c r="AA66" i="1"/>
  <c r="R65" i="1"/>
  <c r="C61" i="1"/>
  <c r="P62" i="1"/>
  <c r="AA67" i="1"/>
  <c r="S68" i="1"/>
  <c r="N60" i="1"/>
  <c r="S65" i="1"/>
  <c r="Y65" i="1"/>
  <c r="U67" i="1"/>
  <c r="O67" i="1"/>
  <c r="P60" i="1"/>
  <c r="T65" i="1"/>
  <c r="X67" i="1"/>
  <c r="J53" i="1"/>
  <c r="J56" i="1"/>
  <c r="J55" i="1"/>
  <c r="J54" i="1"/>
  <c r="D56" i="1"/>
  <c r="D55" i="1"/>
  <c r="D54" i="1"/>
  <c r="D53" i="1"/>
  <c r="C62" i="1"/>
  <c r="R61" i="1"/>
  <c r="K56" i="1"/>
  <c r="K53" i="1"/>
  <c r="K55" i="1"/>
  <c r="K54" i="1"/>
  <c r="F55" i="1"/>
  <c r="F54" i="1"/>
  <c r="F53" i="1"/>
  <c r="F56" i="1"/>
  <c r="L56" i="1"/>
  <c r="L55" i="1"/>
  <c r="L54" i="1"/>
  <c r="L53" i="1"/>
  <c r="H54" i="1"/>
  <c r="H53" i="1"/>
  <c r="H56" i="1"/>
  <c r="H55" i="1"/>
  <c r="E55" i="1"/>
  <c r="E56" i="1"/>
  <c r="E54" i="1"/>
  <c r="E53" i="1"/>
  <c r="Z68" i="1"/>
  <c r="I53" i="1"/>
  <c r="I56" i="1"/>
  <c r="I54" i="1"/>
  <c r="I55" i="1"/>
  <c r="G55" i="1"/>
  <c r="G54" i="1"/>
  <c r="G53" i="1"/>
  <c r="G56" i="1"/>
  <c r="V61" i="1"/>
  <c r="Q61" i="1"/>
  <c r="M59" i="1"/>
  <c r="P68" i="1"/>
  <c r="T61" i="1"/>
  <c r="W61" i="1"/>
  <c r="O60" i="1"/>
  <c r="W60" i="1"/>
  <c r="P59" i="1"/>
  <c r="P61" i="1"/>
  <c r="U59" i="1"/>
  <c r="X60" i="1"/>
  <c r="AA59" i="1"/>
  <c r="AA62" i="1"/>
  <c r="U61" i="1"/>
  <c r="U60" i="1"/>
  <c r="Q60" i="1"/>
  <c r="AB59" i="1"/>
  <c r="Y60" i="1"/>
  <c r="Z59" i="1"/>
  <c r="N62" i="1"/>
  <c r="X68" i="1"/>
  <c r="AA61" i="1"/>
  <c r="S67" i="1"/>
  <c r="O61" i="1"/>
  <c r="Z61" i="1"/>
  <c r="W59" i="1"/>
  <c r="R60" i="1"/>
  <c r="Y59" i="1"/>
  <c r="Z60" i="1"/>
  <c r="O59" i="1"/>
  <c r="Y62" i="1"/>
  <c r="S62" i="1"/>
  <c r="AB68" i="1"/>
  <c r="S59" i="1"/>
  <c r="I25" i="1"/>
  <c r="I29" i="1" s="1"/>
  <c r="I26" i="1"/>
  <c r="I30" i="1" s="1"/>
  <c r="I85" i="1" s="1"/>
  <c r="L26" i="1"/>
  <c r="L30" i="1" s="1"/>
  <c r="L85" i="1" s="1"/>
  <c r="L25" i="1"/>
  <c r="L29" i="1" s="1"/>
  <c r="E25" i="1"/>
  <c r="E29" i="1" s="1"/>
  <c r="E26" i="1"/>
  <c r="E30" i="1" s="1"/>
  <c r="E85" i="1" s="1"/>
  <c r="H25" i="1"/>
  <c r="H29" i="1" s="1"/>
  <c r="H26" i="1"/>
  <c r="H30" i="1" s="1"/>
  <c r="H85" i="1" s="1"/>
  <c r="F25" i="1"/>
  <c r="F29" i="1" s="1"/>
  <c r="F26" i="1"/>
  <c r="F30" i="1" s="1"/>
  <c r="F85" i="1" s="1"/>
  <c r="J25" i="1"/>
  <c r="J29" i="1" s="1"/>
  <c r="J26" i="1"/>
  <c r="J30" i="1" s="1"/>
  <c r="J85" i="1" s="1"/>
  <c r="K25" i="1"/>
  <c r="K29" i="1" s="1"/>
  <c r="K26" i="1"/>
  <c r="K30" i="1" s="1"/>
  <c r="K85" i="1" s="1"/>
  <c r="D26" i="1"/>
  <c r="D30" i="1" s="1"/>
  <c r="D85" i="1" s="1"/>
  <c r="D25" i="1"/>
  <c r="D29" i="1" s="1"/>
  <c r="G25" i="1"/>
  <c r="G29" i="1" s="1"/>
  <c r="G26" i="1"/>
  <c r="G30" i="1" s="1"/>
  <c r="G85" i="1" s="1"/>
  <c r="C66" i="1"/>
  <c r="C67" i="1"/>
  <c r="C65" i="1"/>
  <c r="I36" i="1" l="1"/>
  <c r="I35" i="1"/>
  <c r="I37" i="1"/>
  <c r="I34" i="1"/>
  <c r="F36" i="1"/>
  <c r="F35" i="1"/>
  <c r="F34" i="1"/>
  <c r="F37" i="1"/>
  <c r="H36" i="1"/>
  <c r="H34" i="1"/>
  <c r="H35" i="1"/>
  <c r="H37" i="1"/>
  <c r="E36" i="1"/>
  <c r="E37" i="1"/>
  <c r="E35" i="1"/>
  <c r="E34" i="1"/>
  <c r="J37" i="1"/>
  <c r="J36" i="1"/>
  <c r="J35" i="1"/>
  <c r="J34" i="1"/>
  <c r="L35" i="1"/>
  <c r="L34" i="1"/>
  <c r="L37" i="1"/>
  <c r="L36" i="1"/>
  <c r="G36" i="1"/>
  <c r="G35" i="1"/>
  <c r="G34" i="1"/>
  <c r="G37" i="1"/>
  <c r="D36" i="1"/>
  <c r="D35" i="1"/>
  <c r="D34" i="1"/>
  <c r="D37" i="1"/>
  <c r="K35" i="1"/>
  <c r="K37" i="1"/>
  <c r="K36" i="1"/>
  <c r="K34" i="1"/>
  <c r="AE56" i="1"/>
  <c r="AD56" i="1"/>
  <c r="D84" i="1"/>
  <c r="D86" i="1" s="1"/>
  <c r="G84" i="1"/>
  <c r="G86" i="1" s="1"/>
  <c r="E84" i="1"/>
  <c r="E86" i="1" s="1"/>
  <c r="H84" i="1"/>
  <c r="H86" i="1" s="1"/>
  <c r="L84" i="1"/>
  <c r="L86" i="1" s="1"/>
  <c r="J84" i="1"/>
  <c r="J86" i="1" s="1"/>
  <c r="F84" i="1"/>
  <c r="F86" i="1" s="1"/>
  <c r="I84" i="1"/>
  <c r="I86" i="1" s="1"/>
  <c r="K84" i="1"/>
  <c r="K86" i="1" s="1"/>
  <c r="AE54" i="1"/>
  <c r="AD54" i="1"/>
  <c r="AE55" i="1"/>
  <c r="AD55" i="1"/>
  <c r="AE53" i="1"/>
  <c r="AD53" i="1"/>
  <c r="G31" i="1"/>
  <c r="E41" i="1"/>
  <c r="E31" i="1"/>
  <c r="L31" i="1"/>
  <c r="K31" i="1"/>
  <c r="F31" i="1"/>
  <c r="H31" i="1"/>
  <c r="J31" i="1"/>
  <c r="I31" i="1"/>
  <c r="D31" i="1"/>
  <c r="E47" i="1" l="1"/>
  <c r="K40" i="1"/>
  <c r="K46" i="1" s="1"/>
  <c r="F40" i="1"/>
  <c r="F65" i="1" s="1"/>
  <c r="F46" i="1"/>
  <c r="E66" i="1"/>
  <c r="I40" i="1"/>
  <c r="I59" i="1" s="1"/>
  <c r="E40" i="1"/>
  <c r="E46" i="1" s="1"/>
  <c r="E60" i="1"/>
  <c r="J41" i="1"/>
  <c r="J47" i="1" s="1"/>
  <c r="K41" i="1"/>
  <c r="K47" i="1" s="1"/>
  <c r="F42" i="1"/>
  <c r="F61" i="1" s="1"/>
  <c r="F41" i="1"/>
  <c r="F47" i="1" s="1"/>
  <c r="F60" i="1"/>
  <c r="G40" i="1"/>
  <c r="G46" i="1" s="1"/>
  <c r="E42" i="1"/>
  <c r="E48" i="1" s="1"/>
  <c r="G41" i="1"/>
  <c r="G47" i="1" s="1"/>
  <c r="J40" i="1"/>
  <c r="J46" i="1" s="1"/>
  <c r="K42" i="1"/>
  <c r="K48" i="1" s="1"/>
  <c r="K61" i="1"/>
  <c r="L40" i="1"/>
  <c r="L46" i="1" s="1"/>
  <c r="D41" i="1"/>
  <c r="D47" i="1" s="1"/>
  <c r="L41" i="1"/>
  <c r="L60" i="1" s="1"/>
  <c r="J42" i="1"/>
  <c r="J48" i="1" s="1"/>
  <c r="G42" i="1"/>
  <c r="G48" i="1" s="1"/>
  <c r="L42" i="1"/>
  <c r="L48" i="1" s="1"/>
  <c r="I41" i="1"/>
  <c r="I47" i="1" s="1"/>
  <c r="L43" i="1"/>
  <c r="L49" i="1" s="1"/>
  <c r="K43" i="1"/>
  <c r="K49" i="1" s="1"/>
  <c r="J43" i="1"/>
  <c r="J68" i="1" s="1"/>
  <c r="G43" i="1"/>
  <c r="G49" i="1" s="1"/>
  <c r="E43" i="1"/>
  <c r="E49" i="1" s="1"/>
  <c r="D43" i="1"/>
  <c r="D49" i="1" s="1"/>
  <c r="D68" i="1"/>
  <c r="H43" i="1"/>
  <c r="H49" i="1" s="1"/>
  <c r="I43" i="1"/>
  <c r="I49" i="1" s="1"/>
  <c r="H42" i="1"/>
  <c r="H48" i="1" s="1"/>
  <c r="H41" i="1"/>
  <c r="H40" i="1"/>
  <c r="H46" i="1" s="1"/>
  <c r="D40" i="1"/>
  <c r="D46" i="1" s="1"/>
  <c r="AE34" i="1"/>
  <c r="AD34" i="1"/>
  <c r="D42" i="1"/>
  <c r="D48" i="1" s="1"/>
  <c r="AE36" i="1"/>
  <c r="AD36" i="1"/>
  <c r="AE37" i="1"/>
  <c r="AD37" i="1"/>
  <c r="AD35" i="1"/>
  <c r="AE35" i="1"/>
  <c r="F43" i="1"/>
  <c r="F49" i="1" s="1"/>
  <c r="I42" i="1"/>
  <c r="I48" i="1" s="1"/>
  <c r="G60" i="1" l="1"/>
  <c r="D60" i="1"/>
  <c r="F59" i="1"/>
  <c r="G59" i="1"/>
  <c r="F48" i="1"/>
  <c r="K65" i="1"/>
  <c r="E65" i="1"/>
  <c r="K59" i="1"/>
  <c r="I46" i="1"/>
  <c r="J49" i="1"/>
  <c r="AH49" i="1" s="1"/>
  <c r="L47" i="1"/>
  <c r="J59" i="1"/>
  <c r="H47" i="1"/>
  <c r="E62" i="1"/>
  <c r="G68" i="1"/>
  <c r="J67" i="1"/>
  <c r="H61" i="1"/>
  <c r="D61" i="1"/>
  <c r="K67" i="1"/>
  <c r="G65" i="1"/>
  <c r="I68" i="1"/>
  <c r="L66" i="1"/>
  <c r="F66" i="1"/>
  <c r="H62" i="1"/>
  <c r="AD49" i="1"/>
  <c r="AF49" i="1" s="1"/>
  <c r="I65" i="1"/>
  <c r="G67" i="1"/>
  <c r="F68" i="1"/>
  <c r="J62" i="1"/>
  <c r="E59" i="1"/>
  <c r="D59" i="1"/>
  <c r="F67" i="1"/>
  <c r="E67" i="1"/>
  <c r="J66" i="1"/>
  <c r="J65" i="1"/>
  <c r="K62" i="1"/>
  <c r="L68" i="1"/>
  <c r="G66" i="1"/>
  <c r="H59" i="1"/>
  <c r="I66" i="1"/>
  <c r="D66" i="1"/>
  <c r="K66" i="1"/>
  <c r="I67" i="1"/>
  <c r="E68" i="1"/>
  <c r="L67" i="1"/>
  <c r="L65" i="1"/>
  <c r="D62" i="1"/>
  <c r="J60" i="1"/>
  <c r="G61" i="1"/>
  <c r="J61" i="1"/>
  <c r="L61" i="1"/>
  <c r="AD41" i="1"/>
  <c r="H68" i="1"/>
  <c r="K68" i="1"/>
  <c r="K60" i="1"/>
  <c r="H60" i="1"/>
  <c r="E61" i="1"/>
  <c r="I61" i="1"/>
  <c r="L59" i="1"/>
  <c r="I60" i="1"/>
  <c r="I62" i="1"/>
  <c r="G62" i="1"/>
  <c r="F62" i="1"/>
  <c r="L62" i="1"/>
  <c r="AE41" i="1"/>
  <c r="H65" i="1"/>
  <c r="H66" i="1"/>
  <c r="H67" i="1"/>
  <c r="AE43" i="1"/>
  <c r="AD43" i="1"/>
  <c r="D65" i="1"/>
  <c r="AD40" i="1"/>
  <c r="AE40" i="1"/>
  <c r="D67" i="1"/>
  <c r="AE42" i="1"/>
  <c r="AD42" i="1"/>
  <c r="AH68" i="1" l="1"/>
  <c r="AE68" i="1"/>
  <c r="AG68" i="1" s="1"/>
  <c r="AE47" i="1"/>
  <c r="AD47" i="1"/>
  <c r="AE49" i="1"/>
  <c r="AG49" i="1" s="1"/>
  <c r="AE46" i="1"/>
  <c r="AD46" i="1"/>
  <c r="AE48" i="1"/>
  <c r="AD48" i="1"/>
  <c r="AD68" i="1"/>
  <c r="AF68" i="1" s="1"/>
  <c r="AE66" i="1"/>
  <c r="AD66" i="1"/>
  <c r="AE65" i="1"/>
  <c r="AD65" i="1"/>
  <c r="AE67" i="1"/>
  <c r="AD6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 Porter</author>
  </authors>
  <commentList>
    <comment ref="H7" authorId="0" shapeId="0" xr:uid="{29FE699E-36BA-4897-8565-F5204DC8AC60}">
      <text>
        <r>
          <rPr>
            <b/>
            <sz val="9"/>
            <color indexed="81"/>
            <rFont val="Tahoma"/>
            <family val="2"/>
          </rPr>
          <t>Chris Porter:</t>
        </r>
        <r>
          <rPr>
            <sz val="9"/>
            <color indexed="81"/>
            <rFont val="Tahoma"/>
            <family val="2"/>
          </rPr>
          <t xml:space="preserve">
ICCT (2021) assumes 85 - 300 - 850 (85 based on 100 kW overnight)</t>
        </r>
      </text>
    </comment>
    <comment ref="C19" authorId="0" shapeId="0" xr:uid="{EF69121C-554C-4CD7-B255-D59E7E55FB80}">
      <text>
        <r>
          <rPr>
            <b/>
            <sz val="9"/>
            <color indexed="81"/>
            <rFont val="Tahoma"/>
            <family val="2"/>
          </rPr>
          <t>Chris Porter:</t>
        </r>
        <r>
          <rPr>
            <sz val="9"/>
            <color indexed="81"/>
            <rFont val="Tahoma"/>
            <family val="2"/>
          </rPr>
          <t xml:space="preserve">
DO NOT USE</t>
        </r>
      </text>
    </comment>
    <comment ref="B51" authorId="0" shapeId="0" xr:uid="{DAA9E83D-7451-448D-8544-5EBF31E88F7F}">
      <text>
        <r>
          <rPr>
            <b/>
            <sz val="9"/>
            <color indexed="81"/>
            <rFont val="Tahoma"/>
            <family val="2"/>
          </rPr>
          <t>Chris Porter:</t>
        </r>
        <r>
          <rPr>
            <sz val="9"/>
            <color indexed="81"/>
            <rFont val="Tahoma"/>
            <family val="2"/>
          </rPr>
          <t xml:space="preserve">
0 = no, 1 = yes
</t>
        </r>
      </text>
    </comment>
    <comment ref="B71" authorId="0" shapeId="0" xr:uid="{E970DB8F-ECA7-4F1B-851D-4E9F8AA49994}">
      <text>
        <r>
          <rPr>
            <b/>
            <sz val="9"/>
            <color indexed="81"/>
            <rFont val="Tahoma"/>
            <family val="2"/>
          </rPr>
          <t>Chris Porter:</t>
        </r>
        <r>
          <rPr>
            <sz val="9"/>
            <color indexed="81"/>
            <rFont val="Tahoma"/>
            <family val="2"/>
          </rPr>
          <t xml:space="preserve">
could be used to refine average utilization and power demand by power level</t>
        </r>
      </text>
    </comment>
    <comment ref="B74" authorId="0" shapeId="0" xr:uid="{36E98B1B-5024-4CF7-A610-B50F1D345060}">
      <text>
        <r>
          <rPr>
            <b/>
            <sz val="9"/>
            <color indexed="81"/>
            <rFont val="Tahoma"/>
            <family val="2"/>
          </rPr>
          <t>Chris Porter:</t>
        </r>
        <r>
          <rPr>
            <sz val="9"/>
            <color indexed="81"/>
            <rFont val="Tahoma"/>
            <family val="2"/>
          </rPr>
          <t xml:space="preserve">
AEO Reference Case</t>
        </r>
      </text>
    </comment>
    <comment ref="B77" authorId="0" shapeId="0" xr:uid="{12E82AC6-692D-4833-A0E4-C42FF685A19B}">
      <text>
        <r>
          <rPr>
            <b/>
            <sz val="9"/>
            <color indexed="81"/>
            <rFont val="Tahoma"/>
            <family val="2"/>
          </rPr>
          <t>Chris Porter:</t>
        </r>
        <r>
          <rPr>
            <sz val="9"/>
            <color indexed="81"/>
            <rFont val="Tahoma"/>
            <family val="2"/>
          </rPr>
          <t xml:space="preserve">
2023 AEO Ref Case</t>
        </r>
      </text>
    </comment>
    <comment ref="B88" authorId="0" shapeId="0" xr:uid="{B2D8E018-11AE-4C08-946E-0062FF42E9F2}">
      <text>
        <r>
          <rPr>
            <b/>
            <sz val="9"/>
            <color indexed="81"/>
            <rFont val="Tahoma"/>
            <family val="2"/>
          </rPr>
          <t>Chris Porter:</t>
        </r>
        <r>
          <rPr>
            <sz val="9"/>
            <color indexed="81"/>
            <rFont val="Tahoma"/>
            <family val="2"/>
          </rPr>
          <t xml:space="preserve">
Source: Jeff Houk, Sonoma Technology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 Porter</author>
  </authors>
  <commentList>
    <comment ref="M2" authorId="0" shapeId="0" xr:uid="{AA2F9C1D-D02E-463F-BCF1-E5249F9A8495}">
      <text>
        <r>
          <rPr>
            <b/>
            <sz val="9"/>
            <color indexed="81"/>
            <rFont val="Tahoma"/>
            <family val="2"/>
          </rPr>
          <t>Chris Porter:</t>
        </r>
        <r>
          <rPr>
            <sz val="9"/>
            <color indexed="81"/>
            <rFont val="Tahoma"/>
            <family val="2"/>
          </rPr>
          <t xml:space="preserve">
1 = Yes, 0 = No
</t>
        </r>
      </text>
    </comment>
    <comment ref="D3" authorId="0" shapeId="0" xr:uid="{1F10C90F-BCC6-439E-B4AD-BFA335B6DB42}">
      <text>
        <r>
          <rPr>
            <b/>
            <sz val="9"/>
            <color indexed="81"/>
            <rFont val="Tahoma"/>
            <family val="2"/>
          </rPr>
          <t>Chris Porter:</t>
        </r>
        <r>
          <rPr>
            <sz val="9"/>
            <color indexed="81"/>
            <rFont val="Tahoma"/>
            <family val="2"/>
          </rPr>
          <t xml:space="preserve">
Share of total MDT + HDT use
not currently used</t>
        </r>
      </text>
    </comment>
    <comment ref="C4" authorId="0" shapeId="0" xr:uid="{37DE6EAA-7961-4D35-8E73-1FEB6E0023F1}">
      <text>
        <r>
          <rPr>
            <b/>
            <sz val="9"/>
            <color indexed="81"/>
            <rFont val="Tahoma"/>
            <family val="2"/>
          </rPr>
          <t>Chris Porter:</t>
        </r>
        <r>
          <rPr>
            <sz val="9"/>
            <color indexed="81"/>
            <rFont val="Tahoma"/>
            <family val="2"/>
          </rPr>
          <t xml:space="preserve">
paste scenario data here</t>
        </r>
      </text>
    </comment>
  </commentList>
</comments>
</file>

<file path=xl/sharedStrings.xml><?xml version="1.0" encoding="utf-8"?>
<sst xmlns="http://schemas.openxmlformats.org/spreadsheetml/2006/main" count="321" uniqueCount="222">
  <si>
    <t>CPRG East Coast ZEV Freight Corridor</t>
  </si>
  <si>
    <t>total grant funds</t>
  </si>
  <si>
    <t>million</t>
  </si>
  <si>
    <t>$/ton</t>
  </si>
  <si>
    <t>2025-2030</t>
  </si>
  <si>
    <t>2025 - 2050</t>
  </si>
  <si>
    <t>2025 - 2030</t>
  </si>
  <si>
    <t>2030 - 2050</t>
  </si>
  <si>
    <t>2030 - 2035</t>
  </si>
  <si>
    <t>Active Share</t>
  </si>
  <si>
    <t>Average Charge Power (kW)</t>
  </si>
  <si>
    <t>Power (kW)</t>
  </si>
  <si>
    <t>Average Utilization Level</t>
  </si>
  <si>
    <t>Daily Energy Demand (MWh)</t>
  </si>
  <si>
    <t>Per Site</t>
  </si>
  <si>
    <t>Total</t>
  </si>
  <si>
    <t>Total Annual Energy Demand</t>
  </si>
  <si>
    <t>1,000 MWh</t>
  </si>
  <si>
    <t>mmBTU</t>
  </si>
  <si>
    <t>Class 50</t>
  </si>
  <si>
    <t>Class 60</t>
  </si>
  <si>
    <t>Truck VMT (electric &amp; displaced diesel, millions)</t>
  </si>
  <si>
    <t>Change in Direct Truck Emissions</t>
  </si>
  <si>
    <t>Nox (tons)</t>
  </si>
  <si>
    <t>PM2.5 (tons)</t>
  </si>
  <si>
    <t>VOC (tons)</t>
  </si>
  <si>
    <t>CO2e (mt)</t>
  </si>
  <si>
    <t>Change in Indirect Truck Emissions</t>
  </si>
  <si>
    <t>Mobile Source Total</t>
  </si>
  <si>
    <t>Include electricity emissions?</t>
  </si>
  <si>
    <t>Change in Electricity Generation Emissions (including Indirect)</t>
  </si>
  <si>
    <t>Electricity % of Tailpipe</t>
  </si>
  <si>
    <t xml:space="preserve">Nox </t>
  </si>
  <si>
    <t xml:space="preserve">PM2.5 </t>
  </si>
  <si>
    <t xml:space="preserve">VOC </t>
  </si>
  <si>
    <t xml:space="preserve">CO2e </t>
  </si>
  <si>
    <t>Net Change in Emissions</t>
  </si>
  <si>
    <t>Truck Stock and Energy Data</t>
  </si>
  <si>
    <t>ACT EV Stock Projections</t>
  </si>
  <si>
    <t>Source: TEA-CART, based on CARB data</t>
  </si>
  <si>
    <t>Medium Truck</t>
  </si>
  <si>
    <t>Heavy Truck</t>
  </si>
  <si>
    <t>Energy Per Mile (1,000 Btu/mi)</t>
  </si>
  <si>
    <t>VMT per Vehicle</t>
  </si>
  <si>
    <t>Energy Share (EV Converted Trucks)</t>
  </si>
  <si>
    <t>Equivalent new EV's</t>
  </si>
  <si>
    <t>Emission Factors (g/mi)</t>
  </si>
  <si>
    <t>NOx</t>
  </si>
  <si>
    <t>PM2.5</t>
  </si>
  <si>
    <t>VOC</t>
  </si>
  <si>
    <t>CO2e</t>
  </si>
  <si>
    <t>Electricity Generation (g/mmBtu)</t>
  </si>
  <si>
    <t>Energy Rates (mmBtu/mi)</t>
  </si>
  <si>
    <t>Class 50 - ICE</t>
  </si>
  <si>
    <t>Class 50 - ZEV</t>
  </si>
  <si>
    <t>Class 60 - ICE</t>
  </si>
  <si>
    <t>Class 60 - ZEV</t>
  </si>
  <si>
    <t>EGU check</t>
  </si>
  <si>
    <t>CO2</t>
  </si>
  <si>
    <t>g/mi</t>
  </si>
  <si>
    <t>This table is not used</t>
  </si>
  <si>
    <t>Infrastructure</t>
  </si>
  <si>
    <t>Ports per Site:</t>
  </si>
  <si>
    <t>Use?</t>
  </si>
  <si>
    <t>Power level (kW)</t>
  </si>
  <si>
    <t>Total ports</t>
  </si>
  <si>
    <t>MDT % of Use</t>
  </si>
  <si>
    <t>Sites per Truck</t>
  </si>
  <si>
    <t>Use case</t>
  </si>
  <si>
    <t>Truck Stop</t>
  </si>
  <si>
    <t>Larger truck stop</t>
  </si>
  <si>
    <t>Industrial</t>
  </si>
  <si>
    <t>Average</t>
  </si>
  <si>
    <t>High Cost</t>
  </si>
  <si>
    <t>Low Cost</t>
  </si>
  <si>
    <t>overnight/long breaks</t>
  </si>
  <si>
    <t>top off</t>
  </si>
  <si>
    <t>quick refuel</t>
  </si>
  <si>
    <t>not included</t>
  </si>
  <si>
    <t>Total sites:</t>
  </si>
  <si>
    <t>Notes</t>
  </si>
  <si>
    <t xml:space="preserve"> </t>
  </si>
  <si>
    <t>@250M, 30% of grid upgrades</t>
  </si>
  <si>
    <t>mmBtu/1000 MWh</t>
  </si>
  <si>
    <t>discounting for federal tax credit</t>
  </si>
  <si>
    <t>Ngrid:</t>
  </si>
  <si>
    <t>Need 8-12 sites given length of highway, supplement with industrial sites</t>
  </si>
  <si>
    <t>per truck</t>
  </si>
  <si>
    <t>trucks</t>
  </si>
  <si>
    <t>ICCT (2021)</t>
  </si>
  <si>
    <t>2030 - U.S.</t>
  </si>
  <si>
    <t>charge points</t>
  </si>
  <si>
    <t>depot</t>
  </si>
  <si>
    <t>overnight public</t>
  </si>
  <si>
    <t>fast charge public</t>
  </si>
  <si>
    <t>Total public</t>
  </si>
  <si>
    <t>Final charger scenarios from James Bradbury, 3/20/24</t>
  </si>
  <si>
    <t>Here is the new charging port scenario to model (this is the 50% grid upgrades version)</t>
  </si>
  <si>
    <t>Charger nominal max power level</t>
  </si>
  <si>
    <t>total regional</t>
  </si>
  <si>
    <t>CT</t>
  </si>
  <si>
    <t>DE</t>
  </si>
  <si>
    <t>MD</t>
  </si>
  <si>
    <t>NJ</t>
  </si>
  <si>
    <t>150 kW</t>
  </si>
  <si>
    <t>350 kW</t>
  </si>
  <si>
    <t>1,000 kW</t>
  </si>
  <si>
    <t>oh, and here is the more conservative scenario, for reference in the technical appendix</t>
  </si>
  <si>
    <t>Questions for Research</t>
  </si>
  <si>
    <t>What power level (kW) will medium and heavy trucks typically be able to charge at?  How will that change over time?</t>
  </si>
  <si>
    <t xml:space="preserve">This is probably the simplest short term and most complicated long term question. There are a few different terms that I saw related to this topic: charge acceptance (charge acceptance curve), charge power, charge level, charge speed.  The complicated side is that charge acceptance curves relate power with state of charge (SOC) and these curves vary with battery size, temperture, and what type of charging you are doing. Takeaway from all this complication is that the future is pretty unpredictable here; the most reasonable prediction is that innovation will outpace whatever seems like a reasonable projection in my opinion. I'm basing this partly on the numbers used in the various models that predict pretty high charge power being used, especially for heavy duty trucks. On the simple side, most manufacturers report this number or something similar like time to charge or the highest charger level the vehicle is designed to use (level I, level II, DC fast charge). So it's easy to make short term predictions.  I think assuming all vehicles are capable of DC fast charging base year is reasonable - 150 kW. Many are below that in the medium duty sector, but some are right there or above. Additionally heavy duty trucks seem to be usually at 150 or above. I saw one modeling paper that really considered this issue state that they believed heavy duty vehciles would not be limited by charge accpetance rate but by port power levels (this paper was based on anEU Megawatt Charging Station and estimated a charge acceptance above 1 MW) and medium duty vehicles would be limited at the high end of DC fast charging (350 kW). I think that's a reasonable future prediction. The EU, US, and China are pushing for a MW standard and there have already been demonstrations of MW charging in action, though I don't believe there's any commercially available trucks capable of it. </t>
  </si>
  <si>
    <t>Probably less for medium than heavy trucks</t>
  </si>
  <si>
    <t>May increase over time as technology improves</t>
  </si>
  <si>
    <t>Definitely</t>
  </si>
  <si>
    <t>What share of trucks will be able to make use of 1 MW chargers? 3 MW?</t>
  </si>
  <si>
    <t xml:space="preserve">Currenlty zero vehicles meet the 1 MW. The closest is the proposed Tesla Semi at 800 kW. It's really difficult to estiamte a share of future trucks. Assuming that these early heavy duty trucks are a large part of future fleets than the number may be even less. </t>
  </si>
  <si>
    <t>What is expected as the maximum long-term utilization level of an MHDV charger? (% of hours used for charging)</t>
  </si>
  <si>
    <t>This question as we're phrasing it here is a little different than how it's usually discussed in the literature. I'm mostly seeing estimates on a per truck basis how much time is spent charging. However, doing some bar-chart calculations I saw a report that was &lt;50% utilization in a modeling scenario for trucks traveling around 300 miles (which is pretty close to our corridor). The more accurate number is 80 minutes of charging per truck which might be more useful if we knew how many stations/how many trucks we're estimating. I also saw numbers where this utilization rate was assumed for a heavy duty charging situation - current rate was assumed to 25% and future scenario was 60%. I wouldn't be shocked if it stayed lower than that in the future scenario. What is likely is that depot charging as it's often called will have extremely high utilization - even more so early on. I think this question is best taken up in the LDV space by business analysis of charging stations. I didn't see any similar reports for MCS</t>
  </si>
  <si>
    <t>RMI has used 30% for LDV chargers</t>
  </si>
  <si>
    <t>That jives with estimates for MassDOT NEVI based on hourly distribution of traffic and max peak period utilization</t>
  </si>
  <si>
    <t>When might that maximum utilization level be reached?</t>
  </si>
  <si>
    <t>I do think this may be a bit paradoxical as the maximum utilization will potentially be higher than it will be as more stations are built.  Based on models highest estimate I saw was 60%. I also saw 40% and 27%</t>
  </si>
  <si>
    <t>By year?  Or by market share?</t>
  </si>
  <si>
    <t>Based on modeling assumptions being made 21 years, a100x fold increase in electric truck deployment, or 75% market share</t>
  </si>
  <si>
    <t>How many ports will be needed</t>
  </si>
  <si>
    <t xml:space="preserve">I saw several estimates of this per truck. By 2030 nationwide 1 on road port per 50 trucks. Similar, 2040 estimate of 8 ports per truck. </t>
  </si>
  <si>
    <t>Questions for Georgetown/States</t>
  </si>
  <si>
    <t>Emission factors for electricity?</t>
  </si>
  <si>
    <t>Lifetime over which benefits are reported?</t>
  </si>
  <si>
    <t>Start year? End year?</t>
  </si>
  <si>
    <t>Title</t>
  </si>
  <si>
    <t>Year</t>
  </si>
  <si>
    <t>Author</t>
  </si>
  <si>
    <t>Link</t>
  </si>
  <si>
    <t>Useful</t>
  </si>
  <si>
    <t>Question</t>
  </si>
  <si>
    <t>The Potential of electric trucks - An international commodity-level analysis</t>
  </si>
  <si>
    <t>Hikki Liimatainen, Oscar van Vliet, David Aplyn</t>
  </si>
  <si>
    <t>https://www.sciencedirect.com/science/article/pii/S0306261918318361</t>
  </si>
  <si>
    <t>Useful table (table 1) that shows some current trucks in deployment. Table 2 shows estiamtes for on-road reachargin reaching charing powers of 50-150-250-400 kW as technology progress. Full Electrification is the scenario for the highest value lowest value is current technology. Table 2 severly contradicts table 1 in this regards, and it's not clear why. Conservative approach.</t>
  </si>
  <si>
    <t>Yes</t>
  </si>
  <si>
    <t>Q1</t>
  </si>
  <si>
    <t>CharIN White paper Megawatt CHarging System (MCS): Reccomendations and Requirements for MCS related standards bodies and solution supplies</t>
  </si>
  <si>
    <t>CHARIN</t>
  </si>
  <si>
    <t>https://www.charin.global/media/pages/technology/knowledge-base/c708ba3361-1670238823/whitepaper_megawatt_charging_system_1.0.pdf</t>
  </si>
  <si>
    <t>Very technical. Reccomendations is for an operating range of 500 - 1250 volts. Maximum current is reccomended between 0 - 3000 A. This would give a maximum charge power of 3750 kW.</t>
  </si>
  <si>
    <t>ESTIMATING THE INFRASTRUCTURE NEEDS AND COSTS FOR THE LAUNCH OF ZERO-EMISSION TRUCKS</t>
  </si>
  <si>
    <t>Dale Hall, Nic Lutsey</t>
  </si>
  <si>
    <t>https://www.researchgate.net/profile/Nicholas-Lutsey/publication/335104931_Estimating_the_infrastructure_needs_and_costs_for_the_launch_of_zero-emission_trucks/links/5d4f9cda299bf1995b759d35/Estimating-the-infrastructure-needs-and-costs-for-the-launch-of-zero-emission-trucks.pdf</t>
  </si>
  <si>
    <t>This was probably the most useful study in terms of specifying some of the parameters we are interested in. Q4: "As of May 2019, there are 751 CNG public filling
stations available for heavy-duty trucks in the United States with 1,477 dispensers (U.S.
Department of Energy, 2019). Thirty-six percent of stations had a single dispenser, 43%
had two, 10% had three, 10% had four, and the remaining 1% of stations had five or more
dispensers. We assume that, in the high-volume case, hydrogen and ultra-fast charging
station sites will be similarly distributed. In the low- and medium-volume cases, station
size distributions are further skewed toward stations with one or two dispensers." Q2: estimating about 80 minutes of charging for a 330 long haul trip.</t>
  </si>
  <si>
    <t>Q2/Q4</t>
  </si>
  <si>
    <t>A Framework to Analyze the Requirements of a Multiport
Megawatt-Level Charging Station for Heavy-Duty
Electric Vehicles</t>
  </si>
  <si>
    <t>Partha Mishra, Eric Miller, Shriram Santhanagopalan, Kevin Bennion and Andrew Meintz</t>
  </si>
  <si>
    <t>https://www.mdpi.com/1996-1073/15/10/3788</t>
  </si>
  <si>
    <t>This was a great paper, but not everything was shown. Could definitley think about estimating some of our Qs based on findings here, but would need to dig in. For Q1 they calcualte some acceptance curves for vehicles based on some assumptions. The larger battery sizes (1200 kW) are basically limited by the station power at any state of charge; smaller (600 kW) do face limitations between 800 adn 1100 kW depending on SOC.</t>
  </si>
  <si>
    <t>Life-cycle assessment of a charging hub for electric trucks</t>
  </si>
  <si>
    <t>GUSTAV DAHLBERG, JUAN PABLO RAMIREZ RODRIGUEZ</t>
  </si>
  <si>
    <t>https://odr.chalmers.se/server/api/core/bitstreams/472520a2-97ea-467f-b607-dfa387d4413f/content</t>
  </si>
  <si>
    <t>This was a mater thesis at a swedish university so worth a grain of salt. But in their life cycle assesment they received guidance from a company considering building MCSs and were considering 21 year life span with the first 7 years at a 30% utilization rate and the last 14 years at 60%</t>
  </si>
  <si>
    <t>Q2/Q3</t>
  </si>
  <si>
    <t>Charging needs for electric semi-trailer trucks</t>
  </si>
  <si>
    <t>https://www.sciencedirect.com/science/article/pii/S2667095X22000228</t>
  </si>
  <si>
    <t>No</t>
  </si>
  <si>
    <t>California Heavy-Duty Fleet Electrification</t>
  </si>
  <si>
    <t>gna</t>
  </si>
  <si>
    <t>https://cdn.gladstein.org/pdfs/whitepapers/california-fleet-electrification-case-study.pdf</t>
  </si>
  <si>
    <t xml:space="preserve">Studied in california, for two regional fleet operators their charging needs to go ev. 92 class-8 trucks. Under a 150 kW charge power and 500 kWh battery life average # of chargers in use at any one time over a year was 4.3, peak was 29 unmanaged (12.8 &amp; 40 managed). For 800 kW and 1000 kWh scenario  2.6/26 and 12.8/40 unmangaged average/max vs managed average/max. Trip completion in the lower power level scenario was 71% of current trips compared to 93% in advanced scenario. </t>
  </si>
  <si>
    <t>Q3</t>
  </si>
  <si>
    <t>Infrastructure to support a
100% zero-emission tractor-trailer
fleet	in	the	United	States	by	2040</t>
  </si>
  <si>
    <t>Ray Minjares, Felipe Rodríguez, Arijit Sen, and Caleb Braun</t>
  </si>
  <si>
    <t>https://theicct.org/wp-content/uploads/2021/12/ze-tractor-trailer-fleet-us-hdvs-sept21.pdf</t>
  </si>
  <si>
    <t>They assumed in 2021 that depot, fast (300 kW) and Megawatt (850 kW) charger ports would see on average 1 vehicle per day. By 2050 it will be 2.5, 12, 12. Total utilization for each is 7/24, 6/24, 6/24 ~ 1/4 utilization. They estimate by 2030 truck to charge ration will be 100,000:127,000. 89% of those will be overnight charging 11% are 350 kW or more. They assume net zero in 2040 at this point 950,000 BEV and 1.1 million charging points, 88% are overngiht 11% publically accesible. Table 5 to the right shows all the results</t>
  </si>
  <si>
    <t>Q3/Q4</t>
  </si>
  <si>
    <t>Presentation: Perspectives on Charging Medium-and Heavy-Duty Eelctric Vehicles</t>
  </si>
  <si>
    <t>NREL</t>
  </si>
  <si>
    <t>https://www.nrel.gov/docs/fy22osti/81656.pdf</t>
  </si>
  <si>
    <t>See below</t>
  </si>
  <si>
    <t>-</t>
  </si>
  <si>
    <t>Presentation: U.S. Vehicle Electrification Infrastrucutre Assesment</t>
  </si>
  <si>
    <t>Atlas Public Policy</t>
  </si>
  <si>
    <t>https://atlaspolicy.com/wp-content/uploads/2021/11/2021-11-12_Atlas_US_Electrification_Infrastructure_Assessment_MD-HD-trucks.pdf</t>
  </si>
  <si>
    <t>Estiamtes on the number of mW ports needed in the US for different vehicle classes.  Low-cost scenario: 10% of truck charging is onroad at 40% utilization. High-cost scenario: 25% of charging is onroad at 20% utilization.  (Average utilization of truck parking spaces: 40-90% (FL), 18% (TX)</t>
  </si>
  <si>
    <t>Q4</t>
  </si>
  <si>
    <t>NEAR-TERM INFRASTRUCTURE
DEPLOYMENT TO SUPPORT
ZERO-EMISSION MEDIUM- AND
HEAVY-DUTY VEHICLES IN
THE UNITED STATES</t>
  </si>
  <si>
    <t>ICCT</t>
  </si>
  <si>
    <t>https://theicct.org/wp-content/uploads/2023/05/infrastructure-deployment-mhdv-may23.pdf</t>
  </si>
  <si>
    <t>Some helpful estimates on the number of chargers needed nationwide and some estiamtes on the charging power that were useful</t>
  </si>
  <si>
    <t>Global EV Outlook 2023 Catching up with climate ambitions</t>
  </si>
  <si>
    <t>IEA</t>
  </si>
  <si>
    <t>Really helpful report for what's upcoming in terms of charging</t>
  </si>
  <si>
    <t>GUIDANCE REPORT: Medium-Duty Electric Trucks Cost Of Ownership</t>
  </si>
  <si>
    <t>NACFE</t>
  </si>
  <si>
    <t xml:space="preserve">One of the few general discussions on predicting future technology/adoption I've seen. </t>
  </si>
  <si>
    <t>Zero-Emission Medium- and Heavy-duty Truck Technology, Markets, and Policy Assessments for California</t>
  </si>
  <si>
    <t>Andrew Burke, Marshal Miller</t>
  </si>
  <si>
    <t xml:space="preserve">Assumed in a really built out scenario stations would provide 60 ports with a 24% utilization. </t>
  </si>
  <si>
    <t>TRANSPORTATION ENERGY DATA BOOK: EDITION 40</t>
  </si>
  <si>
    <t>ORNL</t>
  </si>
  <si>
    <t xml:space="preserve">Currenlty for all trucks, 50% are 5 years old or younger. </t>
  </si>
  <si>
    <t>Vehicle Type</t>
  </si>
  <si>
    <t>Maximum</t>
  </si>
  <si>
    <t>Source</t>
  </si>
  <si>
    <t>Note</t>
  </si>
  <si>
    <t>Medium duty</t>
  </si>
  <si>
    <t>Average of many vehicles</t>
  </si>
  <si>
    <t>rigitd</t>
  </si>
  <si>
    <t>semitrailer</t>
  </si>
  <si>
    <t>https://www.macktrucks.com/trucks/md-electric/</t>
  </si>
  <si>
    <t>Heavy duty</t>
  </si>
  <si>
    <t>https://www.tesla.com/semi</t>
  </si>
  <si>
    <t>DC Fast</t>
  </si>
  <si>
    <t>https://bluearcev.com/class-5/</t>
  </si>
  <si>
    <t>https://www.isuzucv.com/en/app/site/pdf?file=2025NRREVBrochure.pdf</t>
  </si>
  <si>
    <t>250 </t>
  </si>
  <si>
    <t>https://www.volvotrucks.com/en-en/trucks/electric/volvo-fh-aero-electric.html</t>
  </si>
  <si>
    <t>https://www.volvotrucks.com/en-en/trucks/electric/volvo-fh-electric.html</t>
  </si>
  <si>
    <t>https://www.volvotrucks.com/en-en/trucks/electric/volvo-fmx-electric.html</t>
  </si>
  <si>
    <t>https://www.volvotrucks.com/en-en/trucks/electric/volvo-fm-electric.html</t>
  </si>
  <si>
    <t>https://www.volvotrucks.com/en-en/trucks/electric/volvo-fe-electric.html</t>
  </si>
  <si>
    <t>https://www.volvotrucks.com/en-en/trucks/electric/volvo-fl-electric.html</t>
  </si>
  <si>
    <t>https://www.peterbilt.com/trucks/electric/579EV</t>
  </si>
  <si>
    <t>https://www.peterbilt.com/trucks/electric/220EV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</si>
</sst>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44" formatCode="_(&quot;$&quot;* #,##0.00_);_(&quot;$&quot;* \(#,##0.00\);_(&quot;$&quot;* &quot;-&quot;??_);_(@_)"/>
    <numFmt numFmtId="43" formatCode="_(* #,##0.00_);_(* \(#,##0.00\);_(* &quot;-&quot;??_);_(@_)"/>
    <numFmt numFmtId="164" formatCode="_(* #,##0_);_(* \(#,##0\);_(* &quot;-&quot;??_);_(@_)"/>
    <numFmt numFmtId="165" formatCode="0.0%"/>
    <numFmt numFmtId="166" formatCode="_(* #,##0_);_(* \(#,##0\);_(* &quot;-&quot;?_);_(@_)"/>
    <numFmt numFmtId="167" formatCode="0.0"/>
    <numFmt numFmtId="168" formatCode="0.0000"/>
    <numFmt numFmtId="169" formatCode="_(* #,##0.0_);_(* \(#,##0.0\);_(* &quot;-&quot;??_);_(@_)"/>
    <numFmt numFmtId="170" formatCode="_(* #,##0.0000_);_(* \(#,##0.0000\);_(* &quot;-&quot;?_);_(@_)"/>
    <numFmt numFmtId="171" formatCode="_(&quot;$&quot;* #,##0_);_(&quot;$&quot;* \(#,##0\);_(&quot;$&quot;* &quot;-&quot;??_);_(@_)"/>
    <numFmt numFmtId="172" formatCode="0.000"/>
  </numFmts>
  <fonts count="17">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9"/>
      <color indexed="81"/>
      <name val="Tahoma"/>
      <family val="2"/>
    </font>
    <font>
      <b/>
      <sz val="9"/>
      <color indexed="81"/>
      <name val="Tahoma"/>
      <family val="2"/>
    </font>
    <font>
      <sz val="10"/>
      <name val="Arial"/>
      <family val="2"/>
    </font>
    <font>
      <u/>
      <sz val="11"/>
      <color theme="10"/>
      <name val="Calibri"/>
      <family val="2"/>
      <scheme val="minor"/>
    </font>
    <font>
      <sz val="11"/>
      <color rgb="FFFF0000"/>
      <name val="Calibri"/>
      <family val="2"/>
      <scheme val="minor"/>
    </font>
    <font>
      <sz val="12"/>
      <color rgb="FF53565A"/>
      <name val="Volvo Novum Regular"/>
      <charset val="1"/>
    </font>
    <font>
      <sz val="11"/>
      <color rgb="FF000000"/>
      <name val="Aptos Narrow"/>
      <family val="2"/>
    </font>
    <font>
      <sz val="10"/>
      <color theme="1"/>
      <name val="Arial"/>
      <family val="2"/>
    </font>
    <font>
      <sz val="10"/>
      <color theme="1"/>
      <name val="Aptos Narrow"/>
      <family val="2"/>
    </font>
    <font>
      <sz val="10"/>
      <color theme="1"/>
      <name val="Calibri"/>
      <family val="2"/>
      <scheme val="minor"/>
    </font>
    <font>
      <b/>
      <sz val="10"/>
      <color theme="1"/>
      <name val="Calibri"/>
      <family val="2"/>
      <scheme val="minor"/>
    </font>
    <font>
      <sz val="10"/>
      <color rgb="FF000000"/>
      <name val="Arial"/>
      <family val="2"/>
    </font>
    <font>
      <i/>
      <sz val="11"/>
      <color rgb="FFFF0000"/>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gray125">
        <bgColor theme="2"/>
      </patternFill>
    </fill>
    <fill>
      <patternFill patternType="solid">
        <fgColor theme="4" tint="0.79998168889431442"/>
        <bgColor indexed="64"/>
      </patternFill>
    </fill>
  </fills>
  <borders count="10">
    <border>
      <left/>
      <right/>
      <top/>
      <bottom/>
      <diagonal/>
    </border>
    <border>
      <left/>
      <right/>
      <top/>
      <bottom style="thin">
        <color indexed="64"/>
      </bottom>
      <diagonal/>
    </border>
    <border>
      <left style="medium">
        <color rgb="FF3F6EC3"/>
      </left>
      <right style="medium">
        <color rgb="FF3F6EC3"/>
      </right>
      <top style="medium">
        <color rgb="FF3F6EC3"/>
      </top>
      <bottom style="medium">
        <color rgb="FF3F6EC3"/>
      </bottom>
      <diagonal/>
    </border>
    <border>
      <left/>
      <right style="medium">
        <color rgb="FF3F6EC3"/>
      </right>
      <top style="medium">
        <color rgb="FF3F6EC3"/>
      </top>
      <bottom style="medium">
        <color rgb="FF3F6EC3"/>
      </bottom>
      <diagonal/>
    </border>
    <border>
      <left style="medium">
        <color rgb="FF3F6EC3"/>
      </left>
      <right style="medium">
        <color rgb="FF3F6EC3"/>
      </right>
      <top/>
      <bottom style="medium">
        <color rgb="FF3F6EC3"/>
      </bottom>
      <diagonal/>
    </border>
    <border>
      <left/>
      <right style="medium">
        <color rgb="FF3F6EC3"/>
      </right>
      <top/>
      <bottom style="medium">
        <color rgb="FF3F6EC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73">
    <xf numFmtId="0" fontId="0" fillId="0" borderId="0" xfId="0"/>
    <xf numFmtId="0" fontId="2" fillId="0" borderId="0" xfId="0" applyFont="1"/>
    <xf numFmtId="164" fontId="0" fillId="0" borderId="0" xfId="1" applyNumberFormat="1" applyFont="1"/>
    <xf numFmtId="0" fontId="2" fillId="0" borderId="0" xfId="0" applyFont="1" applyAlignment="1">
      <alignment horizontal="center" wrapText="1"/>
    </xf>
    <xf numFmtId="164" fontId="0" fillId="0" borderId="0" xfId="1" applyNumberFormat="1" applyFont="1" applyAlignment="1">
      <alignment horizontal="left"/>
    </xf>
    <xf numFmtId="164" fontId="0" fillId="0" borderId="0" xfId="0" applyNumberFormat="1"/>
    <xf numFmtId="0" fontId="2" fillId="0" borderId="1" xfId="0" applyFont="1" applyBorder="1" applyAlignment="1">
      <alignment horizontal="left" wrapText="1"/>
    </xf>
    <xf numFmtId="0" fontId="2" fillId="0" borderId="1" xfId="0" applyFont="1" applyBorder="1" applyAlignment="1">
      <alignment horizontal="center" wrapText="1"/>
    </xf>
    <xf numFmtId="165" fontId="0" fillId="0" borderId="0" xfId="2" applyNumberFormat="1" applyFont="1" applyFill="1" applyBorder="1"/>
    <xf numFmtId="0" fontId="3" fillId="0" borderId="0" xfId="0" applyFont="1"/>
    <xf numFmtId="9" fontId="0" fillId="0" borderId="0" xfId="2" applyFont="1" applyFill="1" applyBorder="1"/>
    <xf numFmtId="9" fontId="0" fillId="2" borderId="0" xfId="0" applyNumberFormat="1" applyFill="1"/>
    <xf numFmtId="9" fontId="0" fillId="0" borderId="0" xfId="2" applyFont="1"/>
    <xf numFmtId="9" fontId="0" fillId="0" borderId="0" xfId="2" applyFont="1" applyFill="1"/>
    <xf numFmtId="9" fontId="0" fillId="0" borderId="0" xfId="0" applyNumberFormat="1"/>
    <xf numFmtId="166" fontId="0" fillId="2" borderId="0" xfId="0" applyNumberFormat="1" applyFill="1"/>
    <xf numFmtId="164" fontId="0" fillId="2" borderId="0" xfId="1" applyNumberFormat="1" applyFont="1" applyFill="1"/>
    <xf numFmtId="166" fontId="0" fillId="0" borderId="0" xfId="0" applyNumberFormat="1"/>
    <xf numFmtId="0" fontId="0" fillId="0" borderId="0" xfId="0" applyAlignment="1">
      <alignment horizontal="left" indent="1"/>
    </xf>
    <xf numFmtId="11" fontId="6" fillId="0" borderId="0" xfId="0" applyNumberFormat="1" applyFont="1"/>
    <xf numFmtId="2" fontId="0" fillId="0" borderId="0" xfId="0" applyNumberFormat="1"/>
    <xf numFmtId="0" fontId="2" fillId="0" borderId="0" xfId="0" applyFont="1" applyAlignment="1">
      <alignment horizontal="left"/>
    </xf>
    <xf numFmtId="167" fontId="0" fillId="0" borderId="0" xfId="0" applyNumberFormat="1"/>
    <xf numFmtId="0" fontId="2" fillId="0" borderId="0" xfId="0" applyFont="1" applyAlignment="1">
      <alignment horizontal="left" wrapText="1"/>
    </xf>
    <xf numFmtId="0" fontId="7" fillId="0" borderId="0" xfId="3"/>
    <xf numFmtId="0" fontId="0" fillId="3" borderId="0" xfId="0" applyFill="1"/>
    <xf numFmtId="0" fontId="8" fillId="0" borderId="0" xfId="0" applyFont="1"/>
    <xf numFmtId="0" fontId="9" fillId="0" borderId="0" xfId="0" applyFont="1"/>
    <xf numFmtId="43" fontId="0" fillId="0" borderId="0" xfId="1" applyFont="1"/>
    <xf numFmtId="0" fontId="0" fillId="0" borderId="0" xfId="0" applyAlignment="1">
      <alignment vertical="top" wrapText="1"/>
    </xf>
    <xf numFmtId="0" fontId="0" fillId="0" borderId="0" xfId="0" applyAlignment="1">
      <alignment vertical="top"/>
    </xf>
    <xf numFmtId="0" fontId="7" fillId="0" borderId="0" xfId="3" applyAlignment="1">
      <alignment vertical="top"/>
    </xf>
    <xf numFmtId="0" fontId="7" fillId="0" borderId="0" xfId="3" applyAlignment="1">
      <alignment vertical="top" wrapText="1"/>
    </xf>
    <xf numFmtId="0" fontId="0" fillId="0" borderId="0" xfId="0" quotePrefix="1"/>
    <xf numFmtId="168" fontId="0" fillId="0" borderId="0" xfId="0" applyNumberFormat="1"/>
    <xf numFmtId="0" fontId="2" fillId="0" borderId="1" xfId="0" applyFont="1" applyBorder="1"/>
    <xf numFmtId="0" fontId="0" fillId="0" borderId="1" xfId="0" applyBorder="1"/>
    <xf numFmtId="169" fontId="0" fillId="0" borderId="0" xfId="1" applyNumberFormat="1" applyFont="1"/>
    <xf numFmtId="0" fontId="0" fillId="2" borderId="0" xfId="0" applyFill="1"/>
    <xf numFmtId="0" fontId="0" fillId="0" borderId="0" xfId="0" applyAlignment="1">
      <alignment horizontal="left"/>
    </xf>
    <xf numFmtId="0" fontId="2" fillId="0" borderId="0" xfId="0" applyFont="1" applyAlignment="1">
      <alignment horizontal="right"/>
    </xf>
    <xf numFmtId="169" fontId="0" fillId="4" borderId="0" xfId="1" applyNumberFormat="1" applyFont="1" applyFill="1"/>
    <xf numFmtId="43" fontId="10" fillId="0" borderId="0" xfId="1" applyFont="1" applyFill="1"/>
    <xf numFmtId="164" fontId="10" fillId="0" borderId="0" xfId="1" applyNumberFormat="1" applyFont="1" applyFill="1"/>
    <xf numFmtId="43" fontId="0" fillId="0" borderId="0" xfId="1" applyFont="1" applyFill="1"/>
    <xf numFmtId="170" fontId="0" fillId="0" borderId="0" xfId="0" applyNumberFormat="1"/>
    <xf numFmtId="164" fontId="0" fillId="0" borderId="0" xfId="1" applyNumberFormat="1" applyFont="1" applyFill="1" applyBorder="1"/>
    <xf numFmtId="44" fontId="0" fillId="2" borderId="0" xfId="4" applyFont="1" applyFill="1"/>
    <xf numFmtId="171" fontId="0" fillId="0" borderId="0" xfId="4" applyNumberFormat="1" applyFont="1"/>
    <xf numFmtId="9" fontId="0" fillId="0" borderId="0" xfId="2" applyFont="1" applyBorder="1" applyAlignment="1">
      <alignment horizontal="center" wrapText="1"/>
    </xf>
    <xf numFmtId="0" fontId="0" fillId="0" borderId="0" xfId="0" applyAlignment="1">
      <alignment horizontal="right"/>
    </xf>
    <xf numFmtId="169" fontId="0" fillId="0" borderId="0" xfId="0" applyNumberFormat="1"/>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4" xfId="0" applyFont="1" applyBorder="1" applyAlignment="1">
      <alignment wrapText="1"/>
    </xf>
    <xf numFmtId="6" fontId="11" fillId="0" borderId="5" xfId="0" applyNumberFormat="1" applyFont="1" applyBorder="1" applyAlignment="1">
      <alignment horizontal="center" wrapText="1"/>
    </xf>
    <xf numFmtId="0" fontId="13" fillId="0" borderId="0" xfId="0" applyFont="1"/>
    <xf numFmtId="6" fontId="14" fillId="5" borderId="0" xfId="0" applyNumberFormat="1" applyFont="1" applyFill="1"/>
    <xf numFmtId="9" fontId="0" fillId="1" borderId="0" xfId="0" applyNumberFormat="1" applyFill="1"/>
    <xf numFmtId="0" fontId="0" fillId="2" borderId="0" xfId="0" applyFill="1" applyAlignment="1">
      <alignment horizontal="center"/>
    </xf>
    <xf numFmtId="169" fontId="0" fillId="5" borderId="0" xfId="0" applyNumberFormat="1" applyFill="1"/>
    <xf numFmtId="164" fontId="0" fillId="5" borderId="0" xfId="0" applyNumberFormat="1" applyFill="1"/>
    <xf numFmtId="165" fontId="0" fillId="2" borderId="0" xfId="0" applyNumberFormat="1" applyFill="1"/>
    <xf numFmtId="43" fontId="0" fillId="0" borderId="0" xfId="0" applyNumberFormat="1"/>
    <xf numFmtId="172" fontId="0" fillId="0" borderId="0" xfId="0" applyNumberFormat="1"/>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2" fillId="3" borderId="5"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6" fillId="0" borderId="0" xfId="0" applyFont="1"/>
  </cellXfs>
  <cellStyles count="5">
    <cellStyle name="Comma" xfId="1" builtinId="3"/>
    <cellStyle name="Currency" xfId="4" builtinId="4"/>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161925</xdr:colOff>
      <xdr:row>4</xdr:row>
      <xdr:rowOff>1200150</xdr:rowOff>
    </xdr:from>
    <xdr:to>
      <xdr:col>19</xdr:col>
      <xdr:colOff>466725</xdr:colOff>
      <xdr:row>10</xdr:row>
      <xdr:rowOff>34925</xdr:rowOff>
    </xdr:to>
    <xdr:pic>
      <xdr:nvPicPr>
        <xdr:cNvPr id="2" name="Picture 1">
          <a:extLst>
            <a:ext uri="{FF2B5EF4-FFF2-40B4-BE49-F238E27FC236}">
              <a16:creationId xmlns:a16="http://schemas.microsoft.com/office/drawing/2014/main" id="{776374A2-371E-E4D8-2E55-090BE2A3E213}"/>
            </a:ext>
          </a:extLst>
        </xdr:cNvPr>
        <xdr:cNvPicPr>
          <a:picLocks noChangeAspect="1"/>
        </xdr:cNvPicPr>
      </xdr:nvPicPr>
      <xdr:blipFill>
        <a:blip xmlns:r="http://schemas.openxmlformats.org/officeDocument/2006/relationships" r:embed="rId1"/>
        <a:stretch>
          <a:fillRect/>
        </a:stretch>
      </xdr:blipFill>
      <xdr:spPr>
        <a:xfrm>
          <a:off x="11010900" y="1943100"/>
          <a:ext cx="4572000" cy="3733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amsys.sharepoint.com/sites/PROJGeorgetown-TCI200020/Shared%20Documents/General/CPRG/Weighted%20emissions%20rates%20by%20vehicle%20type%200307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llutant Rates"/>
      <sheetName val="Energy Rates"/>
      <sheetName val="Grid emissions rates"/>
      <sheetName val="Class 50 MOVES ERs"/>
      <sheetName val="Class 60 MOVES ERs"/>
      <sheetName val="Adjustments"/>
      <sheetName val="VMT"/>
      <sheetName val="Class 50"/>
      <sheetName val="Class 60"/>
      <sheetName val="All state emissions output by S"/>
      <sheetName val="Sheet1"/>
    </sheetNames>
    <sheetDataSet>
      <sheetData sheetId="0"/>
      <sheetData sheetId="1">
        <row r="12">
          <cell r="B12">
            <v>1.1804838330274337E-2</v>
          </cell>
          <cell r="C12">
            <v>3.7650565661805089E-3</v>
          </cell>
        </row>
        <row r="13">
          <cell r="B13">
            <v>1.1029377224714108E-2</v>
          </cell>
          <cell r="C13">
            <v>3.5110157161312942E-3</v>
          </cell>
        </row>
        <row r="14">
          <cell r="B14">
            <v>1.0562096707907965E-2</v>
          </cell>
          <cell r="C14">
            <v>3.6579322703948424E-3</v>
          </cell>
        </row>
        <row r="15">
          <cell r="B15">
            <v>1.0311689426777616E-2</v>
          </cell>
          <cell r="C15">
            <v>3.7514073617721947E-3</v>
          </cell>
        </row>
        <row r="16">
          <cell r="B16">
            <v>1.0162424369263578E-2</v>
          </cell>
          <cell r="C16">
            <v>3.7964475131397725E-3</v>
          </cell>
        </row>
        <row r="17">
          <cell r="B17">
            <v>1.0071607482655107E-2</v>
          </cell>
          <cell r="C17">
            <v>3.8112161755728766E-3</v>
          </cell>
        </row>
        <row r="25">
          <cell r="B25">
            <v>2.0595665088088234E-2</v>
          </cell>
          <cell r="C25">
            <v>1.1855092355852788E-2</v>
          </cell>
        </row>
        <row r="26">
          <cell r="B26">
            <v>1.9000199639058003E-2</v>
          </cell>
          <cell r="C26">
            <v>1.2044713448595663E-2</v>
          </cell>
        </row>
        <row r="27">
          <cell r="B27">
            <v>1.8015363497467404E-2</v>
          </cell>
          <cell r="C27">
            <v>1.2352843491788786E-2</v>
          </cell>
        </row>
        <row r="28">
          <cell r="B28">
            <v>1.7531041540517191E-2</v>
          </cell>
          <cell r="C28">
            <v>1.2701628487338249E-2</v>
          </cell>
        </row>
        <row r="29">
          <cell r="B29">
            <v>1.7292371043126305E-2</v>
          </cell>
          <cell r="C29">
            <v>1.2887974683818059E-2</v>
          </cell>
        </row>
        <row r="30">
          <cell r="B30">
            <v>1.7177763090647023E-2</v>
          </cell>
          <cell r="C30">
            <v>1.3028314500341887E-2</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theicct.org/wp-content/uploads/2021/12/ze-tractor-trailer-fleet-us-hdvs-sept21.pdf" TargetMode="External"/><Relationship Id="rId3" Type="http://schemas.openxmlformats.org/officeDocument/2006/relationships/hyperlink" Target="https://www.researchgate.net/profile/Nicholas-Lutsey/publication/335104931_Estimating_the_infrastructure_needs_and_costs_for_the_launch_of_zero-emission_trucks/links/5d4f9cda299bf1995b759d35/Estimating-the-infrastructure-needs-and-costs-for-the-launch-of-zero-emission-trucks.pdf" TargetMode="External"/><Relationship Id="rId7" Type="http://schemas.openxmlformats.org/officeDocument/2006/relationships/hyperlink" Target="https://cdn.gladstein.org/pdfs/whitepapers/california-fleet-electrification-case-study.pdf" TargetMode="External"/><Relationship Id="rId12" Type="http://schemas.openxmlformats.org/officeDocument/2006/relationships/drawing" Target="../drawings/drawing1.xml"/><Relationship Id="rId2" Type="http://schemas.openxmlformats.org/officeDocument/2006/relationships/hyperlink" Target="https://www.charin.global/media/pages/technology/knowledge-base/c708ba3361-1670238823/whitepaper_megawatt_charging_system_1.0.pdf" TargetMode="External"/><Relationship Id="rId1" Type="http://schemas.openxmlformats.org/officeDocument/2006/relationships/hyperlink" Target="https://www.sciencedirect.com/science/article/pii/S0306261918318361" TargetMode="External"/><Relationship Id="rId6" Type="http://schemas.openxmlformats.org/officeDocument/2006/relationships/hyperlink" Target="https://www.sciencedirect.com/science/article/pii/S2667095X22000228" TargetMode="External"/><Relationship Id="rId11" Type="http://schemas.openxmlformats.org/officeDocument/2006/relationships/hyperlink" Target="https://theicct.org/wp-content/uploads/2023/05/infrastructure-deployment-mhdv-may23.pdf" TargetMode="External"/><Relationship Id="rId5" Type="http://schemas.openxmlformats.org/officeDocument/2006/relationships/hyperlink" Target="https://odr.chalmers.se/server/api/core/bitstreams/472520a2-97ea-467f-b607-dfa387d4413f/content" TargetMode="External"/><Relationship Id="rId10" Type="http://schemas.openxmlformats.org/officeDocument/2006/relationships/hyperlink" Target="https://atlaspolicy.com/wp-content/uploads/2021/11/2021-11-12_Atlas_US_Electrification_Infrastructure_Assessment_MD-HD-trucks.pdf" TargetMode="External"/><Relationship Id="rId4" Type="http://schemas.openxmlformats.org/officeDocument/2006/relationships/hyperlink" Target="https://www.mdpi.com/1996-1073/15/10/3788" TargetMode="External"/><Relationship Id="rId9" Type="http://schemas.openxmlformats.org/officeDocument/2006/relationships/hyperlink" Target="https://www.nrel.gov/docs/fy22osti/81656.pdf"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volvotrucks.com/en-en/trucks/electric/volvo-fh-aero-electric.html" TargetMode="External"/><Relationship Id="rId13" Type="http://schemas.openxmlformats.org/officeDocument/2006/relationships/hyperlink" Target="https://www.volvotrucks.com/en-en/trucks/electric/volvo-fl-electric.html" TargetMode="External"/><Relationship Id="rId3" Type="http://schemas.openxmlformats.org/officeDocument/2006/relationships/hyperlink" Target="https://www.sciencedirect.com/science/article/pii/S0306261918318361" TargetMode="External"/><Relationship Id="rId7" Type="http://schemas.openxmlformats.org/officeDocument/2006/relationships/hyperlink" Target="https://www.isuzucv.com/en/app/site/pdf?file=2025NRREVBrochure.pdf" TargetMode="External"/><Relationship Id="rId12" Type="http://schemas.openxmlformats.org/officeDocument/2006/relationships/hyperlink" Target="https://www.volvotrucks.com/en-en/trucks/electric/volvo-fe-electric.html" TargetMode="External"/><Relationship Id="rId2" Type="http://schemas.openxmlformats.org/officeDocument/2006/relationships/hyperlink" Target="https://www.sciencedirect.com/science/article/pii/S0306261918318361" TargetMode="External"/><Relationship Id="rId1" Type="http://schemas.openxmlformats.org/officeDocument/2006/relationships/hyperlink" Target="https://www.sciencedirect.com/science/article/pii/S0306261918318361" TargetMode="External"/><Relationship Id="rId6" Type="http://schemas.openxmlformats.org/officeDocument/2006/relationships/hyperlink" Target="https://bluearcev.com/class-5/" TargetMode="External"/><Relationship Id="rId11" Type="http://schemas.openxmlformats.org/officeDocument/2006/relationships/hyperlink" Target="https://www.volvotrucks.com/en-en/trucks/electric/volvo-fm-electric.html" TargetMode="External"/><Relationship Id="rId5" Type="http://schemas.openxmlformats.org/officeDocument/2006/relationships/hyperlink" Target="https://www.tesla.com/semi" TargetMode="External"/><Relationship Id="rId15" Type="http://schemas.openxmlformats.org/officeDocument/2006/relationships/hyperlink" Target="https://www.peterbilt.com/trucks/electric/220EV" TargetMode="External"/><Relationship Id="rId10" Type="http://schemas.openxmlformats.org/officeDocument/2006/relationships/hyperlink" Target="https://www.volvotrucks.com/en-en/trucks/electric/volvo-fmx-electric.html" TargetMode="External"/><Relationship Id="rId4" Type="http://schemas.openxmlformats.org/officeDocument/2006/relationships/hyperlink" Target="https://www.macktrucks.com/trucks/md-electric/" TargetMode="External"/><Relationship Id="rId9" Type="http://schemas.openxmlformats.org/officeDocument/2006/relationships/hyperlink" Target="https://www.volvotrucks.com/en-en/trucks/electric/volvo-fh-electric.html" TargetMode="External"/><Relationship Id="rId14" Type="http://schemas.openxmlformats.org/officeDocument/2006/relationships/hyperlink" Target="https://www.peterbilt.com/trucks/electric/579E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64738-30AE-4875-BD68-AB6C44FEE7FD}">
  <dimension ref="B1:AH147"/>
  <sheetViews>
    <sheetView tabSelected="1" zoomScaleNormal="100" workbookViewId="0">
      <pane xSplit="3" ySplit="2" topLeftCell="D3" activePane="bottomRight" state="frozen"/>
      <selection pane="bottomRight" activeCell="H7" sqref="H7"/>
      <selection pane="bottomLeft" activeCell="A3" sqref="A3"/>
      <selection pane="topRight" activeCell="D1" sqref="D1"/>
    </sheetView>
  </sheetViews>
  <sheetFormatPr defaultRowHeight="15"/>
  <cols>
    <col min="1" max="1" width="2.42578125" customWidth="1"/>
    <col min="2" max="2" width="17" customWidth="1"/>
    <col min="3" max="3" width="11.7109375" customWidth="1"/>
    <col min="4" max="6" width="9.28515625" customWidth="1"/>
    <col min="7" max="7" width="10.5703125" customWidth="1"/>
    <col min="8" max="12" width="9.7109375" customWidth="1"/>
    <col min="13" max="14" width="10.7109375" customWidth="1"/>
    <col min="15" max="15" width="9.7109375" customWidth="1"/>
    <col min="16" max="28" width="11.140625" customWidth="1"/>
    <col min="29" max="29" width="10" customWidth="1"/>
    <col min="30" max="30" width="11" customWidth="1"/>
    <col min="31" max="31" width="12.7109375" customWidth="1"/>
    <col min="32" max="32" width="9.28515625" bestFit="1" customWidth="1"/>
    <col min="34" max="34" width="9.28515625" customWidth="1"/>
  </cols>
  <sheetData>
    <row r="1" spans="2:34">
      <c r="B1" s="1" t="s">
        <v>0</v>
      </c>
      <c r="AC1" s="50" t="s">
        <v>1</v>
      </c>
      <c r="AD1" s="47">
        <v>248.94</v>
      </c>
      <c r="AE1" t="s">
        <v>2</v>
      </c>
      <c r="AF1" s="3" t="s">
        <v>3</v>
      </c>
      <c r="AH1" s="3"/>
    </row>
    <row r="2" spans="2:34" s="3" customFormat="1" ht="30">
      <c r="B2" s="6"/>
      <c r="C2" s="7">
        <v>2025</v>
      </c>
      <c r="D2" s="7">
        <f>C2+1</f>
        <v>2026</v>
      </c>
      <c r="E2" s="7">
        <f t="shared" ref="E2:AB2" si="0">D2+1</f>
        <v>2027</v>
      </c>
      <c r="F2" s="7">
        <f t="shared" si="0"/>
        <v>2028</v>
      </c>
      <c r="G2" s="7">
        <f t="shared" si="0"/>
        <v>2029</v>
      </c>
      <c r="H2" s="7">
        <f t="shared" si="0"/>
        <v>2030</v>
      </c>
      <c r="I2" s="7">
        <f t="shared" si="0"/>
        <v>2031</v>
      </c>
      <c r="J2" s="7">
        <f t="shared" si="0"/>
        <v>2032</v>
      </c>
      <c r="K2" s="7">
        <f t="shared" si="0"/>
        <v>2033</v>
      </c>
      <c r="L2" s="7">
        <f t="shared" si="0"/>
        <v>2034</v>
      </c>
      <c r="M2" s="7">
        <f t="shared" si="0"/>
        <v>2035</v>
      </c>
      <c r="N2" s="7">
        <f t="shared" si="0"/>
        <v>2036</v>
      </c>
      <c r="O2" s="7">
        <f t="shared" si="0"/>
        <v>2037</v>
      </c>
      <c r="P2" s="7">
        <f t="shared" si="0"/>
        <v>2038</v>
      </c>
      <c r="Q2" s="7">
        <f t="shared" si="0"/>
        <v>2039</v>
      </c>
      <c r="R2" s="7">
        <f t="shared" si="0"/>
        <v>2040</v>
      </c>
      <c r="S2" s="7">
        <f t="shared" si="0"/>
        <v>2041</v>
      </c>
      <c r="T2" s="7">
        <f t="shared" si="0"/>
        <v>2042</v>
      </c>
      <c r="U2" s="7">
        <f t="shared" si="0"/>
        <v>2043</v>
      </c>
      <c r="V2" s="7">
        <f t="shared" si="0"/>
        <v>2044</v>
      </c>
      <c r="W2" s="7">
        <f t="shared" si="0"/>
        <v>2045</v>
      </c>
      <c r="X2" s="7">
        <f t="shared" si="0"/>
        <v>2046</v>
      </c>
      <c r="Y2" s="7">
        <f t="shared" si="0"/>
        <v>2047</v>
      </c>
      <c r="Z2" s="7">
        <f t="shared" si="0"/>
        <v>2048</v>
      </c>
      <c r="AA2" s="7">
        <f t="shared" si="0"/>
        <v>2049</v>
      </c>
      <c r="AB2" s="7">
        <f t="shared" si="0"/>
        <v>2050</v>
      </c>
      <c r="AD2" s="7" t="s">
        <v>4</v>
      </c>
      <c r="AE2" s="7" t="s">
        <v>5</v>
      </c>
      <c r="AF2" s="3" t="s">
        <v>6</v>
      </c>
      <c r="AG2" s="7" t="s">
        <v>7</v>
      </c>
      <c r="AH2" s="3" t="s">
        <v>8</v>
      </c>
    </row>
    <row r="3" spans="2:34" s="3" customFormat="1">
      <c r="B3" s="23" t="s">
        <v>9</v>
      </c>
      <c r="C3" s="49">
        <v>0</v>
      </c>
      <c r="D3" s="49">
        <v>0</v>
      </c>
      <c r="E3" s="49">
        <v>0</v>
      </c>
      <c r="F3" s="49">
        <v>0</v>
      </c>
      <c r="G3" s="49">
        <v>0.5</v>
      </c>
      <c r="H3" s="49">
        <f>1</f>
        <v>1</v>
      </c>
      <c r="I3" s="49">
        <f>1</f>
        <v>1</v>
      </c>
      <c r="J3" s="49">
        <f>1</f>
        <v>1</v>
      </c>
      <c r="K3" s="49">
        <f>1</f>
        <v>1</v>
      </c>
      <c r="L3" s="49">
        <f>1</f>
        <v>1</v>
      </c>
      <c r="M3" s="49">
        <f>1</f>
        <v>1</v>
      </c>
      <c r="N3" s="49">
        <f>1</f>
        <v>1</v>
      </c>
      <c r="O3" s="49">
        <f>1</f>
        <v>1</v>
      </c>
      <c r="P3" s="49">
        <f>1</f>
        <v>1</v>
      </c>
      <c r="Q3" s="49">
        <f>1</f>
        <v>1</v>
      </c>
      <c r="R3" s="49">
        <f>1</f>
        <v>1</v>
      </c>
      <c r="S3" s="49">
        <f>1</f>
        <v>1</v>
      </c>
      <c r="T3" s="49">
        <f>1</f>
        <v>1</v>
      </c>
      <c r="U3" s="49">
        <f>1</f>
        <v>1</v>
      </c>
      <c r="V3" s="49">
        <f>1</f>
        <v>1</v>
      </c>
      <c r="W3" s="49">
        <f>1</f>
        <v>1</v>
      </c>
      <c r="X3" s="49">
        <f>1</f>
        <v>1</v>
      </c>
      <c r="Y3" s="49">
        <f>1</f>
        <v>1</v>
      </c>
      <c r="Z3" s="49">
        <f>1</f>
        <v>1</v>
      </c>
      <c r="AA3" s="49">
        <f>1</f>
        <v>1</v>
      </c>
      <c r="AB3" s="49">
        <f>1</f>
        <v>1</v>
      </c>
    </row>
    <row r="4" spans="2:34" s="3" customFormat="1">
      <c r="B4" s="23"/>
    </row>
    <row r="5" spans="2:34">
      <c r="B5" s="1" t="s">
        <v>10</v>
      </c>
    </row>
    <row r="6" spans="2:34" s="3" customFormat="1" ht="14.65" customHeight="1">
      <c r="B6" s="23" t="s">
        <v>11</v>
      </c>
      <c r="AD6"/>
      <c r="AE6"/>
    </row>
    <row r="7" spans="2:34">
      <c r="B7" s="4">
        <v>150</v>
      </c>
      <c r="C7" s="16">
        <v>120</v>
      </c>
      <c r="D7" s="17">
        <f>$C7+($H7-$C7)*1/5</f>
        <v>120</v>
      </c>
      <c r="E7" s="17">
        <f>$C7+($H7-$C7)*2/5</f>
        <v>120</v>
      </c>
      <c r="F7" s="17">
        <f>$C7+($H7-$C7)*3/5</f>
        <v>120</v>
      </c>
      <c r="G7" s="17">
        <f>$C7+($H7-$C7)*4/5</f>
        <v>120</v>
      </c>
      <c r="H7" s="15">
        <f>$B7*0.8</f>
        <v>120</v>
      </c>
      <c r="I7" s="17">
        <f>$H7</f>
        <v>120</v>
      </c>
      <c r="J7" s="17">
        <f t="shared" ref="J7:AB9" si="1">$H7</f>
        <v>120</v>
      </c>
      <c r="K7" s="17">
        <f t="shared" si="1"/>
        <v>120</v>
      </c>
      <c r="L7" s="17">
        <f t="shared" si="1"/>
        <v>120</v>
      </c>
      <c r="M7" s="17">
        <f t="shared" si="1"/>
        <v>120</v>
      </c>
      <c r="N7" s="17">
        <f t="shared" si="1"/>
        <v>120</v>
      </c>
      <c r="O7" s="17">
        <f t="shared" si="1"/>
        <v>120</v>
      </c>
      <c r="P7" s="17">
        <f t="shared" si="1"/>
        <v>120</v>
      </c>
      <c r="Q7" s="17">
        <f t="shared" si="1"/>
        <v>120</v>
      </c>
      <c r="R7" s="17">
        <f t="shared" si="1"/>
        <v>120</v>
      </c>
      <c r="S7" s="17">
        <f t="shared" si="1"/>
        <v>120</v>
      </c>
      <c r="T7" s="17">
        <f t="shared" si="1"/>
        <v>120</v>
      </c>
      <c r="U7" s="17">
        <f t="shared" si="1"/>
        <v>120</v>
      </c>
      <c r="V7" s="17">
        <f t="shared" si="1"/>
        <v>120</v>
      </c>
      <c r="W7" s="17">
        <f t="shared" si="1"/>
        <v>120</v>
      </c>
      <c r="X7" s="17">
        <f t="shared" si="1"/>
        <v>120</v>
      </c>
      <c r="Y7" s="17">
        <f t="shared" si="1"/>
        <v>120</v>
      </c>
      <c r="Z7" s="17">
        <f t="shared" si="1"/>
        <v>120</v>
      </c>
      <c r="AA7" s="17">
        <f t="shared" si="1"/>
        <v>120</v>
      </c>
      <c r="AB7" s="17">
        <f t="shared" si="1"/>
        <v>120</v>
      </c>
    </row>
    <row r="8" spans="2:34">
      <c r="B8" s="4">
        <v>350</v>
      </c>
      <c r="C8" s="16">
        <v>300</v>
      </c>
      <c r="D8" s="17">
        <f t="shared" ref="D8:D9" si="2">$C8+($H8-$C8)*1/5</f>
        <v>300</v>
      </c>
      <c r="E8" s="17">
        <f t="shared" ref="E8:E9" si="3">$C8+($H8-$C8)*2/5</f>
        <v>300</v>
      </c>
      <c r="F8" s="17">
        <f t="shared" ref="F8:F9" si="4">$C8+($H8-$C8)*3/5</f>
        <v>300</v>
      </c>
      <c r="G8" s="17">
        <f t="shared" ref="G8:G9" si="5">$C8+($H8-$C8)*4/5</f>
        <v>300</v>
      </c>
      <c r="H8" s="15">
        <v>300</v>
      </c>
      <c r="I8" s="17">
        <f>$H8</f>
        <v>300</v>
      </c>
      <c r="J8" s="17">
        <f t="shared" si="1"/>
        <v>300</v>
      </c>
      <c r="K8" s="17">
        <f t="shared" si="1"/>
        <v>300</v>
      </c>
      <c r="L8" s="17">
        <f t="shared" si="1"/>
        <v>300</v>
      </c>
      <c r="M8" s="17">
        <f t="shared" si="1"/>
        <v>300</v>
      </c>
      <c r="N8" s="17">
        <f t="shared" si="1"/>
        <v>300</v>
      </c>
      <c r="O8" s="17">
        <f t="shared" si="1"/>
        <v>300</v>
      </c>
      <c r="P8" s="17">
        <f t="shared" si="1"/>
        <v>300</v>
      </c>
      <c r="Q8" s="17">
        <f t="shared" si="1"/>
        <v>300</v>
      </c>
      <c r="R8" s="17">
        <f t="shared" si="1"/>
        <v>300</v>
      </c>
      <c r="S8" s="17">
        <f t="shared" si="1"/>
        <v>300</v>
      </c>
      <c r="T8" s="17">
        <f t="shared" si="1"/>
        <v>300</v>
      </c>
      <c r="U8" s="17">
        <f t="shared" si="1"/>
        <v>300</v>
      </c>
      <c r="V8" s="17">
        <f t="shared" si="1"/>
        <v>300</v>
      </c>
      <c r="W8" s="17">
        <f t="shared" si="1"/>
        <v>300</v>
      </c>
      <c r="X8" s="17">
        <f t="shared" si="1"/>
        <v>300</v>
      </c>
      <c r="Y8" s="17">
        <f t="shared" si="1"/>
        <v>300</v>
      </c>
      <c r="Z8" s="17">
        <f t="shared" si="1"/>
        <v>300</v>
      </c>
      <c r="AA8" s="17">
        <f t="shared" si="1"/>
        <v>300</v>
      </c>
      <c r="AB8" s="17">
        <f t="shared" si="1"/>
        <v>300</v>
      </c>
    </row>
    <row r="9" spans="2:34">
      <c r="B9" s="4">
        <v>1000</v>
      </c>
      <c r="C9" s="16">
        <v>850</v>
      </c>
      <c r="D9" s="17">
        <f t="shared" si="2"/>
        <v>850</v>
      </c>
      <c r="E9" s="17">
        <f t="shared" si="3"/>
        <v>850</v>
      </c>
      <c r="F9" s="17">
        <f t="shared" si="4"/>
        <v>850</v>
      </c>
      <c r="G9" s="17">
        <f t="shared" si="5"/>
        <v>850</v>
      </c>
      <c r="H9" s="15">
        <f>$B9*0.85</f>
        <v>850</v>
      </c>
      <c r="I9" s="17">
        <f>$H9</f>
        <v>850</v>
      </c>
      <c r="J9" s="17">
        <f t="shared" si="1"/>
        <v>850</v>
      </c>
      <c r="K9" s="17">
        <f t="shared" si="1"/>
        <v>850</v>
      </c>
      <c r="L9" s="17">
        <f t="shared" si="1"/>
        <v>850</v>
      </c>
      <c r="M9" s="17">
        <f t="shared" si="1"/>
        <v>850</v>
      </c>
      <c r="N9" s="17">
        <f t="shared" si="1"/>
        <v>850</v>
      </c>
      <c r="O9" s="17">
        <f t="shared" si="1"/>
        <v>850</v>
      </c>
      <c r="P9" s="17">
        <f t="shared" si="1"/>
        <v>850</v>
      </c>
      <c r="Q9" s="17">
        <f t="shared" si="1"/>
        <v>850</v>
      </c>
      <c r="R9" s="17">
        <f t="shared" si="1"/>
        <v>850</v>
      </c>
      <c r="S9" s="17">
        <f t="shared" si="1"/>
        <v>850</v>
      </c>
      <c r="T9" s="17">
        <f t="shared" si="1"/>
        <v>850</v>
      </c>
      <c r="U9" s="17">
        <f t="shared" si="1"/>
        <v>850</v>
      </c>
      <c r="V9" s="17">
        <f t="shared" si="1"/>
        <v>850</v>
      </c>
      <c r="W9" s="17">
        <f t="shared" si="1"/>
        <v>850</v>
      </c>
      <c r="X9" s="17">
        <f t="shared" si="1"/>
        <v>850</v>
      </c>
      <c r="Y9" s="17">
        <f t="shared" si="1"/>
        <v>850</v>
      </c>
      <c r="Z9" s="17">
        <f t="shared" si="1"/>
        <v>850</v>
      </c>
      <c r="AA9" s="17">
        <f t="shared" si="1"/>
        <v>850</v>
      </c>
      <c r="AB9" s="17">
        <f t="shared" si="1"/>
        <v>850</v>
      </c>
    </row>
    <row r="10" spans="2:34">
      <c r="B10" s="4">
        <v>3000</v>
      </c>
      <c r="C10" s="16">
        <v>0</v>
      </c>
      <c r="D10" s="17">
        <f t="shared" ref="D10:L10" si="6">$C10+($M10-$C10)*(D$2-$C$2)/($M$2-$C$2)</f>
        <v>0</v>
      </c>
      <c r="E10" s="17">
        <f t="shared" si="6"/>
        <v>0</v>
      </c>
      <c r="F10" s="17">
        <f t="shared" si="6"/>
        <v>0</v>
      </c>
      <c r="G10" s="17">
        <f t="shared" si="6"/>
        <v>0</v>
      </c>
      <c r="H10" s="17">
        <f t="shared" si="6"/>
        <v>0</v>
      </c>
      <c r="I10" s="17">
        <f t="shared" si="6"/>
        <v>0</v>
      </c>
      <c r="J10" s="17">
        <f t="shared" si="6"/>
        <v>0</v>
      </c>
      <c r="K10" s="17">
        <f t="shared" si="6"/>
        <v>0</v>
      </c>
      <c r="L10" s="17">
        <f t="shared" si="6"/>
        <v>0</v>
      </c>
      <c r="M10" s="15">
        <v>0</v>
      </c>
      <c r="N10" s="17">
        <f>$M10</f>
        <v>0</v>
      </c>
      <c r="O10" s="17">
        <f t="shared" ref="O10:AB10" si="7">$M10</f>
        <v>0</v>
      </c>
      <c r="P10" s="17">
        <f t="shared" si="7"/>
        <v>0</v>
      </c>
      <c r="Q10" s="17">
        <f t="shared" si="7"/>
        <v>0</v>
      </c>
      <c r="R10" s="17">
        <f t="shared" si="7"/>
        <v>0</v>
      </c>
      <c r="S10" s="17">
        <f t="shared" si="7"/>
        <v>0</v>
      </c>
      <c r="T10" s="17">
        <f t="shared" si="7"/>
        <v>0</v>
      </c>
      <c r="U10" s="17">
        <f t="shared" si="7"/>
        <v>0</v>
      </c>
      <c r="V10" s="17">
        <f t="shared" si="7"/>
        <v>0</v>
      </c>
      <c r="W10" s="17">
        <f t="shared" si="7"/>
        <v>0</v>
      </c>
      <c r="X10" s="17">
        <f t="shared" si="7"/>
        <v>0</v>
      </c>
      <c r="Y10" s="17">
        <f t="shared" si="7"/>
        <v>0</v>
      </c>
      <c r="Z10" s="17">
        <f t="shared" si="7"/>
        <v>0</v>
      </c>
      <c r="AA10" s="17">
        <f t="shared" si="7"/>
        <v>0</v>
      </c>
      <c r="AB10" s="17">
        <f t="shared" si="7"/>
        <v>0</v>
      </c>
    </row>
    <row r="12" spans="2:34">
      <c r="B12" s="1" t="s">
        <v>12</v>
      </c>
    </row>
    <row r="13" spans="2:34">
      <c r="B13" s="5">
        <f>B7</f>
        <v>150</v>
      </c>
      <c r="C13" s="13">
        <f t="shared" ref="C13:L13" si="8">$M13*C72/$M72</f>
        <v>9.7317770918975248E-3</v>
      </c>
      <c r="D13" s="13">
        <f t="shared" si="8"/>
        <v>1.8167199035559165E-2</v>
      </c>
      <c r="E13" s="13">
        <f t="shared" si="8"/>
        <v>3.0594596933910569E-2</v>
      </c>
      <c r="F13" s="13">
        <f t="shared" si="8"/>
        <v>4.8415806384482785E-2</v>
      </c>
      <c r="G13" s="13">
        <f t="shared" si="8"/>
        <v>7.1966611791519586E-2</v>
      </c>
      <c r="H13" s="13">
        <f t="shared" si="8"/>
        <v>0.10089449877067121</v>
      </c>
      <c r="I13" s="12">
        <f t="shared" si="8"/>
        <v>0.13552221345129575</v>
      </c>
      <c r="J13" s="12">
        <f t="shared" si="8"/>
        <v>0.17265122455392443</v>
      </c>
      <c r="K13" s="12">
        <f t="shared" si="8"/>
        <v>0.21259826987786534</v>
      </c>
      <c r="L13" s="12">
        <f t="shared" si="8"/>
        <v>0.25530448876516487</v>
      </c>
      <c r="M13" s="11">
        <v>0.3</v>
      </c>
      <c r="N13" s="14">
        <f>$M13</f>
        <v>0.3</v>
      </c>
      <c r="O13" s="14">
        <f t="shared" ref="O13:AB15" si="9">$M13</f>
        <v>0.3</v>
      </c>
      <c r="P13" s="14">
        <f t="shared" si="9"/>
        <v>0.3</v>
      </c>
      <c r="Q13" s="14">
        <f t="shared" si="9"/>
        <v>0.3</v>
      </c>
      <c r="R13" s="14">
        <f t="shared" si="9"/>
        <v>0.3</v>
      </c>
      <c r="S13" s="14">
        <f t="shared" si="9"/>
        <v>0.3</v>
      </c>
      <c r="T13" s="14">
        <f t="shared" si="9"/>
        <v>0.3</v>
      </c>
      <c r="U13" s="14">
        <f t="shared" si="9"/>
        <v>0.3</v>
      </c>
      <c r="V13" s="14">
        <f t="shared" si="9"/>
        <v>0.3</v>
      </c>
      <c r="W13" s="14">
        <f t="shared" si="9"/>
        <v>0.3</v>
      </c>
      <c r="X13" s="14">
        <f t="shared" si="9"/>
        <v>0.3</v>
      </c>
      <c r="Y13" s="14">
        <f t="shared" si="9"/>
        <v>0.3</v>
      </c>
      <c r="Z13" s="14">
        <f t="shared" si="9"/>
        <v>0.3</v>
      </c>
      <c r="AA13" s="14">
        <f t="shared" si="9"/>
        <v>0.3</v>
      </c>
      <c r="AB13" s="14">
        <f t="shared" si="9"/>
        <v>0.3</v>
      </c>
    </row>
    <row r="14" spans="2:34">
      <c r="B14" s="5">
        <f>B8</f>
        <v>350</v>
      </c>
      <c r="C14" s="13">
        <f t="shared" ref="C14:L14" si="10">$M14*C72/$M72</f>
        <v>9.7317770918975248E-3</v>
      </c>
      <c r="D14" s="13">
        <f t="shared" si="10"/>
        <v>1.8167199035559165E-2</v>
      </c>
      <c r="E14" s="13">
        <f t="shared" si="10"/>
        <v>3.0594596933910569E-2</v>
      </c>
      <c r="F14" s="13">
        <f t="shared" si="10"/>
        <v>4.8415806384482785E-2</v>
      </c>
      <c r="G14" s="13">
        <f t="shared" si="10"/>
        <v>7.1966611791519586E-2</v>
      </c>
      <c r="H14" s="13">
        <f t="shared" si="10"/>
        <v>0.10089449877067121</v>
      </c>
      <c r="I14" s="13">
        <f t="shared" si="10"/>
        <v>0.13552221345129575</v>
      </c>
      <c r="J14" s="13">
        <f t="shared" si="10"/>
        <v>0.17265122455392443</v>
      </c>
      <c r="K14" s="13">
        <f t="shared" si="10"/>
        <v>0.21259826987786534</v>
      </c>
      <c r="L14" s="13">
        <f t="shared" si="10"/>
        <v>0.25530448876516487</v>
      </c>
      <c r="M14" s="11">
        <v>0.3</v>
      </c>
      <c r="N14" s="14">
        <f>$M14</f>
        <v>0.3</v>
      </c>
      <c r="O14" s="14">
        <f t="shared" si="9"/>
        <v>0.3</v>
      </c>
      <c r="P14" s="14">
        <f t="shared" si="9"/>
        <v>0.3</v>
      </c>
      <c r="Q14" s="14">
        <f t="shared" si="9"/>
        <v>0.3</v>
      </c>
      <c r="R14" s="14">
        <f t="shared" si="9"/>
        <v>0.3</v>
      </c>
      <c r="S14" s="14">
        <f t="shared" si="9"/>
        <v>0.3</v>
      </c>
      <c r="T14" s="14">
        <f t="shared" si="9"/>
        <v>0.3</v>
      </c>
      <c r="U14" s="14">
        <f t="shared" si="9"/>
        <v>0.3</v>
      </c>
      <c r="V14" s="14">
        <f t="shared" si="9"/>
        <v>0.3</v>
      </c>
      <c r="W14" s="14">
        <f t="shared" si="9"/>
        <v>0.3</v>
      </c>
      <c r="X14" s="14">
        <f t="shared" si="9"/>
        <v>0.3</v>
      </c>
      <c r="Y14" s="14">
        <f t="shared" si="9"/>
        <v>0.3</v>
      </c>
      <c r="Z14" s="14">
        <f t="shared" si="9"/>
        <v>0.3</v>
      </c>
      <c r="AA14" s="14">
        <f t="shared" si="9"/>
        <v>0.3</v>
      </c>
      <c r="AB14" s="14">
        <f t="shared" si="9"/>
        <v>0.3</v>
      </c>
    </row>
    <row r="15" spans="2:34">
      <c r="B15" s="5">
        <f>B9</f>
        <v>1000</v>
      </c>
      <c r="C15" s="13">
        <f t="shared" ref="C15:L15" si="11">$M15*C73/$M73</f>
        <v>1.5525349200400478E-2</v>
      </c>
      <c r="D15" s="13">
        <f t="shared" si="11"/>
        <v>2.6188351407813865E-2</v>
      </c>
      <c r="E15" s="13">
        <f t="shared" si="11"/>
        <v>4.1038726892326634E-2</v>
      </c>
      <c r="F15" s="13">
        <f t="shared" si="11"/>
        <v>6.1292913094329077E-2</v>
      </c>
      <c r="G15" s="13">
        <f t="shared" si="11"/>
        <v>8.6697378306296341E-2</v>
      </c>
      <c r="H15" s="13">
        <f t="shared" si="11"/>
        <v>0.11675813874190558</v>
      </c>
      <c r="I15" s="13">
        <f t="shared" si="11"/>
        <v>0.15055262130960892</v>
      </c>
      <c r="J15" s="13">
        <f t="shared" si="11"/>
        <v>0.18622226340573525</v>
      </c>
      <c r="K15" s="13">
        <f t="shared" si="11"/>
        <v>0.22299559099983671</v>
      </c>
      <c r="L15" s="13">
        <f t="shared" si="11"/>
        <v>0.26034784113735393</v>
      </c>
      <c r="M15" s="11">
        <v>0.3</v>
      </c>
      <c r="N15" s="14">
        <f>$M15</f>
        <v>0.3</v>
      </c>
      <c r="O15" s="14">
        <f t="shared" si="9"/>
        <v>0.3</v>
      </c>
      <c r="P15" s="14">
        <f t="shared" si="9"/>
        <v>0.3</v>
      </c>
      <c r="Q15" s="14">
        <f t="shared" si="9"/>
        <v>0.3</v>
      </c>
      <c r="R15" s="14">
        <f t="shared" si="9"/>
        <v>0.3</v>
      </c>
      <c r="S15" s="14">
        <f t="shared" si="9"/>
        <v>0.3</v>
      </c>
      <c r="T15" s="14">
        <f t="shared" si="9"/>
        <v>0.3</v>
      </c>
      <c r="U15" s="14">
        <f t="shared" si="9"/>
        <v>0.3</v>
      </c>
      <c r="V15" s="14">
        <f t="shared" si="9"/>
        <v>0.3</v>
      </c>
      <c r="W15" s="14">
        <f t="shared" si="9"/>
        <v>0.3</v>
      </c>
      <c r="X15" s="14">
        <f t="shared" si="9"/>
        <v>0.3</v>
      </c>
      <c r="Y15" s="14">
        <f t="shared" si="9"/>
        <v>0.3</v>
      </c>
      <c r="Z15" s="14">
        <f t="shared" si="9"/>
        <v>0.3</v>
      </c>
      <c r="AA15" s="14">
        <f t="shared" si="9"/>
        <v>0.3</v>
      </c>
      <c r="AB15" s="14">
        <f t="shared" si="9"/>
        <v>0.3</v>
      </c>
    </row>
    <row r="16" spans="2:34">
      <c r="B16" s="5">
        <f>B10</f>
        <v>3000</v>
      </c>
      <c r="C16" s="13">
        <f t="shared" ref="C16:Q16" si="12">$R16*C73/$R73</f>
        <v>0</v>
      </c>
      <c r="D16" s="13">
        <f t="shared" si="12"/>
        <v>0</v>
      </c>
      <c r="E16" s="13">
        <f t="shared" si="12"/>
        <v>0</v>
      </c>
      <c r="F16" s="13">
        <f t="shared" si="12"/>
        <v>0</v>
      </c>
      <c r="G16" s="13">
        <f t="shared" si="12"/>
        <v>0</v>
      </c>
      <c r="H16" s="13">
        <f t="shared" si="12"/>
        <v>0</v>
      </c>
      <c r="I16" s="13">
        <f t="shared" si="12"/>
        <v>0</v>
      </c>
      <c r="J16" s="13">
        <f t="shared" si="12"/>
        <v>0</v>
      </c>
      <c r="K16" s="13">
        <f t="shared" si="12"/>
        <v>0</v>
      </c>
      <c r="L16" s="13">
        <f t="shared" si="12"/>
        <v>0</v>
      </c>
      <c r="M16" s="13">
        <f t="shared" si="12"/>
        <v>0</v>
      </c>
      <c r="N16" s="13">
        <f t="shared" si="12"/>
        <v>0</v>
      </c>
      <c r="O16" s="13">
        <f t="shared" si="12"/>
        <v>0</v>
      </c>
      <c r="P16" s="13">
        <f t="shared" si="12"/>
        <v>0</v>
      </c>
      <c r="Q16" s="13">
        <f t="shared" si="12"/>
        <v>0</v>
      </c>
      <c r="R16" s="11">
        <v>0</v>
      </c>
      <c r="S16" s="14">
        <f>$R16</f>
        <v>0</v>
      </c>
      <c r="T16" s="14">
        <f t="shared" ref="T16:AB16" si="13">$R16</f>
        <v>0</v>
      </c>
      <c r="U16" s="14">
        <f t="shared" si="13"/>
        <v>0</v>
      </c>
      <c r="V16" s="14">
        <f t="shared" si="13"/>
        <v>0</v>
      </c>
      <c r="W16" s="14">
        <f t="shared" si="13"/>
        <v>0</v>
      </c>
      <c r="X16" s="14">
        <f t="shared" si="13"/>
        <v>0</v>
      </c>
      <c r="Y16" s="14">
        <f t="shared" si="13"/>
        <v>0</v>
      </c>
      <c r="Z16" s="14">
        <f t="shared" si="13"/>
        <v>0</v>
      </c>
      <c r="AA16" s="14">
        <f t="shared" si="13"/>
        <v>0</v>
      </c>
      <c r="AB16" s="14">
        <f t="shared" si="13"/>
        <v>0</v>
      </c>
    </row>
    <row r="18" spans="2:28">
      <c r="B18" s="1" t="s">
        <v>13</v>
      </c>
    </row>
    <row r="19" spans="2:28">
      <c r="B19" t="s">
        <v>14</v>
      </c>
      <c r="C19" s="41">
        <f>SUMPRODUCT(factors!$K$4:$K$7,C7:C10,C13:C16)*24/1000</f>
        <v>2.3729704854568383</v>
      </c>
      <c r="D19" s="41">
        <f>SUMPRODUCT(factors!$K$4:$K$7,D7:D10,D13:D16)*24/1000</f>
        <v>4.1135694046515736</v>
      </c>
      <c r="E19" s="41">
        <f>SUMPRODUCT(factors!$K$4:$K$7,E7:E10,E13:E16)*24/1000</f>
        <v>6.5806856772366391</v>
      </c>
      <c r="F19" s="41">
        <f>SUMPRODUCT(factors!$K$4:$K$7,F7:F10,F13:F16)*24/1000</f>
        <v>10.00069439390775</v>
      </c>
      <c r="G19" s="41">
        <f>SUMPRODUCT(factors!$K$4:$K$7,G7:G10,G13:G16)*24/1000</f>
        <v>14.366143141148521</v>
      </c>
      <c r="H19" s="41">
        <f>SUMPRODUCT(factors!$K$4:$K$7,H7:H10,H13:H16)*24/1000</f>
        <v>19.598816766662591</v>
      </c>
      <c r="I19" s="41">
        <f>SUMPRODUCT(factors!$K$4:$K$7,I7:I10,I13:I16)*24/1000</f>
        <v>25.614711111255264</v>
      </c>
      <c r="J19" s="41">
        <f>SUMPRODUCT(factors!$K$4:$K$7,J7:J10,J13:J16)*24/1000</f>
        <v>32.00109908165048</v>
      </c>
      <c r="K19" s="41">
        <f>SUMPRODUCT(factors!$K$4:$K$7,K7:K10,K13:K16)*24/1000</f>
        <v>38.690698853106035</v>
      </c>
      <c r="L19" s="41">
        <f>SUMPRODUCT(factors!$K$4:$K$7,L7:L10,L13:L16)*24/1000</f>
        <v>45.620390087357741</v>
      </c>
      <c r="M19" s="41">
        <f>SUMPRODUCT(factors!$K$4:$K$7,M7:M10,M13:M16)*24/1000</f>
        <v>52.936258064516139</v>
      </c>
      <c r="N19" s="41">
        <f>SUMPRODUCT(factors!$K$4:$K$7,N7:N10,N13:N16)*24/1000</f>
        <v>52.936258064516139</v>
      </c>
      <c r="O19" s="41">
        <f>SUMPRODUCT(factors!$K$4:$K$7,O7:O10,O13:O16)*24/1000</f>
        <v>52.936258064516139</v>
      </c>
      <c r="P19" s="41">
        <f>SUMPRODUCT(factors!$K$4:$K$7,P7:P10,P13:P16)*24/1000</f>
        <v>52.936258064516139</v>
      </c>
      <c r="Q19" s="41">
        <f>SUMPRODUCT(factors!$K$4:$K$7,Q7:Q10,Q13:Q16)*24/1000</f>
        <v>52.936258064516139</v>
      </c>
      <c r="R19" s="41">
        <f>SUMPRODUCT(factors!$K$4:$K$7,R7:R10,R13:R16)*24/1000</f>
        <v>52.936258064516139</v>
      </c>
      <c r="S19" s="41">
        <f>SUMPRODUCT(factors!$K$4:$K$7,S7:S10,S13:S16)*24/1000</f>
        <v>52.936258064516139</v>
      </c>
      <c r="T19" s="41">
        <f>SUMPRODUCT(factors!$K$4:$K$7,T7:T10,T13:T16)*24/1000</f>
        <v>52.936258064516139</v>
      </c>
      <c r="U19" s="41">
        <f>SUMPRODUCT(factors!$K$4:$K$7,U7:U10,U13:U16)*24/1000</f>
        <v>52.936258064516139</v>
      </c>
      <c r="V19" s="41">
        <f>SUMPRODUCT(factors!$K$4:$K$7,V7:V10,V13:V16)*24/1000</f>
        <v>52.936258064516139</v>
      </c>
      <c r="W19" s="41">
        <f>SUMPRODUCT(factors!$K$4:$K$7,W7:W10,W13:W16)*24/1000</f>
        <v>52.936258064516139</v>
      </c>
      <c r="X19" s="41">
        <f>SUMPRODUCT(factors!$K$4:$K$7,X7:X10,X13:X16)*24/1000</f>
        <v>52.936258064516139</v>
      </c>
      <c r="Y19" s="41">
        <f>SUMPRODUCT(factors!$K$4:$K$7,Y7:Y10,Y13:Y16)*24/1000</f>
        <v>52.936258064516139</v>
      </c>
      <c r="Z19" s="41">
        <f>SUMPRODUCT(factors!$K$4:$K$7,Z7:Z10,Z13:Z16)*24/1000</f>
        <v>52.936258064516139</v>
      </c>
      <c r="AA19" s="41">
        <f>SUMPRODUCT(factors!$K$4:$K$7,AA7:AA10,AA13:AA16)*24/1000</f>
        <v>52.936258064516139</v>
      </c>
      <c r="AB19" s="41">
        <f>SUMPRODUCT(factors!$K$4:$K$7,AB7:AB10,AB13:AB16)*24/1000</f>
        <v>52.936258064516139</v>
      </c>
    </row>
    <row r="20" spans="2:28">
      <c r="B20" t="s">
        <v>15</v>
      </c>
      <c r="C20" s="2">
        <f>SUMPRODUCT(factors!$C4:$C7,C7:C10,C13:C16)*C$3*24/1000</f>
        <v>0</v>
      </c>
      <c r="D20" s="2">
        <f>SUMPRODUCT(factors!$C4:$C7,D7:D10,D13:D16)*D$3*24/1000</f>
        <v>0</v>
      </c>
      <c r="E20" s="2">
        <f>SUMPRODUCT(factors!$C4:$C7,E7:E10,E13:E16)*E$3*24/1000</f>
        <v>0</v>
      </c>
      <c r="F20" s="2">
        <f>SUMPRODUCT(factors!$C4:$C7,F7:F10,F13:F16)*F$3*24/1000</f>
        <v>0</v>
      </c>
      <c r="G20" s="2">
        <f>SUMPRODUCT(factors!$C4:$C7,G7:G10,G13:G16)*G$3*24/1000</f>
        <v>179.86184161066453</v>
      </c>
      <c r="H20" s="2">
        <f>SUMPRODUCT(factors!$C4:$C7,H7:H10,H13:H16)*H$3*24/1000</f>
        <v>490.83900749063201</v>
      </c>
      <c r="I20" s="2">
        <f>SUMPRODUCT(factors!$C4:$C7,I7:I10,I13:I16)*I$3*24/1000</f>
        <v>641.62535741558133</v>
      </c>
      <c r="J20" s="2">
        <f>SUMPRODUCT(factors!$C4:$C7,J7:J10,J13:J16)*J$3*24/1000</f>
        <v>801.71033984696464</v>
      </c>
      <c r="K20" s="2">
        <f>SUMPRODUCT(factors!$C4:$C7,K7:K10,K13:K16)*K$3*24/1000</f>
        <v>969.43111140726512</v>
      </c>
      <c r="L20" s="2">
        <f>SUMPRODUCT(factors!$C4:$C7,L7:L10,L13:L16)*L$3*24/1000</f>
        <v>1143.2157679950492</v>
      </c>
      <c r="M20" s="2">
        <f>SUMPRODUCT(factors!$C4:$C7,M7:M10,M13:M16)*M$3*24/1000</f>
        <v>1326.672</v>
      </c>
      <c r="N20" s="2">
        <f>SUMPRODUCT(factors!$C4:$C7,N7:N10,N13:N16)*N$3*24/1000</f>
        <v>1326.672</v>
      </c>
      <c r="O20" s="2">
        <f>SUMPRODUCT(factors!$C4:$C7,O7:O10,O13:O16)*O$3*24/1000</f>
        <v>1326.672</v>
      </c>
      <c r="P20" s="2">
        <f>SUMPRODUCT(factors!$C4:$C7,P7:P10,P13:P16)*P$3*24/1000</f>
        <v>1326.672</v>
      </c>
      <c r="Q20" s="2">
        <f>SUMPRODUCT(factors!$C4:$C7,Q7:Q10,Q13:Q16)*Q$3*24/1000</f>
        <v>1326.672</v>
      </c>
      <c r="R20" s="2">
        <f>SUMPRODUCT(factors!$C4:$C7,R7:R10,R13:R16)*R$3*24/1000</f>
        <v>1326.672</v>
      </c>
      <c r="S20" s="2">
        <f>SUMPRODUCT(factors!$C4:$C7,S7:S10,S13:S16)*S$3*24/1000</f>
        <v>1326.672</v>
      </c>
      <c r="T20" s="2">
        <f>SUMPRODUCT(factors!$C4:$C7,T7:T10,T13:T16)*T$3*24/1000</f>
        <v>1326.672</v>
      </c>
      <c r="U20" s="2">
        <f>SUMPRODUCT(factors!$C4:$C7,U7:U10,U13:U16)*U$3*24/1000</f>
        <v>1326.672</v>
      </c>
      <c r="V20" s="2">
        <f>SUMPRODUCT(factors!$C4:$C7,V7:V10,V13:V16)*V$3*24/1000</f>
        <v>1326.672</v>
      </c>
      <c r="W20" s="2">
        <f>SUMPRODUCT(factors!$C4:$C7,W7:W10,W13:W16)*W$3*24/1000</f>
        <v>1326.672</v>
      </c>
      <c r="X20" s="2">
        <f>SUMPRODUCT(factors!$C4:$C7,X7:X10,X13:X16)*X$3*24/1000</f>
        <v>1326.672</v>
      </c>
      <c r="Y20" s="2">
        <f>SUMPRODUCT(factors!$C4:$C7,Y7:Y10,Y13:Y16)*Y$3*24/1000</f>
        <v>1326.672</v>
      </c>
      <c r="Z20" s="2">
        <f>SUMPRODUCT(factors!$C4:$C7,Z7:Z10,Z13:Z16)*Z$3*24/1000</f>
        <v>1326.672</v>
      </c>
      <c r="AA20" s="2">
        <f>SUMPRODUCT(factors!$C4:$C7,AA7:AA10,AA13:AA16)*AA$3*24/1000</f>
        <v>1326.672</v>
      </c>
      <c r="AB20" s="2">
        <f>SUMPRODUCT(factors!$C4:$C7,AB7:AB10,AB13:AB16)*AB$3*24/1000</f>
        <v>1326.672</v>
      </c>
    </row>
    <row r="22" spans="2:28">
      <c r="B22" s="1" t="s">
        <v>16</v>
      </c>
    </row>
    <row r="23" spans="2:28">
      <c r="B23" t="s">
        <v>17</v>
      </c>
      <c r="C23" s="2">
        <f>C20*365/1000</f>
        <v>0</v>
      </c>
      <c r="D23" s="2">
        <f t="shared" ref="D23:AB23" si="14">D20*365/1000</f>
        <v>0</v>
      </c>
      <c r="E23" s="2">
        <f t="shared" si="14"/>
        <v>0</v>
      </c>
      <c r="F23" s="2">
        <f t="shared" si="14"/>
        <v>0</v>
      </c>
      <c r="G23" s="2">
        <f t="shared" si="14"/>
        <v>65.649572187892559</v>
      </c>
      <c r="H23" s="2">
        <f t="shared" si="14"/>
        <v>179.15623773408066</v>
      </c>
      <c r="I23" s="2">
        <f t="shared" si="14"/>
        <v>234.19325545668718</v>
      </c>
      <c r="J23" s="2">
        <f t="shared" si="14"/>
        <v>292.62427404414211</v>
      </c>
      <c r="K23" s="2">
        <f t="shared" si="14"/>
        <v>353.8423556636518</v>
      </c>
      <c r="L23" s="2">
        <f t="shared" si="14"/>
        <v>417.27375531819291</v>
      </c>
      <c r="M23" s="2">
        <f t="shared" si="14"/>
        <v>484.23528000000005</v>
      </c>
      <c r="N23" s="2">
        <f t="shared" si="14"/>
        <v>484.23528000000005</v>
      </c>
      <c r="O23" s="2">
        <f t="shared" si="14"/>
        <v>484.23528000000005</v>
      </c>
      <c r="P23" s="2">
        <f t="shared" si="14"/>
        <v>484.23528000000005</v>
      </c>
      <c r="Q23" s="2">
        <f t="shared" si="14"/>
        <v>484.23528000000005</v>
      </c>
      <c r="R23" s="2">
        <f t="shared" si="14"/>
        <v>484.23528000000005</v>
      </c>
      <c r="S23" s="2">
        <f t="shared" si="14"/>
        <v>484.23528000000005</v>
      </c>
      <c r="T23" s="2">
        <f t="shared" si="14"/>
        <v>484.23528000000005</v>
      </c>
      <c r="U23" s="2">
        <f t="shared" si="14"/>
        <v>484.23528000000005</v>
      </c>
      <c r="V23" s="2">
        <f t="shared" si="14"/>
        <v>484.23528000000005</v>
      </c>
      <c r="W23" s="2">
        <f t="shared" si="14"/>
        <v>484.23528000000005</v>
      </c>
      <c r="X23" s="2">
        <f t="shared" si="14"/>
        <v>484.23528000000005</v>
      </c>
      <c r="Y23" s="2">
        <f t="shared" si="14"/>
        <v>484.23528000000005</v>
      </c>
      <c r="Z23" s="2">
        <f t="shared" si="14"/>
        <v>484.23528000000005</v>
      </c>
      <c r="AA23" s="2">
        <f t="shared" si="14"/>
        <v>484.23528000000005</v>
      </c>
      <c r="AB23" s="2">
        <f t="shared" si="14"/>
        <v>484.23528000000005</v>
      </c>
    </row>
    <row r="24" spans="2:28">
      <c r="B24" t="s">
        <v>18</v>
      </c>
      <c r="C24" s="2">
        <f>ROUND(C23*factors!$B$11,-3)</f>
        <v>0</v>
      </c>
      <c r="D24" s="2">
        <f>ROUND(D23*factors!$B$11,-3)</f>
        <v>0</v>
      </c>
      <c r="E24" s="2">
        <f>ROUND(E23*factors!$B$11,-3)</f>
        <v>0</v>
      </c>
      <c r="F24" s="2">
        <f>ROUND(F23*factors!$B$11,-3)</f>
        <v>0</v>
      </c>
      <c r="G24" s="2">
        <f>ROUND(G23*factors!$B$11,-3)</f>
        <v>224000</v>
      </c>
      <c r="H24" s="2">
        <f>ROUND(H23*factors!$B$11,-3)</f>
        <v>611000</v>
      </c>
      <c r="I24" s="2">
        <f>ROUND(I23*factors!$B$11,-3)</f>
        <v>799000</v>
      </c>
      <c r="J24" s="2">
        <f>ROUND(J23*factors!$B$11,-3)</f>
        <v>999000</v>
      </c>
      <c r="K24" s="2">
        <f>ROUND(K23*factors!$B$11,-3)</f>
        <v>1208000</v>
      </c>
      <c r="L24" s="2">
        <f>ROUND(L23*factors!$B$11,-3)</f>
        <v>1424000</v>
      </c>
      <c r="M24" s="2">
        <f>ROUND(M23*factors!$B$11,-3)</f>
        <v>1653000</v>
      </c>
      <c r="N24" s="2">
        <f>ROUND(N23*factors!$B$11,-3)</f>
        <v>1653000</v>
      </c>
      <c r="O24" s="2">
        <f>ROUND(O23*factors!$B$11,-3)</f>
        <v>1653000</v>
      </c>
      <c r="P24" s="2">
        <f>ROUND(P23*factors!$B$11,-3)</f>
        <v>1653000</v>
      </c>
      <c r="Q24" s="2">
        <f>ROUND(Q23*factors!$B$11,-3)</f>
        <v>1653000</v>
      </c>
      <c r="R24" s="2">
        <f>ROUND(R23*factors!$B$11,-3)</f>
        <v>1653000</v>
      </c>
      <c r="S24" s="2">
        <f>ROUND(S23*factors!$B$11,-3)</f>
        <v>1653000</v>
      </c>
      <c r="T24" s="2">
        <f>ROUND(T23*factors!$B$11,-3)</f>
        <v>1653000</v>
      </c>
      <c r="U24" s="2">
        <f>ROUND(U23*factors!$B$11,-3)</f>
        <v>1653000</v>
      </c>
      <c r="V24" s="2">
        <f>ROUND(V23*factors!$B$11,-3)</f>
        <v>1653000</v>
      </c>
      <c r="W24" s="2">
        <f>ROUND(W23*factors!$B$11,-3)</f>
        <v>1653000</v>
      </c>
      <c r="X24" s="2">
        <f>ROUND(X23*factors!$B$11,-3)</f>
        <v>1653000</v>
      </c>
      <c r="Y24" s="2">
        <f>ROUND(Y23*factors!$B$11,-3)</f>
        <v>1653000</v>
      </c>
      <c r="Z24" s="2">
        <f>ROUND(Z23*factors!$B$11,-3)</f>
        <v>1653000</v>
      </c>
      <c r="AA24" s="2">
        <f>ROUND(AA23*factors!$B$11,-3)</f>
        <v>1653000</v>
      </c>
      <c r="AB24" s="2">
        <f>ROUND(AB23*factors!$B$11,-3)</f>
        <v>1653000</v>
      </c>
    </row>
    <row r="25" spans="2:28">
      <c r="B25" s="18" t="s">
        <v>19</v>
      </c>
      <c r="C25" s="2">
        <f t="shared" ref="C25:AB25" si="15">ROUND(C$24*C81,-3)</f>
        <v>0</v>
      </c>
      <c r="D25" s="2">
        <f t="shared" si="15"/>
        <v>0</v>
      </c>
      <c r="E25" s="2">
        <f t="shared" si="15"/>
        <v>0</v>
      </c>
      <c r="F25" s="2">
        <f t="shared" si="15"/>
        <v>0</v>
      </c>
      <c r="G25" s="2">
        <f t="shared" si="15"/>
        <v>55000</v>
      </c>
      <c r="H25" s="2">
        <f t="shared" si="15"/>
        <v>156000</v>
      </c>
      <c r="I25" s="2">
        <f t="shared" si="15"/>
        <v>211000</v>
      </c>
      <c r="J25" s="2">
        <f t="shared" si="15"/>
        <v>270000</v>
      </c>
      <c r="K25" s="2">
        <f t="shared" si="15"/>
        <v>334000</v>
      </c>
      <c r="L25" s="2">
        <f t="shared" si="15"/>
        <v>403000</v>
      </c>
      <c r="M25" s="2">
        <f t="shared" si="15"/>
        <v>476000</v>
      </c>
      <c r="N25" s="2">
        <f t="shared" si="15"/>
        <v>496000</v>
      </c>
      <c r="O25" s="2">
        <f t="shared" si="15"/>
        <v>504000</v>
      </c>
      <c r="P25" s="2">
        <f t="shared" si="15"/>
        <v>511000</v>
      </c>
      <c r="Q25" s="2">
        <f t="shared" si="15"/>
        <v>517000</v>
      </c>
      <c r="R25" s="2">
        <f t="shared" si="15"/>
        <v>522000</v>
      </c>
      <c r="S25" s="2">
        <f t="shared" si="15"/>
        <v>527000</v>
      </c>
      <c r="T25" s="2">
        <f t="shared" si="15"/>
        <v>532000</v>
      </c>
      <c r="U25" s="2">
        <f t="shared" si="15"/>
        <v>537000</v>
      </c>
      <c r="V25" s="2">
        <f t="shared" si="15"/>
        <v>542000</v>
      </c>
      <c r="W25" s="2">
        <f t="shared" si="15"/>
        <v>548000</v>
      </c>
      <c r="X25" s="2">
        <f t="shared" si="15"/>
        <v>553000</v>
      </c>
      <c r="Y25" s="2">
        <f t="shared" si="15"/>
        <v>558000</v>
      </c>
      <c r="Z25" s="2">
        <f t="shared" si="15"/>
        <v>563000</v>
      </c>
      <c r="AA25" s="2">
        <f t="shared" si="15"/>
        <v>568000</v>
      </c>
      <c r="AB25" s="2">
        <f t="shared" si="15"/>
        <v>572000</v>
      </c>
    </row>
    <row r="26" spans="2:28">
      <c r="B26" s="18" t="s">
        <v>20</v>
      </c>
      <c r="C26" s="2">
        <f t="shared" ref="C26:AB26" si="16">ROUND(C$24*C82,-3)</f>
        <v>0</v>
      </c>
      <c r="D26" s="2">
        <f t="shared" si="16"/>
        <v>0</v>
      </c>
      <c r="E26" s="2">
        <f t="shared" si="16"/>
        <v>0</v>
      </c>
      <c r="F26" s="2">
        <f t="shared" si="16"/>
        <v>0</v>
      </c>
      <c r="G26" s="2">
        <f t="shared" si="16"/>
        <v>169000</v>
      </c>
      <c r="H26" s="2">
        <f t="shared" si="16"/>
        <v>455000</v>
      </c>
      <c r="I26" s="2">
        <f t="shared" si="16"/>
        <v>588000</v>
      </c>
      <c r="J26" s="2">
        <f t="shared" si="16"/>
        <v>729000</v>
      </c>
      <c r="K26" s="2">
        <f t="shared" si="16"/>
        <v>874000</v>
      </c>
      <c r="L26" s="2">
        <f t="shared" si="16"/>
        <v>1021000</v>
      </c>
      <c r="M26" s="2">
        <f t="shared" si="16"/>
        <v>1177000</v>
      </c>
      <c r="N26" s="2">
        <f t="shared" si="16"/>
        <v>1157000</v>
      </c>
      <c r="O26" s="2">
        <f t="shared" si="16"/>
        <v>1149000</v>
      </c>
      <c r="P26" s="2">
        <f t="shared" si="16"/>
        <v>1142000</v>
      </c>
      <c r="Q26" s="2">
        <f t="shared" si="16"/>
        <v>1136000</v>
      </c>
      <c r="R26" s="2">
        <f t="shared" si="16"/>
        <v>1131000</v>
      </c>
      <c r="S26" s="2">
        <f t="shared" si="16"/>
        <v>1126000</v>
      </c>
      <c r="T26" s="2">
        <f t="shared" si="16"/>
        <v>1121000</v>
      </c>
      <c r="U26" s="2">
        <f t="shared" si="16"/>
        <v>1116000</v>
      </c>
      <c r="V26" s="2">
        <f t="shared" si="16"/>
        <v>1111000</v>
      </c>
      <c r="W26" s="2">
        <f t="shared" si="16"/>
        <v>1105000</v>
      </c>
      <c r="X26" s="2">
        <f t="shared" si="16"/>
        <v>1100000</v>
      </c>
      <c r="Y26" s="2">
        <f t="shared" si="16"/>
        <v>1095000</v>
      </c>
      <c r="Z26" s="2">
        <f t="shared" si="16"/>
        <v>1090000</v>
      </c>
      <c r="AA26" s="2">
        <f t="shared" si="16"/>
        <v>1085000</v>
      </c>
      <c r="AB26" s="2">
        <f t="shared" si="16"/>
        <v>1081000</v>
      </c>
    </row>
    <row r="27" spans="2:28">
      <c r="C27" s="2"/>
      <c r="D27" s="2"/>
      <c r="E27" s="2"/>
      <c r="F27" s="2"/>
      <c r="G27" s="2"/>
      <c r="H27" s="2"/>
      <c r="I27" s="2"/>
      <c r="J27" s="2"/>
      <c r="K27" s="2"/>
      <c r="L27" s="2"/>
      <c r="M27" s="2"/>
      <c r="N27" s="2"/>
      <c r="O27" s="2"/>
      <c r="P27" s="2"/>
      <c r="Q27" s="2"/>
      <c r="R27" s="2"/>
      <c r="S27" s="2"/>
      <c r="T27" s="2"/>
      <c r="U27" s="2"/>
      <c r="V27" s="2"/>
      <c r="W27" s="2"/>
      <c r="X27" s="2"/>
      <c r="Y27" s="2"/>
      <c r="Z27" s="2"/>
      <c r="AA27" s="2"/>
      <c r="AB27" s="2"/>
    </row>
    <row r="28" spans="2:28">
      <c r="B28" s="1" t="s">
        <v>21</v>
      </c>
      <c r="C28" s="2"/>
      <c r="D28" s="2"/>
      <c r="E28" s="2"/>
      <c r="F28" s="2"/>
      <c r="G28" s="2"/>
      <c r="H28" s="2"/>
      <c r="I28" s="2"/>
      <c r="J28" s="2"/>
      <c r="K28" s="2"/>
      <c r="L28" s="2"/>
      <c r="M28" s="2"/>
      <c r="N28" s="2"/>
      <c r="O28" s="2"/>
      <c r="P28" s="2"/>
      <c r="Q28" s="2"/>
      <c r="R28" s="2"/>
      <c r="S28" s="2"/>
      <c r="T28" s="2"/>
      <c r="U28" s="2"/>
      <c r="V28" s="2"/>
      <c r="W28" s="2"/>
      <c r="X28" s="2"/>
      <c r="Y28" s="2"/>
      <c r="Z28" s="2"/>
      <c r="AA28" s="2"/>
      <c r="AB28" s="2"/>
    </row>
    <row r="29" spans="2:28">
      <c r="B29" s="18" t="s">
        <v>19</v>
      </c>
      <c r="C29" s="37">
        <f t="shared" ref="C29:AB29" si="17">C25/C107/1000000</f>
        <v>0</v>
      </c>
      <c r="D29" s="37">
        <f t="shared" si="17"/>
        <v>0</v>
      </c>
      <c r="E29" s="37">
        <f t="shared" si="17"/>
        <v>0</v>
      </c>
      <c r="F29" s="37">
        <f t="shared" si="17"/>
        <v>0</v>
      </c>
      <c r="G29" s="37">
        <f t="shared" si="17"/>
        <v>15.441527082235032</v>
      </c>
      <c r="H29" s="37">
        <f t="shared" si="17"/>
        <v>44.431586928893829</v>
      </c>
      <c r="I29" s="37">
        <f t="shared" si="17"/>
        <v>59.597801940349854</v>
      </c>
      <c r="J29" s="37">
        <f t="shared" si="17"/>
        <v>75.634863542862362</v>
      </c>
      <c r="K29" s="37">
        <f t="shared" si="17"/>
        <v>92.799285334816588</v>
      </c>
      <c r="L29" s="37">
        <f t="shared" si="17"/>
        <v>111.06367986029667</v>
      </c>
      <c r="M29" s="37">
        <f t="shared" si="17"/>
        <v>130.12816116155696</v>
      </c>
      <c r="N29" s="37">
        <f t="shared" si="17"/>
        <v>134.90624995588908</v>
      </c>
      <c r="O29" s="37">
        <f t="shared" si="17"/>
        <v>136.38864438229757</v>
      </c>
      <c r="P29" s="37">
        <f t="shared" si="17"/>
        <v>137.58686491037261</v>
      </c>
      <c r="Q29" s="37">
        <f t="shared" si="17"/>
        <v>138.50518133301577</v>
      </c>
      <c r="R29" s="37">
        <f t="shared" si="17"/>
        <v>139.14777832962483</v>
      </c>
      <c r="S29" s="37">
        <f t="shared" si="17"/>
        <v>140.14409182420292</v>
      </c>
      <c r="T29" s="37">
        <f t="shared" si="17"/>
        <v>141.13564341165858</v>
      </c>
      <c r="U29" s="37">
        <f t="shared" si="17"/>
        <v>142.12246715009562</v>
      </c>
      <c r="V29" s="37">
        <f t="shared" si="17"/>
        <v>143.10459677360319</v>
      </c>
      <c r="W29" s="37">
        <f t="shared" si="17"/>
        <v>144.34546983814036</v>
      </c>
      <c r="X29" s="37">
        <f t="shared" si="17"/>
        <v>145.54924953940446</v>
      </c>
      <c r="Y29" s="37">
        <f t="shared" si="17"/>
        <v>146.75115900854618</v>
      </c>
      <c r="Z29" s="37">
        <f t="shared" si="17"/>
        <v>147.95120260066449</v>
      </c>
      <c r="AA29" s="37">
        <f t="shared" si="17"/>
        <v>149.14938465734699</v>
      </c>
      <c r="AB29" s="37">
        <f t="shared" si="17"/>
        <v>150.08332606953758</v>
      </c>
    </row>
    <row r="30" spans="2:28">
      <c r="B30" s="18" t="s">
        <v>20</v>
      </c>
      <c r="C30" s="37">
        <f t="shared" ref="C30:AB30" si="18">C26/C109/1000000</f>
        <v>0</v>
      </c>
      <c r="D30" s="37">
        <f t="shared" si="18"/>
        <v>0</v>
      </c>
      <c r="E30" s="37">
        <f t="shared" si="18"/>
        <v>0</v>
      </c>
      <c r="F30" s="37">
        <f t="shared" si="18"/>
        <v>0</v>
      </c>
      <c r="G30" s="37">
        <f t="shared" si="18"/>
        <v>14.07536992296626</v>
      </c>
      <c r="H30" s="37">
        <f t="shared" si="18"/>
        <v>37.775909069306259</v>
      </c>
      <c r="I30" s="37">
        <f t="shared" si="18"/>
        <v>48.569594638999945</v>
      </c>
      <c r="J30" s="37">
        <f t="shared" si="18"/>
        <v>59.911412638752303</v>
      </c>
      <c r="K30" s="37">
        <f t="shared" si="18"/>
        <v>71.466001282345246</v>
      </c>
      <c r="L30" s="37">
        <f t="shared" si="18"/>
        <v>83.067442374986285</v>
      </c>
      <c r="M30" s="37">
        <f t="shared" si="18"/>
        <v>95.28170585034762</v>
      </c>
      <c r="N30" s="37">
        <f t="shared" si="18"/>
        <v>93.136698781198589</v>
      </c>
      <c r="O30" s="37">
        <f t="shared" si="18"/>
        <v>91.976234343195344</v>
      </c>
      <c r="P30" s="37">
        <f t="shared" si="18"/>
        <v>90.908262378059163</v>
      </c>
      <c r="Q30" s="37">
        <f t="shared" si="18"/>
        <v>89.931250571907626</v>
      </c>
      <c r="R30" s="37">
        <f t="shared" si="18"/>
        <v>89.043700272563413</v>
      </c>
      <c r="S30" s="37">
        <f t="shared" si="18"/>
        <v>88.390693148103665</v>
      </c>
      <c r="T30" s="37">
        <f t="shared" si="18"/>
        <v>87.741495785812575</v>
      </c>
      <c r="U30" s="37">
        <f t="shared" si="18"/>
        <v>87.096074942397124</v>
      </c>
      <c r="V30" s="37">
        <f t="shared" si="18"/>
        <v>86.454397760209247</v>
      </c>
      <c r="W30" s="37">
        <f t="shared" si="18"/>
        <v>85.738840051216187</v>
      </c>
      <c r="X30" s="37">
        <f t="shared" si="18"/>
        <v>85.165404764673468</v>
      </c>
      <c r="Y30" s="37">
        <f t="shared" si="18"/>
        <v>84.594456348193106</v>
      </c>
      <c r="Z30" s="37">
        <f t="shared" si="18"/>
        <v>84.025978659217998</v>
      </c>
      <c r="AA30" s="37">
        <f t="shared" si="18"/>
        <v>83.459955694600367</v>
      </c>
      <c r="AB30" s="37">
        <f t="shared" si="18"/>
        <v>82.973127488719484</v>
      </c>
    </row>
    <row r="31" spans="2:28">
      <c r="B31" s="18" t="s">
        <v>15</v>
      </c>
      <c r="C31" s="37">
        <f>C29+C30</f>
        <v>0</v>
      </c>
      <c r="D31" s="37">
        <f t="shared" ref="D31:AB31" si="19">D29+D30</f>
        <v>0</v>
      </c>
      <c r="E31" s="37">
        <f t="shared" si="19"/>
        <v>0</v>
      </c>
      <c r="F31" s="37">
        <f t="shared" si="19"/>
        <v>0</v>
      </c>
      <c r="G31" s="37">
        <f t="shared" si="19"/>
        <v>29.516897005201294</v>
      </c>
      <c r="H31" s="37">
        <f t="shared" si="19"/>
        <v>82.207495998200088</v>
      </c>
      <c r="I31" s="37">
        <f t="shared" si="19"/>
        <v>108.1673965793498</v>
      </c>
      <c r="J31" s="37">
        <f t="shared" si="19"/>
        <v>135.54627618161467</v>
      </c>
      <c r="K31" s="37">
        <f t="shared" si="19"/>
        <v>164.26528661716185</v>
      </c>
      <c r="L31" s="37">
        <f t="shared" si="19"/>
        <v>194.13112223528296</v>
      </c>
      <c r="M31" s="37">
        <f t="shared" si="19"/>
        <v>225.40986701190457</v>
      </c>
      <c r="N31" s="37">
        <f t="shared" si="19"/>
        <v>228.04294873708767</v>
      </c>
      <c r="O31" s="37">
        <f t="shared" si="19"/>
        <v>228.36487872549293</v>
      </c>
      <c r="P31" s="37">
        <f t="shared" si="19"/>
        <v>228.49512728843177</v>
      </c>
      <c r="Q31" s="37">
        <f t="shared" si="19"/>
        <v>228.43643190492338</v>
      </c>
      <c r="R31" s="37">
        <f t="shared" si="19"/>
        <v>228.19147860218823</v>
      </c>
      <c r="S31" s="37">
        <f t="shared" si="19"/>
        <v>228.53478497230657</v>
      </c>
      <c r="T31" s="37">
        <f t="shared" si="19"/>
        <v>228.87713919747114</v>
      </c>
      <c r="U31" s="37">
        <f t="shared" si="19"/>
        <v>229.21854209249273</v>
      </c>
      <c r="V31" s="37">
        <f t="shared" si="19"/>
        <v>229.55899453381244</v>
      </c>
      <c r="W31" s="37">
        <f t="shared" si="19"/>
        <v>230.08430988935655</v>
      </c>
      <c r="X31" s="37">
        <f t="shared" si="19"/>
        <v>230.71465430407792</v>
      </c>
      <c r="Y31" s="37">
        <f t="shared" si="19"/>
        <v>231.3456153567393</v>
      </c>
      <c r="Z31" s="37">
        <f t="shared" si="19"/>
        <v>231.97718125988249</v>
      </c>
      <c r="AA31" s="37">
        <f t="shared" si="19"/>
        <v>232.60934035194737</v>
      </c>
      <c r="AB31" s="37">
        <f t="shared" si="19"/>
        <v>233.05645355825706</v>
      </c>
    </row>
    <row r="33" spans="2:31">
      <c r="B33" s="1" t="s">
        <v>22</v>
      </c>
    </row>
    <row r="34" spans="2:31">
      <c r="B34" s="18" t="s">
        <v>23</v>
      </c>
      <c r="C34" s="51">
        <f>-(C$29*C90+C$30*C95)*(1-factors!$B$13)</f>
        <v>0</v>
      </c>
      <c r="D34" s="51">
        <f>-(D$29*D90+D$30*D95)*(1-factors!$B$13)</f>
        <v>0</v>
      </c>
      <c r="E34" s="51">
        <f>-(E$29*E90+E$30*E95)*(1-factors!$B$13)</f>
        <v>0</v>
      </c>
      <c r="F34" s="51">
        <f>-(F$29*F90+F$30*F95)*(1-factors!$B$13)</f>
        <v>0</v>
      </c>
      <c r="G34" s="51">
        <f>-(G$29*G90+G$30*G95)*(1-factors!$B$13)</f>
        <v>-45.337453621499073</v>
      </c>
      <c r="H34" s="61">
        <f>-(H$29*H90+H$30*H95)*(1-factors!$B$13)</f>
        <v>-111.58916824114431</v>
      </c>
      <c r="I34" s="51">
        <f>-(I$29*I90+I$30*I95)*(1-factors!$B$13)</f>
        <v>-135.80805165753051</v>
      </c>
      <c r="J34" s="51">
        <f>-(J$29*J90+J$30*J95)*(1-factors!$B$13)</f>
        <v>-157.17267358442331</v>
      </c>
      <c r="K34" s="51">
        <f>-(K$29*K90+K$30*K95)*(1-factors!$B$13)</f>
        <v>-174.92040777564642</v>
      </c>
      <c r="L34" s="51">
        <f>-(L$29*L90+L$30*L95)*(1-factors!$B$13)</f>
        <v>-188.52746666057016</v>
      </c>
      <c r="M34" s="51">
        <f>-(M$29*M90+M$30*M95)*(1-factors!$B$13)</f>
        <v>-198.46327834399332</v>
      </c>
      <c r="N34" s="51">
        <f>-(N$29*N90+N$30*N95)*(1-factors!$B$13)</f>
        <v>-189.63745496412687</v>
      </c>
      <c r="O34" s="51">
        <f>-(O$29*O90+O$30*O95)*(1-factors!$B$13)</f>
        <v>-180.65203652858466</v>
      </c>
      <c r="P34" s="51">
        <f>-(P$29*P90+P$30*P95)*(1-factors!$B$13)</f>
        <v>-171.73263588568503</v>
      </c>
      <c r="Q34" s="51">
        <f>-(Q$29*Q90+Q$30*Q95)*(1-factors!$B$13)</f>
        <v>-162.88048889369867</v>
      </c>
      <c r="R34" s="51">
        <f>-(R$29*R90+R$30*R95)*(1-factors!$B$13)</f>
        <v>-154.09684318372425</v>
      </c>
      <c r="S34" s="51">
        <f>-(S$29*S90+S$30*S95)*(1-factors!$B$13)</f>
        <v>-150.64629737878948</v>
      </c>
      <c r="T34" s="51">
        <f>-(T$29*T90+T$30*T95)*(1-factors!$B$13)</f>
        <v>-147.21241695828434</v>
      </c>
      <c r="U34" s="51">
        <f>-(U$29*U90+U$30*U95)*(1-factors!$B$13)</f>
        <v>-143.79502933725252</v>
      </c>
      <c r="V34" s="51">
        <f>-(V$29*V90+V$30*V95)*(1-factors!$B$13)</f>
        <v>-140.39396419053594</v>
      </c>
      <c r="W34" s="51">
        <f>-(W$29*W90+W$30*W95)*(1-factors!$B$13)</f>
        <v>-137.02356477526038</v>
      </c>
      <c r="X34" s="51">
        <f>-(X$29*X90+X$30*X95)*(1-factors!$B$13)</f>
        <v>-135.54829472893221</v>
      </c>
      <c r="Y34" s="51">
        <f>-(Y$29*Y90+Y$30*Y95)*(1-factors!$B$13)</f>
        <v>-134.0771218972572</v>
      </c>
      <c r="Z34" s="51">
        <f>-(Z$29*Z90+Z$30*Z95)*(1-factors!$B$13)</f>
        <v>-132.60998141968088</v>
      </c>
      <c r="AA34" s="51">
        <f>-(AA$29*AA90+AA$30*AA95)*(1-factors!$B$13)</f>
        <v>-131.14680911425231</v>
      </c>
      <c r="AB34" s="51">
        <f>-(AB$29*AB90+AB$30*AB95)*(1-factors!$B$13)</f>
        <v>-129.67358058882263</v>
      </c>
      <c r="AD34" s="5">
        <f>SUMPRODUCT(C34:H34,C$3:H$3)</f>
        <v>-134.25789505189385</v>
      </c>
      <c r="AE34" s="5">
        <f>SUMPRODUCT(C34:AB34,C$3:AB$3)</f>
        <v>-3230.2762929189444</v>
      </c>
    </row>
    <row r="35" spans="2:31">
      <c r="B35" s="18" t="s">
        <v>24</v>
      </c>
      <c r="C35" s="51">
        <f>-(C$29*C91+C$30*C96)*(1-factors!$B$13)</f>
        <v>0</v>
      </c>
      <c r="D35" s="51">
        <f>-(D$29*D91+D$30*D96)*(1-factors!$B$13)</f>
        <v>0</v>
      </c>
      <c r="E35" s="51">
        <f>-(E$29*E91+E$30*E96)*(1-factors!$B$13)</f>
        <v>0</v>
      </c>
      <c r="F35" s="51">
        <f>-(F$29*F91+F$30*F96)*(1-factors!$B$13)</f>
        <v>0</v>
      </c>
      <c r="G35" s="51">
        <f>-(G$29*G91+G$30*G96)*(1-factors!$B$13)</f>
        <v>-0.65060181566556574</v>
      </c>
      <c r="H35" s="61">
        <f>-(H$29*H91+H$30*H96)*(1-factors!$B$13)</f>
        <v>-1.4556939066505081</v>
      </c>
      <c r="I35" s="51">
        <f>-(I$29*I91+I$30*I96)*(1-factors!$B$13)</f>
        <v>-1.7368305547787761</v>
      </c>
      <c r="J35" s="51">
        <f>-(J$29*J91+J$30*J96)*(1-factors!$B$13)</f>
        <v>-1.956641931327352</v>
      </c>
      <c r="K35" s="51">
        <f>-(K$29*K91+K$30*K96)*(1-factors!$B$13)</f>
        <v>-2.1069450039549391</v>
      </c>
      <c r="L35" s="51">
        <f>-(L$29*L91+L$30*L96)*(1-factors!$B$13)</f>
        <v>-2.1800977995871298</v>
      </c>
      <c r="M35" s="51">
        <f>-(M$29*M91+M$30*M96)*(1-factors!$B$13)</f>
        <v>-2.1745065875100966</v>
      </c>
      <c r="N35" s="51">
        <f>-(N$29*N91+N$30*N96)*(1-factors!$B$13)</f>
        <v>-2.0254658165746937</v>
      </c>
      <c r="O35" s="51">
        <f>-(O$29*O91+O$30*O96)*(1-factors!$B$13)</f>
        <v>-1.854887296564236</v>
      </c>
      <c r="P35" s="51">
        <f>-(P$29*P91+P$30*P96)*(1-factors!$B$13)</f>
        <v>-1.6831693791131603</v>
      </c>
      <c r="Q35" s="51">
        <f>-(Q$29*Q91+Q$30*Q96)*(1-factors!$B$13)</f>
        <v>-1.5105907098359654</v>
      </c>
      <c r="R35" s="51">
        <f>-(R$29*R91+R$30*R96)*(1-factors!$B$13)</f>
        <v>-1.3374249465537889</v>
      </c>
      <c r="S35" s="51">
        <f>-(S$29*S91+S$30*S96)*(1-factors!$B$13)</f>
        <v>-1.322339456755216</v>
      </c>
      <c r="T35" s="51">
        <f>-(T$29*T91+T$30*T96)*(1-factors!$B$13)</f>
        <v>-1.3073037712952771</v>
      </c>
      <c r="U35" s="51">
        <f>-(U$29*U91+U$30*U96)*(1-factors!$B$13)</f>
        <v>-1.292317246746219</v>
      </c>
      <c r="V35" s="51">
        <f>-(V$29*V91+V$30*V96)*(1-factors!$B$13)</f>
        <v>-1.2773792491255835</v>
      </c>
      <c r="W35" s="51">
        <f>-(W$29*W91+W$30*W96)*(1-factors!$B$13)</f>
        <v>-1.2637993130809886</v>
      </c>
      <c r="X35" s="51">
        <f>-(X$29*X91+X$30*X96)*(1-factors!$B$13)</f>
        <v>-1.258558208302377</v>
      </c>
      <c r="Y35" s="51">
        <f>-(Y$29*Y91+Y$30*Y96)*(1-factors!$B$13)</f>
        <v>-1.2533643318596639</v>
      </c>
      <c r="Z35" s="51">
        <f>-(Z$29*Z91+Z$30*Z96)*(1-factors!$B$13)</f>
        <v>-1.2482171224620251</v>
      </c>
      <c r="AA35" s="51">
        <f>-(AA$29*AA91+AA$30*AA96)*(1-factors!$B$13)</f>
        <v>-1.2431160244545882</v>
      </c>
      <c r="AB35" s="51">
        <f>-(AB$29*AB91+AB$30*AB96)*(1-factors!$B$13)</f>
        <v>-1.2367472866699505</v>
      </c>
      <c r="AD35" s="5">
        <f t="shared" ref="AD35:AD37" si="20">SUMPRODUCT(C35:H35,C$3:H$3)</f>
        <v>-1.780994814483291</v>
      </c>
      <c r="AE35" s="5">
        <f t="shared" ref="AE35:AE37" si="21">SUMPRODUCT(C35:AB35,C$3:AB$3)</f>
        <v>-33.050696851035326</v>
      </c>
    </row>
    <row r="36" spans="2:31">
      <c r="B36" s="18" t="s">
        <v>25</v>
      </c>
      <c r="C36" s="51">
        <f>-(C$29*C92+C$30*C97)*(1-factors!$B$13)</f>
        <v>0</v>
      </c>
      <c r="D36" s="51">
        <f>-(D$29*D92+D$30*D97)*(1-factors!$B$13)</f>
        <v>0</v>
      </c>
      <c r="E36" s="51">
        <f>-(E$29*E92+E$30*E97)*(1-factors!$B$13)</f>
        <v>0</v>
      </c>
      <c r="F36" s="51">
        <f>-(F$29*F92+F$30*F97)*(1-factors!$B$13)</f>
        <v>0</v>
      </c>
      <c r="G36" s="51">
        <f>-(G$29*G92+G$30*G97)*(1-factors!$B$13)</f>
        <v>-5.1063323272457017</v>
      </c>
      <c r="H36" s="61">
        <f>-(H$29*H92+H$30*H97)*(1-factors!$B$13)</f>
        <v>-13.479576490970087</v>
      </c>
      <c r="I36" s="51">
        <f>-(I$29*I92+I$30*I97)*(1-factors!$B$13)</f>
        <v>-17.17533913311642</v>
      </c>
      <c r="J36" s="51">
        <f>-(J$29*J92+J$30*J97)*(1-factors!$B$13)</f>
        <v>-20.761439861426037</v>
      </c>
      <c r="K36" s="51">
        <f>-(K$29*K92+K$30*K97)*(1-factors!$B$13)</f>
        <v>-24.228242343574685</v>
      </c>
      <c r="L36" s="51">
        <f>-(L$29*L92+L$30*L97)*(1-factors!$B$13)</f>
        <v>-27.526742631478768</v>
      </c>
      <c r="M36" s="51">
        <f>-(M$29*M92+M$30*M97)*(1-factors!$B$13)</f>
        <v>-30.624486188090227</v>
      </c>
      <c r="N36" s="51">
        <f>-(N$29*N92+N$30*N97)*(1-factors!$B$13)</f>
        <v>-30.522435150930654</v>
      </c>
      <c r="O36" s="51">
        <f>-(O$29*O92+O$30*O97)*(1-factors!$B$13)</f>
        <v>-29.916750449672953</v>
      </c>
      <c r="P36" s="51">
        <f>-(P$29*P92+P$30*P97)*(1-factors!$B$13)</f>
        <v>-29.263680714624186</v>
      </c>
      <c r="Q36" s="51">
        <f>-(Q$29*Q92+Q$30*Q97)*(1-factors!$B$13)</f>
        <v>-28.566960427466604</v>
      </c>
      <c r="R36" s="51">
        <f>-(R$29*R92+R$30*R97)*(1-factors!$B$13)</f>
        <v>-27.830250923374923</v>
      </c>
      <c r="S36" s="51">
        <f>-(S$29*S92+S$30*S97)*(1-factors!$B$13)</f>
        <v>-27.677135318045643</v>
      </c>
      <c r="T36" s="51">
        <f>-(T$29*T92+T$30*T97)*(1-factors!$B$13)</f>
        <v>-27.521269749178938</v>
      </c>
      <c r="U36" s="51">
        <f>-(U$29*U92+U$30*U97)*(1-factors!$B$13)</f>
        <v>-27.362672363199763</v>
      </c>
      <c r="V36" s="51">
        <f>-(V$29*V92+V$30*V97)*(1-factors!$B$13)</f>
        <v>-27.201361151508138</v>
      </c>
      <c r="W36" s="51">
        <f>-(W$29*W92+W$30*W97)*(1-factors!$B$13)</f>
        <v>-27.070255149031162</v>
      </c>
      <c r="X36" s="51">
        <f>-(X$29*X92+X$30*X97)*(1-factors!$B$13)</f>
        <v>-27.065425416706898</v>
      </c>
      <c r="Y36" s="51">
        <f>-(Y$29*Y92+Y$30*Y97)*(1-factors!$B$13)</f>
        <v>-27.058633348066479</v>
      </c>
      <c r="Z36" s="51">
        <f>-(Z$29*Z92+Z$30*Z97)*(1-factors!$B$13)</f>
        <v>-27.049881956578652</v>
      </c>
      <c r="AA36" s="51">
        <f>-(AA$29*AA92+AA$30*AA97)*(1-factors!$B$13)</f>
        <v>-27.03917425979138</v>
      </c>
      <c r="AB36" s="51">
        <f>-(AB$29*AB92+AB$30*AB97)*(1-factors!$B$13)</f>
        <v>-26.994761439262312</v>
      </c>
      <c r="AD36" s="5">
        <f t="shared" si="20"/>
        <v>-16.032742654592937</v>
      </c>
      <c r="AE36" s="5">
        <f t="shared" si="21"/>
        <v>-554.48964062971777</v>
      </c>
    </row>
    <row r="37" spans="2:31">
      <c r="B37" s="18" t="s">
        <v>26</v>
      </c>
      <c r="C37" s="5">
        <f>-(C$29*C93+C$30*C98)*(1-factors!$B$13)</f>
        <v>0</v>
      </c>
      <c r="D37" s="5">
        <f>-(D$29*D93+D$30*D98)*(1-factors!$B$13)</f>
        <v>0</v>
      </c>
      <c r="E37" s="5">
        <f>-(E$29*E93+E$30*E98)*(1-factors!$B$13)</f>
        <v>0</v>
      </c>
      <c r="F37" s="5">
        <f>-(F$29*F93+F$30*F98)*(1-factors!$B$13)</f>
        <v>0</v>
      </c>
      <c r="G37" s="5">
        <f>-(G$29*G93+G$30*G98)*(1-factors!$B$13)</f>
        <v>-35660.452714067746</v>
      </c>
      <c r="H37" s="5">
        <f>-(H$29*H93+H$30*H98)*(1-factors!$B$13)</f>
        <v>-96911.732421978799</v>
      </c>
      <c r="I37" s="5">
        <f>-(I$29*I93+I$30*I98)*(1-factors!$B$13)</f>
        <v>-125600.90294002152</v>
      </c>
      <c r="J37" s="5">
        <f>-(J$29*J93+J$30*J98)*(1-factors!$B$13)</f>
        <v>-155318.96381132014</v>
      </c>
      <c r="K37" s="5">
        <f>-(K$29*K93+K$30*K98)*(1-factors!$B$13)</f>
        <v>-185741.89558460171</v>
      </c>
      <c r="L37" s="5">
        <f>-(L$29*L93+L$30*L98)*(1-factors!$B$13)</f>
        <v>-216567.78494266799</v>
      </c>
      <c r="M37" s="5">
        <f>-(M$29*M93+M$30*M98)*(1-factors!$B$13)</f>
        <v>-248344.43251939444</v>
      </c>
      <c r="N37" s="5">
        <f>-(N$29*N93+N$30*N98)*(1-factors!$B$13)</f>
        <v>-248010.39816958766</v>
      </c>
      <c r="O37" s="5">
        <f>-(O$29*O93+O$30*O98)*(1-factors!$B$13)</f>
        <v>-246349.64653286914</v>
      </c>
      <c r="P37" s="5">
        <f>-(P$29*P93+P$30*P98)*(1-factors!$B$13)</f>
        <v>-244592.12164672615</v>
      </c>
      <c r="Q37" s="5">
        <f>-(Q$29*Q93+Q$30*Q98)*(1-factors!$B$13)</f>
        <v>-242740.39714957817</v>
      </c>
      <c r="R37" s="5">
        <f>-(R$29*R93+R$30*R98)*(1-factors!$B$13)</f>
        <v>-240797.00404163069</v>
      </c>
      <c r="S37" s="5">
        <f>-(S$29*S93+S$30*S98)*(1-factors!$B$13)</f>
        <v>-240022.44446913668</v>
      </c>
      <c r="T37" s="5">
        <f>-(T$29*T93+T$30*T98)*(1-factors!$B$13)</f>
        <v>-239249.56495240159</v>
      </c>
      <c r="U37" s="5">
        <f>-(U$29*U93+U$30*U98)*(1-factors!$B$13)</f>
        <v>-238478.33728440231</v>
      </c>
      <c r="V37" s="5">
        <f>-(V$29*V93+V$30*V98)*(1-factors!$B$13)</f>
        <v>-237708.73371384494</v>
      </c>
      <c r="W37" s="5">
        <f>-(W$29*W93+W$30*W98)*(1-factors!$B$13)</f>
        <v>-237044.93706262918</v>
      </c>
      <c r="X37" s="5">
        <f>-(X$29*X93+X$30*X98)*(1-factors!$B$13)</f>
        <v>-236851.33380528769</v>
      </c>
      <c r="Y37" s="5">
        <f>-(Y$29*Y93+Y$30*Y98)*(1-factors!$B$13)</f>
        <v>-236658.29736392311</v>
      </c>
      <c r="Z37" s="5">
        <f>-(Z$29*Z93+Z$30*Z98)*(1-factors!$B$13)</f>
        <v>-236465.8033478898</v>
      </c>
      <c r="AA37" s="5">
        <f>-(AA$29*AA93+AA$30*AA98)*(1-factors!$B$13)</f>
        <v>-236273.82764130025</v>
      </c>
      <c r="AB37" s="5">
        <f>-(AB$29*AB93+AB$30*AB98)*(1-factors!$B$13)</f>
        <v>-235978.98905769616</v>
      </c>
      <c r="AD37" s="62">
        <f t="shared" si="20"/>
        <v>-114741.95877901267</v>
      </c>
      <c r="AE37" s="62">
        <f t="shared" si="21"/>
        <v>-4643537.7748159217</v>
      </c>
    </row>
    <row r="38" spans="2:31">
      <c r="AD38" s="5"/>
      <c r="AE38" s="5"/>
    </row>
    <row r="39" spans="2:31">
      <c r="B39" s="1" t="s">
        <v>27</v>
      </c>
      <c r="AD39" s="5"/>
      <c r="AE39" s="5"/>
    </row>
    <row r="40" spans="2:31">
      <c r="B40" s="18" t="s">
        <v>23</v>
      </c>
      <c r="C40" s="51">
        <f>C34/(factors!$C$24/factors!$C$21)</f>
        <v>0</v>
      </c>
      <c r="D40" s="51">
        <f>D34/(factors!$C$24/factors!$C$21)</f>
        <v>0</v>
      </c>
      <c r="E40" s="51">
        <f>E34/(factors!$C$24/factors!$C$21)</f>
        <v>0</v>
      </c>
      <c r="F40" s="51">
        <f>F34/(factors!$C$24/factors!$C$21)</f>
        <v>0</v>
      </c>
      <c r="G40" s="51">
        <f>G34/(factors!$C$24/factors!$C$21)</f>
        <v>-136.01236086449723</v>
      </c>
      <c r="H40" s="61">
        <f>H34/(factors!$C$24/factors!$C$21)</f>
        <v>-334.76750472343292</v>
      </c>
      <c r="I40" s="51">
        <f>I34/(factors!$C$24/factors!$C$21)</f>
        <v>-407.42415497259157</v>
      </c>
      <c r="J40" s="51">
        <f>J34/(factors!$C$24/factors!$C$21)</f>
        <v>-471.51802075326992</v>
      </c>
      <c r="K40" s="51">
        <f>K34/(factors!$C$24/factors!$C$21)</f>
        <v>-524.76122332693933</v>
      </c>
      <c r="L40" s="51">
        <f>L34/(factors!$C$24/factors!$C$21)</f>
        <v>-565.58239998171052</v>
      </c>
      <c r="M40" s="51">
        <f>M34/(factors!$C$24/factors!$C$21)</f>
        <v>-595.38983503198006</v>
      </c>
      <c r="N40" s="51">
        <f>N34/(factors!$C$24/factors!$C$21)</f>
        <v>-568.91236489238065</v>
      </c>
      <c r="O40" s="51">
        <f>O34/(factors!$C$24/factors!$C$21)</f>
        <v>-541.95610958575401</v>
      </c>
      <c r="P40" s="51">
        <f>P34/(factors!$C$24/factors!$C$21)</f>
        <v>-515.19790765705511</v>
      </c>
      <c r="Q40" s="51">
        <f>Q34/(factors!$C$24/factors!$C$21)</f>
        <v>-488.64146668109601</v>
      </c>
      <c r="R40" s="51">
        <f>R34/(factors!$C$24/factors!$C$21)</f>
        <v>-462.29052955117277</v>
      </c>
      <c r="S40" s="51">
        <f>S34/(factors!$C$24/factors!$C$21)</f>
        <v>-451.93889213636845</v>
      </c>
      <c r="T40" s="51">
        <f>T34/(factors!$C$24/factors!$C$21)</f>
        <v>-441.63725087485301</v>
      </c>
      <c r="U40" s="51">
        <f>U34/(factors!$C$24/factors!$C$21)</f>
        <v>-431.38508801175755</v>
      </c>
      <c r="V40" s="51">
        <f>V34/(factors!$C$24/factors!$C$21)</f>
        <v>-421.18189257160782</v>
      </c>
      <c r="W40" s="51">
        <f>W34/(factors!$C$24/factors!$C$21)</f>
        <v>-411.07069432578118</v>
      </c>
      <c r="X40" s="51">
        <f>X34/(factors!$C$24/factors!$C$21)</f>
        <v>-406.64488418679662</v>
      </c>
      <c r="Y40" s="51">
        <f>Y34/(factors!$C$24/factors!$C$21)</f>
        <v>-402.2313656917716</v>
      </c>
      <c r="Z40" s="51">
        <f>Z34/(factors!$C$24/factors!$C$21)</f>
        <v>-397.82994425904263</v>
      </c>
      <c r="AA40" s="51">
        <f>AA34/(factors!$C$24/factors!$C$21)</f>
        <v>-393.44042734275695</v>
      </c>
      <c r="AB40" s="51">
        <f>AB34/(factors!$C$24/factors!$C$21)</f>
        <v>-389.02074176646789</v>
      </c>
      <c r="AD40" s="5">
        <f t="shared" ref="AD40:AD43" si="22">SUMPRODUCT(C40:H40,C$3:H$3)</f>
        <v>-402.77368515568151</v>
      </c>
      <c r="AE40" s="5">
        <f t="shared" ref="AE40:AE43" si="23">SUMPRODUCT(C40:AB40,C$3:AB$3)</f>
        <v>-9690.8288787568363</v>
      </c>
    </row>
    <row r="41" spans="2:31">
      <c r="B41" s="18" t="s">
        <v>24</v>
      </c>
      <c r="C41" s="51">
        <f>C35/(factors!$C$24/factors!$C$21)</f>
        <v>0</v>
      </c>
      <c r="D41" s="51">
        <f>D35/(factors!$C$24/factors!$C$21)</f>
        <v>0</v>
      </c>
      <c r="E41" s="51">
        <f>E35/(factors!$C$24/factors!$C$21)</f>
        <v>0</v>
      </c>
      <c r="F41" s="51">
        <f>F35/(factors!$C$24/factors!$C$21)</f>
        <v>0</v>
      </c>
      <c r="G41" s="51">
        <f>G35/(factors!$C$24/factors!$C$21)</f>
        <v>-1.9518054469966972</v>
      </c>
      <c r="H41" s="61">
        <f>H35/(factors!$C$24/factors!$C$21)</f>
        <v>-4.3670817199515248</v>
      </c>
      <c r="I41" s="51">
        <f>I35/(factors!$C$24/factors!$C$21)</f>
        <v>-5.2104916643363284</v>
      </c>
      <c r="J41" s="51">
        <f>J35/(factors!$C$24/factors!$C$21)</f>
        <v>-5.8699257939820564</v>
      </c>
      <c r="K41" s="51">
        <f>K35/(factors!$C$24/factors!$C$21)</f>
        <v>-6.3208350118648173</v>
      </c>
      <c r="L41" s="51">
        <f>L35/(factors!$C$24/factors!$C$21)</f>
        <v>-6.5402933987613894</v>
      </c>
      <c r="M41" s="51">
        <f>M35/(factors!$C$24/factors!$C$21)</f>
        <v>-6.5235197625302899</v>
      </c>
      <c r="N41" s="51">
        <f>N35/(factors!$C$24/factors!$C$21)</f>
        <v>-6.0763974497240811</v>
      </c>
      <c r="O41" s="51">
        <f>O35/(factors!$C$24/factors!$C$21)</f>
        <v>-5.564661889692708</v>
      </c>
      <c r="P41" s="51">
        <f>P35/(factors!$C$24/factors!$C$21)</f>
        <v>-5.0495081373394815</v>
      </c>
      <c r="Q41" s="51">
        <f>Q35/(factors!$C$24/factors!$C$21)</f>
        <v>-4.531772129507897</v>
      </c>
      <c r="R41" s="51">
        <f>R35/(factors!$C$24/factors!$C$21)</f>
        <v>-4.0122748396613668</v>
      </c>
      <c r="S41" s="51">
        <f>S35/(factors!$C$24/factors!$C$21)</f>
        <v>-3.9670183702656483</v>
      </c>
      <c r="T41" s="51">
        <f>T35/(factors!$C$24/factors!$C$21)</f>
        <v>-3.9219113138858313</v>
      </c>
      <c r="U41" s="51">
        <f>U35/(factors!$C$24/factors!$C$21)</f>
        <v>-3.8769517402386571</v>
      </c>
      <c r="V41" s="51">
        <f>V35/(factors!$C$24/factors!$C$21)</f>
        <v>-3.8321377473767506</v>
      </c>
      <c r="W41" s="51">
        <f>W35/(factors!$C$24/factors!$C$21)</f>
        <v>-3.791397939242966</v>
      </c>
      <c r="X41" s="51">
        <f>X35/(factors!$C$24/factors!$C$21)</f>
        <v>-3.7756746249071309</v>
      </c>
      <c r="Y41" s="51">
        <f>Y35/(factors!$C$24/factors!$C$21)</f>
        <v>-3.7600929955789919</v>
      </c>
      <c r="Z41" s="51">
        <f>Z35/(factors!$C$24/factors!$C$21)</f>
        <v>-3.7446513673860755</v>
      </c>
      <c r="AA41" s="51">
        <f>AA35/(factors!$C$24/factors!$C$21)</f>
        <v>-3.7293480733637647</v>
      </c>
      <c r="AB41" s="51">
        <f>AB35/(factors!$C$24/factors!$C$21)</f>
        <v>-3.7102418600098517</v>
      </c>
      <c r="AD41" s="5">
        <f t="shared" si="22"/>
        <v>-5.3429844434498737</v>
      </c>
      <c r="AE41" s="5">
        <f t="shared" si="23"/>
        <v>-99.152090553105921</v>
      </c>
    </row>
    <row r="42" spans="2:31">
      <c r="B42" s="18" t="s">
        <v>25</v>
      </c>
      <c r="C42" s="51">
        <f>C36/(factors!$C$24/factors!$C$21)</f>
        <v>0</v>
      </c>
      <c r="D42" s="51">
        <f>D36/(factors!$C$24/factors!$C$21)</f>
        <v>0</v>
      </c>
      <c r="E42" s="51">
        <f>E36/(factors!$C$24/factors!$C$21)</f>
        <v>0</v>
      </c>
      <c r="F42" s="51">
        <f>F36/(factors!$C$24/factors!$C$21)</f>
        <v>0</v>
      </c>
      <c r="G42" s="51">
        <f>G36/(factors!$C$24/factors!$C$21)</f>
        <v>-15.318996981737106</v>
      </c>
      <c r="H42" s="61">
        <f>H36/(factors!$C$24/factors!$C$21)</f>
        <v>-40.438729472910268</v>
      </c>
      <c r="I42" s="51">
        <f>I36/(factors!$C$24/factors!$C$21)</f>
        <v>-51.526017399349264</v>
      </c>
      <c r="J42" s="51">
        <f>J36/(factors!$C$24/factors!$C$21)</f>
        <v>-62.284319584278116</v>
      </c>
      <c r="K42" s="51">
        <f>K36/(factors!$C$24/factors!$C$21)</f>
        <v>-72.684727030724062</v>
      </c>
      <c r="L42" s="51">
        <f>L36/(factors!$C$24/factors!$C$21)</f>
        <v>-82.580227894436305</v>
      </c>
      <c r="M42" s="51">
        <f>M36/(factors!$C$24/factors!$C$21)</f>
        <v>-91.873458564270692</v>
      </c>
      <c r="N42" s="51">
        <f>N36/(factors!$C$24/factors!$C$21)</f>
        <v>-91.56730545279197</v>
      </c>
      <c r="O42" s="51">
        <f>O36/(factors!$C$24/factors!$C$21)</f>
        <v>-89.750251349018868</v>
      </c>
      <c r="P42" s="51">
        <f>P36/(factors!$C$24/factors!$C$21)</f>
        <v>-87.791042143872559</v>
      </c>
      <c r="Q42" s="51">
        <f>Q36/(factors!$C$24/factors!$C$21)</f>
        <v>-85.70088128239982</v>
      </c>
      <c r="R42" s="51">
        <f>R36/(factors!$C$24/factors!$C$21)</f>
        <v>-83.490752770124772</v>
      </c>
      <c r="S42" s="51">
        <f>S36/(factors!$C$24/factors!$C$21)</f>
        <v>-83.031405954136929</v>
      </c>
      <c r="T42" s="51">
        <f>T36/(factors!$C$24/factors!$C$21)</f>
        <v>-82.563809247536824</v>
      </c>
      <c r="U42" s="51">
        <f>U36/(factors!$C$24/factors!$C$21)</f>
        <v>-82.08801708959929</v>
      </c>
      <c r="V42" s="51">
        <f>V36/(factors!$C$24/factors!$C$21)</f>
        <v>-81.604083454524414</v>
      </c>
      <c r="W42" s="51">
        <f>W36/(factors!$C$24/factors!$C$21)</f>
        <v>-81.210765447093493</v>
      </c>
      <c r="X42" s="51">
        <f>X36/(factors!$C$24/factors!$C$21)</f>
        <v>-81.196276250120704</v>
      </c>
      <c r="Y42" s="51">
        <f>Y36/(factors!$C$24/factors!$C$21)</f>
        <v>-81.175900044199437</v>
      </c>
      <c r="Z42" s="51">
        <f>Z36/(factors!$C$24/factors!$C$21)</f>
        <v>-81.149645869735963</v>
      </c>
      <c r="AA42" s="51">
        <f>AA36/(factors!$C$24/factors!$C$21)</f>
        <v>-81.117522779374141</v>
      </c>
      <c r="AB42" s="51">
        <f>AB36/(factors!$C$24/factors!$C$21)</f>
        <v>-80.984284317786944</v>
      </c>
      <c r="AD42" s="5">
        <f t="shared" si="22"/>
        <v>-48.098227963778818</v>
      </c>
      <c r="AE42" s="5">
        <f t="shared" si="23"/>
        <v>-1663.4689218891533</v>
      </c>
    </row>
    <row r="43" spans="2:31">
      <c r="B43" s="18" t="s">
        <v>26</v>
      </c>
      <c r="C43" s="5">
        <f>C37/(factors!$C$24/factors!$C$21)</f>
        <v>0</v>
      </c>
      <c r="D43" s="5">
        <f>D37/(factors!$C$24/factors!$C$21)</f>
        <v>0</v>
      </c>
      <c r="E43" s="5">
        <f>E37/(factors!$C$24/factors!$C$21)</f>
        <v>0</v>
      </c>
      <c r="F43" s="5">
        <f>F37/(factors!$C$24/factors!$C$21)</f>
        <v>0</v>
      </c>
      <c r="G43" s="5">
        <f>G37/(factors!$C$24/factors!$C$21)</f>
        <v>-106981.35814220324</v>
      </c>
      <c r="H43" s="5">
        <f>H37/(factors!$C$24/factors!$C$21)</f>
        <v>-290735.19726593641</v>
      </c>
      <c r="I43" s="5">
        <f>I37/(factors!$C$24/factors!$C$21)</f>
        <v>-376802.70882006461</v>
      </c>
      <c r="J43" s="5">
        <f>J37/(factors!$C$24/factors!$C$21)</f>
        <v>-465956.89143396041</v>
      </c>
      <c r="K43" s="5">
        <f>K37/(factors!$C$24/factors!$C$21)</f>
        <v>-557225.68675380514</v>
      </c>
      <c r="L43" s="5">
        <f>L37/(factors!$C$24/factors!$C$21)</f>
        <v>-649703.35482800403</v>
      </c>
      <c r="M43" s="5">
        <f>M37/(factors!$C$24/factors!$C$21)</f>
        <v>-745033.29755818332</v>
      </c>
      <c r="N43" s="5">
        <f>N37/(factors!$C$24/factors!$C$21)</f>
        <v>-744031.19450876303</v>
      </c>
      <c r="O43" s="5">
        <f>O37/(factors!$C$24/factors!$C$21)</f>
        <v>-739048.93959860748</v>
      </c>
      <c r="P43" s="5">
        <f>P37/(factors!$C$24/factors!$C$21)</f>
        <v>-733776.36494017846</v>
      </c>
      <c r="Q43" s="5">
        <f>Q37/(factors!$C$24/factors!$C$21)</f>
        <v>-728221.19144873461</v>
      </c>
      <c r="R43" s="5">
        <f>R37/(factors!$C$24/factors!$C$21)</f>
        <v>-722391.01212489209</v>
      </c>
      <c r="S43" s="5">
        <f>S37/(factors!$C$24/factors!$C$21)</f>
        <v>-720067.33340741007</v>
      </c>
      <c r="T43" s="5">
        <f>T37/(factors!$C$24/factors!$C$21)</f>
        <v>-717748.6948572048</v>
      </c>
      <c r="U43" s="5">
        <f>U37/(factors!$C$24/factors!$C$21)</f>
        <v>-715435.01185320702</v>
      </c>
      <c r="V43" s="5">
        <f>V37/(factors!$C$24/factors!$C$21)</f>
        <v>-713126.20114153484</v>
      </c>
      <c r="W43" s="5">
        <f>W37/(factors!$C$24/factors!$C$21)</f>
        <v>-711134.81118788756</v>
      </c>
      <c r="X43" s="5">
        <f>X37/(factors!$C$24/factors!$C$21)</f>
        <v>-710554.00141586317</v>
      </c>
      <c r="Y43" s="5">
        <f>Y37/(factors!$C$24/factors!$C$21)</f>
        <v>-709974.89209176938</v>
      </c>
      <c r="Z43" s="5">
        <f>Z37/(factors!$C$24/factors!$C$21)</f>
        <v>-709397.4100436694</v>
      </c>
      <c r="AA43" s="5">
        <f>AA37/(factors!$C$24/factors!$C$21)</f>
        <v>-708821.48292390082</v>
      </c>
      <c r="AB43" s="5">
        <f>AB37/(factors!$C$24/factors!$C$21)</f>
        <v>-707936.96717308857</v>
      </c>
      <c r="AD43" s="62">
        <f t="shared" si="22"/>
        <v>-344225.876337038</v>
      </c>
      <c r="AE43" s="62">
        <f t="shared" si="23"/>
        <v>-13930613.324447768</v>
      </c>
    </row>
    <row r="44" spans="2:31">
      <c r="AD44" s="5"/>
      <c r="AE44" s="5"/>
    </row>
    <row r="45" spans="2:31">
      <c r="B45" s="1" t="s">
        <v>28</v>
      </c>
      <c r="AD45" s="5"/>
      <c r="AE45" s="5"/>
    </row>
    <row r="46" spans="2:31">
      <c r="B46" s="18" t="s">
        <v>23</v>
      </c>
      <c r="C46" s="51">
        <f>C34+C40</f>
        <v>0</v>
      </c>
      <c r="D46" s="51">
        <f t="shared" ref="D46:AB49" si="24">D34+D40</f>
        <v>0</v>
      </c>
      <c r="E46" s="51">
        <f t="shared" si="24"/>
        <v>0</v>
      </c>
      <c r="F46" s="51">
        <f t="shared" si="24"/>
        <v>0</v>
      </c>
      <c r="G46" s="51">
        <f t="shared" si="24"/>
        <v>-181.34981448599629</v>
      </c>
      <c r="H46" s="61">
        <f t="shared" si="24"/>
        <v>-446.35667296457723</v>
      </c>
      <c r="I46" s="51">
        <f t="shared" si="24"/>
        <v>-543.23220663012205</v>
      </c>
      <c r="J46" s="51">
        <f t="shared" si="24"/>
        <v>-628.69069433769323</v>
      </c>
      <c r="K46" s="51">
        <f t="shared" si="24"/>
        <v>-699.6816311025857</v>
      </c>
      <c r="L46" s="51">
        <f t="shared" si="24"/>
        <v>-754.10986664228062</v>
      </c>
      <c r="M46" s="51">
        <f t="shared" si="24"/>
        <v>-793.85311337597341</v>
      </c>
      <c r="N46" s="51">
        <f t="shared" si="24"/>
        <v>-758.5498198565075</v>
      </c>
      <c r="O46" s="51">
        <f t="shared" si="24"/>
        <v>-722.60814611433864</v>
      </c>
      <c r="P46" s="51">
        <f t="shared" si="24"/>
        <v>-686.93054354274011</v>
      </c>
      <c r="Q46" s="51">
        <f t="shared" si="24"/>
        <v>-651.52195557479467</v>
      </c>
      <c r="R46" s="51">
        <f t="shared" si="24"/>
        <v>-616.38737273489699</v>
      </c>
      <c r="S46" s="51">
        <f t="shared" si="24"/>
        <v>-602.58518951515794</v>
      </c>
      <c r="T46" s="51">
        <f t="shared" si="24"/>
        <v>-588.84966783313735</v>
      </c>
      <c r="U46" s="51">
        <f t="shared" si="24"/>
        <v>-575.18011734901006</v>
      </c>
      <c r="V46" s="51">
        <f t="shared" si="24"/>
        <v>-561.57585676214376</v>
      </c>
      <c r="W46" s="51">
        <f t="shared" si="24"/>
        <v>-548.09425910104153</v>
      </c>
      <c r="X46" s="51">
        <f t="shared" si="24"/>
        <v>-542.19317891572882</v>
      </c>
      <c r="Y46" s="51">
        <f t="shared" si="24"/>
        <v>-536.3084875890288</v>
      </c>
      <c r="Z46" s="51">
        <f t="shared" si="24"/>
        <v>-530.43992567872351</v>
      </c>
      <c r="AA46" s="51">
        <f t="shared" si="24"/>
        <v>-524.58723645700923</v>
      </c>
      <c r="AB46" s="51">
        <f t="shared" si="24"/>
        <v>-518.69432235529052</v>
      </c>
      <c r="AD46" s="5">
        <f t="shared" ref="AD46:AD49" si="25">SUMPRODUCT(C46:H46,C$3:H$3)</f>
        <v>-537.03158020757542</v>
      </c>
      <c r="AE46" s="5">
        <f t="shared" ref="AE46:AE49" si="26">SUMPRODUCT(C46:AB46,C$3:AB$3)</f>
        <v>-12921.105171675777</v>
      </c>
    </row>
    <row r="47" spans="2:31">
      <c r="B47" s="18" t="s">
        <v>24</v>
      </c>
      <c r="C47" s="51">
        <f t="shared" ref="C47:R49" si="27">C35+C41</f>
        <v>0</v>
      </c>
      <c r="D47" s="51">
        <f t="shared" si="27"/>
        <v>0</v>
      </c>
      <c r="E47" s="51">
        <f t="shared" si="27"/>
        <v>0</v>
      </c>
      <c r="F47" s="51">
        <f t="shared" si="27"/>
        <v>0</v>
      </c>
      <c r="G47" s="51">
        <f t="shared" si="27"/>
        <v>-2.602407262662263</v>
      </c>
      <c r="H47" s="61">
        <f t="shared" si="27"/>
        <v>-5.8227756266020325</v>
      </c>
      <c r="I47" s="51">
        <f t="shared" si="27"/>
        <v>-6.9473222191151045</v>
      </c>
      <c r="J47" s="51">
        <f t="shared" si="27"/>
        <v>-7.8265677253094079</v>
      </c>
      <c r="K47" s="51">
        <f t="shared" si="27"/>
        <v>-8.4277800158197564</v>
      </c>
      <c r="L47" s="51">
        <f t="shared" si="27"/>
        <v>-8.7203911983485192</v>
      </c>
      <c r="M47" s="51">
        <f t="shared" si="27"/>
        <v>-8.6980263500403865</v>
      </c>
      <c r="N47" s="51">
        <f t="shared" si="27"/>
        <v>-8.1018632662987748</v>
      </c>
      <c r="O47" s="51">
        <f t="shared" si="27"/>
        <v>-7.419549186256944</v>
      </c>
      <c r="P47" s="51">
        <f t="shared" si="27"/>
        <v>-6.7326775164526413</v>
      </c>
      <c r="Q47" s="51">
        <f t="shared" si="27"/>
        <v>-6.0423628393438626</v>
      </c>
      <c r="R47" s="51">
        <f t="shared" si="27"/>
        <v>-5.3496997862151554</v>
      </c>
      <c r="S47" s="51">
        <f t="shared" si="24"/>
        <v>-5.2893578270208641</v>
      </c>
      <c r="T47" s="51">
        <f t="shared" si="24"/>
        <v>-5.2292150851811083</v>
      </c>
      <c r="U47" s="51">
        <f t="shared" si="24"/>
        <v>-5.1692689869848758</v>
      </c>
      <c r="V47" s="51">
        <f t="shared" si="24"/>
        <v>-5.1095169965023342</v>
      </c>
      <c r="W47" s="51">
        <f t="shared" si="24"/>
        <v>-5.0551972523239543</v>
      </c>
      <c r="X47" s="51">
        <f t="shared" si="24"/>
        <v>-5.0342328332095079</v>
      </c>
      <c r="Y47" s="51">
        <f t="shared" si="24"/>
        <v>-5.0134573274386556</v>
      </c>
      <c r="Z47" s="51">
        <f t="shared" si="24"/>
        <v>-4.9928684898481004</v>
      </c>
      <c r="AA47" s="51">
        <f t="shared" si="24"/>
        <v>-4.972464097818353</v>
      </c>
      <c r="AB47" s="51">
        <f t="shared" si="24"/>
        <v>-4.9469891466798019</v>
      </c>
      <c r="AD47" s="5">
        <f t="shared" si="25"/>
        <v>-7.123979257933164</v>
      </c>
      <c r="AE47" s="5">
        <f t="shared" si="26"/>
        <v>-132.2027874041413</v>
      </c>
    </row>
    <row r="48" spans="2:31">
      <c r="B48" s="18" t="s">
        <v>25</v>
      </c>
      <c r="C48" s="51">
        <f t="shared" si="27"/>
        <v>0</v>
      </c>
      <c r="D48" s="51">
        <f t="shared" si="24"/>
        <v>0</v>
      </c>
      <c r="E48" s="51">
        <f t="shared" si="24"/>
        <v>0</v>
      </c>
      <c r="F48" s="51">
        <f t="shared" si="24"/>
        <v>0</v>
      </c>
      <c r="G48" s="51">
        <f t="shared" si="24"/>
        <v>-20.425329308982807</v>
      </c>
      <c r="H48" s="61">
        <f t="shared" si="24"/>
        <v>-53.918305963880357</v>
      </c>
      <c r="I48" s="51">
        <f t="shared" si="24"/>
        <v>-68.701356532465681</v>
      </c>
      <c r="J48" s="51">
        <f t="shared" si="24"/>
        <v>-83.045759445704149</v>
      </c>
      <c r="K48" s="51">
        <f t="shared" si="24"/>
        <v>-96.91296937429874</v>
      </c>
      <c r="L48" s="51">
        <f t="shared" si="24"/>
        <v>-110.10697052591507</v>
      </c>
      <c r="M48" s="51">
        <f t="shared" si="24"/>
        <v>-122.49794475236092</v>
      </c>
      <c r="N48" s="51">
        <f t="shared" si="24"/>
        <v>-122.08974060372262</v>
      </c>
      <c r="O48" s="51">
        <f t="shared" si="24"/>
        <v>-119.66700179869181</v>
      </c>
      <c r="P48" s="51">
        <f t="shared" si="24"/>
        <v>-117.05472285849675</v>
      </c>
      <c r="Q48" s="51">
        <f t="shared" si="24"/>
        <v>-114.26784170986642</v>
      </c>
      <c r="R48" s="51">
        <f t="shared" si="24"/>
        <v>-111.32100369349969</v>
      </c>
      <c r="S48" s="51">
        <f t="shared" si="24"/>
        <v>-110.70854127218257</v>
      </c>
      <c r="T48" s="51">
        <f t="shared" si="24"/>
        <v>-110.08507899671577</v>
      </c>
      <c r="U48" s="51">
        <f t="shared" si="24"/>
        <v>-109.45068945279905</v>
      </c>
      <c r="V48" s="51">
        <f t="shared" si="24"/>
        <v>-108.80544460603255</v>
      </c>
      <c r="W48" s="51">
        <f t="shared" si="24"/>
        <v>-108.28102059612465</v>
      </c>
      <c r="X48" s="51">
        <f t="shared" si="24"/>
        <v>-108.26170166682761</v>
      </c>
      <c r="Y48" s="51">
        <f t="shared" si="24"/>
        <v>-108.23453339226592</v>
      </c>
      <c r="Z48" s="51">
        <f t="shared" si="24"/>
        <v>-108.19952782631461</v>
      </c>
      <c r="AA48" s="51">
        <f t="shared" si="24"/>
        <v>-108.15669703916552</v>
      </c>
      <c r="AB48" s="51">
        <f t="shared" si="24"/>
        <v>-107.97904575704925</v>
      </c>
      <c r="AD48" s="5">
        <f t="shared" si="25"/>
        <v>-64.130970618371762</v>
      </c>
      <c r="AE48" s="5">
        <f t="shared" si="26"/>
        <v>-2217.9585625188711</v>
      </c>
    </row>
    <row r="49" spans="2:34">
      <c r="B49" s="18" t="s">
        <v>26</v>
      </c>
      <c r="C49" s="5">
        <f t="shared" si="27"/>
        <v>0</v>
      </c>
      <c r="D49" s="5">
        <f t="shared" si="24"/>
        <v>0</v>
      </c>
      <c r="E49" s="5">
        <f t="shared" si="24"/>
        <v>0</v>
      </c>
      <c r="F49" s="5">
        <f t="shared" si="24"/>
        <v>0</v>
      </c>
      <c r="G49" s="5">
        <f t="shared" si="24"/>
        <v>-142641.81085627098</v>
      </c>
      <c r="H49" s="5">
        <f t="shared" si="24"/>
        <v>-387646.9296879152</v>
      </c>
      <c r="I49" s="5">
        <f t="shared" si="24"/>
        <v>-502403.61176008615</v>
      </c>
      <c r="J49" s="5">
        <f t="shared" si="24"/>
        <v>-621275.85524528055</v>
      </c>
      <c r="K49" s="5">
        <f t="shared" si="24"/>
        <v>-742967.58233840682</v>
      </c>
      <c r="L49" s="5">
        <f t="shared" si="24"/>
        <v>-866271.13977067196</v>
      </c>
      <c r="M49" s="5">
        <f t="shared" si="24"/>
        <v>-993377.73007757775</v>
      </c>
      <c r="N49" s="5">
        <f t="shared" si="24"/>
        <v>-992041.59267835063</v>
      </c>
      <c r="O49" s="5">
        <f t="shared" si="24"/>
        <v>-985398.58613147656</v>
      </c>
      <c r="P49" s="5">
        <f t="shared" si="24"/>
        <v>-978368.48658690462</v>
      </c>
      <c r="Q49" s="5">
        <f t="shared" si="24"/>
        <v>-970961.58859831281</v>
      </c>
      <c r="R49" s="5">
        <f t="shared" si="24"/>
        <v>-963188.01616652275</v>
      </c>
      <c r="S49" s="5">
        <f t="shared" si="24"/>
        <v>-960089.77787654672</v>
      </c>
      <c r="T49" s="5">
        <f t="shared" si="24"/>
        <v>-956998.25980960636</v>
      </c>
      <c r="U49" s="5">
        <f t="shared" si="24"/>
        <v>-953913.34913760936</v>
      </c>
      <c r="V49" s="5">
        <f t="shared" si="24"/>
        <v>-950834.93485537975</v>
      </c>
      <c r="W49" s="5">
        <f t="shared" si="24"/>
        <v>-948179.74825051671</v>
      </c>
      <c r="X49" s="5">
        <f t="shared" si="24"/>
        <v>-947405.33522115089</v>
      </c>
      <c r="Y49" s="5">
        <f t="shared" si="24"/>
        <v>-946633.18945569242</v>
      </c>
      <c r="Z49" s="5">
        <f t="shared" si="24"/>
        <v>-945863.2133915592</v>
      </c>
      <c r="AA49" s="5">
        <f t="shared" si="24"/>
        <v>-945095.3105652011</v>
      </c>
      <c r="AB49" s="5">
        <f t="shared" si="24"/>
        <v>-943915.95623078477</v>
      </c>
      <c r="AD49" s="62">
        <f t="shared" si="25"/>
        <v>-458967.83511605067</v>
      </c>
      <c r="AE49" s="62">
        <f t="shared" si="26"/>
        <v>-18574151.099263687</v>
      </c>
      <c r="AF49" s="48">
        <f>-$AD$1*1000000/AD49</f>
        <v>542.39094976460638</v>
      </c>
      <c r="AG49" s="48">
        <f>-$AD$1*1000000/AE49</f>
        <v>13.402496763896167</v>
      </c>
      <c r="AH49" s="48">
        <f>-$AD$1*1000000/SUM(H49:M49)</f>
        <v>60.511292729255196</v>
      </c>
    </row>
    <row r="50" spans="2:34">
      <c r="AD50" s="5"/>
      <c r="AE50" s="5"/>
    </row>
    <row r="51" spans="2:34">
      <c r="B51" s="25">
        <v>1</v>
      </c>
      <c r="C51" t="s">
        <v>29</v>
      </c>
      <c r="AD51" s="5"/>
      <c r="AE51" s="5"/>
    </row>
    <row r="52" spans="2:34">
      <c r="B52" s="21" t="s">
        <v>30</v>
      </c>
      <c r="AD52" s="5"/>
      <c r="AE52" s="5"/>
    </row>
    <row r="53" spans="2:34">
      <c r="B53" s="18" t="s">
        <v>23</v>
      </c>
      <c r="C53" s="37">
        <f>$B$51*C$24*C100/factors!$C$24/1000000*(1-factors!$B$13)</f>
        <v>0</v>
      </c>
      <c r="D53" s="37">
        <f>$B$51*D$24*D100/factors!$C$24/1000000*(1-factors!$B$13)</f>
        <v>0</v>
      </c>
      <c r="E53" s="37">
        <f>$B$51*E$24*E100/factors!$C$24/1000000*(1-factors!$B$13)</f>
        <v>0</v>
      </c>
      <c r="F53" s="37">
        <f>$B$51*F$24*F100/factors!$C$24/1000000*(1-factors!$B$13)</f>
        <v>0</v>
      </c>
      <c r="G53" s="37">
        <f>$B$51*G$24*G100/factors!$C$24/1000000*(1-factors!$B$13)</f>
        <v>21.479050693821382</v>
      </c>
      <c r="H53" s="37">
        <f>$B$51*H$24*H100/factors!$C$24/1000000*(1-factors!$B$13)</f>
        <v>59.53057590217503</v>
      </c>
      <c r="I53" s="37">
        <f>$B$51*I$24*I100/factors!$C$24/1000000*(1-factors!$B$13)</f>
        <v>75.41726583415462</v>
      </c>
      <c r="J53" s="37">
        <f>$B$51*J$24*J100/factors!$C$24/1000000*(1-factors!$B$13)</f>
        <v>91.459045752549116</v>
      </c>
      <c r="K53" s="37">
        <f>$B$51*K$24*K100/factors!$C$24/1000000*(1-factors!$B$13)</f>
        <v>104.44175885652226</v>
      </c>
      <c r="L53" s="37">
        <f>$B$51*L$24*L100/factors!$C$24/1000000*(1-factors!$B$13)</f>
        <v>116.7957578815341</v>
      </c>
      <c r="M53" s="37">
        <f>$B$51*M$24*M100/factors!$C$24/1000000*(1-factors!$B$13)</f>
        <v>131.4945645241055</v>
      </c>
      <c r="N53" s="37">
        <f>$B$51*N$24*N100/factors!$C$24/1000000*(1-factors!$B$13)</f>
        <v>125.14072207799079</v>
      </c>
      <c r="O53" s="37">
        <f>$B$51*O$24*O100/factors!$C$24/1000000*(1-factors!$B$13)</f>
        <v>122.97468224490338</v>
      </c>
      <c r="P53" s="37">
        <f>$B$51*P$24*P100/factors!$C$24/1000000*(1-factors!$B$13)</f>
        <v>117.22941722772194</v>
      </c>
      <c r="Q53" s="37">
        <f>$B$51*Q$24*Q100/factors!$C$24/1000000*(1-factors!$B$13)</f>
        <v>110.44497889013648</v>
      </c>
      <c r="R53" s="37">
        <f>$B$51*R$24*R100/factors!$C$24/1000000*(1-factors!$B$13)</f>
        <v>108.09493262963215</v>
      </c>
      <c r="S53" s="37">
        <f>$B$51*S$24*S100/factors!$C$24/1000000*(1-factors!$B$13)</f>
        <v>104.39285600236494</v>
      </c>
      <c r="T53" s="37">
        <f>$B$51*T$24*T100/factors!$C$24/1000000*(1-factors!$B$13)</f>
        <v>100.69077937509772</v>
      </c>
      <c r="U53" s="37">
        <f>$B$51*U$24*U100/factors!$C$24/1000000*(1-factors!$B$13)</f>
        <v>96.988702747830544</v>
      </c>
      <c r="V53" s="37">
        <f>$B$51*V$24*V100/factors!$C$24/1000000*(1-factors!$B$13)</f>
        <v>93.286626120563326</v>
      </c>
      <c r="W53" s="37">
        <f>$B$51*W$24*W100/factors!$C$24/1000000*(1-factors!$B$13)</f>
        <v>89.584549493296137</v>
      </c>
      <c r="X53" s="37">
        <f>$B$51*X$24*X100/factors!$C$24/1000000*(1-factors!$B$13)</f>
        <v>86.219328698168667</v>
      </c>
      <c r="Y53" s="37">
        <f>$B$51*Y$24*Y100/factors!$C$24/1000000*(1-factors!$B$13)</f>
        <v>82.854107903041196</v>
      </c>
      <c r="Z53" s="37">
        <f>$B$51*Z$24*Z100/factors!$C$24/1000000*(1-factors!$B$13)</f>
        <v>79.488887107913712</v>
      </c>
      <c r="AA53" s="37">
        <f>$B$51*AA$24*AA100/factors!$C$24/1000000*(1-factors!$B$13)</f>
        <v>76.123666312786227</v>
      </c>
      <c r="AB53" s="37">
        <f>$B$51*AB$24*AB100/factors!$C$24/1000000*(1-factors!$B$13)</f>
        <v>72.758445517658743</v>
      </c>
      <c r="AD53" s="5">
        <f t="shared" ref="AD53:AD56" si="28">SUMPRODUCT(C53:H53,C$3:H$3)</f>
        <v>70.270101249085727</v>
      </c>
      <c r="AE53" s="5">
        <f t="shared" ref="AE53:AE56" si="29">SUMPRODUCT(C53:AB53,C$3:AB$3)</f>
        <v>2056.1511764470574</v>
      </c>
    </row>
    <row r="54" spans="2:34">
      <c r="B54" s="18" t="s">
        <v>24</v>
      </c>
      <c r="C54" s="37">
        <f>$B$51*C$24*C101/factors!$C$24/1000000*(1-factors!$B$13)</f>
        <v>0</v>
      </c>
      <c r="D54" s="37">
        <f>$B$51*D$24*D101/factors!$C$24/1000000*(1-factors!$B$13)</f>
        <v>0</v>
      </c>
      <c r="E54" s="37">
        <f>$B$51*E$24*E101/factors!$C$24/1000000*(1-factors!$B$13)</f>
        <v>0</v>
      </c>
      <c r="F54" s="37">
        <f>$B$51*F$24*F101/factors!$C$24/1000000*(1-factors!$B$13)</f>
        <v>0</v>
      </c>
      <c r="G54" s="37">
        <f>$B$51*G$24*G101/factors!$C$24/1000000*(1-factors!$B$13)</f>
        <v>11.813257346471923</v>
      </c>
      <c r="H54" s="37">
        <f>$B$51*H$24*H101/factors!$C$24/1000000*(1-factors!$B$13)</f>
        <v>31.603578947356716</v>
      </c>
      <c r="I54" s="37">
        <f>$B$51*I$24*I101/factors!$C$24/1000000*(1-factors!$B$13)</f>
        <v>40.918453752519973</v>
      </c>
      <c r="J54" s="37">
        <f>$B$51*J$24*J101/factors!$C$24/1000000*(1-factors!$B$13)</f>
        <v>50.649112978241511</v>
      </c>
      <c r="K54" s="37">
        <f>$B$51*K$24*K101/factors!$C$24/1000000*(1-factors!$B$13)</f>
        <v>60.626552292566259</v>
      </c>
      <c r="L54" s="37">
        <f>$B$51*L$24*L101/factors!$C$24/1000000*(1-factors!$B$13)</f>
        <v>70.737589871355027</v>
      </c>
      <c r="M54" s="37">
        <f>$B$51*M$24*M101/factors!$C$24/1000000*(1-factors!$B$13)</f>
        <v>81.266446080757078</v>
      </c>
      <c r="N54" s="37">
        <f>$B$51*N$24*N101/factors!$C$24/1000000*(1-factors!$B$13)</f>
        <v>80.645852919505572</v>
      </c>
      <c r="O54" s="37">
        <f>$B$51*O$24*O101/factors!$C$24/1000000*(1-factors!$B$13)</f>
        <v>80.025259758254052</v>
      </c>
      <c r="P54" s="37">
        <f>$B$51*P$24*P101/factors!$C$24/1000000*(1-factors!$B$13)</f>
        <v>79.404666597002532</v>
      </c>
      <c r="Q54" s="37">
        <f>$B$51*Q$24*Q101/factors!$C$24/1000000*(1-factors!$B$13)</f>
        <v>78.784073435751012</v>
      </c>
      <c r="R54" s="37">
        <f>$B$51*R$24*R101/factors!$C$24/1000000*(1-factors!$B$13)</f>
        <v>78.163480274499506</v>
      </c>
      <c r="S54" s="37">
        <f>$B$51*S$24*S101/factors!$C$24/1000000*(1-factors!$B$13)</f>
        <v>77.536819266452696</v>
      </c>
      <c r="T54" s="37">
        <f>$B$51*T$24*T101/factors!$C$24/1000000*(1-factors!$B$13)</f>
        <v>76.910158258405872</v>
      </c>
      <c r="U54" s="37">
        <f>$B$51*U$24*U101/factors!$C$24/1000000*(1-factors!$B$13)</f>
        <v>76.283497250359076</v>
      </c>
      <c r="V54" s="37">
        <f>$B$51*V$24*V101/factors!$C$24/1000000*(1-factors!$B$13)</f>
        <v>75.656836242312252</v>
      </c>
      <c r="W54" s="37">
        <f>$B$51*W$24*W101/factors!$C$24/1000000*(1-factors!$B$13)</f>
        <v>75.030175234265442</v>
      </c>
      <c r="X54" s="37">
        <f>$B$51*X$24*X101/factors!$C$24/1000000*(1-factors!$B$13)</f>
        <v>74.472017789427156</v>
      </c>
      <c r="Y54" s="37">
        <f>$B$51*Y$24*Y101/factors!$C$24/1000000*(1-factors!$B$13)</f>
        <v>73.913860344588869</v>
      </c>
      <c r="Z54" s="37">
        <f>$B$51*Z$24*Z101/factors!$C$24/1000000*(1-factors!$B$13)</f>
        <v>73.355702899750568</v>
      </c>
      <c r="AA54" s="37">
        <f>$B$51*AA$24*AA101/factors!$C$24/1000000*(1-factors!$B$13)</f>
        <v>72.797545454912267</v>
      </c>
      <c r="AB54" s="37">
        <f>$B$51*AB$24*AB101/factors!$C$24/1000000*(1-factors!$B$13)</f>
        <v>72.239388010073995</v>
      </c>
      <c r="AD54" s="5">
        <f t="shared" si="28"/>
        <v>37.510207620592681</v>
      </c>
      <c r="AE54" s="5">
        <f t="shared" si="29"/>
        <v>1486.9276963315936</v>
      </c>
    </row>
    <row r="55" spans="2:34">
      <c r="B55" s="18" t="s">
        <v>25</v>
      </c>
      <c r="C55" s="37">
        <f>$B$51*C$24*C102/factors!$C$24/1000000*(1-factors!$B$13)</f>
        <v>0</v>
      </c>
      <c r="D55" s="37">
        <f>$B$51*D$24*D102/factors!$C$24/1000000*(1-factors!$B$13)</f>
        <v>0</v>
      </c>
      <c r="E55" s="37">
        <f>$B$51*E$24*E102/factors!$C$24/1000000*(1-factors!$B$13)</f>
        <v>0</v>
      </c>
      <c r="F55" s="37">
        <f>$B$51*F$24*F102/factors!$C$24/1000000*(1-factors!$B$13)</f>
        <v>0</v>
      </c>
      <c r="G55" s="37">
        <f>$B$51*G$24*G102/factors!$C$24/1000000*(1-factors!$B$13)</f>
        <v>10.961278197309252</v>
      </c>
      <c r="H55" s="37">
        <f>$B$51*H$24*H102/factors!$C$24/1000000*(1-factors!$B$13)</f>
        <v>29.763969406492468</v>
      </c>
      <c r="I55" s="37">
        <f>$B$51*I$24*I102/factors!$C$24/1000000*(1-factors!$B$13)</f>
        <v>38.594299744813206</v>
      </c>
      <c r="J55" s="37">
        <f>$B$51*J$24*J102/factors!$C$24/1000000*(1-factors!$B$13)</f>
        <v>47.845080306278668</v>
      </c>
      <c r="K55" s="37">
        <f>$B$51*K$24*K102/factors!$C$24/1000000*(1-factors!$B$13)</f>
        <v>57.359092915584959</v>
      </c>
      <c r="L55" s="37">
        <f>$B$51*L$24*L102/factors!$C$24/1000000*(1-factors!$B$13)</f>
        <v>67.031115175394149</v>
      </c>
      <c r="M55" s="37">
        <f>$B$51*M$24*M102/factors!$C$24/1000000*(1-factors!$B$13)</f>
        <v>77.132503987106503</v>
      </c>
      <c r="N55" s="37">
        <f>$B$51*N$24*N102/factors!$C$24/1000000*(1-factors!$B$13)</f>
        <v>76.391988345830512</v>
      </c>
      <c r="O55" s="37">
        <f>$B$51*O$24*O102/factors!$C$24/1000000*(1-factors!$B$13)</f>
        <v>75.651472704554465</v>
      </c>
      <c r="P55" s="37">
        <f>$B$51*P$24*P102/factors!$C$24/1000000*(1-factors!$B$13)</f>
        <v>74.910957063278474</v>
      </c>
      <c r="Q55" s="37">
        <f>$B$51*Q$24*Q102/factors!$C$24/1000000*(1-factors!$B$13)</f>
        <v>74.170441422002483</v>
      </c>
      <c r="R55" s="37">
        <f>$B$51*R$24*R102/factors!$C$24/1000000*(1-factors!$B$13)</f>
        <v>73.42992578072645</v>
      </c>
      <c r="S55" s="37">
        <f>$B$51*S$24*S102/factors!$C$24/1000000*(1-factors!$B$13)</f>
        <v>73.293424165018479</v>
      </c>
      <c r="T55" s="37">
        <f>$B$51*T$24*T102/factors!$C$24/1000000*(1-factors!$B$13)</f>
        <v>73.156922549310551</v>
      </c>
      <c r="U55" s="37">
        <f>$B$51*U$24*U102/factors!$C$24/1000000*(1-factors!$B$13)</f>
        <v>73.020420933602594</v>
      </c>
      <c r="V55" s="37">
        <f>$B$51*V$24*V102/factors!$C$24/1000000*(1-factors!$B$13)</f>
        <v>72.883919317894623</v>
      </c>
      <c r="W55" s="37">
        <f>$B$51*W$24*W102/factors!$C$24/1000000*(1-factors!$B$13)</f>
        <v>72.747417702186667</v>
      </c>
      <c r="X55" s="37">
        <f>$B$51*X$24*X102/factors!$C$24/1000000*(1-factors!$B$13)</f>
        <v>72.625837785674364</v>
      </c>
      <c r="Y55" s="37">
        <f>$B$51*Y$24*Y102/factors!$C$24/1000000*(1-factors!$B$13)</f>
        <v>72.504257869162032</v>
      </c>
      <c r="Z55" s="37">
        <f>$B$51*Z$24*Z102/factors!$C$24/1000000*(1-factors!$B$13)</f>
        <v>72.382677952649715</v>
      </c>
      <c r="AA55" s="37">
        <f>$B$51*AA$24*AA102/factors!$C$24/1000000*(1-factors!$B$13)</f>
        <v>72.261098036137412</v>
      </c>
      <c r="AB55" s="37">
        <f>$B$51*AB$24*AB102/factors!$C$24/1000000*(1-factors!$B$13)</f>
        <v>72.13951811962508</v>
      </c>
      <c r="AD55" s="5">
        <f t="shared" si="28"/>
        <v>35.244608505147092</v>
      </c>
      <c r="AE55" s="5">
        <f t="shared" si="29"/>
        <v>1424.7769803819785</v>
      </c>
    </row>
    <row r="56" spans="2:34">
      <c r="B56" s="18" t="s">
        <v>26</v>
      </c>
      <c r="C56" s="2">
        <f>$B$51*C$24*C103/factors!$C$24/1000000*(1-factors!$B$13)</f>
        <v>0</v>
      </c>
      <c r="D56" s="2">
        <f>$B$51*D$24*D103/factors!$C$24/1000000*(1-factors!$B$13)</f>
        <v>0</v>
      </c>
      <c r="E56" s="2">
        <f>$B$51*E$24*E103/factors!$C$24/1000000*(1-factors!$B$13)</f>
        <v>0</v>
      </c>
      <c r="F56" s="2">
        <f>$B$51*F$24*F103/factors!$C$24/1000000*(1-factors!$B$13)</f>
        <v>0</v>
      </c>
      <c r="G56" s="2">
        <f>$B$51*G$24*G103/factors!$C$24/1000000*(1-factors!$B$13)</f>
        <v>23403.144720626078</v>
      </c>
      <c r="H56" s="2">
        <f>$B$51*H$24*H103/factors!$C$24/1000000*(1-factors!$B$13)</f>
        <v>60571.316014864089</v>
      </c>
      <c r="I56" s="2">
        <f>$B$51*I$24*I103/factors!$C$24/1000000*(1-factors!$B$13)</f>
        <v>75353.120831041553</v>
      </c>
      <c r="J56" s="2">
        <f>$B$51*J$24*J103/factors!$C$24/1000000*(1-factors!$B$13)</f>
        <v>89666.618747000743</v>
      </c>
      <c r="K56" s="2">
        <f>$B$51*K$24*K103/factors!$C$24/1000000*(1-factors!$B$13)</f>
        <v>99086.419898450375</v>
      </c>
      <c r="L56" s="2">
        <f>$B$51*L$24*L103/factors!$C$24/1000000*(1-factors!$B$13)</f>
        <v>107581.01376330273</v>
      </c>
      <c r="M56" s="2">
        <f>$B$51*M$24*M103/factors!$C$24/1000000*(1-factors!$B$13)</f>
        <v>117859.29353555581</v>
      </c>
      <c r="N56" s="2">
        <f>$B$51*N$24*N103/factors!$C$24/1000000*(1-factors!$B$13)</f>
        <v>108521.86248271808</v>
      </c>
      <c r="O56" s="2">
        <f>$B$51*O$24*O103/factors!$C$24/1000000*(1-factors!$B$13)</f>
        <v>103045.1126134926</v>
      </c>
      <c r="P56" s="2">
        <f>$B$51*P$24*P103/factors!$C$24/1000000*(1-factors!$B$13)</f>
        <v>94463.832410209041</v>
      </c>
      <c r="Q56" s="2">
        <f>$B$51*Q$24*Q103/factors!$C$24/1000000*(1-factors!$B$13)</f>
        <v>85135.757544492852</v>
      </c>
      <c r="R56" s="2">
        <f>$B$51*R$24*R103/factors!$C$24/1000000*(1-factors!$B$13)</f>
        <v>80093.342799640508</v>
      </c>
      <c r="S56" s="2">
        <f>$B$51*S$24*S103/factors!$C$24/1000000*(1-factors!$B$13)</f>
        <v>71736.839469299957</v>
      </c>
      <c r="T56" s="2">
        <f>$B$51*T$24*T103/factors!$C$24/1000000*(1-factors!$B$13)</f>
        <v>63380.336138959392</v>
      </c>
      <c r="U56" s="2">
        <f>$B$51*U$24*U103/factors!$C$24/1000000*(1-factors!$B$13)</f>
        <v>55023.832808618856</v>
      </c>
      <c r="V56" s="2">
        <f>$B$51*V$24*V103/factors!$C$24/1000000*(1-factors!$B$13)</f>
        <v>46667.329478278305</v>
      </c>
      <c r="W56" s="2">
        <f>$B$51*W$24*W103/factors!$C$24/1000000*(1-factors!$B$13)</f>
        <v>38310.826147937747</v>
      </c>
      <c r="X56" s="2">
        <f>$B$51*X$24*X103/factors!$C$24/1000000*(1-factors!$B$13)</f>
        <v>31066.667463775935</v>
      </c>
      <c r="Y56" s="2">
        <f>$B$51*Y$24*Y103/factors!$C$24/1000000*(1-factors!$B$13)</f>
        <v>23822.508779614123</v>
      </c>
      <c r="Z56" s="2">
        <f>$B$51*Z$24*Z103/factors!$C$24/1000000*(1-factors!$B$13)</f>
        <v>16578.350095452304</v>
      </c>
      <c r="AA56" s="2">
        <f>$B$51*AA$24*AA103/factors!$C$24/1000000*(1-factors!$B$13)</f>
        <v>9334.1914112904906</v>
      </c>
      <c r="AB56" s="2">
        <f>$B$51*AB$24*AB103/factors!$C$24/1000000*(1-factors!$B$13)</f>
        <v>2090.0327271286747</v>
      </c>
      <c r="AD56" s="5">
        <f t="shared" si="28"/>
        <v>72272.888375177135</v>
      </c>
      <c r="AE56" s="5">
        <f t="shared" si="29"/>
        <v>1391090.1775214372</v>
      </c>
    </row>
    <row r="57" spans="2:34">
      <c r="B57" s="18"/>
      <c r="C57" s="2"/>
      <c r="D57" s="2"/>
      <c r="E57" s="2"/>
      <c r="F57" s="2"/>
      <c r="G57" s="2"/>
      <c r="H57" s="2"/>
      <c r="I57" s="2"/>
      <c r="J57" s="2"/>
      <c r="K57" s="2"/>
      <c r="L57" s="2"/>
      <c r="M57" s="2"/>
      <c r="N57" s="2"/>
      <c r="O57" s="2"/>
      <c r="P57" s="2"/>
      <c r="Q57" s="2"/>
      <c r="R57" s="2"/>
      <c r="S57" s="2"/>
      <c r="T57" s="2"/>
      <c r="U57" s="2"/>
      <c r="V57" s="2"/>
      <c r="W57" s="2"/>
      <c r="X57" s="2"/>
      <c r="Y57" s="2"/>
      <c r="Z57" s="2"/>
      <c r="AA57" s="2"/>
      <c r="AB57" s="2"/>
      <c r="AD57" s="5"/>
      <c r="AE57" s="5"/>
    </row>
    <row r="58" spans="2:34">
      <c r="B58" s="21" t="s">
        <v>31</v>
      </c>
      <c r="C58" s="2"/>
      <c r="D58" s="2"/>
      <c r="E58" s="2"/>
      <c r="F58" s="2"/>
      <c r="G58" s="2"/>
      <c r="H58" s="2"/>
      <c r="I58" s="2"/>
      <c r="J58" s="2"/>
      <c r="K58" s="2"/>
      <c r="L58" s="2"/>
      <c r="M58" s="2"/>
      <c r="N58" s="2"/>
      <c r="O58" s="2"/>
      <c r="P58" s="2"/>
      <c r="Q58" s="2"/>
      <c r="R58" s="2"/>
      <c r="S58" s="2"/>
      <c r="T58" s="2"/>
      <c r="U58" s="2"/>
      <c r="V58" s="2"/>
      <c r="W58" s="2"/>
      <c r="X58" s="2"/>
      <c r="Y58" s="2"/>
      <c r="Z58" s="2"/>
      <c r="AA58" s="2"/>
      <c r="AB58" s="2"/>
      <c r="AD58" s="5"/>
      <c r="AE58" s="5"/>
    </row>
    <row r="59" spans="2:34">
      <c r="B59" s="18" t="s">
        <v>32</v>
      </c>
      <c r="C59" s="12">
        <f t="shared" ref="C59:AB59" si="30">-IFERROR(C53/(C34+C40),0)</f>
        <v>0</v>
      </c>
      <c r="D59" s="12">
        <f t="shared" si="30"/>
        <v>0</v>
      </c>
      <c r="E59" s="12">
        <f t="shared" si="30"/>
        <v>0</v>
      </c>
      <c r="F59" s="12">
        <f t="shared" si="30"/>
        <v>0</v>
      </c>
      <c r="G59" s="12">
        <f t="shared" si="30"/>
        <v>0.11843988236050818</v>
      </c>
      <c r="H59" s="12">
        <f t="shared" si="30"/>
        <v>0.13336996959581551</v>
      </c>
      <c r="I59" s="12">
        <f t="shared" si="30"/>
        <v>0.13883062328354365</v>
      </c>
      <c r="J59" s="12">
        <f t="shared" si="30"/>
        <v>0.14547542468224137</v>
      </c>
      <c r="K59" s="12">
        <f t="shared" si="30"/>
        <v>0.1492704027286508</v>
      </c>
      <c r="L59" s="12">
        <f t="shared" si="30"/>
        <v>0.15487896796997791</v>
      </c>
      <c r="M59" s="12">
        <f t="shared" si="30"/>
        <v>0.16564092564291413</v>
      </c>
      <c r="N59" s="12">
        <f t="shared" si="30"/>
        <v>0.16497363627568096</v>
      </c>
      <c r="O59" s="12">
        <f t="shared" si="30"/>
        <v>0.17018169931541988</v>
      </c>
      <c r="P59" s="12">
        <f t="shared" si="30"/>
        <v>0.17065687110537989</v>
      </c>
      <c r="Q59" s="12">
        <f t="shared" si="30"/>
        <v>0.1695184298013383</v>
      </c>
      <c r="R59" s="12">
        <f t="shared" si="30"/>
        <v>0.17536850592836994</v>
      </c>
      <c r="S59" s="12">
        <f t="shared" si="30"/>
        <v>0.17324165581693068</v>
      </c>
      <c r="T59" s="12">
        <f t="shared" si="30"/>
        <v>0.17099573095731205</v>
      </c>
      <c r="U59" s="12">
        <f t="shared" si="30"/>
        <v>0.16862318397730594</v>
      </c>
      <c r="V59" s="12">
        <f t="shared" si="30"/>
        <v>0.16611580607902632</v>
      </c>
      <c r="W59" s="12">
        <f t="shared" si="30"/>
        <v>0.16344734141209308</v>
      </c>
      <c r="X59" s="12">
        <f t="shared" si="30"/>
        <v>0.15901957466633757</v>
      </c>
      <c r="Y59" s="12">
        <f t="shared" si="30"/>
        <v>0.15448964508376753</v>
      </c>
      <c r="Z59" s="12">
        <f t="shared" si="30"/>
        <v>0.14985464566266168</v>
      </c>
      <c r="AA59" s="12">
        <f t="shared" si="30"/>
        <v>0.14511154870430151</v>
      </c>
      <c r="AB59" s="12">
        <f t="shared" si="30"/>
        <v>0.14027229985336398</v>
      </c>
      <c r="AD59" s="5"/>
      <c r="AE59" s="5"/>
    </row>
    <row r="60" spans="2:34">
      <c r="B60" s="18" t="s">
        <v>33</v>
      </c>
      <c r="C60" s="12">
        <f t="shared" ref="C60:AB60" si="31">-IFERROR(C54/(C35+C41),0)</f>
        <v>0</v>
      </c>
      <c r="D60" s="12">
        <f t="shared" si="31"/>
        <v>0</v>
      </c>
      <c r="E60" s="12">
        <f t="shared" si="31"/>
        <v>0</v>
      </c>
      <c r="F60" s="12">
        <f t="shared" si="31"/>
        <v>0</v>
      </c>
      <c r="G60" s="12">
        <f t="shared" si="31"/>
        <v>4.5393576616393849</v>
      </c>
      <c r="H60" s="12">
        <f t="shared" si="31"/>
        <v>5.4275797272647885</v>
      </c>
      <c r="I60" s="12">
        <f t="shared" si="31"/>
        <v>5.8898166029978452</v>
      </c>
      <c r="J60" s="12">
        <f t="shared" si="31"/>
        <v>6.4714335524694127</v>
      </c>
      <c r="K60" s="12">
        <f t="shared" si="31"/>
        <v>7.1936562391002576</v>
      </c>
      <c r="L60" s="12">
        <f t="shared" si="31"/>
        <v>8.1117450195068557</v>
      </c>
      <c r="M60" s="12">
        <f t="shared" si="31"/>
        <v>9.3430903529488329</v>
      </c>
      <c r="N60" s="12">
        <f t="shared" si="31"/>
        <v>9.9539883936288067</v>
      </c>
      <c r="O60" s="12">
        <f t="shared" si="31"/>
        <v>10.78573074311347</v>
      </c>
      <c r="P60" s="12">
        <f t="shared" si="31"/>
        <v>11.793920977643943</v>
      </c>
      <c r="Q60" s="12">
        <f t="shared" si="31"/>
        <v>13.038620078020031</v>
      </c>
      <c r="R60" s="12">
        <f t="shared" si="31"/>
        <v>14.610816194940011</v>
      </c>
      <c r="S60" s="12">
        <f t="shared" si="31"/>
        <v>14.659023231582712</v>
      </c>
      <c r="T60" s="12">
        <f t="shared" si="31"/>
        <v>14.707782526742667</v>
      </c>
      <c r="U60" s="12">
        <f t="shared" si="31"/>
        <v>14.757115066448421</v>
      </c>
      <c r="V60" s="12">
        <f t="shared" si="31"/>
        <v>14.807042680179427</v>
      </c>
      <c r="W60" s="12">
        <f t="shared" si="31"/>
        <v>14.842185475506991</v>
      </c>
      <c r="X60" s="12">
        <f t="shared" si="31"/>
        <v>14.793121465927216</v>
      </c>
      <c r="Y60" s="12">
        <f t="shared" si="31"/>
        <v>14.743091546837002</v>
      </c>
      <c r="Z60" s="12">
        <f t="shared" si="31"/>
        <v>14.692095946228756</v>
      </c>
      <c r="AA60" s="12">
        <f t="shared" si="31"/>
        <v>14.640134955796237</v>
      </c>
      <c r="AB60" s="12">
        <f t="shared" si="31"/>
        <v>14.602697897277144</v>
      </c>
      <c r="AD60" s="5"/>
      <c r="AE60" s="5"/>
    </row>
    <row r="61" spans="2:34">
      <c r="B61" s="18" t="s">
        <v>34</v>
      </c>
      <c r="C61" s="12">
        <f t="shared" ref="C61:AB61" si="32">-IFERROR(C55/(C36+C42),0)</f>
        <v>0</v>
      </c>
      <c r="D61" s="12">
        <f t="shared" si="32"/>
        <v>0</v>
      </c>
      <c r="E61" s="12">
        <f t="shared" si="32"/>
        <v>0</v>
      </c>
      <c r="F61" s="12">
        <f t="shared" si="32"/>
        <v>0</v>
      </c>
      <c r="G61" s="12">
        <f t="shared" si="32"/>
        <v>0.53665123491980216</v>
      </c>
      <c r="H61" s="12">
        <f t="shared" si="32"/>
        <v>0.55201974309859114</v>
      </c>
      <c r="I61" s="12">
        <f t="shared" si="32"/>
        <v>0.56176910752228004</v>
      </c>
      <c r="J61" s="12">
        <f t="shared" si="32"/>
        <v>0.5761291199650006</v>
      </c>
      <c r="K61" s="12">
        <f t="shared" si="32"/>
        <v>0.59186188686523267</v>
      </c>
      <c r="L61" s="12">
        <f t="shared" si="32"/>
        <v>0.60878175882259444</v>
      </c>
      <c r="M61" s="12">
        <f t="shared" si="32"/>
        <v>0.6296636579743099</v>
      </c>
      <c r="N61" s="12">
        <f t="shared" si="32"/>
        <v>0.62570358465894926</v>
      </c>
      <c r="O61" s="12">
        <f t="shared" si="32"/>
        <v>0.63218323821480982</v>
      </c>
      <c r="P61" s="12">
        <f t="shared" si="32"/>
        <v>0.63996526781611063</v>
      </c>
      <c r="Q61" s="12">
        <f t="shared" si="32"/>
        <v>0.64909287085623024</v>
      </c>
      <c r="R61" s="12">
        <f t="shared" si="32"/>
        <v>0.65962328172050255</v>
      </c>
      <c r="S61" s="12">
        <f t="shared" si="32"/>
        <v>0.6620394715961696</v>
      </c>
      <c r="T61" s="12">
        <f t="shared" si="32"/>
        <v>0.66454893992938935</v>
      </c>
      <c r="U61" s="12">
        <f t="shared" si="32"/>
        <v>0.66715359490807846</v>
      </c>
      <c r="V61" s="12">
        <f t="shared" si="32"/>
        <v>0.66985544318848989</v>
      </c>
      <c r="W61" s="12">
        <f t="shared" si="32"/>
        <v>0.67183904715421827</v>
      </c>
      <c r="X61" s="12">
        <f t="shared" si="32"/>
        <v>0.67083591581793511</v>
      </c>
      <c r="Y61" s="12">
        <f t="shared" si="32"/>
        <v>0.66988100374942761</v>
      </c>
      <c r="Z61" s="12">
        <f t="shared" si="32"/>
        <v>0.66897406492236022</v>
      </c>
      <c r="AA61" s="12">
        <f t="shared" si="32"/>
        <v>0.66811487419933269</v>
      </c>
      <c r="AB61" s="12">
        <f t="shared" si="32"/>
        <v>0.66808812407860685</v>
      </c>
      <c r="AD61" s="5"/>
      <c r="AE61" s="5"/>
    </row>
    <row r="62" spans="2:34">
      <c r="B62" s="18" t="s">
        <v>35</v>
      </c>
      <c r="C62" s="12">
        <f t="shared" ref="C62:AB62" si="33">-IFERROR(C56/(C37+C43),0)</f>
        <v>0</v>
      </c>
      <c r="D62" s="12">
        <f t="shared" si="33"/>
        <v>0</v>
      </c>
      <c r="E62" s="12">
        <f t="shared" si="33"/>
        <v>0</v>
      </c>
      <c r="F62" s="12">
        <f t="shared" si="33"/>
        <v>0</v>
      </c>
      <c r="G62" s="12">
        <f t="shared" si="33"/>
        <v>0.16406931866707442</v>
      </c>
      <c r="H62" s="12">
        <f t="shared" si="33"/>
        <v>0.15625382629401588</v>
      </c>
      <c r="I62" s="12">
        <f t="shared" si="33"/>
        <v>0.14998522914087864</v>
      </c>
      <c r="J62" s="12">
        <f t="shared" si="33"/>
        <v>0.14432657891010467</v>
      </c>
      <c r="K62" s="12">
        <f t="shared" si="33"/>
        <v>0.13336573795936968</v>
      </c>
      <c r="L62" s="12">
        <f t="shared" si="33"/>
        <v>0.1241886158088825</v>
      </c>
      <c r="M62" s="12">
        <f t="shared" si="33"/>
        <v>0.11864499270217342</v>
      </c>
      <c r="N62" s="12">
        <f t="shared" si="33"/>
        <v>0.10939245217504111</v>
      </c>
      <c r="O62" s="12">
        <f t="shared" si="33"/>
        <v>0.10457201183739454</v>
      </c>
      <c r="P62" s="12">
        <f t="shared" si="33"/>
        <v>9.6552407099447388E-2</v>
      </c>
      <c r="Q62" s="12">
        <f t="shared" si="33"/>
        <v>8.7681900647991085E-2</v>
      </c>
      <c r="R62" s="12">
        <f t="shared" si="33"/>
        <v>8.3154422039438458E-2</v>
      </c>
      <c r="S62" s="12">
        <f t="shared" si="33"/>
        <v>7.4718886839897428E-2</v>
      </c>
      <c r="T62" s="12">
        <f t="shared" si="33"/>
        <v>6.6228266863900917E-2</v>
      </c>
      <c r="U62" s="12">
        <f t="shared" si="33"/>
        <v>5.7682212811429316E-2</v>
      </c>
      <c r="V62" s="12">
        <f t="shared" si="33"/>
        <v>4.9080369018389421E-2</v>
      </c>
      <c r="W62" s="12">
        <f t="shared" si="33"/>
        <v>4.0404602838886743E-2</v>
      </c>
      <c r="X62" s="12">
        <f t="shared" si="33"/>
        <v>3.2791315721822596E-2</v>
      </c>
      <c r="Y62" s="12">
        <f t="shared" si="33"/>
        <v>2.5165511884610661E-2</v>
      </c>
      <c r="Z62" s="12">
        <f t="shared" si="33"/>
        <v>1.7527217319307418E-2</v>
      </c>
      <c r="AA62" s="12">
        <f t="shared" si="33"/>
        <v>9.8764551119276071E-3</v>
      </c>
      <c r="AB62" s="12">
        <f t="shared" si="33"/>
        <v>2.2142148496721329E-3</v>
      </c>
      <c r="AD62" s="5"/>
      <c r="AE62" s="5"/>
    </row>
    <row r="63" spans="2:34">
      <c r="B63" s="18"/>
      <c r="C63" s="2"/>
      <c r="D63" s="2"/>
      <c r="E63" s="2"/>
      <c r="F63" s="2"/>
      <c r="G63" s="2"/>
      <c r="H63" s="2"/>
      <c r="I63" s="2"/>
      <c r="J63" s="2"/>
      <c r="K63" s="2"/>
      <c r="L63" s="2"/>
      <c r="M63" s="2"/>
      <c r="N63" s="2"/>
      <c r="O63" s="2"/>
      <c r="P63" s="2"/>
      <c r="Q63" s="2"/>
      <c r="R63" s="2"/>
      <c r="S63" s="2"/>
      <c r="T63" s="2"/>
      <c r="U63" s="2"/>
      <c r="V63" s="2"/>
      <c r="W63" s="2"/>
      <c r="X63" s="2"/>
      <c r="Y63" s="2"/>
      <c r="Z63" s="2"/>
      <c r="AA63" s="2"/>
      <c r="AB63" s="2"/>
      <c r="AD63" s="5"/>
      <c r="AE63" s="5"/>
    </row>
    <row r="64" spans="2:34">
      <c r="B64" s="21" t="s">
        <v>36</v>
      </c>
      <c r="AD64" s="5"/>
      <c r="AE64" s="5"/>
    </row>
    <row r="65" spans="2:34">
      <c r="B65" s="18" t="s">
        <v>23</v>
      </c>
      <c r="C65" s="51">
        <f t="shared" ref="C65:AB65" si="34">C34+C40+C53</f>
        <v>0</v>
      </c>
      <c r="D65" s="51">
        <f t="shared" si="34"/>
        <v>0</v>
      </c>
      <c r="E65" s="51">
        <f t="shared" si="34"/>
        <v>0</v>
      </c>
      <c r="F65" s="51">
        <f t="shared" si="34"/>
        <v>0</v>
      </c>
      <c r="G65" s="51">
        <f t="shared" si="34"/>
        <v>-159.8707637921749</v>
      </c>
      <c r="H65" s="61">
        <f t="shared" si="34"/>
        <v>-386.8260970624022</v>
      </c>
      <c r="I65" s="51">
        <f t="shared" si="34"/>
        <v>-467.81494079596746</v>
      </c>
      <c r="J65" s="51">
        <f t="shared" si="34"/>
        <v>-537.23164858514406</v>
      </c>
      <c r="K65" s="51">
        <f t="shared" si="34"/>
        <v>-595.23987224606344</v>
      </c>
      <c r="L65" s="51">
        <f t="shared" si="34"/>
        <v>-637.31410876074654</v>
      </c>
      <c r="M65" s="51">
        <f t="shared" si="34"/>
        <v>-662.35854885186791</v>
      </c>
      <c r="N65" s="51">
        <f t="shared" si="34"/>
        <v>-633.40909777851675</v>
      </c>
      <c r="O65" s="51">
        <f t="shared" si="34"/>
        <v>-599.63346386943522</v>
      </c>
      <c r="P65" s="51">
        <f t="shared" si="34"/>
        <v>-569.7011263150182</v>
      </c>
      <c r="Q65" s="51">
        <f t="shared" si="34"/>
        <v>-541.07697668465823</v>
      </c>
      <c r="R65" s="51">
        <f t="shared" si="34"/>
        <v>-508.29244010526486</v>
      </c>
      <c r="S65" s="51">
        <f t="shared" si="34"/>
        <v>-498.19233351279297</v>
      </c>
      <c r="T65" s="51">
        <f t="shared" si="34"/>
        <v>-488.15888845803966</v>
      </c>
      <c r="U65" s="51">
        <f t="shared" si="34"/>
        <v>-478.19141460117953</v>
      </c>
      <c r="V65" s="51">
        <f t="shared" si="34"/>
        <v>-468.28923064158045</v>
      </c>
      <c r="W65" s="51">
        <f t="shared" si="34"/>
        <v>-458.50970960774538</v>
      </c>
      <c r="X65" s="51">
        <f t="shared" si="34"/>
        <v>-455.97385021756014</v>
      </c>
      <c r="Y65" s="51">
        <f t="shared" si="34"/>
        <v>-453.45437968598759</v>
      </c>
      <c r="Z65" s="51">
        <f t="shared" si="34"/>
        <v>-450.95103857080983</v>
      </c>
      <c r="AA65" s="51">
        <f t="shared" si="34"/>
        <v>-448.46357014422301</v>
      </c>
      <c r="AB65" s="51">
        <f t="shared" si="34"/>
        <v>-445.93587683763178</v>
      </c>
      <c r="AD65" s="5">
        <f t="shared" ref="AD65:AD68" si="35">SUMPRODUCT(C65:H65,C$3:H$3)</f>
        <v>-466.76147895848965</v>
      </c>
      <c r="AE65" s="5">
        <f t="shared" ref="AE65:AE68" si="36">SUMPRODUCT(C65:AB65,C$3:AB$3)</f>
        <v>-10864.953995228721</v>
      </c>
    </row>
    <row r="66" spans="2:34">
      <c r="B66" s="18" t="s">
        <v>24</v>
      </c>
      <c r="C66" s="51">
        <f t="shared" ref="C66:AB66" si="37">C35+C41+C54</f>
        <v>0</v>
      </c>
      <c r="D66" s="51">
        <f t="shared" si="37"/>
        <v>0</v>
      </c>
      <c r="E66" s="51">
        <f t="shared" si="37"/>
        <v>0</v>
      </c>
      <c r="F66" s="51">
        <f t="shared" si="37"/>
        <v>0</v>
      </c>
      <c r="G66" s="51">
        <f t="shared" si="37"/>
        <v>9.2108500838096603</v>
      </c>
      <c r="H66" s="61">
        <f t="shared" si="37"/>
        <v>25.780803320754686</v>
      </c>
      <c r="I66" s="51">
        <f t="shared" si="37"/>
        <v>33.971131533404872</v>
      </c>
      <c r="J66" s="51">
        <f t="shared" si="37"/>
        <v>42.822545252932102</v>
      </c>
      <c r="K66" s="51">
        <f t="shared" si="37"/>
        <v>52.198772276746503</v>
      </c>
      <c r="L66" s="51">
        <f t="shared" si="37"/>
        <v>62.017198673006504</v>
      </c>
      <c r="M66" s="51">
        <f t="shared" si="37"/>
        <v>72.568419730716698</v>
      </c>
      <c r="N66" s="51">
        <f t="shared" si="37"/>
        <v>72.543989653206793</v>
      </c>
      <c r="O66" s="51">
        <f t="shared" si="37"/>
        <v>72.605710571997108</v>
      </c>
      <c r="P66" s="51">
        <f t="shared" si="37"/>
        <v>72.671989080549892</v>
      </c>
      <c r="Q66" s="51">
        <f t="shared" si="37"/>
        <v>72.741710596407145</v>
      </c>
      <c r="R66" s="51">
        <f t="shared" si="37"/>
        <v>72.813780488284351</v>
      </c>
      <c r="S66" s="51">
        <f t="shared" si="37"/>
        <v>72.247461439431831</v>
      </c>
      <c r="T66" s="51">
        <f t="shared" si="37"/>
        <v>71.680943173224762</v>
      </c>
      <c r="U66" s="51">
        <f t="shared" si="37"/>
        <v>71.114228263374201</v>
      </c>
      <c r="V66" s="51">
        <f t="shared" si="37"/>
        <v>70.547319245809916</v>
      </c>
      <c r="W66" s="51">
        <f t="shared" si="37"/>
        <v>69.974977981941493</v>
      </c>
      <c r="X66" s="51">
        <f t="shared" si="37"/>
        <v>69.437784956217655</v>
      </c>
      <c r="Y66" s="51">
        <f t="shared" si="37"/>
        <v>68.900403017150211</v>
      </c>
      <c r="Z66" s="51">
        <f t="shared" si="37"/>
        <v>68.362834409902462</v>
      </c>
      <c r="AA66" s="51">
        <f t="shared" si="37"/>
        <v>67.825081357093921</v>
      </c>
      <c r="AB66" s="51">
        <f t="shared" si="37"/>
        <v>67.292398863394197</v>
      </c>
      <c r="AD66" s="5">
        <f t="shared" si="35"/>
        <v>30.386228362659516</v>
      </c>
      <c r="AE66" s="5">
        <f t="shared" si="36"/>
        <v>1354.7249089274524</v>
      </c>
    </row>
    <row r="67" spans="2:34">
      <c r="B67" s="18" t="s">
        <v>25</v>
      </c>
      <c r="C67" s="51">
        <f t="shared" ref="C67:AB67" si="38">C36+C42+C55</f>
        <v>0</v>
      </c>
      <c r="D67" s="51">
        <f t="shared" si="38"/>
        <v>0</v>
      </c>
      <c r="E67" s="51">
        <f t="shared" si="38"/>
        <v>0</v>
      </c>
      <c r="F67" s="51">
        <f t="shared" si="38"/>
        <v>0</v>
      </c>
      <c r="G67" s="51">
        <f t="shared" si="38"/>
        <v>-9.4640511116735553</v>
      </c>
      <c r="H67" s="61">
        <f t="shared" si="38"/>
        <v>-24.154336557387889</v>
      </c>
      <c r="I67" s="51">
        <f t="shared" si="38"/>
        <v>-30.107056787652475</v>
      </c>
      <c r="J67" s="51">
        <f t="shared" si="38"/>
        <v>-35.200679139425482</v>
      </c>
      <c r="K67" s="51">
        <f t="shared" si="38"/>
        <v>-39.553876458713781</v>
      </c>
      <c r="L67" s="51">
        <f t="shared" si="38"/>
        <v>-43.075855350520925</v>
      </c>
      <c r="M67" s="51">
        <f t="shared" si="38"/>
        <v>-45.365440765254419</v>
      </c>
      <c r="N67" s="51">
        <f t="shared" si="38"/>
        <v>-45.697752257892105</v>
      </c>
      <c r="O67" s="51">
        <f t="shared" si="38"/>
        <v>-44.015529094137349</v>
      </c>
      <c r="P67" s="51">
        <f t="shared" si="38"/>
        <v>-42.143765795218272</v>
      </c>
      <c r="Q67" s="51">
        <f t="shared" si="38"/>
        <v>-40.097400287863934</v>
      </c>
      <c r="R67" s="51">
        <f t="shared" si="38"/>
        <v>-37.891077912773241</v>
      </c>
      <c r="S67" s="51">
        <f t="shared" si="38"/>
        <v>-37.415117107164093</v>
      </c>
      <c r="T67" s="51">
        <f t="shared" si="38"/>
        <v>-36.928156447405215</v>
      </c>
      <c r="U67" s="51">
        <f t="shared" si="38"/>
        <v>-36.43026851919646</v>
      </c>
      <c r="V67" s="51">
        <f t="shared" si="38"/>
        <v>-35.921525288137929</v>
      </c>
      <c r="W67" s="51">
        <f t="shared" si="38"/>
        <v>-35.533602893937982</v>
      </c>
      <c r="X67" s="51">
        <f t="shared" si="38"/>
        <v>-35.635863881153242</v>
      </c>
      <c r="Y67" s="51">
        <f t="shared" si="38"/>
        <v>-35.730275523103884</v>
      </c>
      <c r="Z67" s="51">
        <f t="shared" si="38"/>
        <v>-35.816849873664893</v>
      </c>
      <c r="AA67" s="51">
        <f t="shared" si="38"/>
        <v>-35.89559900302811</v>
      </c>
      <c r="AB67" s="51">
        <f t="shared" si="38"/>
        <v>-35.839527637424169</v>
      </c>
      <c r="AD67" s="5">
        <f t="shared" si="35"/>
        <v>-28.886362113224667</v>
      </c>
      <c r="AE67" s="5">
        <f t="shared" si="36"/>
        <v>-793.18158213689253</v>
      </c>
    </row>
    <row r="68" spans="2:34">
      <c r="B68" s="18" t="s">
        <v>26</v>
      </c>
      <c r="C68" s="5">
        <f>ROUND(C37+C43+C56,-3)</f>
        <v>0</v>
      </c>
      <c r="D68" s="5">
        <f t="shared" ref="D68:AB68" si="39">D37+D43+D56</f>
        <v>0</v>
      </c>
      <c r="E68" s="5">
        <f t="shared" si="39"/>
        <v>0</v>
      </c>
      <c r="F68" s="5">
        <f t="shared" si="39"/>
        <v>0</v>
      </c>
      <c r="G68" s="5">
        <f t="shared" si="39"/>
        <v>-119238.6661356449</v>
      </c>
      <c r="H68" s="5">
        <f t="shared" si="39"/>
        <v>-327075.61367305112</v>
      </c>
      <c r="I68" s="5">
        <f t="shared" si="39"/>
        <v>-427050.49092904461</v>
      </c>
      <c r="J68" s="5">
        <f t="shared" si="39"/>
        <v>-531609.23649827985</v>
      </c>
      <c r="K68" s="5">
        <f t="shared" si="39"/>
        <v>-643881.16243995645</v>
      </c>
      <c r="L68" s="5">
        <f t="shared" si="39"/>
        <v>-758690.12600736925</v>
      </c>
      <c r="M68" s="5">
        <f t="shared" si="39"/>
        <v>-875518.43654202193</v>
      </c>
      <c r="N68" s="5">
        <f t="shared" si="39"/>
        <v>-883519.73019563255</v>
      </c>
      <c r="O68" s="5">
        <f t="shared" si="39"/>
        <v>-882353.47351798392</v>
      </c>
      <c r="P68" s="5">
        <f t="shared" si="39"/>
        <v>-883904.65417669562</v>
      </c>
      <c r="Q68" s="5">
        <f t="shared" si="39"/>
        <v>-885825.83105381997</v>
      </c>
      <c r="R68" s="5">
        <f t="shared" si="39"/>
        <v>-883094.67336688226</v>
      </c>
      <c r="S68" s="5">
        <f t="shared" si="39"/>
        <v>-888352.93840724672</v>
      </c>
      <c r="T68" s="5">
        <f t="shared" si="39"/>
        <v>-893617.92367064697</v>
      </c>
      <c r="U68" s="5">
        <f t="shared" si="39"/>
        <v>-898889.51632899046</v>
      </c>
      <c r="V68" s="5">
        <f t="shared" si="39"/>
        <v>-904167.60537710146</v>
      </c>
      <c r="W68" s="5">
        <f t="shared" si="39"/>
        <v>-909868.92210257892</v>
      </c>
      <c r="X68" s="5">
        <f t="shared" si="39"/>
        <v>-916338.66775737493</v>
      </c>
      <c r="Y68" s="5">
        <f t="shared" si="39"/>
        <v>-922810.68067607831</v>
      </c>
      <c r="Z68" s="5">
        <f t="shared" si="39"/>
        <v>-929284.86329610692</v>
      </c>
      <c r="AA68" s="5">
        <f t="shared" si="39"/>
        <v>-935761.11915391067</v>
      </c>
      <c r="AB68" s="5">
        <f t="shared" si="39"/>
        <v>-941825.92350365606</v>
      </c>
      <c r="AD68" s="62">
        <f t="shared" si="35"/>
        <v>-386694.94674087357</v>
      </c>
      <c r="AE68" s="62">
        <f t="shared" si="36"/>
        <v>-17183060.921742253</v>
      </c>
      <c r="AF68" s="48">
        <f>-$AD$1*1000000/AD68</f>
        <v>643.76326119103919</v>
      </c>
      <c r="AG68" s="48">
        <f>-$AD$1*1000000/AE68</f>
        <v>14.487523563686409</v>
      </c>
      <c r="AH68" s="48">
        <f>-$AD$1*1000000/SUM(H68:M68)</f>
        <v>69.851913431076539</v>
      </c>
    </row>
    <row r="70" spans="2:34">
      <c r="B70" s="21" t="s">
        <v>37</v>
      </c>
    </row>
    <row r="71" spans="2:34">
      <c r="B71" s="1" t="s">
        <v>38</v>
      </c>
      <c r="E71" s="9" t="s">
        <v>39</v>
      </c>
    </row>
    <row r="72" spans="2:34">
      <c r="B72" t="s">
        <v>40</v>
      </c>
      <c r="C72" s="10">
        <v>6.3453585101844717E-3</v>
      </c>
      <c r="D72" s="10">
        <v>1.1845461514164565E-2</v>
      </c>
      <c r="E72" s="10">
        <v>1.9948431225565662E-2</v>
      </c>
      <c r="F72" s="10">
        <v>3.1568299003170028E-2</v>
      </c>
      <c r="G72" s="10">
        <v>4.6924004554179687E-2</v>
      </c>
      <c r="H72" s="10">
        <v>6.5785699812041756E-2</v>
      </c>
      <c r="I72" s="10">
        <v>8.8363823207395664E-2</v>
      </c>
      <c r="J72" s="10">
        <v>0.1125728535160483</v>
      </c>
      <c r="K72" s="10">
        <v>0.13861931158936711</v>
      </c>
      <c r="L72" s="10">
        <v>0.16646481882770536</v>
      </c>
      <c r="M72" s="10">
        <v>0.1956073937041001</v>
      </c>
      <c r="N72" s="10">
        <v>0.22421372430165415</v>
      </c>
      <c r="O72" s="10">
        <v>0.25175801302167494</v>
      </c>
      <c r="P72" s="10">
        <v>0.27830375028332721</v>
      </c>
      <c r="Q72" s="10">
        <v>0.30357849196045589</v>
      </c>
      <c r="R72" s="10">
        <v>0.32763684948481636</v>
      </c>
      <c r="S72" s="10">
        <v>0.35042085981544863</v>
      </c>
      <c r="T72" s="10">
        <v>0.37188835725202241</v>
      </c>
      <c r="U72" s="10">
        <v>0.39163393119467022</v>
      </c>
      <c r="V72" s="10">
        <v>0.41053531667800131</v>
      </c>
      <c r="W72" s="10">
        <v>0.4276857653032754</v>
      </c>
      <c r="X72" s="10">
        <v>0.44359119132314079</v>
      </c>
      <c r="Y72" s="10">
        <v>0.45792830063413581</v>
      </c>
      <c r="Z72" s="10">
        <v>0.47101606334328855</v>
      </c>
      <c r="AA72" s="10">
        <v>0.48289326815177408</v>
      </c>
      <c r="AB72" s="10">
        <v>0.4939805523934987</v>
      </c>
    </row>
    <row r="73" spans="2:34">
      <c r="B73" t="s">
        <v>41</v>
      </c>
      <c r="C73" s="10">
        <v>6.3800385632500067E-3</v>
      </c>
      <c r="D73" s="10">
        <v>1.0761928104360134E-2</v>
      </c>
      <c r="E73" s="10">
        <v>1.6864590727078469E-2</v>
      </c>
      <c r="F73" s="10">
        <v>2.5187913273194754E-2</v>
      </c>
      <c r="G73" s="10">
        <v>3.5627708580788446E-2</v>
      </c>
      <c r="H73" s="10">
        <v>4.7980977312087565E-2</v>
      </c>
      <c r="I73" s="10">
        <v>6.1868594216798835E-2</v>
      </c>
      <c r="J73" s="10">
        <v>7.6526795405905845E-2</v>
      </c>
      <c r="K73" s="10">
        <v>9.1638548779114412E-2</v>
      </c>
      <c r="L73" s="10">
        <v>0.10698820650503357</v>
      </c>
      <c r="M73" s="10">
        <v>0.12328299636092112</v>
      </c>
      <c r="N73" s="10">
        <v>0.13350161631985466</v>
      </c>
      <c r="O73" s="10">
        <v>0.14717171317872485</v>
      </c>
      <c r="P73" s="10">
        <v>0.15999984692491376</v>
      </c>
      <c r="Q73" s="10">
        <v>0.17197367367859073</v>
      </c>
      <c r="R73" s="10">
        <v>0.18306308839074997</v>
      </c>
      <c r="S73" s="10">
        <v>0.19322018583095166</v>
      </c>
      <c r="T73" s="10">
        <v>0.2023719761604017</v>
      </c>
      <c r="U73" s="10">
        <v>0.21056286974593619</v>
      </c>
      <c r="V73" s="10">
        <v>0.21777566662371436</v>
      </c>
      <c r="W73" s="10">
        <v>0.2240842284438582</v>
      </c>
      <c r="X73" s="10">
        <v>0.22957067582532789</v>
      </c>
      <c r="Y73" s="10">
        <v>0.23429805982681934</v>
      </c>
      <c r="Z73" s="10">
        <v>0.23831492704584747</v>
      </c>
      <c r="AA73" s="10">
        <v>0.24168143854346028</v>
      </c>
      <c r="AB73" s="10">
        <v>0.24449030175352449</v>
      </c>
    </row>
    <row r="74" spans="2:34" hidden="1">
      <c r="B74" s="1" t="s">
        <v>42</v>
      </c>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row>
    <row r="75" spans="2:34" hidden="1">
      <c r="B75" t="s">
        <v>40</v>
      </c>
      <c r="C75" s="22">
        <v>12.052097049165702</v>
      </c>
      <c r="D75" s="22">
        <v>11.801528866676465</v>
      </c>
      <c r="E75" s="22">
        <v>11.555038225394652</v>
      </c>
      <c r="F75" s="22">
        <v>11.328873063115209</v>
      </c>
      <c r="G75" s="22">
        <v>11.110561233534305</v>
      </c>
      <c r="H75" s="22">
        <v>10.902080531930137</v>
      </c>
      <c r="I75" s="22">
        <v>10.703621090909577</v>
      </c>
      <c r="J75" s="22">
        <v>10.52242275446992</v>
      </c>
      <c r="K75" s="22">
        <v>10.35660795052838</v>
      </c>
      <c r="L75" s="22">
        <v>10.205934894369411</v>
      </c>
      <c r="M75" s="22">
        <v>10.06933655995253</v>
      </c>
      <c r="N75" s="22">
        <v>9.945406335327263</v>
      </c>
      <c r="O75" s="22">
        <v>9.8352328202956745</v>
      </c>
      <c r="P75" s="22">
        <v>9.7329771455663607</v>
      </c>
      <c r="Q75" s="22">
        <v>9.642721475787587</v>
      </c>
      <c r="R75" s="22">
        <v>9.5597598728820241</v>
      </c>
      <c r="S75" s="22">
        <v>9.4856553917214281</v>
      </c>
      <c r="T75" s="22">
        <v>9.4197440272551134</v>
      </c>
      <c r="U75" s="22">
        <v>9.363684687379326</v>
      </c>
      <c r="V75" s="22">
        <v>9.3163814097577688</v>
      </c>
      <c r="W75" s="22">
        <v>9.2731557187638245</v>
      </c>
      <c r="X75" s="22">
        <v>9.232754870676855</v>
      </c>
      <c r="Y75" s="22">
        <v>9.1962114950006928</v>
      </c>
      <c r="Z75" s="22">
        <v>9.1642646037596514</v>
      </c>
      <c r="AA75" s="22">
        <v>9.1346189225277055</v>
      </c>
      <c r="AB75" s="22">
        <v>9.106325772354726</v>
      </c>
    </row>
    <row r="76" spans="2:34" hidden="1">
      <c r="B76" t="s">
        <v>41</v>
      </c>
      <c r="C76" s="22">
        <v>21.432419650253603</v>
      </c>
      <c r="D76" s="22">
        <v>21.045420013943428</v>
      </c>
      <c r="E76" s="22">
        <v>20.652385105845962</v>
      </c>
      <c r="F76" s="22">
        <v>20.285260487179578</v>
      </c>
      <c r="G76" s="22">
        <v>19.939828251282592</v>
      </c>
      <c r="H76" s="22">
        <v>19.618244928408046</v>
      </c>
      <c r="I76" s="22">
        <v>19.318114575293574</v>
      </c>
      <c r="J76" s="22">
        <v>19.040640093050584</v>
      </c>
      <c r="K76" s="22">
        <v>18.794587109135556</v>
      </c>
      <c r="L76" s="22">
        <v>18.579924106216655</v>
      </c>
      <c r="M76" s="22">
        <v>18.394000759361209</v>
      </c>
      <c r="N76" s="22">
        <v>18.233345145770635</v>
      </c>
      <c r="O76" s="22">
        <v>18.095685848570412</v>
      </c>
      <c r="P76" s="22">
        <v>17.979268750055102</v>
      </c>
      <c r="Q76" s="22">
        <v>17.878323188734868</v>
      </c>
      <c r="R76" s="22">
        <v>17.790238137810181</v>
      </c>
      <c r="S76" s="22">
        <v>17.711709090863753</v>
      </c>
      <c r="T76" s="22">
        <v>17.64726106282879</v>
      </c>
      <c r="U76" s="22">
        <v>17.593363971598226</v>
      </c>
      <c r="V76" s="22">
        <v>17.548352367261874</v>
      </c>
      <c r="W76" s="22">
        <v>17.509957037406213</v>
      </c>
      <c r="X76" s="22">
        <v>17.474244332162478</v>
      </c>
      <c r="Y76" s="22">
        <v>17.440144808385778</v>
      </c>
      <c r="Z76" s="22">
        <v>17.406818576798546</v>
      </c>
      <c r="AA76" s="22">
        <v>17.372623556608982</v>
      </c>
      <c r="AB76" s="22">
        <v>17.336710712691108</v>
      </c>
    </row>
    <row r="77" spans="2:34">
      <c r="B77" s="1" t="s">
        <v>43</v>
      </c>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2:34">
      <c r="B78" t="s">
        <v>40</v>
      </c>
      <c r="C78" s="5">
        <v>14960.69030549846</v>
      </c>
      <c r="D78" s="5">
        <v>14778.433708548335</v>
      </c>
      <c r="E78" s="5">
        <v>14581.401361150325</v>
      </c>
      <c r="F78" s="5">
        <v>14400.165818325728</v>
      </c>
      <c r="G78" s="5">
        <v>14231.692254987696</v>
      </c>
      <c r="H78" s="5">
        <v>14102.781455338894</v>
      </c>
      <c r="I78" s="5">
        <v>14036.510228116147</v>
      </c>
      <c r="J78" s="5">
        <v>14025.123944639095</v>
      </c>
      <c r="K78" s="5">
        <v>14010.945187071105</v>
      </c>
      <c r="L78" s="5">
        <v>14005.162882691922</v>
      </c>
      <c r="M78" s="5">
        <v>14008.594222269176</v>
      </c>
      <c r="N78" s="5">
        <v>13987.24231406507</v>
      </c>
      <c r="O78" s="5">
        <v>13981.585025647684</v>
      </c>
      <c r="P78" s="5">
        <v>13969.460300425619</v>
      </c>
      <c r="Q78" s="5">
        <v>13968.533354321113</v>
      </c>
      <c r="R78" s="5">
        <v>13990.797826351272</v>
      </c>
      <c r="S78" s="5">
        <v>14019.133159656671</v>
      </c>
      <c r="T78" s="5">
        <v>14042.230972213845</v>
      </c>
      <c r="U78" s="5">
        <v>14038.479017694153</v>
      </c>
      <c r="V78" s="5">
        <v>14015.559194606871</v>
      </c>
      <c r="W78" s="5">
        <v>13999.682372038831</v>
      </c>
      <c r="X78" s="5">
        <v>14019.683554381503</v>
      </c>
      <c r="Y78" s="5">
        <v>14046.165565433197</v>
      </c>
      <c r="Z78" s="5">
        <v>14056.195112034675</v>
      </c>
      <c r="AA78" s="5">
        <v>14090.474074301521</v>
      </c>
      <c r="AB78" s="5">
        <v>14176.819555636521</v>
      </c>
    </row>
    <row r="79" spans="2:34">
      <c r="B79" t="s">
        <v>41</v>
      </c>
      <c r="C79" s="5">
        <v>33953.373503830939</v>
      </c>
      <c r="D79" s="5">
        <v>33822.721520940708</v>
      </c>
      <c r="E79" s="5">
        <v>33607.862216345427</v>
      </c>
      <c r="F79" s="5">
        <v>33364.508961681138</v>
      </c>
      <c r="G79" s="5">
        <v>33082.705966975642</v>
      </c>
      <c r="H79" s="5">
        <v>32803.460960112738</v>
      </c>
      <c r="I79" s="5">
        <v>32588.511037699092</v>
      </c>
      <c r="J79" s="5">
        <v>32483.836320537597</v>
      </c>
      <c r="K79" s="5">
        <v>32364.175384155333</v>
      </c>
      <c r="L79" s="5">
        <v>32292.444914043706</v>
      </c>
      <c r="M79" s="5">
        <v>32232.267487963723</v>
      </c>
      <c r="N79" s="5">
        <v>32101.257715902462</v>
      </c>
      <c r="O79" s="5">
        <v>32009.434567506007</v>
      </c>
      <c r="P79" s="5">
        <v>31925.464555849394</v>
      </c>
      <c r="Q79" s="5">
        <v>31870.855840285025</v>
      </c>
      <c r="R79" s="5">
        <v>31871.20989464458</v>
      </c>
      <c r="S79" s="5">
        <v>31942.420061447428</v>
      </c>
      <c r="T79" s="5">
        <v>31958.429908697781</v>
      </c>
      <c r="U79" s="5">
        <v>31918.664774648634</v>
      </c>
      <c r="V79" s="5">
        <v>31820.566465213156</v>
      </c>
      <c r="W79" s="5">
        <v>31695.800704442088</v>
      </c>
      <c r="X79" s="5">
        <v>31638.481387358901</v>
      </c>
      <c r="Y79" s="5">
        <v>31610.853013311989</v>
      </c>
      <c r="Z79" s="5">
        <v>31563.625206983423</v>
      </c>
      <c r="AA79" s="5">
        <v>31573.340685434701</v>
      </c>
      <c r="AB79" s="5">
        <v>31720.305429820524</v>
      </c>
    </row>
    <row r="80" spans="2:34">
      <c r="B80" s="1" t="s">
        <v>44</v>
      </c>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row>
    <row r="81" spans="2:28">
      <c r="B81" t="s">
        <v>40</v>
      </c>
      <c r="C81" s="8">
        <f>C72*C78*C106/(C72*C78*C106+C73*C79*C108)</f>
        <v>0.20075475722749422</v>
      </c>
      <c r="D81" s="8">
        <f t="shared" ref="D81:AB81" si="40">D72*D78*D106/(D72*D78*D106+D73*D79*D108)</f>
        <v>0.21649405705023408</v>
      </c>
      <c r="E81" s="8">
        <f t="shared" si="40"/>
        <v>0.22814755629616307</v>
      </c>
      <c r="F81" s="8">
        <f t="shared" si="40"/>
        <v>0.23800427656019887</v>
      </c>
      <c r="G81" s="8">
        <f t="shared" si="40"/>
        <v>0.24699352617645298</v>
      </c>
      <c r="H81" s="8">
        <f t="shared" si="40"/>
        <v>0.25493720583844498</v>
      </c>
      <c r="I81" s="8">
        <f t="shared" si="40"/>
        <v>0.26350619576530948</v>
      </c>
      <c r="J81" s="8">
        <f t="shared" si="40"/>
        <v>0.27013048103434817</v>
      </c>
      <c r="K81" s="8">
        <f t="shared" si="40"/>
        <v>0.27660274031539539</v>
      </c>
      <c r="L81" s="8">
        <f t="shared" si="40"/>
        <v>0.28305465372634209</v>
      </c>
      <c r="M81" s="8">
        <f t="shared" si="40"/>
        <v>0.28789632430640455</v>
      </c>
      <c r="N81" s="8">
        <f t="shared" si="40"/>
        <v>0.30036126175707772</v>
      </c>
      <c r="O81" s="8">
        <f t="shared" si="40"/>
        <v>0.30489592821913192</v>
      </c>
      <c r="P81" s="8">
        <f t="shared" si="40"/>
        <v>0.30895518622037843</v>
      </c>
      <c r="Q81" s="8">
        <f t="shared" si="40"/>
        <v>0.31260986042948335</v>
      </c>
      <c r="R81" s="8">
        <f t="shared" si="40"/>
        <v>0.31606321557320494</v>
      </c>
      <c r="S81" s="8">
        <f t="shared" si="40"/>
        <v>0.31884711683028827</v>
      </c>
      <c r="T81" s="8">
        <f t="shared" si="40"/>
        <v>0.3219288083071688</v>
      </c>
      <c r="U81" s="8">
        <f t="shared" si="40"/>
        <v>0.32474247461185285</v>
      </c>
      <c r="V81" s="8">
        <f t="shared" si="40"/>
        <v>0.32797900518606715</v>
      </c>
      <c r="W81" s="8">
        <f t="shared" si="40"/>
        <v>0.33129113833906615</v>
      </c>
      <c r="X81" s="8">
        <f t="shared" si="40"/>
        <v>0.33464504521301464</v>
      </c>
      <c r="Y81" s="8">
        <f t="shared" si="40"/>
        <v>0.33770746210640407</v>
      </c>
      <c r="Z81" s="8">
        <f t="shared" si="40"/>
        <v>0.34060413183418059</v>
      </c>
      <c r="AA81" s="8">
        <f t="shared" si="40"/>
        <v>0.3434254815872379</v>
      </c>
      <c r="AB81" s="8">
        <f t="shared" si="40"/>
        <v>0.34616857446948557</v>
      </c>
    </row>
    <row r="82" spans="2:28">
      <c r="B82" t="s">
        <v>41</v>
      </c>
      <c r="C82" s="8">
        <f>C73*C79*C108/(C72*C78*C106+C73*C79*C108)</f>
        <v>0.79924524277250575</v>
      </c>
      <c r="D82" s="8">
        <f t="shared" ref="D82:AB82" si="41">D73*D79*D108/(D72*D78*D106+D73*D79*D108)</f>
        <v>0.78350594294976605</v>
      </c>
      <c r="E82" s="8">
        <f t="shared" si="41"/>
        <v>0.77185244370383688</v>
      </c>
      <c r="F82" s="8">
        <f t="shared" si="41"/>
        <v>0.76199572343980115</v>
      </c>
      <c r="G82" s="8">
        <f t="shared" si="41"/>
        <v>0.75300647382354702</v>
      </c>
      <c r="H82" s="8">
        <f t="shared" si="41"/>
        <v>0.74506279416155508</v>
      </c>
      <c r="I82" s="8">
        <f t="shared" si="41"/>
        <v>0.73649380423469057</v>
      </c>
      <c r="J82" s="8">
        <f t="shared" si="41"/>
        <v>0.72986951896565178</v>
      </c>
      <c r="K82" s="8">
        <f t="shared" si="41"/>
        <v>0.72339725968460467</v>
      </c>
      <c r="L82" s="8">
        <f t="shared" si="41"/>
        <v>0.71694534627365791</v>
      </c>
      <c r="M82" s="8">
        <f t="shared" si="41"/>
        <v>0.71210367569359545</v>
      </c>
      <c r="N82" s="8">
        <f t="shared" si="41"/>
        <v>0.69963873824292233</v>
      </c>
      <c r="O82" s="8">
        <f t="shared" si="41"/>
        <v>0.69510407178086808</v>
      </c>
      <c r="P82" s="8">
        <f t="shared" si="41"/>
        <v>0.69104481377962146</v>
      </c>
      <c r="Q82" s="8">
        <f t="shared" si="41"/>
        <v>0.68739013957051676</v>
      </c>
      <c r="R82" s="8">
        <f t="shared" si="41"/>
        <v>0.68393678442679495</v>
      </c>
      <c r="S82" s="8">
        <f t="shared" si="41"/>
        <v>0.68115288316971168</v>
      </c>
      <c r="T82" s="8">
        <f t="shared" si="41"/>
        <v>0.67807119169283125</v>
      </c>
      <c r="U82" s="8">
        <f t="shared" si="41"/>
        <v>0.67525752538814721</v>
      </c>
      <c r="V82" s="8">
        <f t="shared" si="41"/>
        <v>0.67202099481393285</v>
      </c>
      <c r="W82" s="8">
        <f t="shared" si="41"/>
        <v>0.66870886166093391</v>
      </c>
      <c r="X82" s="8">
        <f t="shared" si="41"/>
        <v>0.66535495478698536</v>
      </c>
      <c r="Y82" s="8">
        <f t="shared" si="41"/>
        <v>0.66229253789359599</v>
      </c>
      <c r="Z82" s="8">
        <f t="shared" si="41"/>
        <v>0.65939586816581941</v>
      </c>
      <c r="AA82" s="8">
        <f t="shared" si="41"/>
        <v>0.65657451841276204</v>
      </c>
      <c r="AB82" s="8">
        <f t="shared" si="41"/>
        <v>0.65383142553051432</v>
      </c>
    </row>
    <row r="83" spans="2:28">
      <c r="B83" s="1" t="s">
        <v>45</v>
      </c>
      <c r="C83" s="8"/>
      <c r="D83" s="8"/>
      <c r="E83" s="8"/>
      <c r="F83" s="8"/>
      <c r="G83" s="8"/>
      <c r="H83" s="8"/>
      <c r="I83" s="8"/>
      <c r="J83" s="8"/>
      <c r="K83" s="8"/>
      <c r="L83" s="8"/>
      <c r="M83" s="8"/>
      <c r="N83" s="8"/>
      <c r="O83" s="8"/>
      <c r="P83" s="8"/>
      <c r="Q83" s="8"/>
      <c r="R83" s="8"/>
      <c r="S83" s="8"/>
      <c r="T83" s="8"/>
      <c r="U83" s="8"/>
      <c r="V83" s="8"/>
      <c r="W83" s="8"/>
      <c r="X83" s="8"/>
      <c r="Y83" s="8"/>
      <c r="Z83" s="8"/>
      <c r="AA83" s="8"/>
      <c r="AB83" s="8"/>
    </row>
    <row r="84" spans="2:28">
      <c r="B84" t="s">
        <v>40</v>
      </c>
      <c r="C84" s="46">
        <f t="shared" ref="C84:AB84" si="42">C29*1000000/C78</f>
        <v>0</v>
      </c>
      <c r="D84" s="46">
        <f t="shared" si="42"/>
        <v>0</v>
      </c>
      <c r="E84" s="46">
        <f t="shared" si="42"/>
        <v>0</v>
      </c>
      <c r="F84" s="46">
        <f t="shared" si="42"/>
        <v>0</v>
      </c>
      <c r="G84" s="46">
        <f t="shared" si="42"/>
        <v>1085.0099064518017</v>
      </c>
      <c r="H84" s="46">
        <f t="shared" si="42"/>
        <v>3150.5548795179939</v>
      </c>
      <c r="I84" s="46">
        <f t="shared" si="42"/>
        <v>4245.9130490263269</v>
      </c>
      <c r="J84" s="46">
        <f t="shared" si="42"/>
        <v>5392.8124871775344</v>
      </c>
      <c r="K84" s="46">
        <f t="shared" si="42"/>
        <v>6623.3422581974755</v>
      </c>
      <c r="L84" s="46">
        <f t="shared" si="42"/>
        <v>7930.1955136525476</v>
      </c>
      <c r="M84" s="46">
        <f t="shared" si="42"/>
        <v>9289.1662858429354</v>
      </c>
      <c r="N84" s="46">
        <f t="shared" si="42"/>
        <v>9644.9497997351609</v>
      </c>
      <c r="O84" s="46">
        <f t="shared" si="42"/>
        <v>9754.8771567821223</v>
      </c>
      <c r="P84" s="46">
        <f t="shared" si="42"/>
        <v>9849.1181442550533</v>
      </c>
      <c r="Q84" s="46">
        <f t="shared" si="42"/>
        <v>9915.5135202630081</v>
      </c>
      <c r="R84" s="46">
        <f t="shared" si="42"/>
        <v>9945.6642899623585</v>
      </c>
      <c r="S84" s="46">
        <f t="shared" si="42"/>
        <v>9996.630335711503</v>
      </c>
      <c r="T84" s="46">
        <f t="shared" si="42"/>
        <v>10050.79917079641</v>
      </c>
      <c r="U84" s="46">
        <f t="shared" si="42"/>
        <v>10123.77957547708</v>
      </c>
      <c r="V84" s="46">
        <f t="shared" si="42"/>
        <v>10210.409359097799</v>
      </c>
      <c r="W84" s="46">
        <f t="shared" si="42"/>
        <v>10310.624627201363</v>
      </c>
      <c r="X84" s="46">
        <f t="shared" si="42"/>
        <v>10381.778516956372</v>
      </c>
      <c r="Y84" s="46">
        <f t="shared" si="42"/>
        <v>10447.773687766596</v>
      </c>
      <c r="Z84" s="46">
        <f t="shared" si="42"/>
        <v>10525.693576492204</v>
      </c>
      <c r="AA84" s="46">
        <f t="shared" si="42"/>
        <v>10585.121825628885</v>
      </c>
      <c r="AB84" s="46">
        <f t="shared" si="42"/>
        <v>10586.530038034263</v>
      </c>
    </row>
    <row r="85" spans="2:28">
      <c r="B85" t="s">
        <v>41</v>
      </c>
      <c r="C85" s="46">
        <f t="shared" ref="C85:AB85" si="43">C30*1000000/C79</f>
        <v>0</v>
      </c>
      <c r="D85" s="46">
        <f t="shared" si="43"/>
        <v>0</v>
      </c>
      <c r="E85" s="46">
        <f t="shared" si="43"/>
        <v>0</v>
      </c>
      <c r="F85" s="46">
        <f t="shared" si="43"/>
        <v>0</v>
      </c>
      <c r="G85" s="46">
        <f t="shared" si="43"/>
        <v>425.46005568640021</v>
      </c>
      <c r="H85" s="46">
        <f t="shared" si="43"/>
        <v>1151.5830331207965</v>
      </c>
      <c r="I85" s="46">
        <f t="shared" si="43"/>
        <v>1490.3901127244994</v>
      </c>
      <c r="J85" s="46">
        <f t="shared" si="43"/>
        <v>1844.3453552582359</v>
      </c>
      <c r="K85" s="46">
        <f t="shared" si="43"/>
        <v>2208.1823631858442</v>
      </c>
      <c r="L85" s="46">
        <f t="shared" si="43"/>
        <v>2572.3491236447376</v>
      </c>
      <c r="M85" s="46">
        <f t="shared" si="43"/>
        <v>2956.0968953216843</v>
      </c>
      <c r="N85" s="46">
        <f t="shared" si="43"/>
        <v>2901.3411127209552</v>
      </c>
      <c r="O85" s="46">
        <f t="shared" si="43"/>
        <v>2873.410155034851</v>
      </c>
      <c r="P85" s="46">
        <f t="shared" si="43"/>
        <v>2847.5157258566164</v>
      </c>
      <c r="Q85" s="46">
        <f t="shared" si="43"/>
        <v>2821.7394293577076</v>
      </c>
      <c r="R85" s="46">
        <f t="shared" si="43"/>
        <v>2793.8600563615787</v>
      </c>
      <c r="S85" s="46">
        <f t="shared" si="43"/>
        <v>2767.1883651291</v>
      </c>
      <c r="T85" s="46">
        <f t="shared" si="43"/>
        <v>2745.4883120504278</v>
      </c>
      <c r="U85" s="46">
        <f t="shared" si="43"/>
        <v>2728.6879184110821</v>
      </c>
      <c r="V85" s="46">
        <f t="shared" si="43"/>
        <v>2716.9345918063032</v>
      </c>
      <c r="W85" s="46">
        <f t="shared" si="43"/>
        <v>2705.0536079121703</v>
      </c>
      <c r="X85" s="46">
        <f t="shared" si="43"/>
        <v>2691.8297285501558</v>
      </c>
      <c r="Y85" s="46">
        <f t="shared" si="43"/>
        <v>2676.1206447851509</v>
      </c>
      <c r="Z85" s="46">
        <f t="shared" si="43"/>
        <v>2662.114320145562</v>
      </c>
      <c r="AA85" s="46">
        <f t="shared" si="43"/>
        <v>2643.3679136494356</v>
      </c>
      <c r="AB85" s="46">
        <f t="shared" si="43"/>
        <v>2615.7732835294755</v>
      </c>
    </row>
    <row r="86" spans="2:28">
      <c r="B86" t="s">
        <v>15</v>
      </c>
      <c r="C86" s="46">
        <f>C84+C85</f>
        <v>0</v>
      </c>
      <c r="D86" s="46">
        <f t="shared" ref="D86:AB86" si="44">D84+D85</f>
        <v>0</v>
      </c>
      <c r="E86" s="46">
        <f t="shared" si="44"/>
        <v>0</v>
      </c>
      <c r="F86" s="46">
        <f t="shared" si="44"/>
        <v>0</v>
      </c>
      <c r="G86" s="46">
        <f t="shared" si="44"/>
        <v>1510.4699621382019</v>
      </c>
      <c r="H86" s="46">
        <f t="shared" si="44"/>
        <v>4302.1379126387901</v>
      </c>
      <c r="I86" s="46">
        <f t="shared" si="44"/>
        <v>5736.3031617508259</v>
      </c>
      <c r="J86" s="46">
        <f t="shared" si="44"/>
        <v>7237.1578424357704</v>
      </c>
      <c r="K86" s="46">
        <f t="shared" si="44"/>
        <v>8831.5246213833198</v>
      </c>
      <c r="L86" s="46">
        <f t="shared" si="44"/>
        <v>10502.544637297286</v>
      </c>
      <c r="M86" s="46">
        <f t="shared" si="44"/>
        <v>12245.263181164621</v>
      </c>
      <c r="N86" s="46">
        <f t="shared" si="44"/>
        <v>12546.290912456116</v>
      </c>
      <c r="O86" s="46">
        <f t="shared" si="44"/>
        <v>12628.287311816974</v>
      </c>
      <c r="P86" s="46">
        <f t="shared" si="44"/>
        <v>12696.633870111669</v>
      </c>
      <c r="Q86" s="46">
        <f t="shared" si="44"/>
        <v>12737.252949620715</v>
      </c>
      <c r="R86" s="46">
        <f t="shared" si="44"/>
        <v>12739.524346323937</v>
      </c>
      <c r="S86" s="46">
        <f t="shared" si="44"/>
        <v>12763.818700840602</v>
      </c>
      <c r="T86" s="46">
        <f t="shared" si="44"/>
        <v>12796.287482846838</v>
      </c>
      <c r="U86" s="46">
        <f t="shared" si="44"/>
        <v>12852.467493888162</v>
      </c>
      <c r="V86" s="46">
        <f t="shared" si="44"/>
        <v>12927.343950904102</v>
      </c>
      <c r="W86" s="46">
        <f t="shared" si="44"/>
        <v>13015.678235113533</v>
      </c>
      <c r="X86" s="46">
        <f t="shared" si="44"/>
        <v>13073.608245506528</v>
      </c>
      <c r="Y86" s="46">
        <f t="shared" si="44"/>
        <v>13123.894332551747</v>
      </c>
      <c r="Z86" s="46">
        <f t="shared" si="44"/>
        <v>13187.807896637765</v>
      </c>
      <c r="AA86" s="46">
        <f t="shared" si="44"/>
        <v>13228.48973927832</v>
      </c>
      <c r="AB86" s="46">
        <f t="shared" si="44"/>
        <v>13202.303321563739</v>
      </c>
    </row>
    <row r="88" spans="2:28">
      <c r="B88" s="1" t="s">
        <v>46</v>
      </c>
    </row>
    <row r="89" spans="2:28">
      <c r="B89" s="1" t="s">
        <v>40</v>
      </c>
    </row>
    <row r="90" spans="2:28">
      <c r="B90" s="18" t="s">
        <v>47</v>
      </c>
      <c r="C90" s="42">
        <v>1.1552893390788288</v>
      </c>
      <c r="D90" s="42">
        <v>1.0733633044714623</v>
      </c>
      <c r="E90" s="42">
        <v>0.99143726986409586</v>
      </c>
      <c r="F90" s="42">
        <v>0.90951123525672939</v>
      </c>
      <c r="G90" s="42">
        <v>0.82758520064936292</v>
      </c>
      <c r="H90" s="42">
        <v>0.74565916604199667</v>
      </c>
      <c r="I90" s="42">
        <v>0.69598424224129407</v>
      </c>
      <c r="J90" s="42">
        <v>0.64630931844059158</v>
      </c>
      <c r="K90" s="42">
        <v>0.59663439463988899</v>
      </c>
      <c r="L90" s="42">
        <v>0.5469594708391865</v>
      </c>
      <c r="M90" s="42">
        <v>0.49728454703848396</v>
      </c>
      <c r="N90" s="42">
        <v>0.47669006360555088</v>
      </c>
      <c r="O90" s="42">
        <v>0.4560955801726177</v>
      </c>
      <c r="P90" s="42">
        <v>0.43550109673968462</v>
      </c>
      <c r="Q90" s="42">
        <v>0.41490661330675149</v>
      </c>
      <c r="R90" s="42">
        <v>0.39431212987381836</v>
      </c>
      <c r="S90" s="42">
        <v>0.3864658545820277</v>
      </c>
      <c r="T90" s="42">
        <v>0.37861957929023704</v>
      </c>
      <c r="U90" s="42">
        <v>0.37077330399844644</v>
      </c>
      <c r="V90" s="42">
        <v>0.36292702870665583</v>
      </c>
      <c r="W90" s="42">
        <v>0.35508075341486522</v>
      </c>
      <c r="X90" s="42">
        <v>0.35149410969369704</v>
      </c>
      <c r="Y90" s="42">
        <v>0.34790746597252886</v>
      </c>
      <c r="Z90" s="42">
        <v>0.34432082225136074</v>
      </c>
      <c r="AA90" s="42">
        <v>0.34073417853019261</v>
      </c>
      <c r="AB90" s="42">
        <v>0.33714753480902443</v>
      </c>
    </row>
    <row r="91" spans="2:28">
      <c r="B91" s="18" t="s">
        <v>48</v>
      </c>
      <c r="C91" s="42">
        <v>3.0658418834490622E-2</v>
      </c>
      <c r="D91" s="42">
        <v>2.7667923296606813E-2</v>
      </c>
      <c r="E91" s="42">
        <v>2.4677427758722996E-2</v>
      </c>
      <c r="F91" s="42">
        <v>2.1686932220839186E-2</v>
      </c>
      <c r="G91" s="42">
        <v>1.8696436682955377E-2</v>
      </c>
      <c r="H91" s="42">
        <v>1.5705941145071563E-2</v>
      </c>
      <c r="I91" s="42">
        <v>1.4499041963055006E-2</v>
      </c>
      <c r="J91" s="42">
        <v>1.3292142781038453E-2</v>
      </c>
      <c r="K91" s="42">
        <v>1.2085243599021894E-2</v>
      </c>
      <c r="L91" s="42">
        <v>1.0878344417005338E-2</v>
      </c>
      <c r="M91" s="42">
        <v>9.6714452349887809E-3</v>
      </c>
      <c r="N91" s="42">
        <v>9.0471215303388128E-3</v>
      </c>
      <c r="O91" s="42">
        <v>8.4227978256888464E-3</v>
      </c>
      <c r="P91" s="42">
        <v>7.7984741210388791E-3</v>
      </c>
      <c r="Q91" s="42">
        <v>7.1741504163889119E-3</v>
      </c>
      <c r="R91" s="42">
        <v>6.5498267117389455E-3</v>
      </c>
      <c r="S91" s="42">
        <v>6.4979551713107387E-3</v>
      </c>
      <c r="T91" s="42">
        <v>6.446083630882532E-3</v>
      </c>
      <c r="U91" s="42">
        <v>6.3942120904543261E-3</v>
      </c>
      <c r="V91" s="42">
        <v>6.3423405500261194E-3</v>
      </c>
      <c r="W91" s="42">
        <v>6.2904690095979135E-3</v>
      </c>
      <c r="X91" s="42">
        <v>6.2696482197594806E-3</v>
      </c>
      <c r="Y91" s="42">
        <v>6.2488274299210486E-3</v>
      </c>
      <c r="Z91" s="42">
        <v>6.2280066400826149E-3</v>
      </c>
      <c r="AA91" s="42">
        <v>6.2071858502441828E-3</v>
      </c>
      <c r="AB91" s="42">
        <v>6.1863650604057491E-3</v>
      </c>
    </row>
    <row r="92" spans="2:28">
      <c r="B92" s="18" t="s">
        <v>49</v>
      </c>
      <c r="C92" s="42">
        <v>0.27775170852768255</v>
      </c>
      <c r="D92" s="42">
        <v>0.26552504411076439</v>
      </c>
      <c r="E92" s="42">
        <v>0.25329837969384617</v>
      </c>
      <c r="F92" s="42">
        <v>0.24107171527692794</v>
      </c>
      <c r="G92" s="42">
        <v>0.22884505086000975</v>
      </c>
      <c r="H92" s="42">
        <v>0.21661838644309156</v>
      </c>
      <c r="I92" s="42">
        <v>0.2086276420388927</v>
      </c>
      <c r="J92" s="42">
        <v>0.20063689763469386</v>
      </c>
      <c r="K92" s="42">
        <v>0.192646153230495</v>
      </c>
      <c r="L92" s="42">
        <v>0.18465540882629616</v>
      </c>
      <c r="M92" s="42">
        <v>0.1766646644220973</v>
      </c>
      <c r="N92" s="42">
        <v>0.17228187918586854</v>
      </c>
      <c r="O92" s="42">
        <v>0.16789909394963978</v>
      </c>
      <c r="P92" s="42">
        <v>0.163516308713411</v>
      </c>
      <c r="Q92" s="42">
        <v>0.15913352347718224</v>
      </c>
      <c r="R92" s="42">
        <v>0.15475073824095348</v>
      </c>
      <c r="S92" s="42">
        <v>0.15322902806146205</v>
      </c>
      <c r="T92" s="42">
        <v>0.15170731788197062</v>
      </c>
      <c r="U92" s="42">
        <v>0.15018560770247921</v>
      </c>
      <c r="V92" s="42">
        <v>0.14866389752298778</v>
      </c>
      <c r="W92" s="42">
        <v>0.14714218734349638</v>
      </c>
      <c r="X92" s="42">
        <v>0.14627498967928046</v>
      </c>
      <c r="Y92" s="42">
        <v>0.14540779201506454</v>
      </c>
      <c r="Z92" s="42">
        <v>0.14454059435084865</v>
      </c>
      <c r="AA92" s="42">
        <v>0.14367339668663276</v>
      </c>
      <c r="AB92" s="42">
        <v>0.14280619902241687</v>
      </c>
    </row>
    <row r="93" spans="2:28">
      <c r="B93" s="18" t="s">
        <v>50</v>
      </c>
      <c r="C93" s="43">
        <v>945.41152317953538</v>
      </c>
      <c r="D93" s="43">
        <v>933.36316730306226</v>
      </c>
      <c r="E93" s="43">
        <v>921.31481142658924</v>
      </c>
      <c r="F93" s="43">
        <v>909.26645555011623</v>
      </c>
      <c r="G93" s="43">
        <v>897.21809967364311</v>
      </c>
      <c r="H93" s="43">
        <v>885.16974379717021</v>
      </c>
      <c r="I93" s="43">
        <v>877.86714858057792</v>
      </c>
      <c r="J93" s="43">
        <v>870.56455336398562</v>
      </c>
      <c r="K93" s="43">
        <v>863.26195814739333</v>
      </c>
      <c r="L93" s="43">
        <v>855.95936293080103</v>
      </c>
      <c r="M93" s="43">
        <v>848.65676771420885</v>
      </c>
      <c r="N93" s="43">
        <v>844.73214309737841</v>
      </c>
      <c r="O93" s="43">
        <v>840.8075184805482</v>
      </c>
      <c r="P93" s="43">
        <v>836.88289386371764</v>
      </c>
      <c r="Q93" s="43">
        <v>832.95826924688731</v>
      </c>
      <c r="R93" s="43">
        <v>829.03364463005698</v>
      </c>
      <c r="S93" s="43">
        <v>826.6393708621307</v>
      </c>
      <c r="T93" s="43">
        <v>824.24509709420443</v>
      </c>
      <c r="U93" s="43">
        <v>821.85082332627826</v>
      </c>
      <c r="V93" s="43">
        <v>819.45654955835198</v>
      </c>
      <c r="W93" s="43">
        <v>817.0622757904257</v>
      </c>
      <c r="X93" s="43">
        <v>815.6071318516565</v>
      </c>
      <c r="Y93" s="43">
        <v>814.15198791288719</v>
      </c>
      <c r="Z93" s="43">
        <v>812.69684397411811</v>
      </c>
      <c r="AA93" s="43">
        <v>811.24170003534869</v>
      </c>
      <c r="AB93" s="43">
        <v>809.78655609657949</v>
      </c>
    </row>
    <row r="94" spans="2:28">
      <c r="B94" s="1" t="s">
        <v>41</v>
      </c>
      <c r="C94" s="44"/>
      <c r="D94" s="44"/>
      <c r="E94" s="44"/>
      <c r="F94" s="44"/>
      <c r="G94" s="44"/>
      <c r="H94" s="44"/>
      <c r="I94" s="44"/>
      <c r="J94" s="44"/>
      <c r="K94" s="44"/>
      <c r="L94" s="44"/>
      <c r="M94" s="44"/>
      <c r="N94" s="44"/>
      <c r="O94" s="44"/>
      <c r="P94" s="44"/>
      <c r="Q94" s="44"/>
      <c r="R94" s="44"/>
      <c r="S94" s="44"/>
      <c r="T94" s="44"/>
      <c r="U94" s="44"/>
      <c r="V94" s="44"/>
      <c r="W94" s="44"/>
      <c r="X94" s="44"/>
      <c r="Y94" s="44"/>
      <c r="Z94" s="44"/>
      <c r="AA94" s="44"/>
      <c r="AB94" s="44"/>
    </row>
    <row r="95" spans="2:28">
      <c r="B95" s="18" t="s">
        <v>47</v>
      </c>
      <c r="C95" s="42">
        <v>3.3012516228616722</v>
      </c>
      <c r="D95" s="42">
        <v>3.0623572018911647</v>
      </c>
      <c r="E95" s="42">
        <v>2.8234627809206576</v>
      </c>
      <c r="F95" s="42">
        <v>2.5845683599501501</v>
      </c>
      <c r="G95" s="42">
        <v>2.345673938979643</v>
      </c>
      <c r="H95" s="42">
        <v>2.1067795180091355</v>
      </c>
      <c r="I95" s="42">
        <v>1.9703833200118122</v>
      </c>
      <c r="J95" s="42">
        <v>1.8339871220144888</v>
      </c>
      <c r="K95" s="42">
        <v>1.6975909240171654</v>
      </c>
      <c r="L95" s="42">
        <v>1.561194726019842</v>
      </c>
      <c r="M95" s="42">
        <v>1.4247985280225186</v>
      </c>
      <c r="N95" s="42">
        <v>1.3662124340365496</v>
      </c>
      <c r="O95" s="42">
        <v>1.307626340050581</v>
      </c>
      <c r="P95" s="42">
        <v>1.2490402460646122</v>
      </c>
      <c r="Q95" s="42">
        <v>1.1904541520786434</v>
      </c>
      <c r="R95" s="42">
        <v>1.1318680580926745</v>
      </c>
      <c r="S95" s="42">
        <v>1.1087940081498537</v>
      </c>
      <c r="T95" s="42">
        <v>1.0857199582070332</v>
      </c>
      <c r="U95" s="42">
        <v>1.0626459082642126</v>
      </c>
      <c r="V95" s="42">
        <v>1.0395718583213918</v>
      </c>
      <c r="W95" s="42">
        <v>1.0164978083785712</v>
      </c>
      <c r="X95" s="42">
        <v>1.006955415484591</v>
      </c>
      <c r="Y95" s="42">
        <v>0.99741302259061126</v>
      </c>
      <c r="Z95" s="42">
        <v>0.98787062969663131</v>
      </c>
      <c r="AA95" s="42">
        <v>0.97832823680265135</v>
      </c>
      <c r="AB95" s="42">
        <v>0.9687858439086714</v>
      </c>
    </row>
    <row r="96" spans="2:28">
      <c r="B96" s="18" t="s">
        <v>48</v>
      </c>
      <c r="C96" s="42">
        <v>4.9088175973178459E-2</v>
      </c>
      <c r="D96" s="42">
        <v>4.336075602551849E-2</v>
      </c>
      <c r="E96" s="42">
        <v>3.7633336077858542E-2</v>
      </c>
      <c r="F96" s="42">
        <v>3.1905916130198581E-2</v>
      </c>
      <c r="G96" s="42">
        <v>2.6178496182538615E-2</v>
      </c>
      <c r="H96" s="42">
        <v>2.0451076234878657E-2</v>
      </c>
      <c r="I96" s="42">
        <v>1.8329641684975289E-2</v>
      </c>
      <c r="J96" s="42">
        <v>1.6208207135071921E-2</v>
      </c>
      <c r="K96" s="42">
        <v>1.4086772585168557E-2</v>
      </c>
      <c r="L96" s="42">
        <v>1.1965338035265189E-2</v>
      </c>
      <c r="M96" s="42">
        <v>9.843903485361823E-3</v>
      </c>
      <c r="N96" s="42">
        <v>8.8623693935413247E-3</v>
      </c>
      <c r="O96" s="42">
        <v>7.8808353017208281E-3</v>
      </c>
      <c r="P96" s="42">
        <v>6.8993012099003333E-3</v>
      </c>
      <c r="Q96" s="42">
        <v>5.9177671180798367E-3</v>
      </c>
      <c r="R96" s="42">
        <v>4.9362330262593401E-3</v>
      </c>
      <c r="S96" s="42">
        <v>4.8087234032088517E-3</v>
      </c>
      <c r="T96" s="42">
        <v>4.6812137801583633E-3</v>
      </c>
      <c r="U96" s="42">
        <v>4.5537041571078749E-3</v>
      </c>
      <c r="V96" s="42">
        <v>4.4261945340573865E-3</v>
      </c>
      <c r="W96" s="42">
        <v>4.2986849110068989E-3</v>
      </c>
      <c r="X96" s="42">
        <v>4.212136667539129E-3</v>
      </c>
      <c r="Y96" s="42">
        <v>4.1255884240713582E-3</v>
      </c>
      <c r="Z96" s="42">
        <v>4.0390401806035883E-3</v>
      </c>
      <c r="AA96" s="42">
        <v>3.9524919371358175E-3</v>
      </c>
      <c r="AB96" s="42">
        <v>3.8659436936680476E-3</v>
      </c>
    </row>
    <row r="97" spans="2:28">
      <c r="B97" s="18" t="s">
        <v>49</v>
      </c>
      <c r="C97" s="42">
        <v>0.15436220753690824</v>
      </c>
      <c r="D97" s="42">
        <v>0.14461982092402323</v>
      </c>
      <c r="E97" s="42">
        <v>0.13487743431113824</v>
      </c>
      <c r="F97" s="42">
        <v>0.12513504769825323</v>
      </c>
      <c r="G97" s="42">
        <v>0.11539266108536823</v>
      </c>
      <c r="H97" s="42">
        <v>0.10565027447248324</v>
      </c>
      <c r="I97" s="42">
        <v>0.10119661393520271</v>
      </c>
      <c r="J97" s="42">
        <v>9.6742953397922188E-2</v>
      </c>
      <c r="K97" s="42">
        <v>9.2289292860641664E-2</v>
      </c>
      <c r="L97" s="42">
        <v>8.783563232336114E-2</v>
      </c>
      <c r="M97" s="42">
        <v>8.3381971786080616E-2</v>
      </c>
      <c r="N97" s="42">
        <v>8.1480666801457602E-2</v>
      </c>
      <c r="O97" s="42">
        <v>7.9579361816834573E-2</v>
      </c>
      <c r="P97" s="42">
        <v>7.7678056832211559E-2</v>
      </c>
      <c r="Q97" s="42">
        <v>7.5776751847588544E-2</v>
      </c>
      <c r="R97" s="42">
        <v>7.3875446862965516E-2</v>
      </c>
      <c r="S97" s="42">
        <v>7.3339840788661348E-2</v>
      </c>
      <c r="T97" s="42">
        <v>7.280423471435718E-2</v>
      </c>
      <c r="U97" s="42">
        <v>7.2268628640052998E-2</v>
      </c>
      <c r="V97" s="42">
        <v>7.173302256574883E-2</v>
      </c>
      <c r="W97" s="42">
        <v>7.1197416491444662E-2</v>
      </c>
      <c r="X97" s="42">
        <v>7.1021779262825033E-2</v>
      </c>
      <c r="Y97" s="42">
        <v>7.0846142034205417E-2</v>
      </c>
      <c r="Z97" s="42">
        <v>7.0670504805585788E-2</v>
      </c>
      <c r="AA97" s="42">
        <v>7.0494867576966172E-2</v>
      </c>
      <c r="AB97" s="42">
        <v>7.0319230348346543E-2</v>
      </c>
    </row>
    <row r="98" spans="2:28">
      <c r="B98" s="18" t="s">
        <v>50</v>
      </c>
      <c r="C98" s="43">
        <v>1673.2257551576354</v>
      </c>
      <c r="D98" s="43">
        <v>1648.6255181176614</v>
      </c>
      <c r="E98" s="43">
        <v>1624.0252810776874</v>
      </c>
      <c r="F98" s="43">
        <v>1599.4250440377132</v>
      </c>
      <c r="G98" s="43">
        <v>1574.8248069977394</v>
      </c>
      <c r="H98" s="43">
        <v>1550.2245699577654</v>
      </c>
      <c r="I98" s="43">
        <v>1534.9242058200698</v>
      </c>
      <c r="J98" s="43">
        <v>1519.6238416823744</v>
      </c>
      <c r="K98" s="43">
        <v>1504.323477544679</v>
      </c>
      <c r="L98" s="43">
        <v>1489.0231134069836</v>
      </c>
      <c r="M98" s="43">
        <v>1473.722749269288</v>
      </c>
      <c r="N98" s="43">
        <v>1466.1879780062786</v>
      </c>
      <c r="O98" s="43">
        <v>1458.6532067432695</v>
      </c>
      <c r="P98" s="43">
        <v>1451.1184354802604</v>
      </c>
      <c r="Q98" s="43">
        <v>1443.5836642172512</v>
      </c>
      <c r="R98" s="43">
        <v>1436.0488929542421</v>
      </c>
      <c r="S98" s="43">
        <v>1432.2581394113759</v>
      </c>
      <c r="T98" s="43">
        <v>1428.4673858685096</v>
      </c>
      <c r="U98" s="43">
        <v>1424.6766323256431</v>
      </c>
      <c r="V98" s="43">
        <v>1420.8858787827771</v>
      </c>
      <c r="W98" s="43">
        <v>1417.0951252399107</v>
      </c>
      <c r="X98" s="43">
        <v>1415.2784912318621</v>
      </c>
      <c r="Y98" s="43">
        <v>1413.4618572238139</v>
      </c>
      <c r="Z98" s="43">
        <v>1411.6452232157656</v>
      </c>
      <c r="AA98" s="43">
        <v>1409.828589207717</v>
      </c>
      <c r="AB98" s="43">
        <v>1408.0119551996686</v>
      </c>
    </row>
    <row r="99" spans="2:28">
      <c r="B99" s="21" t="s">
        <v>51</v>
      </c>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row>
    <row r="100" spans="2:28">
      <c r="B100" s="18" t="s">
        <v>47</v>
      </c>
      <c r="C100" s="20">
        <v>31.136257051695409</v>
      </c>
      <c r="D100" s="20">
        <v>29.103982359834816</v>
      </c>
      <c r="E100" s="20">
        <v>27.025276824341198</v>
      </c>
      <c r="F100" s="20">
        <v>25.302317210075977</v>
      </c>
      <c r="G100" s="20">
        <v>24.21429776991047</v>
      </c>
      <c r="H100" s="20">
        <v>24.603884963454114</v>
      </c>
      <c r="I100" s="20">
        <v>23.835749811682099</v>
      </c>
      <c r="J100" s="20">
        <v>23.118837461842929</v>
      </c>
      <c r="K100" s="20">
        <v>21.832931729656302</v>
      </c>
      <c r="L100" s="20">
        <v>20.711993155135289</v>
      </c>
      <c r="M100" s="20">
        <v>20.088141628643587</v>
      </c>
      <c r="N100" s="20">
        <v>19.117478792460417</v>
      </c>
      <c r="O100" s="20">
        <v>18.786577548764015</v>
      </c>
      <c r="P100" s="20">
        <v>17.908885776659815</v>
      </c>
      <c r="Q100" s="20">
        <v>16.872441732835995</v>
      </c>
      <c r="R100" s="20">
        <v>16.513430223229289</v>
      </c>
      <c r="S100" s="20">
        <v>15.947871944240489</v>
      </c>
      <c r="T100" s="20">
        <v>15.38231366525169</v>
      </c>
      <c r="U100" s="20">
        <v>14.816755386262892</v>
      </c>
      <c r="V100" s="20">
        <v>14.251197107274093</v>
      </c>
      <c r="W100" s="20">
        <v>13.685638828285294</v>
      </c>
      <c r="X100" s="20">
        <v>13.171541289814153</v>
      </c>
      <c r="Y100" s="20">
        <v>12.657443751343012</v>
      </c>
      <c r="Z100" s="20">
        <v>12.143346212871869</v>
      </c>
      <c r="AA100" s="20">
        <v>11.629248674400726</v>
      </c>
      <c r="AB100" s="20">
        <v>11.115151135929585</v>
      </c>
    </row>
    <row r="101" spans="2:28">
      <c r="B101" s="18" t="s">
        <v>48</v>
      </c>
      <c r="C101" s="20">
        <v>14.341255775548529</v>
      </c>
      <c r="D101" s="20">
        <v>14.085345620236863</v>
      </c>
      <c r="E101" s="20">
        <v>13.829435464925194</v>
      </c>
      <c r="F101" s="20">
        <v>13.57352530961353</v>
      </c>
      <c r="G101" s="20">
        <v>13.317615154301862</v>
      </c>
      <c r="H101" s="20">
        <v>13.061704998990194</v>
      </c>
      <c r="I101" s="20">
        <v>12.932344013514358</v>
      </c>
      <c r="J101" s="20">
        <v>12.802983028038522</v>
      </c>
      <c r="K101" s="20">
        <v>12.673622042562684</v>
      </c>
      <c r="L101" s="20">
        <v>12.544261057086848</v>
      </c>
      <c r="M101" s="20">
        <v>12.41490007161101</v>
      </c>
      <c r="N101" s="20">
        <v>12.320093389965225</v>
      </c>
      <c r="O101" s="20">
        <v>12.225286708319439</v>
      </c>
      <c r="P101" s="20">
        <v>12.130480026673652</v>
      </c>
      <c r="Q101" s="20">
        <v>12.035673345027867</v>
      </c>
      <c r="R101" s="20">
        <v>11.940866663382081</v>
      </c>
      <c r="S101" s="20">
        <v>11.845133009840188</v>
      </c>
      <c r="T101" s="20">
        <v>11.749399356298294</v>
      </c>
      <c r="U101" s="20">
        <v>11.653665702756401</v>
      </c>
      <c r="V101" s="20">
        <v>11.557932049214507</v>
      </c>
      <c r="W101" s="20">
        <v>11.462198395672614</v>
      </c>
      <c r="X101" s="20">
        <v>11.376929884053352</v>
      </c>
      <c r="Y101" s="20">
        <v>11.291661372434092</v>
      </c>
      <c r="Z101" s="20">
        <v>11.20639286081483</v>
      </c>
      <c r="AA101" s="20">
        <v>11.121124349195567</v>
      </c>
      <c r="AB101" s="20">
        <v>11.035855837576307</v>
      </c>
    </row>
    <row r="102" spans="2:28">
      <c r="B102" s="18" t="s">
        <v>49</v>
      </c>
      <c r="C102" s="20">
        <v>12.580114006417839</v>
      </c>
      <c r="D102" s="20">
        <v>12.52437071103555</v>
      </c>
      <c r="E102" s="20">
        <v>12.468627415653257</v>
      </c>
      <c r="F102" s="20">
        <v>12.412884120270968</v>
      </c>
      <c r="G102" s="20">
        <v>12.357140824888676</v>
      </c>
      <c r="H102" s="20">
        <v>12.301397529506385</v>
      </c>
      <c r="I102" s="20">
        <v>12.197791350556001</v>
      </c>
      <c r="J102" s="20">
        <v>12.094185171605613</v>
      </c>
      <c r="K102" s="20">
        <v>11.990578992655228</v>
      </c>
      <c r="L102" s="20">
        <v>11.886972813704842</v>
      </c>
      <c r="M102" s="20">
        <v>11.783366634754456</v>
      </c>
      <c r="N102" s="20">
        <v>11.670239653924376</v>
      </c>
      <c r="O102" s="20">
        <v>11.557112673094293</v>
      </c>
      <c r="P102" s="20">
        <v>11.443985692264214</v>
      </c>
      <c r="Q102" s="20">
        <v>11.330858711434134</v>
      </c>
      <c r="R102" s="20">
        <v>11.217731730604052</v>
      </c>
      <c r="S102" s="20">
        <v>11.196878672541887</v>
      </c>
      <c r="T102" s="20">
        <v>11.176025614479725</v>
      </c>
      <c r="U102" s="20">
        <v>11.155172556417561</v>
      </c>
      <c r="V102" s="20">
        <v>11.134319498355396</v>
      </c>
      <c r="W102" s="20">
        <v>11.113466440293232</v>
      </c>
      <c r="X102" s="20">
        <v>11.094892938103715</v>
      </c>
      <c r="Y102" s="20">
        <v>11.076319435914199</v>
      </c>
      <c r="Z102" s="20">
        <v>11.057745933724682</v>
      </c>
      <c r="AA102" s="20">
        <v>11.039172431535164</v>
      </c>
      <c r="AB102" s="20">
        <v>11.020598929345649</v>
      </c>
    </row>
    <row r="103" spans="2:28">
      <c r="B103" s="18" t="s">
        <v>50</v>
      </c>
      <c r="C103" s="2">
        <v>40713.791150940902</v>
      </c>
      <c r="D103" s="2">
        <v>36249.228418616563</v>
      </c>
      <c r="E103" s="2">
        <v>32512.036103591119</v>
      </c>
      <c r="F103" s="2">
        <v>29156.181395043575</v>
      </c>
      <c r="G103" s="2">
        <v>26383.415314558617</v>
      </c>
      <c r="H103" s="2">
        <v>25034.021067823942</v>
      </c>
      <c r="I103" s="2">
        <v>23815.476678879393</v>
      </c>
      <c r="J103" s="2">
        <v>22665.751293465371</v>
      </c>
      <c r="K103" s="2">
        <v>20713.429806853797</v>
      </c>
      <c r="L103" s="2">
        <v>19077.895131671834</v>
      </c>
      <c r="M103" s="2">
        <v>18005.110624630426</v>
      </c>
      <c r="N103" s="2">
        <v>16578.651378075687</v>
      </c>
      <c r="O103" s="2">
        <v>15741.980087244589</v>
      </c>
      <c r="P103" s="2">
        <v>14431.036378639546</v>
      </c>
      <c r="Q103" s="2">
        <v>13006.006456655614</v>
      </c>
      <c r="R103" s="2">
        <v>12235.687608028333</v>
      </c>
      <c r="S103" s="2">
        <v>10959.082578553222</v>
      </c>
      <c r="T103" s="2">
        <v>9682.4775490781067</v>
      </c>
      <c r="U103" s="2">
        <v>8405.8725196029955</v>
      </c>
      <c r="V103" s="2">
        <v>7129.2674901278824</v>
      </c>
      <c r="W103" s="2">
        <v>5852.6624606527694</v>
      </c>
      <c r="X103" s="2">
        <v>4745.987928861503</v>
      </c>
      <c r="Y103" s="2">
        <v>3639.3133970702365</v>
      </c>
      <c r="Z103" s="2">
        <v>2532.6388652789701</v>
      </c>
      <c r="AA103" s="2">
        <v>1425.9643334877037</v>
      </c>
      <c r="AB103" s="2">
        <v>319.28980169643722</v>
      </c>
    </row>
    <row r="105" spans="2:28">
      <c r="B105" s="21" t="s">
        <v>52</v>
      </c>
      <c r="D105" s="17"/>
      <c r="E105" s="17"/>
      <c r="F105" s="17"/>
      <c r="G105" s="17"/>
    </row>
    <row r="106" spans="2:28">
      <c r="B106" s="18" t="s">
        <v>53</v>
      </c>
      <c r="C106" s="34">
        <f>'[1]Energy Rates'!$B$12</f>
        <v>1.1804838330274337E-2</v>
      </c>
      <c r="D106" s="45">
        <f t="shared" ref="D106:D109" si="45">$C106+($H106-$C106)*1/5</f>
        <v>1.1649746109162291E-2</v>
      </c>
      <c r="E106" s="45">
        <f t="shared" ref="E106:E109" si="46">$C106+($H106-$C106)*2/5</f>
        <v>1.1494653888050245E-2</v>
      </c>
      <c r="F106" s="45">
        <f t="shared" ref="F106:F109" si="47">$C106+($H106-$C106)*3/5</f>
        <v>1.1339561666938201E-2</v>
      </c>
      <c r="G106" s="45">
        <f t="shared" ref="G106:G109" si="48">$C106+($H106-$C106)*4/5</f>
        <v>1.1184469445826154E-2</v>
      </c>
      <c r="H106" s="34">
        <f>'[1]Energy Rates'!$B$13</f>
        <v>1.1029377224714108E-2</v>
      </c>
      <c r="I106" s="45">
        <f>$H106+($M106-$H106)*1/5</f>
        <v>1.093592112135288E-2</v>
      </c>
      <c r="J106" s="45">
        <f>$H106+($M106-$H106)*2/5</f>
        <v>1.0842465017991651E-2</v>
      </c>
      <c r="K106" s="45">
        <f>$H106+($M106-$H106)*3/5</f>
        <v>1.0749008914630423E-2</v>
      </c>
      <c r="L106" s="45">
        <f>$H106+($M106-$H106)*4/5</f>
        <v>1.0655552811269193E-2</v>
      </c>
      <c r="M106" s="34">
        <f>'[1]Energy Rates'!$B$14</f>
        <v>1.0562096707907965E-2</v>
      </c>
      <c r="N106" s="45">
        <f>$M106+($R106-$M106)*1/5</f>
        <v>1.0512015251681895E-2</v>
      </c>
      <c r="O106" s="45">
        <f>$M106+($R106-$M106)*2/5</f>
        <v>1.0461933795455826E-2</v>
      </c>
      <c r="P106" s="45">
        <f>$M106+($R106-$M106)*3/5</f>
        <v>1.0411852339229755E-2</v>
      </c>
      <c r="Q106" s="45">
        <f>$M106+($R106-$M106)*4/5</f>
        <v>1.0361770883003685E-2</v>
      </c>
      <c r="R106" s="34">
        <f>'[1]Energy Rates'!$B$15</f>
        <v>1.0311689426777616E-2</v>
      </c>
      <c r="S106" s="45">
        <f>$R106+($W106-$R106)*1/5</f>
        <v>1.0281836415274808E-2</v>
      </c>
      <c r="T106" s="45">
        <f>$R106+($W106-$R106)*2/5</f>
        <v>1.0251983403772001E-2</v>
      </c>
      <c r="U106" s="45">
        <f>$R106+($W106-$R106)*3/5</f>
        <v>1.0222130392269192E-2</v>
      </c>
      <c r="V106" s="45">
        <f>$R106+($W106-$R106)*4/5</f>
        <v>1.0192277380766385E-2</v>
      </c>
      <c r="W106" s="34">
        <f>'[1]Energy Rates'!$B$16</f>
        <v>1.0162424369263578E-2</v>
      </c>
      <c r="X106" s="45">
        <f>$W106+($AB106-$W106)*1/5</f>
        <v>1.0144260991941883E-2</v>
      </c>
      <c r="Y106" s="45">
        <f>$W106+($AB106-$W106)*2/5</f>
        <v>1.0126097614620189E-2</v>
      </c>
      <c r="Z106" s="45">
        <f>$W106+($AB106-$W106)*3/5</f>
        <v>1.0107934237298496E-2</v>
      </c>
      <c r="AA106" s="45">
        <f>$W106+($AB106-$W106)*4/5</f>
        <v>1.0089770859976801E-2</v>
      </c>
      <c r="AB106" s="34">
        <f>'[1]Energy Rates'!$B$17</f>
        <v>1.0071607482655107E-2</v>
      </c>
    </row>
    <row r="107" spans="2:28">
      <c r="B107" s="18" t="s">
        <v>54</v>
      </c>
      <c r="C107" s="34">
        <f>'[1]Energy Rates'!$C$12</f>
        <v>3.7650565661805089E-3</v>
      </c>
      <c r="D107" s="45">
        <f t="shared" si="45"/>
        <v>3.714248396170666E-3</v>
      </c>
      <c r="E107" s="45">
        <f t="shared" si="46"/>
        <v>3.6634402261608232E-3</v>
      </c>
      <c r="F107" s="45">
        <f t="shared" si="47"/>
        <v>3.6126320561509799E-3</v>
      </c>
      <c r="G107" s="45">
        <f t="shared" si="48"/>
        <v>3.561823886141137E-3</v>
      </c>
      <c r="H107" s="34">
        <f>'[1]Energy Rates'!$C$13</f>
        <v>3.5110157161312942E-3</v>
      </c>
      <c r="I107" s="45">
        <f t="shared" ref="I107:I109" si="49">$H107+($M107-$H107)*1/5</f>
        <v>3.5403990269840036E-3</v>
      </c>
      <c r="J107" s="45">
        <f t="shared" ref="J107:J109" si="50">$H107+($M107-$H107)*2/5</f>
        <v>3.5697823378367135E-3</v>
      </c>
      <c r="K107" s="45">
        <f t="shared" ref="K107:K109" si="51">$H107+($M107-$H107)*3/5</f>
        <v>3.599165648689423E-3</v>
      </c>
      <c r="L107" s="45">
        <f t="shared" ref="L107:L109" si="52">$H107+($M107-$H107)*4/5</f>
        <v>3.6285489595421329E-3</v>
      </c>
      <c r="M107" s="34">
        <f>'[1]Energy Rates'!$C$14</f>
        <v>3.6579322703948424E-3</v>
      </c>
      <c r="N107" s="45">
        <f t="shared" ref="N107:N109" si="53">$M107+($R107-$M107)*1/5</f>
        <v>3.6766272886703129E-3</v>
      </c>
      <c r="O107" s="45">
        <f t="shared" ref="O107:O109" si="54">$M107+($R107-$M107)*2/5</f>
        <v>3.6953223069457835E-3</v>
      </c>
      <c r="P107" s="45">
        <f t="shared" ref="P107:P109" si="55">$M107+($R107-$M107)*3/5</f>
        <v>3.7140173252212536E-3</v>
      </c>
      <c r="Q107" s="45">
        <f t="shared" ref="Q107:Q109" si="56">$M107+($R107-$M107)*4/5</f>
        <v>3.7327123434967241E-3</v>
      </c>
      <c r="R107" s="34">
        <f>'[1]Energy Rates'!$C$15</f>
        <v>3.7514073617721947E-3</v>
      </c>
      <c r="S107" s="45">
        <f t="shared" ref="S107:S109" si="57">$R107+($W107-$R107)*1/5</f>
        <v>3.7604153920457102E-3</v>
      </c>
      <c r="T107" s="45">
        <f t="shared" ref="T107:T109" si="58">$R107+($W107-$R107)*2/5</f>
        <v>3.7694234223192256E-3</v>
      </c>
      <c r="U107" s="45">
        <f t="shared" ref="U107:U109" si="59">$R107+($W107-$R107)*3/5</f>
        <v>3.7784314525927416E-3</v>
      </c>
      <c r="V107" s="45">
        <f t="shared" ref="V107:V109" si="60">$R107+($W107-$R107)*4/5</f>
        <v>3.787439482866257E-3</v>
      </c>
      <c r="W107" s="34">
        <f>'[1]Energy Rates'!$C$16</f>
        <v>3.7964475131397725E-3</v>
      </c>
      <c r="X107" s="45">
        <f t="shared" ref="X107:X109" si="61">$W107+($AB107-$W107)*1/5</f>
        <v>3.7994012456263934E-3</v>
      </c>
      <c r="Y107" s="45">
        <f t="shared" ref="Y107:Y109" si="62">$W107+($AB107-$W107)*2/5</f>
        <v>3.8023549781130142E-3</v>
      </c>
      <c r="Z107" s="45">
        <f t="shared" ref="Z107:Z109" si="63">$W107+($AB107-$W107)*3/5</f>
        <v>3.805308710599635E-3</v>
      </c>
      <c r="AA107" s="45">
        <f t="shared" ref="AA107:AA109" si="64">$W107+($AB107-$W107)*4/5</f>
        <v>3.8082624430862558E-3</v>
      </c>
      <c r="AB107" s="34">
        <f>'[1]Energy Rates'!$C$17</f>
        <v>3.8112161755728766E-3</v>
      </c>
    </row>
    <row r="108" spans="2:28">
      <c r="B108" s="18" t="s">
        <v>55</v>
      </c>
      <c r="C108" s="34">
        <f>'[1]Energy Rates'!$B$25</f>
        <v>2.0595665088088234E-2</v>
      </c>
      <c r="D108" s="45">
        <f t="shared" si="45"/>
        <v>2.0276571998282186E-2</v>
      </c>
      <c r="E108" s="45">
        <f t="shared" si="46"/>
        <v>1.9957478908476142E-2</v>
      </c>
      <c r="F108" s="45">
        <f t="shared" si="47"/>
        <v>1.9638385818670095E-2</v>
      </c>
      <c r="G108" s="45">
        <f t="shared" si="48"/>
        <v>1.9319292728864051E-2</v>
      </c>
      <c r="H108" s="34">
        <f>'[1]Energy Rates'!$B$26</f>
        <v>1.9000199639058003E-2</v>
      </c>
      <c r="I108" s="45">
        <f t="shared" si="49"/>
        <v>1.8803232410739883E-2</v>
      </c>
      <c r="J108" s="45">
        <f t="shared" si="50"/>
        <v>1.8606265182421762E-2</v>
      </c>
      <c r="K108" s="45">
        <f t="shared" si="51"/>
        <v>1.8409297954103645E-2</v>
      </c>
      <c r="L108" s="45">
        <f t="shared" si="52"/>
        <v>1.8212330725785524E-2</v>
      </c>
      <c r="M108" s="34">
        <f>'[1]Energy Rates'!$B$27</f>
        <v>1.8015363497467404E-2</v>
      </c>
      <c r="N108" s="45">
        <f t="shared" si="53"/>
        <v>1.791849910607736E-2</v>
      </c>
      <c r="O108" s="45">
        <f t="shared" si="54"/>
        <v>1.7821634714687319E-2</v>
      </c>
      <c r="P108" s="45">
        <f t="shared" si="55"/>
        <v>1.7724770323297275E-2</v>
      </c>
      <c r="Q108" s="45">
        <f t="shared" si="56"/>
        <v>1.7627905931907235E-2</v>
      </c>
      <c r="R108" s="34">
        <f>'[1]Energy Rates'!$B$28</f>
        <v>1.7531041540517191E-2</v>
      </c>
      <c r="S108" s="45">
        <f t="shared" si="57"/>
        <v>1.7483307441039014E-2</v>
      </c>
      <c r="T108" s="45">
        <f t="shared" si="58"/>
        <v>1.7435573341560838E-2</v>
      </c>
      <c r="U108" s="45">
        <f t="shared" si="59"/>
        <v>1.7387839242082658E-2</v>
      </c>
      <c r="V108" s="45">
        <f t="shared" si="60"/>
        <v>1.7340105142604482E-2</v>
      </c>
      <c r="W108" s="34">
        <f>'[1]Energy Rates'!$B$29</f>
        <v>1.7292371043126305E-2</v>
      </c>
      <c r="X108" s="45">
        <f t="shared" si="61"/>
        <v>1.726944945263045E-2</v>
      </c>
      <c r="Y108" s="45">
        <f t="shared" si="62"/>
        <v>1.7246527862134594E-2</v>
      </c>
      <c r="Z108" s="45">
        <f t="shared" si="63"/>
        <v>1.7223606271638735E-2</v>
      </c>
      <c r="AA108" s="45">
        <f t="shared" si="64"/>
        <v>1.7200684681142879E-2</v>
      </c>
      <c r="AB108" s="34">
        <f>'[1]Energy Rates'!$B$30</f>
        <v>1.7177763090647023E-2</v>
      </c>
    </row>
    <row r="109" spans="2:28">
      <c r="B109" s="18" t="s">
        <v>56</v>
      </c>
      <c r="C109" s="34">
        <f>'[1]Energy Rates'!$C$25</f>
        <v>1.1855092355852788E-2</v>
      </c>
      <c r="D109" s="45">
        <f t="shared" si="45"/>
        <v>1.1893016574401363E-2</v>
      </c>
      <c r="E109" s="45">
        <f t="shared" si="46"/>
        <v>1.1930940792949938E-2</v>
      </c>
      <c r="F109" s="45">
        <f t="shared" si="47"/>
        <v>1.1968865011498513E-2</v>
      </c>
      <c r="G109" s="45">
        <f t="shared" si="48"/>
        <v>1.2006789230047088E-2</v>
      </c>
      <c r="H109" s="34">
        <f>'[1]Energy Rates'!$C$26</f>
        <v>1.2044713448595663E-2</v>
      </c>
      <c r="I109" s="45">
        <f t="shared" si="49"/>
        <v>1.2106339457234288E-2</v>
      </c>
      <c r="J109" s="45">
        <f t="shared" si="50"/>
        <v>1.2167965465872913E-2</v>
      </c>
      <c r="K109" s="45">
        <f t="shared" si="51"/>
        <v>1.2229591474511536E-2</v>
      </c>
      <c r="L109" s="45">
        <f t="shared" si="52"/>
        <v>1.2291217483150161E-2</v>
      </c>
      <c r="M109" s="34">
        <f>'[1]Energy Rates'!$C$27</f>
        <v>1.2352843491788786E-2</v>
      </c>
      <c r="N109" s="45">
        <f t="shared" si="53"/>
        <v>1.2422600490898678E-2</v>
      </c>
      <c r="O109" s="45">
        <f t="shared" si="54"/>
        <v>1.2492357490008571E-2</v>
      </c>
      <c r="P109" s="45">
        <f t="shared" si="55"/>
        <v>1.2562114489118464E-2</v>
      </c>
      <c r="Q109" s="45">
        <f t="shared" si="56"/>
        <v>1.2631871488228356E-2</v>
      </c>
      <c r="R109" s="34">
        <f>'[1]Energy Rates'!$C$28</f>
        <v>1.2701628487338249E-2</v>
      </c>
      <c r="S109" s="45">
        <f t="shared" si="57"/>
        <v>1.2738897726634212E-2</v>
      </c>
      <c r="T109" s="45">
        <f t="shared" si="58"/>
        <v>1.2776166965930173E-2</v>
      </c>
      <c r="U109" s="45">
        <f t="shared" si="59"/>
        <v>1.2813436205226136E-2</v>
      </c>
      <c r="V109" s="45">
        <f t="shared" si="60"/>
        <v>1.2850705444522097E-2</v>
      </c>
      <c r="W109" s="34">
        <f>'[1]Energy Rates'!$C$29</f>
        <v>1.2887974683818059E-2</v>
      </c>
      <c r="X109" s="45">
        <f t="shared" si="61"/>
        <v>1.2916042647122825E-2</v>
      </c>
      <c r="Y109" s="45">
        <f t="shared" si="62"/>
        <v>1.294411061042759E-2</v>
      </c>
      <c r="Z109" s="45">
        <f t="shared" si="63"/>
        <v>1.2972178573732356E-2</v>
      </c>
      <c r="AA109" s="45">
        <f t="shared" si="64"/>
        <v>1.3000246537037121E-2</v>
      </c>
      <c r="AB109" s="34">
        <f>'[1]Energy Rates'!$C$30</f>
        <v>1.3028314500341887E-2</v>
      </c>
    </row>
    <row r="111" spans="2:28">
      <c r="L111" s="9" t="s">
        <v>57</v>
      </c>
    </row>
    <row r="112" spans="2:28">
      <c r="M112" t="s">
        <v>58</v>
      </c>
    </row>
    <row r="113" spans="12:14">
      <c r="L113" s="39" t="s">
        <v>54</v>
      </c>
      <c r="M113" s="64">
        <f>M103*M107</f>
        <v>65.861475185864677</v>
      </c>
      <c r="N113" t="s">
        <v>59</v>
      </c>
    </row>
    <row r="114" spans="12:14">
      <c r="L114" s="39" t="s">
        <v>56</v>
      </c>
      <c r="M114" s="64">
        <f>M103*M109</f>
        <v>222.41431359840308</v>
      </c>
      <c r="N114" t="s">
        <v>59</v>
      </c>
    </row>
    <row r="115" spans="12:14">
      <c r="L115" s="39"/>
    </row>
    <row r="116" spans="12:14">
      <c r="L116" s="39"/>
      <c r="M116" t="s">
        <v>48</v>
      </c>
    </row>
    <row r="117" spans="12:14">
      <c r="L117" s="39" t="s">
        <v>54</v>
      </c>
      <c r="M117" s="65">
        <f>M101*M107</f>
        <v>4.5412863605673155E-2</v>
      </c>
      <c r="N117" t="s">
        <v>59</v>
      </c>
    </row>
    <row r="118" spans="12:14">
      <c r="L118" s="39" t="s">
        <v>56</v>
      </c>
      <c r="M118" s="65">
        <f>M101*M109</f>
        <v>0.1533593175508082</v>
      </c>
      <c r="N118" t="s">
        <v>59</v>
      </c>
    </row>
    <row r="143" spans="6:18">
      <c r="G143" s="7">
        <v>2029</v>
      </c>
      <c r="H143" s="7">
        <v>2030</v>
      </c>
      <c r="I143" s="7">
        <v>2031</v>
      </c>
      <c r="J143" s="7">
        <v>2032</v>
      </c>
      <c r="K143" s="7">
        <v>2033</v>
      </c>
      <c r="L143" s="7">
        <v>2034</v>
      </c>
      <c r="M143" s="7">
        <v>2035</v>
      </c>
      <c r="N143" s="7">
        <v>2036</v>
      </c>
      <c r="O143" s="7">
        <v>2037</v>
      </c>
      <c r="P143" s="7">
        <v>2038</v>
      </c>
      <c r="Q143" s="7">
        <v>2039</v>
      </c>
      <c r="R143" s="7">
        <v>2040</v>
      </c>
    </row>
    <row r="144" spans="6:18">
      <c r="F144" t="s">
        <v>32</v>
      </c>
      <c r="G144" s="12">
        <v>4.4659608919376863E-2</v>
      </c>
      <c r="H144" s="12">
        <v>0.10993152550411225</v>
      </c>
      <c r="I144" s="12">
        <v>0.11226358573326453</v>
      </c>
      <c r="J144" s="12">
        <v>0.11676601079094116</v>
      </c>
      <c r="K144" s="12">
        <v>0.10013082465550166</v>
      </c>
      <c r="L144" s="12">
        <v>8.7193623956037664E-2</v>
      </c>
      <c r="M144" s="12">
        <v>9.4532775311663514E-2</v>
      </c>
      <c r="N144" s="12">
        <v>6.6763685163780978E-2</v>
      </c>
      <c r="O144" s="12">
        <v>6.8834334004140879E-2</v>
      </c>
      <c r="P144" s="12">
        <v>4.1857928263928715E-2</v>
      </c>
      <c r="Q144" s="12">
        <v>2.9712143436247018E-3</v>
      </c>
      <c r="R144" s="12">
        <v>0</v>
      </c>
    </row>
    <row r="145" spans="6:18">
      <c r="F145" t="s">
        <v>33</v>
      </c>
      <c r="G145" s="12">
        <v>0.72929654942338307</v>
      </c>
      <c r="H145" s="12">
        <v>0.88908351437045929</v>
      </c>
      <c r="I145" s="12">
        <v>0.88690114085474803</v>
      </c>
      <c r="J145" s="12">
        <v>0.88715924733676388</v>
      </c>
      <c r="K145" s="12">
        <v>0.88711770524301525</v>
      </c>
      <c r="L145" s="12">
        <v>0.8863410914342742</v>
      </c>
      <c r="M145" s="12">
        <v>0.88685054771083183</v>
      </c>
      <c r="N145" s="12">
        <v>0.76168645942212054</v>
      </c>
      <c r="O145" s="12">
        <v>0.6237993095449581</v>
      </c>
      <c r="P145" s="12">
        <v>0.45829311822443503</v>
      </c>
      <c r="Q145" s="12">
        <v>0.25532559489175627</v>
      </c>
      <c r="R145" s="12">
        <v>0</v>
      </c>
    </row>
    <row r="146" spans="6:18">
      <c r="F146" t="s">
        <v>34</v>
      </c>
      <c r="G146" s="12">
        <v>0.22481609345549383</v>
      </c>
      <c r="H146" s="12">
        <v>0.23230225054027329</v>
      </c>
      <c r="I146" s="12">
        <v>0.21699233156981881</v>
      </c>
      <c r="J146" s="12">
        <v>0.20228911460917168</v>
      </c>
      <c r="K146" s="12">
        <v>0.18665068187026762</v>
      </c>
      <c r="L146" s="12">
        <v>0.16983964811855531</v>
      </c>
      <c r="M146" s="12">
        <v>0.15235594261437663</v>
      </c>
      <c r="N146" s="12">
        <v>0.12229227287260348</v>
      </c>
      <c r="O146" s="12">
        <v>9.3576121540000709E-2</v>
      </c>
      <c r="P146" s="12">
        <v>6.3776289876423545E-2</v>
      </c>
      <c r="Q146" s="12">
        <v>3.2665865674538774E-2</v>
      </c>
      <c r="R146" s="12">
        <v>0</v>
      </c>
    </row>
    <row r="147" spans="6:18">
      <c r="F147" t="s">
        <v>35</v>
      </c>
      <c r="G147" s="12">
        <v>5.0231606247061418E-2</v>
      </c>
      <c r="H147" s="12">
        <v>0.11388142453441687</v>
      </c>
      <c r="I147" s="12">
        <v>0.1138508064819429</v>
      </c>
      <c r="J147" s="12">
        <v>0.11650480546074198</v>
      </c>
      <c r="K147" s="12">
        <v>9.0215623902735673E-2</v>
      </c>
      <c r="L147" s="12">
        <v>7.4888244575503179E-2</v>
      </c>
      <c r="M147" s="12">
        <v>8.0093668844187296E-2</v>
      </c>
      <c r="N147" s="12">
        <v>5.4069345464220452E-2</v>
      </c>
      <c r="O147" s="12">
        <v>5.0109188311758861E-2</v>
      </c>
      <c r="P147" s="12">
        <v>2.8308498042705015E-2</v>
      </c>
      <c r="Q147" s="12">
        <v>1.8789761138916041E-3</v>
      </c>
      <c r="R147" s="12">
        <v>0</v>
      </c>
    </row>
  </sheetData>
  <pageMargins left="0.7" right="0.7" top="0.75" bottom="0.75" header="0.3" footer="0.3"/>
  <pageSetup paperSize="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905DAF-8A8D-4DA6-96D0-49DC00143E06}">
  <dimension ref="B1:O39"/>
  <sheetViews>
    <sheetView zoomScaleNormal="100" workbookViewId="0">
      <selection activeCell="P34" sqref="P34"/>
    </sheetView>
  </sheetViews>
  <sheetFormatPr defaultRowHeight="15"/>
  <cols>
    <col min="1" max="1" width="4.7109375" customWidth="1"/>
    <col min="2" max="2" width="13.140625" customWidth="1"/>
    <col min="3" max="3" width="9.42578125" customWidth="1"/>
    <col min="6" max="6" width="5.42578125" customWidth="1"/>
    <col min="7" max="7" width="18" customWidth="1"/>
    <col min="8" max="8" width="12.42578125" customWidth="1"/>
    <col min="9" max="9" width="12.5703125" customWidth="1"/>
    <col min="10" max="10" width="12.7109375" customWidth="1"/>
    <col min="11" max="11" width="12.85546875" customWidth="1"/>
    <col min="12" max="12" width="13" customWidth="1"/>
  </cols>
  <sheetData>
    <row r="1" spans="2:15">
      <c r="G1" s="72" t="s">
        <v>60</v>
      </c>
      <c r="M1" s="72" t="s">
        <v>60</v>
      </c>
    </row>
    <row r="2" spans="2:15">
      <c r="B2" s="1" t="s">
        <v>61</v>
      </c>
      <c r="H2" s="1" t="s">
        <v>62</v>
      </c>
      <c r="M2" s="40" t="s">
        <v>63</v>
      </c>
      <c r="N2">
        <v>1</v>
      </c>
      <c r="O2">
        <v>0</v>
      </c>
    </row>
    <row r="3" spans="2:15" ht="30">
      <c r="B3" s="6" t="s">
        <v>64</v>
      </c>
      <c r="C3" s="7" t="s">
        <v>65</v>
      </c>
      <c r="D3" s="7" t="s">
        <v>66</v>
      </c>
      <c r="E3" s="3" t="s">
        <v>67</v>
      </c>
      <c r="G3" s="7" t="s">
        <v>68</v>
      </c>
      <c r="H3" s="7" t="s">
        <v>69</v>
      </c>
      <c r="I3" s="7" t="s">
        <v>70</v>
      </c>
      <c r="J3" s="7" t="s">
        <v>71</v>
      </c>
      <c r="K3" s="7" t="s">
        <v>72</v>
      </c>
      <c r="N3" s="3" t="s">
        <v>73</v>
      </c>
      <c r="O3" s="3" t="s">
        <v>74</v>
      </c>
    </row>
    <row r="4" spans="2:15">
      <c r="B4" s="4">
        <v>150</v>
      </c>
      <c r="C4" s="60">
        <v>148</v>
      </c>
      <c r="D4" s="59">
        <v>1</v>
      </c>
      <c r="E4" s="59"/>
      <c r="G4" t="s">
        <v>75</v>
      </c>
      <c r="H4">
        <v>8</v>
      </c>
      <c r="I4">
        <v>10</v>
      </c>
      <c r="J4">
        <v>0</v>
      </c>
      <c r="K4" s="22">
        <f>SUMPRODUCT(H4:J4,H$10:J$10)/SUM(H$10:J$10)</f>
        <v>5.67741935483871</v>
      </c>
      <c r="N4">
        <v>104</v>
      </c>
      <c r="O4">
        <v>141</v>
      </c>
    </row>
    <row r="5" spans="2:15">
      <c r="B5" s="4">
        <v>350</v>
      </c>
      <c r="C5" s="60">
        <v>164</v>
      </c>
      <c r="D5" s="59">
        <v>0.75</v>
      </c>
      <c r="E5" s="59"/>
      <c r="G5" t="s">
        <v>76</v>
      </c>
      <c r="H5">
        <v>6</v>
      </c>
      <c r="I5">
        <v>8</v>
      </c>
      <c r="J5">
        <v>6</v>
      </c>
      <c r="K5" s="22">
        <f>SUMPRODUCT(H5:J5,H$10:J$10)/SUM(H$10:J$10)</f>
        <v>6.5161290322580649</v>
      </c>
      <c r="N5">
        <v>116</v>
      </c>
      <c r="O5">
        <v>161</v>
      </c>
    </row>
    <row r="6" spans="2:15">
      <c r="B6" s="4">
        <v>1000</v>
      </c>
      <c r="C6" s="60">
        <v>138</v>
      </c>
      <c r="D6" s="59">
        <v>0.25</v>
      </c>
      <c r="E6" s="59"/>
      <c r="G6" t="s">
        <v>77</v>
      </c>
      <c r="H6">
        <v>3</v>
      </c>
      <c r="I6">
        <v>6</v>
      </c>
      <c r="J6">
        <v>8</v>
      </c>
      <c r="K6" s="22">
        <f>SUMPRODUCT(H6:J6,H$10:J$10)/SUM(H$10:J$10)</f>
        <v>5.5483870967741939</v>
      </c>
      <c r="N6">
        <v>97</v>
      </c>
      <c r="O6">
        <v>137</v>
      </c>
    </row>
    <row r="7" spans="2:15">
      <c r="B7" s="4">
        <v>3000</v>
      </c>
      <c r="C7" s="60">
        <f t="shared" ref="C7" si="0">SUMPRODUCT(N7:O7,N$2:O$2)</f>
        <v>0</v>
      </c>
      <c r="D7" s="59">
        <v>0</v>
      </c>
      <c r="E7" s="59"/>
      <c r="G7" s="26" t="s">
        <v>78</v>
      </c>
    </row>
    <row r="9" spans="2:15">
      <c r="H9" s="35" t="s">
        <v>79</v>
      </c>
      <c r="I9" s="36"/>
      <c r="J9" s="36"/>
      <c r="K9" s="35" t="s">
        <v>80</v>
      </c>
    </row>
    <row r="10" spans="2:15">
      <c r="G10" t="s">
        <v>81</v>
      </c>
      <c r="H10" s="38">
        <v>12</v>
      </c>
      <c r="I10" s="38">
        <v>8</v>
      </c>
      <c r="J10" s="38">
        <v>11</v>
      </c>
      <c r="K10" s="33" t="s">
        <v>82</v>
      </c>
    </row>
    <row r="11" spans="2:15">
      <c r="B11">
        <v>3413</v>
      </c>
      <c r="C11" s="19" t="s">
        <v>83</v>
      </c>
    </row>
    <row r="13" spans="2:15">
      <c r="B13" s="63">
        <v>0.01</v>
      </c>
      <c r="C13" t="s">
        <v>84</v>
      </c>
    </row>
    <row r="15" spans="2:15">
      <c r="B15" t="s">
        <v>85</v>
      </c>
    </row>
    <row r="16" spans="2:15">
      <c r="B16" t="s">
        <v>86</v>
      </c>
    </row>
    <row r="18" spans="2:13">
      <c r="D18" t="s">
        <v>87</v>
      </c>
    </row>
    <row r="19" spans="2:13">
      <c r="B19" t="s">
        <v>88</v>
      </c>
      <c r="C19" s="2">
        <v>100000</v>
      </c>
      <c r="E19" t="s">
        <v>89</v>
      </c>
      <c r="F19" t="s">
        <v>90</v>
      </c>
    </row>
    <row r="20" spans="2:13">
      <c r="B20" t="s">
        <v>91</v>
      </c>
      <c r="C20" s="2">
        <v>127000</v>
      </c>
      <c r="D20" s="20">
        <f>SUM(D21:D23)</f>
        <v>1.27</v>
      </c>
      <c r="E20" t="s">
        <v>89</v>
      </c>
    </row>
    <row r="21" spans="2:13">
      <c r="B21" t="s">
        <v>92</v>
      </c>
      <c r="C21" s="14">
        <v>0.75</v>
      </c>
      <c r="D21" s="20">
        <f>C$20*C21/C$19</f>
        <v>0.95250000000000001</v>
      </c>
      <c r="E21" t="s">
        <v>89</v>
      </c>
    </row>
    <row r="22" spans="2:13">
      <c r="B22" t="s">
        <v>93</v>
      </c>
      <c r="C22" s="14">
        <v>0.14000000000000001</v>
      </c>
      <c r="D22" s="20">
        <f t="shared" ref="D22:D23" si="1">C$20*C22/C$19</f>
        <v>0.17780000000000001</v>
      </c>
      <c r="E22" t="s">
        <v>89</v>
      </c>
    </row>
    <row r="23" spans="2:13">
      <c r="B23" t="s">
        <v>94</v>
      </c>
      <c r="C23" s="14">
        <v>0.11</v>
      </c>
      <c r="D23" s="20">
        <f t="shared" si="1"/>
        <v>0.13969999999999999</v>
      </c>
      <c r="E23" t="s">
        <v>89</v>
      </c>
    </row>
    <row r="24" spans="2:13">
      <c r="B24" s="39" t="s">
        <v>95</v>
      </c>
      <c r="C24" s="14">
        <f>C22+C23</f>
        <v>0.25</v>
      </c>
    </row>
    <row r="25" spans="2:13">
      <c r="B25" s="18"/>
      <c r="G25" s="1" t="s">
        <v>96</v>
      </c>
    </row>
    <row r="26" spans="2:13" ht="15.75" thickBot="1">
      <c r="G26" t="s">
        <v>97</v>
      </c>
    </row>
    <row r="27" spans="2:13" ht="26.25" thickBot="1">
      <c r="G27" s="52" t="s">
        <v>98</v>
      </c>
      <c r="H27" s="53" t="s">
        <v>99</v>
      </c>
      <c r="I27" s="53" t="s">
        <v>100</v>
      </c>
      <c r="J27" s="53" t="s">
        <v>101</v>
      </c>
      <c r="K27" s="53" t="s">
        <v>102</v>
      </c>
      <c r="L27" s="53" t="s">
        <v>103</v>
      </c>
    </row>
    <row r="28" spans="2:13" ht="15.75" thickBot="1">
      <c r="G28" s="54" t="s">
        <v>104</v>
      </c>
      <c r="H28" s="70">
        <v>148</v>
      </c>
      <c r="I28" s="66">
        <v>36</v>
      </c>
      <c r="J28" s="67">
        <v>10</v>
      </c>
      <c r="K28" s="67">
        <v>47</v>
      </c>
      <c r="L28" s="67">
        <v>55</v>
      </c>
      <c r="M28">
        <f>SUM(I28:L28)</f>
        <v>148</v>
      </c>
    </row>
    <row r="29" spans="2:13" ht="15.75" thickBot="1">
      <c r="G29" s="54" t="s">
        <v>105</v>
      </c>
      <c r="H29" s="70">
        <v>164</v>
      </c>
      <c r="I29" s="68">
        <v>39</v>
      </c>
      <c r="J29" s="69">
        <v>9</v>
      </c>
      <c r="K29" s="69">
        <v>55</v>
      </c>
      <c r="L29" s="69">
        <v>61</v>
      </c>
      <c r="M29">
        <f t="shared" ref="M29:M30" si="2">SUM(I29:L29)</f>
        <v>164</v>
      </c>
    </row>
    <row r="30" spans="2:13" ht="15.75" thickBot="1">
      <c r="G30" s="54" t="s">
        <v>106</v>
      </c>
      <c r="H30" s="70">
        <v>138</v>
      </c>
      <c r="I30" s="68">
        <v>33</v>
      </c>
      <c r="J30" s="69">
        <v>6</v>
      </c>
      <c r="K30" s="69">
        <v>48</v>
      </c>
      <c r="L30" s="69">
        <v>51</v>
      </c>
      <c r="M30">
        <f t="shared" si="2"/>
        <v>138</v>
      </c>
    </row>
    <row r="31" spans="2:13" ht="15.75" thickBot="1">
      <c r="G31" s="55"/>
      <c r="H31" s="58">
        <f>SUM(I31:L31)</f>
        <v>226663390</v>
      </c>
      <c r="I31" s="56">
        <v>54025586</v>
      </c>
      <c r="J31" s="56">
        <v>11988795</v>
      </c>
      <c r="K31" s="56">
        <v>76457271</v>
      </c>
      <c r="L31" s="56">
        <v>84191738</v>
      </c>
    </row>
    <row r="32" spans="2:13">
      <c r="G32" s="57"/>
      <c r="H32" s="57"/>
      <c r="I32" s="57"/>
      <c r="J32" s="57"/>
      <c r="K32" s="57"/>
      <c r="L32" s="57"/>
    </row>
    <row r="33" spans="7:13">
      <c r="G33" s="57"/>
      <c r="H33" s="57"/>
      <c r="I33" s="57"/>
      <c r="J33" s="57"/>
      <c r="K33" s="57"/>
      <c r="L33" s="57"/>
    </row>
    <row r="34" spans="7:13" ht="15.75" thickBot="1">
      <c r="G34" s="57" t="s">
        <v>107</v>
      </c>
      <c r="H34" s="57"/>
      <c r="I34" s="57"/>
      <c r="J34" s="57"/>
      <c r="K34" s="57"/>
      <c r="L34" s="57"/>
    </row>
    <row r="35" spans="7:13" ht="26.25" thickBot="1">
      <c r="G35" s="52" t="s">
        <v>98</v>
      </c>
      <c r="H35" s="53" t="s">
        <v>99</v>
      </c>
      <c r="I35" s="53" t="s">
        <v>100</v>
      </c>
      <c r="J35" s="53" t="s">
        <v>101</v>
      </c>
      <c r="K35" s="53" t="s">
        <v>102</v>
      </c>
      <c r="L35" s="53" t="s">
        <v>103</v>
      </c>
    </row>
    <row r="36" spans="7:13" ht="15.75" thickBot="1">
      <c r="G36" s="54" t="s">
        <v>104</v>
      </c>
      <c r="H36" s="71">
        <v>124</v>
      </c>
      <c r="I36" s="66">
        <v>26</v>
      </c>
      <c r="J36" s="67">
        <v>0</v>
      </c>
      <c r="K36" s="67">
        <v>43</v>
      </c>
      <c r="L36" s="67">
        <v>55</v>
      </c>
      <c r="M36">
        <f>SUM(I36:L36)</f>
        <v>124</v>
      </c>
    </row>
    <row r="37" spans="7:13" ht="15.75" thickBot="1">
      <c r="G37" s="54" t="s">
        <v>105</v>
      </c>
      <c r="H37" s="71">
        <v>132</v>
      </c>
      <c r="I37" s="68">
        <v>31</v>
      </c>
      <c r="J37" s="69">
        <v>7</v>
      </c>
      <c r="K37" s="69">
        <v>45</v>
      </c>
      <c r="L37" s="69">
        <v>49</v>
      </c>
      <c r="M37">
        <f t="shared" ref="M37:M38" si="3">SUM(I37:L37)</f>
        <v>132</v>
      </c>
    </row>
    <row r="38" spans="7:13" ht="15.75" thickBot="1">
      <c r="G38" s="54" t="s">
        <v>106</v>
      </c>
      <c r="H38" s="71">
        <v>106</v>
      </c>
      <c r="I38" s="68">
        <v>27</v>
      </c>
      <c r="J38" s="69">
        <v>8</v>
      </c>
      <c r="K38" s="69">
        <v>36</v>
      </c>
      <c r="L38" s="69">
        <v>35</v>
      </c>
      <c r="M38">
        <f t="shared" si="3"/>
        <v>106</v>
      </c>
    </row>
    <row r="39" spans="7:13" ht="15.75" thickBot="1">
      <c r="G39" s="55"/>
      <c r="H39" s="58">
        <f>SUM(I39:L39)</f>
        <v>226065383</v>
      </c>
      <c r="I39" s="56">
        <v>53941989</v>
      </c>
      <c r="J39" s="56">
        <v>12000551</v>
      </c>
      <c r="K39" s="56">
        <v>77176011</v>
      </c>
      <c r="L39" s="56">
        <v>82946832</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EF721-1A5F-488B-9E4A-4EAA006AE19D}">
  <dimension ref="B3:E19"/>
  <sheetViews>
    <sheetView workbookViewId="0">
      <selection activeCell="E35" sqref="E35"/>
    </sheetView>
  </sheetViews>
  <sheetFormatPr defaultRowHeight="15"/>
  <sheetData>
    <row r="3" spans="2:4">
      <c r="B3" s="1" t="s">
        <v>108</v>
      </c>
    </row>
    <row r="4" spans="2:4">
      <c r="B4" t="s">
        <v>109</v>
      </c>
      <c r="D4" t="s">
        <v>110</v>
      </c>
    </row>
    <row r="5" spans="2:4">
      <c r="C5" t="s">
        <v>111</v>
      </c>
    </row>
    <row r="6" spans="2:4">
      <c r="C6" t="s">
        <v>112</v>
      </c>
      <c r="D6" t="s">
        <v>113</v>
      </c>
    </row>
    <row r="7" spans="2:4">
      <c r="C7" t="s">
        <v>114</v>
      </c>
      <c r="D7" t="s">
        <v>115</v>
      </c>
    </row>
    <row r="9" spans="2:4">
      <c r="B9" t="s">
        <v>116</v>
      </c>
      <c r="D9" t="s">
        <v>117</v>
      </c>
    </row>
    <row r="10" spans="2:4">
      <c r="C10" t="s">
        <v>118</v>
      </c>
    </row>
    <row r="11" spans="2:4">
      <c r="C11" t="s">
        <v>119</v>
      </c>
    </row>
    <row r="12" spans="2:4">
      <c r="B12" t="s">
        <v>120</v>
      </c>
      <c r="D12" t="s">
        <v>121</v>
      </c>
    </row>
    <row r="13" spans="2:4">
      <c r="C13" t="s">
        <v>122</v>
      </c>
      <c r="D13" t="s">
        <v>123</v>
      </c>
    </row>
    <row r="14" spans="2:4">
      <c r="B14" t="s">
        <v>124</v>
      </c>
      <c r="D14" t="s">
        <v>125</v>
      </c>
    </row>
    <row r="16" spans="2:4">
      <c r="B16" s="1" t="s">
        <v>126</v>
      </c>
    </row>
    <row r="17" spans="2:5">
      <c r="B17" t="s">
        <v>127</v>
      </c>
    </row>
    <row r="18" spans="2:5">
      <c r="B18" s="25" t="s">
        <v>128</v>
      </c>
      <c r="C18" s="25"/>
      <c r="D18" s="25"/>
      <c r="E18" s="25"/>
    </row>
    <row r="19" spans="2:5">
      <c r="C19" t="s">
        <v>129</v>
      </c>
    </row>
  </sheetData>
  <pageMargins left="0.7" right="0.7" top="0.75" bottom="0.75" header="0.3" footer="0.3"/>
  <pageSetup paperSize="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56100-36DB-42B8-B095-7B490C6B74D0}">
  <dimension ref="A1:G16"/>
  <sheetViews>
    <sheetView workbookViewId="0">
      <pane ySplit="1" topLeftCell="A2" activePane="bottomLeft" state="frozen"/>
      <selection pane="bottomLeft" activeCell="E12" sqref="E12"/>
    </sheetView>
  </sheetViews>
  <sheetFormatPr defaultColWidth="8.7109375" defaultRowHeight="15"/>
  <cols>
    <col min="1" max="1" width="39.42578125" style="29" customWidth="1"/>
    <col min="2" max="2" width="8.7109375" style="30"/>
    <col min="3" max="3" width="17.28515625" style="30" customWidth="1"/>
    <col min="4" max="4" width="15.28515625" style="30" customWidth="1"/>
    <col min="5" max="5" width="78.7109375" style="29" customWidth="1"/>
    <col min="6" max="16384" width="8.7109375" style="30"/>
  </cols>
  <sheetData>
    <row r="1" spans="1:7">
      <c r="A1" s="29" t="s">
        <v>130</v>
      </c>
      <c r="B1" s="30" t="s">
        <v>131</v>
      </c>
      <c r="C1" s="30" t="s">
        <v>132</v>
      </c>
      <c r="D1" s="30" t="s">
        <v>133</v>
      </c>
      <c r="E1" s="29" t="s">
        <v>80</v>
      </c>
      <c r="F1" s="30" t="s">
        <v>134</v>
      </c>
      <c r="G1" s="30" t="s">
        <v>135</v>
      </c>
    </row>
    <row r="2" spans="1:7" ht="75">
      <c r="A2" s="29" t="s">
        <v>136</v>
      </c>
      <c r="B2" s="30">
        <v>2018</v>
      </c>
      <c r="C2" s="30" t="s">
        <v>137</v>
      </c>
      <c r="D2" s="31" t="s">
        <v>138</v>
      </c>
      <c r="E2" s="29" t="s">
        <v>139</v>
      </c>
      <c r="F2" s="30" t="s">
        <v>140</v>
      </c>
      <c r="G2" s="30" t="s">
        <v>141</v>
      </c>
    </row>
    <row r="3" spans="1:7" ht="60">
      <c r="A3" s="29" t="s">
        <v>142</v>
      </c>
      <c r="B3" s="30">
        <v>2022</v>
      </c>
      <c r="C3" s="30" t="s">
        <v>143</v>
      </c>
      <c r="D3" s="31" t="s">
        <v>144</v>
      </c>
      <c r="E3" s="29" t="s">
        <v>145</v>
      </c>
      <c r="F3" s="30" t="s">
        <v>140</v>
      </c>
      <c r="G3" s="30" t="s">
        <v>141</v>
      </c>
    </row>
    <row r="4" spans="1:7" ht="210">
      <c r="A4" s="29" t="s">
        <v>146</v>
      </c>
      <c r="B4" s="30">
        <v>2019</v>
      </c>
      <c r="C4" s="30" t="s">
        <v>147</v>
      </c>
      <c r="D4" s="31" t="s">
        <v>148</v>
      </c>
      <c r="E4" s="29" t="s">
        <v>149</v>
      </c>
      <c r="F4" s="30" t="s">
        <v>140</v>
      </c>
      <c r="G4" s="30" t="s">
        <v>150</v>
      </c>
    </row>
    <row r="5" spans="1:7" ht="105">
      <c r="A5" s="29" t="s">
        <v>151</v>
      </c>
      <c r="B5" s="29">
        <v>2022</v>
      </c>
      <c r="C5" s="29" t="s">
        <v>152</v>
      </c>
      <c r="D5" s="32" t="s">
        <v>153</v>
      </c>
      <c r="E5" s="29" t="s">
        <v>154</v>
      </c>
      <c r="F5" s="30" t="s">
        <v>140</v>
      </c>
      <c r="G5" s="30" t="s">
        <v>141</v>
      </c>
    </row>
    <row r="6" spans="1:7" ht="60">
      <c r="A6" s="29" t="s">
        <v>155</v>
      </c>
      <c r="B6" s="30">
        <v>2023</v>
      </c>
      <c r="C6" s="30" t="s">
        <v>156</v>
      </c>
      <c r="D6" s="31" t="s">
        <v>157</v>
      </c>
      <c r="E6" s="29" t="s">
        <v>158</v>
      </c>
      <c r="F6" s="30" t="s">
        <v>140</v>
      </c>
      <c r="G6" s="30" t="s">
        <v>159</v>
      </c>
    </row>
    <row r="7" spans="1:7" ht="30">
      <c r="A7" s="29" t="s">
        <v>160</v>
      </c>
      <c r="D7" s="31" t="s">
        <v>161</v>
      </c>
      <c r="F7" s="30" t="s">
        <v>162</v>
      </c>
    </row>
    <row r="8" spans="1:7" ht="90">
      <c r="A8" s="29" t="s">
        <v>163</v>
      </c>
      <c r="B8" s="30">
        <v>2021</v>
      </c>
      <c r="C8" s="30" t="s">
        <v>164</v>
      </c>
      <c r="D8" s="31" t="s">
        <v>165</v>
      </c>
      <c r="E8" s="29" t="s">
        <v>166</v>
      </c>
      <c r="F8" s="30" t="s">
        <v>140</v>
      </c>
      <c r="G8" s="30" t="s">
        <v>167</v>
      </c>
    </row>
    <row r="9" spans="1:7" ht="105">
      <c r="A9" s="29" t="s">
        <v>168</v>
      </c>
      <c r="B9" s="30">
        <v>2021</v>
      </c>
      <c r="C9" s="30" t="s">
        <v>169</v>
      </c>
      <c r="D9" s="31" t="s">
        <v>170</v>
      </c>
      <c r="E9" s="29" t="s">
        <v>171</v>
      </c>
      <c r="F9" s="30" t="s">
        <v>140</v>
      </c>
      <c r="G9" s="30" t="s">
        <v>172</v>
      </c>
    </row>
    <row r="10" spans="1:7" ht="30">
      <c r="A10" s="29" t="s">
        <v>173</v>
      </c>
      <c r="B10" s="30">
        <v>2021</v>
      </c>
      <c r="C10" s="30" t="s">
        <v>174</v>
      </c>
      <c r="D10" s="31" t="s">
        <v>175</v>
      </c>
      <c r="E10" s="29" t="s">
        <v>176</v>
      </c>
      <c r="F10" s="30" t="s">
        <v>177</v>
      </c>
    </row>
    <row r="11" spans="1:7" ht="60">
      <c r="A11" s="29" t="s">
        <v>178</v>
      </c>
      <c r="B11" s="30">
        <v>2021</v>
      </c>
      <c r="C11" s="30" t="s">
        <v>179</v>
      </c>
      <c r="D11" s="31" t="s">
        <v>180</v>
      </c>
      <c r="E11" s="29" t="s">
        <v>181</v>
      </c>
      <c r="F11" s="30" t="s">
        <v>140</v>
      </c>
      <c r="G11" s="30" t="s">
        <v>182</v>
      </c>
    </row>
    <row r="12" spans="1:7" ht="75">
      <c r="A12" s="29" t="s">
        <v>183</v>
      </c>
      <c r="B12" s="30">
        <v>2023</v>
      </c>
      <c r="C12" s="30" t="s">
        <v>184</v>
      </c>
      <c r="D12" s="31" t="s">
        <v>185</v>
      </c>
      <c r="E12" s="29" t="s">
        <v>186</v>
      </c>
      <c r="F12" s="30" t="s">
        <v>140</v>
      </c>
      <c r="G12" s="30" t="s">
        <v>172</v>
      </c>
    </row>
    <row r="13" spans="1:7" ht="30">
      <c r="A13" s="29" t="s">
        <v>187</v>
      </c>
      <c r="B13" s="30">
        <v>2023</v>
      </c>
      <c r="C13" s="30" t="s">
        <v>188</v>
      </c>
      <c r="E13" s="29" t="s">
        <v>189</v>
      </c>
      <c r="F13" s="30" t="s">
        <v>140</v>
      </c>
      <c r="G13" s="30" t="s">
        <v>141</v>
      </c>
    </row>
    <row r="14" spans="1:7" ht="30">
      <c r="A14" s="29" t="s">
        <v>190</v>
      </c>
      <c r="C14" s="30" t="s">
        <v>191</v>
      </c>
      <c r="E14" s="29" t="s">
        <v>192</v>
      </c>
      <c r="F14" s="30" t="s">
        <v>162</v>
      </c>
    </row>
    <row r="15" spans="1:7" ht="45">
      <c r="A15" s="29" t="s">
        <v>193</v>
      </c>
      <c r="B15" s="30">
        <v>2020</v>
      </c>
      <c r="C15" s="30" t="s">
        <v>194</v>
      </c>
      <c r="E15" s="29" t="s">
        <v>195</v>
      </c>
    </row>
    <row r="16" spans="1:7" ht="30">
      <c r="A16" s="29" t="s">
        <v>196</v>
      </c>
      <c r="B16" s="30">
        <v>2022</v>
      </c>
      <c r="D16" s="30" t="s">
        <v>197</v>
      </c>
      <c r="E16" s="29" t="s">
        <v>198</v>
      </c>
      <c r="F16" s="30" t="s">
        <v>162</v>
      </c>
    </row>
  </sheetData>
  <hyperlinks>
    <hyperlink ref="D2" r:id="rId1" xr:uid="{3C566056-AF26-4164-AF55-175105AE63CC}"/>
    <hyperlink ref="D3" r:id="rId2" xr:uid="{2A969A52-2FBE-43C1-BB0D-DCB3779B913A}"/>
    <hyperlink ref="D4" r:id="rId3" display="https://www.researchgate.net/profile/Nicholas-Lutsey/publication/335104931_Estimating_the_infrastructure_needs_and_costs_for_the_launch_of_zero-emission_trucks/links/5d4f9cda299bf1995b759d35/Estimating-the-infrastructure-needs-and-costs-for-the-launch-of-zero-emission-trucks.pdf" xr:uid="{1C1B90DC-D350-4802-9A13-8ACACC371D2F}"/>
    <hyperlink ref="D5" r:id="rId4" xr:uid="{D20B9AD4-5912-48B9-82B2-E7850BF09AC1}"/>
    <hyperlink ref="D6" r:id="rId5" xr:uid="{CCFB0DB8-2DDA-46D7-A826-6D98795C307C}"/>
    <hyperlink ref="D7" r:id="rId6" xr:uid="{ED490227-5715-4B5C-AAFB-5E6E69B6DC1C}"/>
    <hyperlink ref="D8" r:id="rId7" xr:uid="{B578A83A-7693-4287-9EBA-115EFB8D40BE}"/>
    <hyperlink ref="D9" r:id="rId8" xr:uid="{813568DD-F33E-4B9F-93DE-94189F381C7C}"/>
    <hyperlink ref="D10" r:id="rId9" xr:uid="{8D2F5F37-8AF3-4F96-A822-B2A606AD5C4F}"/>
    <hyperlink ref="D11" r:id="rId10" xr:uid="{E77AADF6-4121-430A-922D-EB36B146EBB9}"/>
    <hyperlink ref="D12" r:id="rId11" xr:uid="{D562BB30-0CC8-4B92-9EE4-3B6B33E3F2F6}"/>
  </hyperlinks>
  <pageMargins left="0.7" right="0.7" top="0.75" bottom="0.75" header="0.3" footer="0.3"/>
  <drawing r:id="rId1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89062-569D-4EA6-B99A-1AF6AC227C7A}">
  <dimension ref="A1:F16"/>
  <sheetViews>
    <sheetView workbookViewId="0">
      <selection activeCell="E32" sqref="E32"/>
    </sheetView>
  </sheetViews>
  <sheetFormatPr defaultRowHeight="15"/>
  <cols>
    <col min="1" max="1" width="18.7109375" customWidth="1"/>
    <col min="5" max="5" width="58.42578125" customWidth="1"/>
  </cols>
  <sheetData>
    <row r="1" spans="1:6">
      <c r="A1" t="s">
        <v>199</v>
      </c>
      <c r="B1" t="s">
        <v>72</v>
      </c>
      <c r="C1" t="s">
        <v>200</v>
      </c>
      <c r="D1" t="s">
        <v>131</v>
      </c>
      <c r="E1" t="s">
        <v>201</v>
      </c>
      <c r="F1" t="s">
        <v>202</v>
      </c>
    </row>
    <row r="2" spans="1:6">
      <c r="A2" t="s">
        <v>203</v>
      </c>
      <c r="B2">
        <f>AVERAGE(150,260)</f>
        <v>205</v>
      </c>
      <c r="C2">
        <v>260</v>
      </c>
      <c r="D2">
        <v>2018</v>
      </c>
      <c r="E2" s="24" t="s">
        <v>138</v>
      </c>
      <c r="F2" t="s">
        <v>204</v>
      </c>
    </row>
    <row r="3" spans="1:6">
      <c r="A3" t="s">
        <v>205</v>
      </c>
      <c r="B3">
        <f>AVERAGE(150,150,44,150)</f>
        <v>123.5</v>
      </c>
      <c r="C3">
        <v>150</v>
      </c>
      <c r="D3">
        <v>2018</v>
      </c>
      <c r="E3" s="24" t="s">
        <v>138</v>
      </c>
      <c r="F3" t="s">
        <v>204</v>
      </c>
    </row>
    <row r="4" spans="1:6">
      <c r="A4" t="s">
        <v>206</v>
      </c>
      <c r="B4">
        <f>AVERAGE(150,260)</f>
        <v>205</v>
      </c>
      <c r="C4">
        <v>260</v>
      </c>
      <c r="D4">
        <v>2018</v>
      </c>
      <c r="E4" s="24" t="s">
        <v>138</v>
      </c>
      <c r="F4" t="s">
        <v>204</v>
      </c>
    </row>
    <row r="5" spans="1:6">
      <c r="A5" t="s">
        <v>203</v>
      </c>
      <c r="B5">
        <f>158/2</f>
        <v>79</v>
      </c>
      <c r="E5" s="24" t="s">
        <v>207</v>
      </c>
    </row>
    <row r="6" spans="1:6">
      <c r="A6" t="s">
        <v>208</v>
      </c>
      <c r="B6">
        <v>800</v>
      </c>
      <c r="E6" s="24" t="s">
        <v>209</v>
      </c>
    </row>
    <row r="7" spans="1:6">
      <c r="A7" t="s">
        <v>203</v>
      </c>
      <c r="B7" t="s">
        <v>210</v>
      </c>
      <c r="E7" s="24" t="s">
        <v>211</v>
      </c>
    </row>
    <row r="8" spans="1:6">
      <c r="A8" t="s">
        <v>203</v>
      </c>
      <c r="B8" t="s">
        <v>210</v>
      </c>
      <c r="E8" s="24" t="s">
        <v>212</v>
      </c>
    </row>
    <row r="9" spans="1:6" ht="15.75">
      <c r="A9" t="s">
        <v>208</v>
      </c>
      <c r="B9" s="27" t="s">
        <v>213</v>
      </c>
      <c r="E9" s="24" t="s">
        <v>214</v>
      </c>
    </row>
    <row r="10" spans="1:6">
      <c r="A10" t="s">
        <v>208</v>
      </c>
      <c r="B10">
        <v>250</v>
      </c>
      <c r="E10" s="24" t="s">
        <v>215</v>
      </c>
    </row>
    <row r="11" spans="1:6">
      <c r="A11" t="s">
        <v>208</v>
      </c>
      <c r="B11">
        <v>250</v>
      </c>
      <c r="E11" s="24" t="s">
        <v>216</v>
      </c>
    </row>
    <row r="12" spans="1:6">
      <c r="A12" t="s">
        <v>208</v>
      </c>
      <c r="B12">
        <v>250</v>
      </c>
      <c r="E12" s="24" t="s">
        <v>217</v>
      </c>
    </row>
    <row r="13" spans="1:6">
      <c r="A13" t="s">
        <v>208</v>
      </c>
      <c r="B13">
        <v>150</v>
      </c>
      <c r="E13" s="24" t="s">
        <v>218</v>
      </c>
    </row>
    <row r="14" spans="1:6">
      <c r="A14" t="s">
        <v>208</v>
      </c>
      <c r="B14">
        <v>150</v>
      </c>
      <c r="E14" s="24" t="s">
        <v>219</v>
      </c>
    </row>
    <row r="15" spans="1:6">
      <c r="A15" t="s">
        <v>208</v>
      </c>
      <c r="B15">
        <v>150</v>
      </c>
      <c r="E15" s="24" t="s">
        <v>220</v>
      </c>
    </row>
    <row r="16" spans="1:6">
      <c r="A16" t="s">
        <v>203</v>
      </c>
      <c r="B16">
        <v>150</v>
      </c>
      <c r="E16" s="24" t="s">
        <v>221</v>
      </c>
    </row>
  </sheetData>
  <hyperlinks>
    <hyperlink ref="E2" r:id="rId1" xr:uid="{F98A1103-C056-4995-A196-CEC39C45B188}"/>
    <hyperlink ref="E3" r:id="rId2" xr:uid="{EE2FAB90-3631-4692-9079-2EDBB77358C6}"/>
    <hyperlink ref="E4" r:id="rId3" xr:uid="{B366560B-6217-4306-AB25-3279525A5786}"/>
    <hyperlink ref="E5" r:id="rId4" xr:uid="{8DB9366A-0DC7-4AF9-A057-379121F11B04}"/>
    <hyperlink ref="E6" r:id="rId5" xr:uid="{A2B3E2CA-B1A3-4466-BC98-D62F93D1D9A1}"/>
    <hyperlink ref="E7" r:id="rId6" xr:uid="{CE822218-F0A1-4E67-975E-DD82BDF25E86}"/>
    <hyperlink ref="E8" r:id="rId7" xr:uid="{D37A7640-D682-4D3A-9C4A-5D58BE53943E}"/>
    <hyperlink ref="E9" r:id="rId8" xr:uid="{CD02824D-C701-4A2A-A041-9AD65930D0F3}"/>
    <hyperlink ref="E10" r:id="rId9" xr:uid="{0EC03F62-2C5B-40BD-BC54-DEE7A8085FF1}"/>
    <hyperlink ref="E11" r:id="rId10" xr:uid="{4ADF3CFA-5C08-4337-8F2F-F1C7FF901DC3}"/>
    <hyperlink ref="E12" r:id="rId11" xr:uid="{E3E8C04A-9E5D-4187-80D5-66A79285F90A}"/>
    <hyperlink ref="E13" r:id="rId12" xr:uid="{00C325AE-9F3E-46C4-8F6A-63BBE60E4F49}"/>
    <hyperlink ref="E14" r:id="rId13" xr:uid="{21F16965-C4F8-4155-AA47-A0242915A462}"/>
    <hyperlink ref="E15" r:id="rId14" xr:uid="{A792ACE5-AB10-477E-A5FB-F0D20F85FFAD}"/>
    <hyperlink ref="E16" r:id="rId15" xr:uid="{8F839790-8BEF-4FE6-A713-155FD42A434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d45ec368-63e2-4776-859b-90a3e5056cbb">
      <UserInfo>
        <DisplayName>Chris Porter</DisplayName>
        <AccountId>12</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0A09636EE20B041B888791F5FD353A6" ma:contentTypeVersion="6" ma:contentTypeDescription="Create a new document." ma:contentTypeScope="" ma:versionID="795874523ab0e403e8728e4064e706be">
  <xsd:schema xmlns:xsd="http://www.w3.org/2001/XMLSchema" xmlns:xs="http://www.w3.org/2001/XMLSchema" xmlns:p="http://schemas.microsoft.com/office/2006/metadata/properties" xmlns:ns2="d9da5986-9f71-48fc-b937-e2a5cfa0c536" xmlns:ns3="d45ec368-63e2-4776-859b-90a3e5056cbb" targetNamespace="http://schemas.microsoft.com/office/2006/metadata/properties" ma:root="true" ma:fieldsID="6d35a2eb61fb956539d88e1a63484ab5" ns2:_="" ns3:_="">
    <xsd:import namespace="d9da5986-9f71-48fc-b937-e2a5cfa0c536"/>
    <xsd:import namespace="d45ec368-63e2-4776-859b-90a3e5056c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da5986-9f71-48fc-b937-e2a5cfa0c53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45ec368-63e2-4776-859b-90a3e5056cb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CEBDA3-19F1-4849-8D26-59BCE7E60947}"/>
</file>

<file path=customXml/itemProps2.xml><?xml version="1.0" encoding="utf-8"?>
<ds:datastoreItem xmlns:ds="http://schemas.openxmlformats.org/officeDocument/2006/customXml" ds:itemID="{09A2BF66-A56D-4E40-8DB1-380555FEB8C3}"/>
</file>

<file path=customXml/itemProps3.xml><?xml version="1.0" encoding="utf-8"?>
<ds:datastoreItem xmlns:ds="http://schemas.openxmlformats.org/officeDocument/2006/customXml" ds:itemID="{DC0AC916-576D-4F87-B80E-6D8ABCF2A6B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 Porter</dc:creator>
  <cp:keywords/>
  <dc:description/>
  <cp:lastModifiedBy>james.bradbury@georgetown.edu</cp:lastModifiedBy>
  <cp:revision/>
  <dcterms:created xsi:type="dcterms:W3CDTF">2024-03-05T16:55:51Z</dcterms:created>
  <dcterms:modified xsi:type="dcterms:W3CDTF">2024-03-28T14:54:49Z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0x010100F0A09636EE20B041B888791F5FD353A6</vt:lpwstr>
  </property>
  <property fmtid="{D5CDD505-2E9C-101B-9397-08002B2CF9AE}" pid="3" name="MediaServiceImageTags">
    <vt:lpwstr/>
  </property>
</Properties>
</file>