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2" documentId="8_{C9C5BE9A-4AB6-47A3-ACE9-5D655FD47A2F}" xr6:coauthVersionLast="47" xr6:coauthVersionMax="47" xr10:uidLastSave="{82B6130E-F882-41CC-A5AC-F21E1F38D7DC}"/>
  <bookViews>
    <workbookView xWindow="-23148" yWindow="-108" windowWidth="23256" windowHeight="14016" tabRatio="895" activeTab="1" xr2:uid="{AAC398A2-E95D-4231-A920-55B8B1C73F3F}"/>
  </bookViews>
  <sheets>
    <sheet name="Overview" sheetId="26" r:id="rId1"/>
    <sheet name="Consolidated Budget" sheetId="30" r:id="rId2"/>
    <sheet name="Clean Truck Incentives Budget" sheetId="16" r:id="rId3"/>
    <sheet name="ECO Schools Budget" sheetId="27" r:id="rId4"/>
    <sheet name="CTI Timeline Milestones" sheetId="35" r:id="rId5"/>
    <sheet name="ECO School Time Milestones" sheetId="36" r:id="rId6"/>
    <sheet name="Measure 3 Budget" sheetId="28" state="hidden" r:id="rId7"/>
    <sheet name="Measure 4 Budget" sheetId="29" state="hidden" r:id="rId8"/>
    <sheet name="Measure 5 Budget" sheetId="31" state="hidden" r:id="rId9"/>
    <sheet name="Sample Budget 1" sheetId="32" state="hidden" r:id="rId10"/>
  </sheets>
  <definedNames>
    <definedName name="_xlnm._FilterDatabase" localSheetId="2" hidden="1">'Clean Truck Incentives Budget'!#REF!</definedName>
    <definedName name="_xlnm._FilterDatabase" localSheetId="1" hidden="1">'Consolidated Budget'!#REF!</definedName>
    <definedName name="_xlnm._FilterDatabase" localSheetId="3" hidden="1">'ECO Schools Budget'!#REF!</definedName>
    <definedName name="_xlnm._FilterDatabase" localSheetId="6" hidden="1">'Measure 3 Budget'!#REF!</definedName>
    <definedName name="_xlnm._FilterDatabase" localSheetId="7" hidden="1">'Measure 4 Budget'!#REF!</definedName>
    <definedName name="_xlnm._FilterDatabase" localSheetId="8" hidden="1">'Measure 5 Budget'!#REF!</definedName>
    <definedName name="_xlnm._FilterDatabase" localSheetId="9" hidden="1">'Sample Budget 1'!#REF!</definedName>
    <definedName name="period_selecte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27" l="1"/>
  <c r="I14" i="27"/>
  <c r="J43" i="16"/>
  <c r="E43" i="16"/>
  <c r="F43" i="16"/>
  <c r="G43" i="16"/>
  <c r="H43" i="16"/>
  <c r="D43" i="16"/>
  <c r="I21" i="16"/>
  <c r="E61" i="27" l="1"/>
  <c r="D61" i="27"/>
  <c r="C48" i="27"/>
  <c r="D41" i="27"/>
  <c r="D13" i="27"/>
  <c r="E9" i="16"/>
  <c r="J53" i="16"/>
  <c r="E56" i="16"/>
  <c r="F56" i="16" s="1"/>
  <c r="G56" i="16" s="1"/>
  <c r="H56" i="16" s="1"/>
  <c r="D56" i="16"/>
  <c r="E55" i="16"/>
  <c r="F55" i="16" s="1"/>
  <c r="G55" i="16" s="1"/>
  <c r="H55" i="16" s="1"/>
  <c r="D55" i="16"/>
  <c r="E54" i="16"/>
  <c r="F54" i="16" s="1"/>
  <c r="G54" i="16" s="1"/>
  <c r="H54" i="16" s="1"/>
  <c r="D54" i="16"/>
  <c r="J54" i="16" s="1"/>
  <c r="E52" i="16"/>
  <c r="F52" i="16" s="1"/>
  <c r="G52" i="16" s="1"/>
  <c r="H52" i="16" s="1"/>
  <c r="D52" i="16"/>
  <c r="J56" i="16" l="1"/>
  <c r="J52" i="16"/>
  <c r="D57" i="16"/>
  <c r="E57" i="16"/>
  <c r="J55" i="16"/>
  <c r="E46" i="27" l="1"/>
  <c r="J58" i="27"/>
  <c r="F61" i="27"/>
  <c r="E60" i="27"/>
  <c r="F60" i="27" s="1"/>
  <c r="G60" i="27" s="1"/>
  <c r="H60" i="27" s="1"/>
  <c r="D60" i="27"/>
  <c r="E59" i="27"/>
  <c r="F59" i="27" s="1"/>
  <c r="G59" i="27" s="1"/>
  <c r="H59" i="27" s="1"/>
  <c r="D59" i="27"/>
  <c r="J59" i="27" s="1"/>
  <c r="E57" i="27"/>
  <c r="F57" i="27" s="1"/>
  <c r="G57" i="27" s="1"/>
  <c r="H57" i="27" s="1"/>
  <c r="D57" i="27"/>
  <c r="E8" i="16"/>
  <c r="D62" i="27" l="1"/>
  <c r="G61" i="27"/>
  <c r="J57" i="27"/>
  <c r="J60" i="27"/>
  <c r="H61" i="27" l="1"/>
  <c r="D10" i="16"/>
  <c r="E55" i="27"/>
  <c r="E54" i="27"/>
  <c r="E62" i="27" s="1"/>
  <c r="F49" i="27"/>
  <c r="G49" i="27"/>
  <c r="H49" i="27"/>
  <c r="E49" i="27"/>
  <c r="D48" i="27"/>
  <c r="G37" i="16"/>
  <c r="G39" i="27"/>
  <c r="F39" i="27"/>
  <c r="G41" i="27"/>
  <c r="D40" i="27"/>
  <c r="F40" i="27" s="1"/>
  <c r="H40" i="27" s="1"/>
  <c r="H46" i="27" s="1"/>
  <c r="D38" i="27"/>
  <c r="D33" i="16"/>
  <c r="D36" i="16"/>
  <c r="J36" i="16" s="1"/>
  <c r="G39" i="16"/>
  <c r="D38" i="16"/>
  <c r="F38" i="16" s="1"/>
  <c r="H38" i="16" s="1"/>
  <c r="J61" i="27" l="1"/>
  <c r="F46" i="27"/>
  <c r="G46" i="27"/>
  <c r="J38" i="27"/>
  <c r="J41" i="27"/>
  <c r="D39" i="27"/>
  <c r="D46" i="27" s="1"/>
  <c r="F37" i="16"/>
  <c r="D37" i="16"/>
  <c r="D39" i="16"/>
  <c r="J39" i="16" s="1"/>
  <c r="F50" i="16" l="1"/>
  <c r="F57" i="16" s="1"/>
  <c r="D12" i="16" l="1"/>
  <c r="C56" i="27"/>
  <c r="E50" i="27" l="1"/>
  <c r="F50" i="27"/>
  <c r="G50" i="27"/>
  <c r="H50" i="27"/>
  <c r="D50" i="27"/>
  <c r="C50" i="27"/>
  <c r="E48" i="27"/>
  <c r="F48" i="27"/>
  <c r="G48" i="27"/>
  <c r="H48" i="27"/>
  <c r="J49" i="27"/>
  <c r="E35" i="27"/>
  <c r="F35" i="27"/>
  <c r="G35" i="27"/>
  <c r="H35" i="27"/>
  <c r="J33" i="16"/>
  <c r="D26" i="27"/>
  <c r="I22" i="27"/>
  <c r="C13" i="27"/>
  <c r="C12" i="27"/>
  <c r="C11" i="27"/>
  <c r="D9" i="27"/>
  <c r="D17" i="27" s="1"/>
  <c r="E8" i="27"/>
  <c r="D27" i="16"/>
  <c r="D35" i="27" l="1"/>
  <c r="J35" i="27" s="1"/>
  <c r="D11" i="16"/>
  <c r="D12" i="27" s="1"/>
  <c r="D11" i="27"/>
  <c r="D8" i="16"/>
  <c r="D9" i="16"/>
  <c r="E21" i="27"/>
  <c r="J46" i="16" l="1"/>
  <c r="F8" i="16" l="1"/>
  <c r="E26" i="27"/>
  <c r="D25" i="16"/>
  <c r="D26" i="16"/>
  <c r="D28" i="16"/>
  <c r="D29" i="16"/>
  <c r="E29" i="16" s="1"/>
  <c r="F29" i="16" s="1"/>
  <c r="G29" i="16" s="1"/>
  <c r="H29" i="16" s="1"/>
  <c r="D30" i="16"/>
  <c r="D24" i="16"/>
  <c r="E24" i="16" s="1"/>
  <c r="F24" i="16" s="1"/>
  <c r="G24" i="16" s="1"/>
  <c r="H24" i="16" s="1"/>
  <c r="D30" i="27"/>
  <c r="D32" i="27"/>
  <c r="E32" i="27" s="1"/>
  <c r="F32" i="27" s="1"/>
  <c r="D31" i="27"/>
  <c r="E31" i="27" s="1"/>
  <c r="D29" i="27"/>
  <c r="E29" i="27" s="1"/>
  <c r="F29" i="27" s="1"/>
  <c r="G29" i="27" s="1"/>
  <c r="H29" i="27" s="1"/>
  <c r="D28" i="27"/>
  <c r="D27" i="27"/>
  <c r="E27" i="27" s="1"/>
  <c r="F27" i="27" s="1"/>
  <c r="E26" i="16" l="1"/>
  <c r="F26" i="16" s="1"/>
  <c r="G26" i="16" s="1"/>
  <c r="H26" i="16" s="1"/>
  <c r="E28" i="27"/>
  <c r="F28" i="27" s="1"/>
  <c r="G28" i="27" s="1"/>
  <c r="H28" i="27" s="1"/>
  <c r="D33" i="27"/>
  <c r="D31" i="16"/>
  <c r="J24" i="16"/>
  <c r="E27" i="16"/>
  <c r="F27" i="16" s="1"/>
  <c r="G27" i="16" s="1"/>
  <c r="H27" i="16" s="1"/>
  <c r="E25" i="16"/>
  <c r="F25" i="16" s="1"/>
  <c r="G25" i="16" s="1"/>
  <c r="H25" i="16" s="1"/>
  <c r="J29" i="16"/>
  <c r="E30" i="16"/>
  <c r="F30" i="16" s="1"/>
  <c r="G30" i="16" s="1"/>
  <c r="H30" i="16" s="1"/>
  <c r="E28" i="16"/>
  <c r="F28" i="16" s="1"/>
  <c r="G28" i="16" s="1"/>
  <c r="H28" i="16" s="1"/>
  <c r="E30" i="27"/>
  <c r="F30" i="27" s="1"/>
  <c r="G30" i="27" s="1"/>
  <c r="H30" i="27" s="1"/>
  <c r="F31" i="27"/>
  <c r="G31" i="27" s="1"/>
  <c r="H31" i="27" s="1"/>
  <c r="G32" i="27"/>
  <c r="H32" i="27" s="1"/>
  <c r="J29" i="27"/>
  <c r="G27" i="27"/>
  <c r="F26" i="27"/>
  <c r="J42" i="27"/>
  <c r="J43" i="27"/>
  <c r="J44" i="27"/>
  <c r="J45" i="27"/>
  <c r="J26" i="16" l="1"/>
  <c r="H31" i="16"/>
  <c r="J28" i="27"/>
  <c r="G26" i="27"/>
  <c r="F33" i="27"/>
  <c r="E33" i="27"/>
  <c r="G31" i="16"/>
  <c r="F31" i="16"/>
  <c r="E31" i="16"/>
  <c r="J40" i="27"/>
  <c r="H27" i="27"/>
  <c r="J27" i="27" s="1"/>
  <c r="J25" i="16"/>
  <c r="J27" i="16"/>
  <c r="J30" i="16"/>
  <c r="J28" i="16"/>
  <c r="J31" i="27"/>
  <c r="J30" i="27"/>
  <c r="J32" i="27"/>
  <c r="J39" i="27"/>
  <c r="F12" i="16"/>
  <c r="F19" i="16" s="1"/>
  <c r="E11" i="16"/>
  <c r="E18" i="16" s="1"/>
  <c r="E10" i="16"/>
  <c r="F10" i="16" s="1"/>
  <c r="G10" i="16" s="1"/>
  <c r="H10" i="16" s="1"/>
  <c r="E11" i="27" l="1"/>
  <c r="D19" i="27"/>
  <c r="F13" i="27"/>
  <c r="D21" i="27"/>
  <c r="E12" i="27"/>
  <c r="D20" i="27"/>
  <c r="J31" i="16"/>
  <c r="H26" i="27"/>
  <c r="H33" i="27" s="1"/>
  <c r="G33" i="27"/>
  <c r="D18" i="16"/>
  <c r="D19" i="16"/>
  <c r="E19" i="16"/>
  <c r="F11" i="16"/>
  <c r="G12" i="16"/>
  <c r="E10" i="27"/>
  <c r="D10" i="27"/>
  <c r="D8" i="27"/>
  <c r="E9" i="27"/>
  <c r="E14" i="27" l="1"/>
  <c r="D14" i="27"/>
  <c r="F12" i="27"/>
  <c r="E20" i="27"/>
  <c r="G13" i="27"/>
  <c r="F21" i="27"/>
  <c r="F11" i="27"/>
  <c r="E19" i="27"/>
  <c r="J26" i="27"/>
  <c r="J33" i="27" s="1"/>
  <c r="H12" i="16"/>
  <c r="H19" i="16" s="1"/>
  <c r="G19" i="16"/>
  <c r="G11" i="16"/>
  <c r="F18" i="16"/>
  <c r="E18" i="27"/>
  <c r="D18" i="27"/>
  <c r="D16" i="27"/>
  <c r="E17" i="16"/>
  <c r="F17" i="16"/>
  <c r="G17" i="16"/>
  <c r="H17" i="16"/>
  <c r="D17" i="16"/>
  <c r="F9" i="16"/>
  <c r="G9" i="16" s="1"/>
  <c r="H9" i="16" s="1"/>
  <c r="H16" i="16" s="1"/>
  <c r="D16" i="16"/>
  <c r="F10" i="27"/>
  <c r="G10" i="27" s="1"/>
  <c r="H10" i="27" s="1"/>
  <c r="H18" i="27" s="1"/>
  <c r="J10" i="16"/>
  <c r="D22" i="27" l="1"/>
  <c r="H13" i="27"/>
  <c r="H21" i="27" s="1"/>
  <c r="G21" i="27"/>
  <c r="G12" i="27"/>
  <c r="F20" i="27"/>
  <c r="G11" i="27"/>
  <c r="F19" i="27"/>
  <c r="J19" i="16"/>
  <c r="J12" i="16"/>
  <c r="J17" i="16"/>
  <c r="H11" i="16"/>
  <c r="H18" i="16" s="1"/>
  <c r="G18" i="16"/>
  <c r="E16" i="16"/>
  <c r="J9" i="16"/>
  <c r="G16" i="16"/>
  <c r="F16" i="16"/>
  <c r="G18" i="27"/>
  <c r="F18" i="27"/>
  <c r="J10" i="27"/>
  <c r="J11" i="16" l="1"/>
  <c r="J18" i="16"/>
  <c r="J21" i="27"/>
  <c r="J13" i="27"/>
  <c r="H12" i="27"/>
  <c r="G20" i="27"/>
  <c r="H11" i="27"/>
  <c r="G19" i="27"/>
  <c r="J16" i="16"/>
  <c r="J18" i="27"/>
  <c r="H19" i="27" l="1"/>
  <c r="J11" i="27"/>
  <c r="H20" i="27"/>
  <c r="J20" i="27" s="1"/>
  <c r="J12" i="27"/>
  <c r="I43" i="16"/>
  <c r="J19" i="27" l="1"/>
  <c r="J51" i="16"/>
  <c r="F8" i="27" l="1"/>
  <c r="E16" i="27"/>
  <c r="D15" i="16"/>
  <c r="F55" i="27" l="1"/>
  <c r="G55" i="27" s="1"/>
  <c r="H55" i="27" s="1"/>
  <c r="G8" i="27"/>
  <c r="F16" i="27"/>
  <c r="F54" i="27"/>
  <c r="E15" i="16"/>
  <c r="G50" i="16"/>
  <c r="G57" i="16" s="1"/>
  <c r="G54" i="27" l="1"/>
  <c r="F62" i="27"/>
  <c r="H50" i="16"/>
  <c r="H8" i="27"/>
  <c r="G16" i="27"/>
  <c r="G8" i="16"/>
  <c r="F15" i="16"/>
  <c r="H54" i="27" l="1"/>
  <c r="H62" i="27" s="1"/>
  <c r="G62" i="27"/>
  <c r="J50" i="16"/>
  <c r="J57" i="16" s="1"/>
  <c r="H57" i="16"/>
  <c r="J8" i="27"/>
  <c r="H16" i="27"/>
  <c r="E17" i="27"/>
  <c r="E22" i="27" s="1"/>
  <c r="G15" i="16"/>
  <c r="H8" i="16"/>
  <c r="J16" i="27" l="1"/>
  <c r="F9" i="27"/>
  <c r="J8" i="16"/>
  <c r="H15" i="16"/>
  <c r="G9" i="27" l="1"/>
  <c r="G14" i="27" s="1"/>
  <c r="F14" i="27"/>
  <c r="F17" i="27"/>
  <c r="F22" i="27" s="1"/>
  <c r="J40" i="16"/>
  <c r="J41" i="16"/>
  <c r="J38" i="16"/>
  <c r="J37" i="16"/>
  <c r="J18" i="31"/>
  <c r="J19" i="31"/>
  <c r="J18" i="29"/>
  <c r="J19" i="29"/>
  <c r="J18" i="28"/>
  <c r="J19" i="28"/>
  <c r="J48" i="27"/>
  <c r="J50" i="27"/>
  <c r="J51" i="27"/>
  <c r="J13" i="16"/>
  <c r="E20" i="16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20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69" i="27"/>
  <c r="J56" i="27"/>
  <c r="J55" i="27"/>
  <c r="J54" i="27"/>
  <c r="H52" i="27"/>
  <c r="G52" i="27"/>
  <c r="F52" i="27"/>
  <c r="E52" i="27"/>
  <c r="D52" i="27"/>
  <c r="H36" i="27"/>
  <c r="G36" i="27"/>
  <c r="F36" i="27"/>
  <c r="E36" i="27"/>
  <c r="D36" i="27"/>
  <c r="E48" i="16"/>
  <c r="F48" i="16"/>
  <c r="G48" i="16"/>
  <c r="H48" i="16"/>
  <c r="D48" i="16"/>
  <c r="J42" i="16"/>
  <c r="J45" i="16"/>
  <c r="J47" i="16"/>
  <c r="E34" i="16"/>
  <c r="F34" i="16"/>
  <c r="G34" i="16"/>
  <c r="H34" i="16"/>
  <c r="D34" i="16"/>
  <c r="E13" i="16"/>
  <c r="E21" i="16" s="1"/>
  <c r="F13" i="16"/>
  <c r="F21" i="16" s="1"/>
  <c r="G13" i="16"/>
  <c r="G21" i="16" s="1"/>
  <c r="H13" i="16"/>
  <c r="D13" i="16"/>
  <c r="G20" i="16"/>
  <c r="H20" i="16"/>
  <c r="D20" i="16"/>
  <c r="J62" i="27" l="1"/>
  <c r="D21" i="16"/>
  <c r="H21" i="16"/>
  <c r="H61" i="16" s="1"/>
  <c r="G17" i="27"/>
  <c r="G22" i="27" s="1"/>
  <c r="G8" i="30" s="1"/>
  <c r="H9" i="27"/>
  <c r="H17" i="27" s="1"/>
  <c r="H22" i="27" s="1"/>
  <c r="D58" i="16"/>
  <c r="G61" i="16"/>
  <c r="E61" i="16"/>
  <c r="F61" i="16"/>
  <c r="E23" i="27"/>
  <c r="E66" i="27" s="1"/>
  <c r="F23" i="27"/>
  <c r="F66" i="27" s="1"/>
  <c r="J52" i="27"/>
  <c r="I23" i="27"/>
  <c r="J36" i="27"/>
  <c r="J34" i="16"/>
  <c r="H58" i="16"/>
  <c r="J48" i="16"/>
  <c r="E10" i="30"/>
  <c r="F58" i="16"/>
  <c r="G58" i="16"/>
  <c r="G10" i="30"/>
  <c r="E9" i="30"/>
  <c r="H11" i="30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G7" i="30"/>
  <c r="F51" i="28"/>
  <c r="F7" i="30"/>
  <c r="D7" i="30"/>
  <c r="J11" i="28"/>
  <c r="E13" i="30"/>
  <c r="G13" i="30"/>
  <c r="D13" i="30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5" i="16"/>
  <c r="J20" i="16" s="1"/>
  <c r="J21" i="16" s="1"/>
  <c r="J55" i="29"/>
  <c r="J49" i="29"/>
  <c r="J50" i="28"/>
  <c r="D61" i="16" l="1"/>
  <c r="J13" i="30"/>
  <c r="J9" i="27"/>
  <c r="J14" i="27" s="1"/>
  <c r="H14" i="27"/>
  <c r="J17" i="27"/>
  <c r="J22" i="27" s="1"/>
  <c r="D23" i="27"/>
  <c r="F63" i="27"/>
  <c r="H8" i="30"/>
  <c r="G23" i="27"/>
  <c r="G66" i="27" s="1"/>
  <c r="G67" i="27" s="1"/>
  <c r="F8" i="30"/>
  <c r="D63" i="27"/>
  <c r="D8" i="30"/>
  <c r="E63" i="27"/>
  <c r="E8" i="30"/>
  <c r="E14" i="30" s="1"/>
  <c r="G63" i="27"/>
  <c r="F67" i="27"/>
  <c r="E67" i="27"/>
  <c r="F62" i="16"/>
  <c r="H62" i="16"/>
  <c r="G62" i="16"/>
  <c r="F9" i="30"/>
  <c r="H9" i="30"/>
  <c r="G9" i="30"/>
  <c r="G14" i="30" s="1"/>
  <c r="E58" i="16"/>
  <c r="D9" i="30"/>
  <c r="J10" i="30"/>
  <c r="J11" i="30"/>
  <c r="J46" i="32"/>
  <c r="J53" i="32" s="1"/>
  <c r="J12" i="30"/>
  <c r="J51" i="28"/>
  <c r="J58" i="28" s="1"/>
  <c r="F58" i="28"/>
  <c r="J50" i="31"/>
  <c r="J57" i="31" s="1"/>
  <c r="J50" i="29"/>
  <c r="J57" i="29" s="1"/>
  <c r="H7" i="30" l="1"/>
  <c r="J7" i="30" s="1"/>
  <c r="D66" i="27"/>
  <c r="D67" i="27" s="1"/>
  <c r="J23" i="27"/>
  <c r="H63" i="27"/>
  <c r="J63" i="27" s="1"/>
  <c r="H23" i="27"/>
  <c r="H66" i="27" s="1"/>
  <c r="H67" i="27" s="1"/>
  <c r="F69" i="27"/>
  <c r="H14" i="30"/>
  <c r="D14" i="30"/>
  <c r="F14" i="30"/>
  <c r="J8" i="30"/>
  <c r="E69" i="27"/>
  <c r="G69" i="27"/>
  <c r="G16" i="30"/>
  <c r="G18" i="30" s="1"/>
  <c r="F16" i="30"/>
  <c r="G64" i="16"/>
  <c r="E62" i="16"/>
  <c r="E16" i="30" s="1"/>
  <c r="E18" i="30" s="1"/>
  <c r="H64" i="16"/>
  <c r="D62" i="16"/>
  <c r="F64" i="16"/>
  <c r="J9" i="30"/>
  <c r="J58" i="16"/>
  <c r="H69" i="27" l="1"/>
  <c r="J66" i="27"/>
  <c r="H16" i="30"/>
  <c r="H18" i="30" s="1"/>
  <c r="J14" i="30"/>
  <c r="F18" i="30"/>
  <c r="J67" i="27"/>
  <c r="D69" i="27"/>
  <c r="J61" i="16"/>
  <c r="J62" i="16" s="1"/>
  <c r="D16" i="30"/>
  <c r="D64" i="16"/>
  <c r="E64" i="16"/>
  <c r="J69" i="27" l="1"/>
  <c r="J64" i="16"/>
  <c r="D23" i="30" s="1"/>
  <c r="J16" i="30"/>
  <c r="D18" i="30"/>
  <c r="D24" i="30" l="1"/>
  <c r="D26" i="30" s="1"/>
  <c r="E24" i="30" s="1"/>
  <c r="J18" i="30"/>
  <c r="E23" i="30" l="1"/>
  <c r="E26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tc={31401D33-9E63-4049-9424-2D6E4CD6CA5F}</author>
    <author>tc={F3504A47-B5D1-4055-87F5-87FA221D836D}</author>
  </authors>
  <commentList>
    <comment ref="D8" authorId="0" shapeId="0" xr:uid="{31401D33-9E63-4049-9424-2D6E4CD6CA5F}">
      <text>
        <t>[Threaded comment]
Your version of Excel allows you to read this threaded comment; however, any edits to it will get removed if the file is opened in a newer version of Excel. Learn more: https://go.microsoft.com/fwlink/?linkid=870924
Comment:
    Current salary midpoint*1.03 estimated raise*0.5 (6 months to create and hire)</t>
      </text>
    </comment>
    <comment ref="E8" authorId="1" shapeId="0" xr:uid="{F3504A47-B5D1-4055-87F5-87FA221D836D}">
      <text>
        <t>[Threaded comment]
Your version of Excel allows you to read this threaded comment; however, any edits to it will get removed if the file is opened in a newer version of Excel. Learn more: https://go.microsoft.com/fwlink/?linkid=870924
Comment:
    (current 3/2024 salary midpoint*1.03)*1.03 to account for inflation</t>
      </text>
    </comment>
  </commentList>
</comments>
</file>

<file path=xl/sharedStrings.xml><?xml version="1.0" encoding="utf-8"?>
<sst xmlns="http://schemas.openxmlformats.org/spreadsheetml/2006/main" count="578" uniqueCount="179">
  <si>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</si>
  <si>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</si>
  <si>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</si>
  <si>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</si>
  <si>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</si>
  <si>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</si>
  <si>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</si>
  <si>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</si>
  <si>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</si>
  <si>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</si>
  <si>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</si>
  <si>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</si>
  <si>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</si>
  <si>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</si>
  <si>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</si>
  <si>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</si>
  <si>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</si>
  <si>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</si>
  <si>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</si>
  <si>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</si>
  <si>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</si>
  <si>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</si>
  <si>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</si>
  <si>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</si>
  <si>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</si>
  <si>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</si>
  <si>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</si>
  <si>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</si>
  <si>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</si>
  <si>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</si>
  <si>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</si>
  <si>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</si>
  <si>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</si>
  <si>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</si>
  <si>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</si>
  <si>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</si>
  <si>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</si>
  <si>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</si>
  <si>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>Flipcharts and meeting supplies (tables; banners; educational material)</t>
  </si>
  <si>
    <t>Communication Supplies (Fax, Mail, Xerox)</t>
  </si>
  <si>
    <t>Clipboards, Notepads, Notebooks, Binders</t>
  </si>
  <si>
    <t xml:space="preserve"> Contractual </t>
  </si>
  <si>
    <t>OTHER</t>
  </si>
  <si>
    <t>Indirect Costs</t>
  </si>
  <si>
    <t>Y= year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</si>
  <si>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</si>
  <si>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</si>
  <si>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</si>
  <si>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</si>
  <si>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</si>
  <si>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</si>
  <si>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</si>
  <si>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</si>
  <si>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</si>
  <si>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</si>
  <si>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</si>
  <si>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</si>
  <si>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</si>
  <si>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</si>
  <si>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</si>
  <si>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</si>
  <si>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</si>
  <si>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</si>
  <si>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</si>
  <si>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</si>
  <si>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Clean Truck Incentives</t>
  </si>
  <si>
    <t>ECO Schools</t>
  </si>
  <si>
    <t>TOTAL PERSONNEL + FRINGE BENEFITS</t>
  </si>
  <si>
    <t>Where appropriate, costs are adjusted for inflation</t>
  </si>
  <si>
    <t>Laptop computer and docking station x 4; periodic replacement</t>
  </si>
  <si>
    <t>Airfare - ($350/roundtrip x 4 people x 1 trip) + ($700/roundtrip x 4 people x 2 trips)</t>
  </si>
  <si>
    <t>Luggage Fees - $25 per flight @ 12 flights/year</t>
  </si>
  <si>
    <t>Per Diem - [(50 local trips x 1.5 days/trip) + (11 non-local travel days/staff * 4 staff)] * $59/day</t>
  </si>
  <si>
    <t>Hotel - (6 local nights/staff * 4 staff * $157/night) + (8 non-local nights/staff * 4 staff * $250/night)</t>
  </si>
  <si>
    <t>Taxi - 120 miles/traveler * 4 travelers/trip * 3 trips * $0.66/mile</t>
  </si>
  <si>
    <t>Parking - ($20 per non-local travel day * 11 non-local travel days/staff * 4 staff)</t>
  </si>
  <si>
    <t>Mileage for local travel (50 trips * 400 miles/trip at $0.66/mi)</t>
  </si>
  <si>
    <t>Parking - ($20 per non-local travel day * 11 non-local travel days/staff * 3 staff)</t>
  </si>
  <si>
    <t>Taxi - 120 miles/traveler * 3 travelers/trip * 3 trips * $0.66/mile</t>
  </si>
  <si>
    <t>Per Diem - [(37 local trips x 1.5 days/trip) + (11 non-local travel days/staff * 3 staff)] * $59/day</t>
  </si>
  <si>
    <t>Hotel - (6 local nights/staff * 3 staff * $157/night) + (8 non-local nights/staff * 3 staff * $250/night)</t>
  </si>
  <si>
    <t>Luggage Fees - $25 per flight @ 9 flights/year</t>
  </si>
  <si>
    <t>Airfare - ($350/roundtrip x 3 people x 1 trip) + ($700/roundtrip x 3 people x 2 trips)</t>
  </si>
  <si>
    <t>Existing: 1 Gen I - Env Sci (Bureau Chief), 0.05 FTE with 3% yearly salary increase</t>
  </si>
  <si>
    <t>Existing: 1 Acct &amp; Auditor A, 0.05 FTE yearly, with 3% yearly salary increase</t>
  </si>
  <si>
    <t xml:space="preserve">New: A/O I - Env Science (Program Manager), 1 FTE, with 3% yearly salary increase </t>
  </si>
  <si>
    <t>New: 2 Program Coordinator I's, 2 FTE, with 3% salary increases (6 months' salary year 1 due to time needed to create and hire)</t>
  </si>
  <si>
    <t>Existing:  2 A/O I -Env Sci, 0.1 FTE year 1 only, with 3% 2024 salary increase</t>
  </si>
  <si>
    <t xml:space="preserve">New: 1 Program Coordinator II, 1 FTE, with 3%yearly salary increases (6 months salary year 1 due to time needed to create and hire) </t>
  </si>
  <si>
    <t xml:space="preserve">New: 1 A/O I - Env Science (Program Manager), 1 FTE, with 3% yearly salary increases (6 months salary year 1 due to time needed to create and hire) </t>
  </si>
  <si>
    <t>New: 2 Program Coordinator I's, 2 FTE, with 3% yearly salary increases (6 months' salary year 1 due to time needed to create and hire)</t>
  </si>
  <si>
    <t>New: 2 Program Coordinator I's, 2 FTE, with 3% yearly salary increase</t>
  </si>
  <si>
    <t>Existing: 1 Gen I - Env Sci (Bureau Chief), 0.05 FTE with 3% 2024 salary increase</t>
  </si>
  <si>
    <t xml:space="preserve">New: 2 Program Coordinator I's, 2 FTE, with 3% yearly salary increases </t>
  </si>
  <si>
    <t>Existing:  2 A/O I -Env Sci (Program Managers), total of 0.1 FTE year 1 only, with 3% 2024 salary increase</t>
  </si>
  <si>
    <t>Existing: 1 Acct &amp; Auditor A, 10%  FTE yearly, with 3% yearly salary increases</t>
  </si>
  <si>
    <t>Existing: 1 Gen I - Env Sci (Bureau Chief), 5% FTE with 3% yearly salary increases</t>
  </si>
  <si>
    <t>Existing:  2 A/O I -Env Sci (Program Managers), total of 10% FTE year 1 only, with 3% salary increase</t>
  </si>
  <si>
    <t>Fleet advisor for approximately 80 fleet assessments</t>
  </si>
  <si>
    <t>Laptop computer, docking station x 3; periodic replacement</t>
  </si>
  <si>
    <t>Computer supplies x 3 (mouse, keyboard, monitor, cables, connectors, webcam, etc.), periodic replacement</t>
  </si>
  <si>
    <t>iPhone 15 (for quality camera) x 3, 2 replacements</t>
  </si>
  <si>
    <t>Per FTE costs - payroll &amp; financial software subscription, phone service, IT services including email, PowerPlatform, internet, software; (6 months year 1 due to time needed to create and hire for positions)</t>
  </si>
  <si>
    <t>Video meeting capability: 1 conferencing system with 360-degree camera, speakers, mics, 1 projector</t>
  </si>
  <si>
    <t>Full video conferencing license - 3 hosts</t>
  </si>
  <si>
    <t>Public Survey License, 3 users</t>
  </si>
  <si>
    <t>Project management software license, 3 users</t>
  </si>
  <si>
    <t>Computer supplies x 4 (mouse, keyboard, monitor, cables, connectors, webcam, etc.), periodic replacement</t>
  </si>
  <si>
    <t>Per FTE costs - payroll &amp; financial software subscription, phone service, IT services including email, PowerPlatform, internet, software x 4; (6 months year 1 due to time needed to create and hire for positions)</t>
  </si>
  <si>
    <t>iPhone 15 (for quality camera) x 4, 2 replacements</t>
  </si>
  <si>
    <t xml:space="preserve">Paper Supplies/outreach material </t>
  </si>
  <si>
    <t>Mileage for in-state travel (37 trips * 400 miles/trip at $0.66/mi)</t>
  </si>
  <si>
    <t>Subaward to NM Dept. of Workforce Solutions to support workforce development boards to address job training and readiness</t>
  </si>
  <si>
    <t xml:space="preserve">Consultant: Community, Tribal nations, and stakeholder outreach and engagement with focus on LIDAC  </t>
  </si>
  <si>
    <t>Fleet advisor for approximately 33 fleet assessments</t>
  </si>
  <si>
    <t xml:space="preserve">Participant support costs - Clean Truck Incentives - approximately 750 vouchers for Class 2b-8 zero-emission trucks and approximately 440 vouchers for level 2 and 3 truck chargers </t>
  </si>
  <si>
    <t>Participant Support Costs: approximately 100 Electric School Bus Vouchers (estimated $420,000 each; $380,000 with tax credit)</t>
  </si>
  <si>
    <t>Participant Support Costs: approximately 210 Electric School Bus Charging Stations - (estimated $46,000 each; $32,200 with tax credit)</t>
  </si>
  <si>
    <t>New: 1 A/O I - Env Science (Program Manager), 1 FTE, with 3% yearly salary increases (6 months' salary year 1 due to time needed to create and hire)</t>
  </si>
  <si>
    <t>2023 Ford F-150 Lightning PRO CrewCab 4WD or similar EV, 50% (to be split with ECO Schools measure)</t>
  </si>
  <si>
    <t>Level 2 Vehicle Charger, including installation, 50% (to be split with ECO Schools measure)</t>
  </si>
  <si>
    <t>Clean Truck Incentives (CTI) Measure</t>
  </si>
  <si>
    <t>2023 Ford F-150 Lightning PRO CrewCab 4WD or similar EV, 50% (to be split with CTI measure)</t>
  </si>
  <si>
    <t>Level 2 Vehicle Charger, including installation, 50% (to be split with CTI measure)</t>
  </si>
  <si>
    <t>Technical analysis to support measuring and tracking progress towards achieving established targets, including calculating and reporting reductions in GHG, NOX, SO2, PM2.5, and PM10 based on VMT and emission factors; technical analysis to assess community and workforce benefits</t>
  </si>
  <si>
    <t>Full video conferencing license, 4 hosts</t>
  </si>
  <si>
    <t>Project Management Software License, 4 users</t>
  </si>
  <si>
    <t>Vehicle travel for community meetings, site visits x 4 staff; 12-13 trips each for 18 days per year</t>
  </si>
  <si>
    <t>Vehicle travel for community meetings, site visits x 3 staff; 12-13 trips each for 18 days per year</t>
  </si>
  <si>
    <t>Third-party reviewer(s) for Guaranteed Energy Savings Performance Contracts (ESPC), approximately 10 per year</t>
  </si>
  <si>
    <t>ECO Schools Measure</t>
  </si>
  <si>
    <t>Calendar Year</t>
  </si>
  <si>
    <t>Calendar Year Quarters</t>
  </si>
  <si>
    <t>Q2</t>
  </si>
  <si>
    <t>Q3</t>
  </si>
  <si>
    <t>Q4</t>
  </si>
  <si>
    <t>Q1</t>
  </si>
  <si>
    <t>Quarters since award</t>
  </si>
  <si>
    <t>Activities and Milestones, indicated by an '*'</t>
  </si>
  <si>
    <t>Submit Application</t>
  </si>
  <si>
    <t>*</t>
  </si>
  <si>
    <t>Receive Award</t>
  </si>
  <si>
    <t>Hire a Program Manager and 3 Program Coordinators</t>
  </si>
  <si>
    <t>Selection of a fleet advisor through competitive procurement</t>
  </si>
  <si>
    <t>Submit Quality Assurance Program Plan (QAPP) to EPA</t>
  </si>
  <si>
    <t>Preparation of a program manual, application, training materials, terms and conditions for participating dealerships and station installers, and promotional materials with outreach around these materials</t>
  </si>
  <si>
    <t>Outreach, education, community and fleet engagement including program design, forms and manuals, opportunities</t>
  </si>
  <si>
    <t>Launch Technical Assistance Office</t>
  </si>
  <si>
    <t>Advertise application requirements and solicit applications</t>
  </si>
  <si>
    <t>Application deadline for each round</t>
  </si>
  <si>
    <r>
      <t>Review applications, determine eligibility, prioritize applicants through Title I focus, select awards, and enter into agreements with project sponsors</t>
    </r>
    <r>
      <rPr>
        <sz val="8"/>
        <color rgb="FF000000"/>
        <rFont val="Calibri"/>
        <family val="2"/>
      </rPr>
      <t>     </t>
    </r>
  </si>
  <si>
    <t>Disburse participant support costs to vehicle and installation vendors</t>
  </si>
  <si>
    <t>Charging installations completed and ZET delivered</t>
  </si>
  <si>
    <t>After each evaluation performed, revise program manual, promotional materials, and application as needed in response to participant and community feedback</t>
  </si>
  <si>
    <t>Seek additional incentive funding</t>
  </si>
  <si>
    <t>Track and review performance measures</t>
  </si>
  <si>
    <t>Submit semiannual reports, including performance measures</t>
  </si>
  <si>
    <t>Submit final report</t>
  </si>
  <si>
    <t>Year</t>
  </si>
  <si>
    <t>Quarter</t>
  </si>
  <si>
    <t>Hire a Program Manager and 2 Program Coordinators</t>
  </si>
  <si>
    <t>Selection of energy savings third party reviewers</t>
  </si>
  <si>
    <t>Outreach, education, community and school engagement including program design, forms and manuals, opportunities</t>
  </si>
  <si>
    <t>Launch of Technical Assistance Office</t>
  </si>
  <si>
    <t xml:space="preserve">Fleet Advisor provides technical assistance to project sponsors </t>
  </si>
  <si>
    <t>Schools work with ESCOs on energy savings performance contracts</t>
  </si>
  <si>
    <t>Disburse PSC to Vehicle Vendor and Installation Vouchers</t>
  </si>
  <si>
    <t>Charging Installations Completed and ZEB Delivered</t>
  </si>
  <si>
    <t>Semiannual Reporting, including performance measures</t>
  </si>
  <si>
    <t>Final Reporting</t>
  </si>
  <si>
    <t>New Mexico ECO Schools Implementation Timeline and Milestones: October 2024 through December 2029</t>
  </si>
  <si>
    <t>New Mexico Clean Trucks Incentive Program Implementation Timeline and Milestones: October 2024 through December 2029</t>
  </si>
  <si>
    <t>BUDGET BY FEDERAL FISCAL YEAR</t>
  </si>
  <si>
    <t>Provide Workforce Solutions Department funding for job development</t>
  </si>
  <si>
    <t>Certification of medium and heavy-duty vehicle vendors and infrastructure installers</t>
  </si>
  <si>
    <t>Preparation program manual, application, training materials, terms and conditions for participating dealerships and station installers, and promotional materials with outreach around these materials</t>
  </si>
  <si>
    <t>Fleet Advisor provides technical assistance to project awardee</t>
  </si>
  <si>
    <t>Certify school bus vendors and infrastructure installers</t>
  </si>
  <si>
    <t>Review applications, determine eligibility, prioritize applicants through Title I focus, select awards, and enter into agreements with project awardees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</si>
</sst>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[$-409]General"/>
    <numFmt numFmtId="166" formatCode="&quot;$&quot;#,##0.000_);[Red]\(&quot;$&quot;#,##0.000\)"/>
    <numFmt numFmtId="167" formatCode="&quot;$&quot;#,##0.0_);[Red]\(&quot;$&quot;#,##0.0\)"/>
    <numFmt numFmtId="168" formatCode="0.0%"/>
    <numFmt numFmtId="169" formatCode="&quot;$&quot;#,##0"/>
  </numFmts>
  <fonts count="3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i/>
      <sz val="10"/>
      <color theme="0" tint="-0.34998626667073579"/>
      <name val="Arial"/>
      <family val="2"/>
    </font>
    <font>
      <sz val="8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b/>
      <sz val="12"/>
      <color theme="4" tint="-0.499984740745262"/>
      <name val="Calibri Light"/>
      <family val="2"/>
      <scheme val="major"/>
    </font>
    <font>
      <b/>
      <sz val="11"/>
      <color theme="4" tint="-0.499984740745262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8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20" fillId="0" borderId="0"/>
    <xf numFmtId="0" fontId="27" fillId="0" borderId="0" applyNumberFormat="0" applyFill="0" applyBorder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3" fontId="34" fillId="0" borderId="39" applyFill="0" applyProtection="0">
      <alignment horizontal="center"/>
    </xf>
  </cellStyleXfs>
  <cellXfs count="15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left" wrapText="1" indent="2"/>
    </xf>
    <xf numFmtId="8" fontId="0" fillId="0" borderId="0" xfId="0" applyNumberFormat="1"/>
    <xf numFmtId="167" fontId="0" fillId="0" borderId="0" xfId="0" applyNumberFormat="1"/>
    <xf numFmtId="166" fontId="0" fillId="0" borderId="0" xfId="0" applyNumberFormat="1"/>
    <xf numFmtId="164" fontId="7" fillId="4" borderId="1" xfId="1" applyNumberFormat="1" applyFont="1" applyFill="1" applyBorder="1" applyAlignment="1">
      <alignment wrapText="1"/>
    </xf>
    <xf numFmtId="10" fontId="2" fillId="0" borderId="0" xfId="0" applyNumberFormat="1" applyFont="1"/>
    <xf numFmtId="164" fontId="0" fillId="0" borderId="0" xfId="1" applyNumberFormat="1" applyFont="1"/>
    <xf numFmtId="6" fontId="0" fillId="0" borderId="0" xfId="0" applyNumberFormat="1" applyAlignment="1">
      <alignment vertical="top"/>
    </xf>
    <xf numFmtId="0" fontId="9" fillId="0" borderId="0" xfId="0" applyFont="1" applyAlignment="1">
      <alignment horizontal="left" wrapText="1" indent="2"/>
    </xf>
    <xf numFmtId="0" fontId="9" fillId="0" borderId="22" xfId="0" applyFont="1" applyBorder="1" applyAlignment="1">
      <alignment horizontal="left" wrapText="1" indent="2"/>
    </xf>
    <xf numFmtId="6" fontId="9" fillId="0" borderId="22" xfId="0" applyNumberFormat="1" applyFont="1" applyBorder="1" applyAlignment="1">
      <alignment horizontal="right"/>
    </xf>
    <xf numFmtId="165" fontId="9" fillId="0" borderId="22" xfId="3" applyFont="1" applyBorder="1" applyAlignment="1">
      <alignment horizontal="left" wrapText="1" indent="2"/>
    </xf>
    <xf numFmtId="0" fontId="23" fillId="0" borderId="22" xfId="0" applyFont="1" applyBorder="1" applyAlignment="1">
      <alignment horizontal="left" wrapText="1"/>
    </xf>
    <xf numFmtId="0" fontId="22" fillId="0" borderId="5" xfId="0" applyFont="1" applyBorder="1" applyAlignment="1">
      <alignment wrapText="1"/>
    </xf>
    <xf numFmtId="168" fontId="0" fillId="0" borderId="0" xfId="2" applyNumberFormat="1" applyFont="1"/>
    <xf numFmtId="0" fontId="2" fillId="0" borderId="5" xfId="0" applyFont="1" applyBorder="1" applyAlignment="1">
      <alignment vertical="top"/>
    </xf>
    <xf numFmtId="2" fontId="22" fillId="0" borderId="0" xfId="0" applyNumberFormat="1" applyFont="1"/>
    <xf numFmtId="0" fontId="22" fillId="0" borderId="0" xfId="0" applyFont="1"/>
    <xf numFmtId="169" fontId="9" fillId="0" borderId="1" xfId="0" applyNumberFormat="1" applyFont="1" applyBorder="1" applyAlignment="1">
      <alignment wrapText="1"/>
    </xf>
    <xf numFmtId="169" fontId="25" fillId="0" borderId="1" xfId="0" applyNumberFormat="1" applyFont="1" applyBorder="1" applyAlignment="1">
      <alignment wrapText="1"/>
    </xf>
    <xf numFmtId="6" fontId="21" fillId="9" borderId="22" xfId="0" applyNumberFormat="1" applyFont="1" applyFill="1" applyBorder="1" applyAlignment="1">
      <alignment horizontal="left"/>
    </xf>
    <xf numFmtId="0" fontId="7" fillId="9" borderId="0" xfId="0" applyFont="1" applyFill="1"/>
    <xf numFmtId="6" fontId="9" fillId="9" borderId="1" xfId="0" applyNumberFormat="1" applyFont="1" applyFill="1" applyBorder="1" applyAlignment="1">
      <alignment wrapText="1"/>
    </xf>
    <xf numFmtId="0" fontId="9" fillId="0" borderId="22" xfId="0" applyFont="1" applyBorder="1" applyAlignment="1">
      <alignment horizontal="left" vertical="top" wrapText="1" indent="2"/>
    </xf>
    <xf numFmtId="6" fontId="19" fillId="9" borderId="22" xfId="0" applyNumberFormat="1" applyFont="1" applyFill="1" applyBorder="1" applyAlignment="1">
      <alignment horizontal="left"/>
    </xf>
    <xf numFmtId="0" fontId="9" fillId="0" borderId="1" xfId="0" applyFont="1" applyBorder="1" applyAlignment="1">
      <alignment horizontal="left" vertical="top" wrapText="1" indent="2"/>
    </xf>
    <xf numFmtId="0" fontId="26" fillId="0" borderId="0" xfId="0" applyFont="1"/>
    <xf numFmtId="0" fontId="10" fillId="0" borderId="0" xfId="0" applyFont="1" applyAlignment="1">
      <alignment horizontal="left" vertical="top"/>
    </xf>
    <xf numFmtId="0" fontId="31" fillId="0" borderId="28" xfId="5" applyFon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31" fillId="0" borderId="33" xfId="5" applyFont="1" applyBorder="1" applyAlignment="1">
      <alignment vertical="center"/>
    </xf>
    <xf numFmtId="0" fontId="0" fillId="0" borderId="0" xfId="0" applyAlignment="1">
      <alignment vertical="center" wrapText="1"/>
    </xf>
    <xf numFmtId="0" fontId="33" fillId="0" borderId="34" xfId="6" applyFont="1" applyBorder="1" applyAlignment="1">
      <alignment horizontal="center"/>
    </xf>
    <xf numFmtId="0" fontId="33" fillId="0" borderId="35" xfId="6" applyFont="1" applyBorder="1" applyAlignment="1">
      <alignment horizontal="center"/>
    </xf>
    <xf numFmtId="0" fontId="31" fillId="0" borderId="36" xfId="5" applyFont="1" applyBorder="1" applyAlignment="1">
      <alignment vertical="center"/>
    </xf>
    <xf numFmtId="0" fontId="0" fillId="0" borderId="37" xfId="0" applyBorder="1" applyAlignment="1">
      <alignment vertical="center" wrapText="1"/>
    </xf>
    <xf numFmtId="0" fontId="33" fillId="0" borderId="38" xfId="6" applyFont="1" applyBorder="1" applyAlignment="1">
      <alignment horizontal="center"/>
    </xf>
    <xf numFmtId="3" fontId="33" fillId="0" borderId="40" xfId="7" applyFont="1" applyBorder="1">
      <alignment horizontal="center"/>
    </xf>
    <xf numFmtId="3" fontId="33" fillId="0" borderId="41" xfId="7" applyFont="1" applyBorder="1">
      <alignment horizontal="center"/>
    </xf>
    <xf numFmtId="0" fontId="28" fillId="0" borderId="42" xfId="5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8" fillId="0" borderId="4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5" fillId="9" borderId="1" xfId="0" applyFont="1" applyFill="1" applyBorder="1" applyAlignment="1">
      <alignment vertical="center"/>
    </xf>
    <xf numFmtId="0" fontId="14" fillId="9" borderId="1" xfId="0" applyFont="1" applyFill="1" applyBorder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9" borderId="43" xfId="0" applyFill="1" applyBorder="1" applyAlignment="1">
      <alignment vertical="center"/>
    </xf>
    <xf numFmtId="0" fontId="14" fillId="0" borderId="43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8" fillId="0" borderId="47" xfId="0" applyFont="1" applyBorder="1" applyAlignment="1">
      <alignment horizontal="left" vertical="center" wrapText="1"/>
    </xf>
    <xf numFmtId="0" fontId="0" fillId="0" borderId="4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4" fillId="9" borderId="4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9" fontId="9" fillId="7" borderId="8" xfId="2" applyFont="1" applyFill="1" applyBorder="1" applyAlignment="1">
      <alignment horizontal="center" wrapText="1"/>
    </xf>
    <xf numFmtId="9" fontId="9" fillId="7" borderId="6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0" fillId="0" borderId="23" xfId="0" applyBorder="1" applyAlignment="1">
      <alignment wrapText="1"/>
    </xf>
    <xf numFmtId="0" fontId="0" fillId="0" borderId="0" xfId="0" applyAlignment="1">
      <alignment wrapText="1"/>
    </xf>
    <xf numFmtId="0" fontId="30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/>
    </xf>
    <xf numFmtId="0" fontId="30" fillId="0" borderId="27" xfId="0" applyFont="1" applyBorder="1" applyAlignment="1">
      <alignment horizontal="center"/>
    </xf>
    <xf numFmtId="0" fontId="32" fillId="0" borderId="30" xfId="6" applyFont="1" applyBorder="1" applyAlignment="1">
      <alignment horizontal="center"/>
    </xf>
    <xf numFmtId="0" fontId="32" fillId="0" borderId="31" xfId="6" applyFont="1" applyBorder="1" applyAlignment="1">
      <alignment horizontal="center"/>
    </xf>
    <xf numFmtId="0" fontId="32" fillId="0" borderId="31" xfId="4" applyFont="1" applyBorder="1" applyAlignment="1">
      <alignment horizontal="center" vertical="center" wrapText="1"/>
    </xf>
    <xf numFmtId="0" fontId="32" fillId="0" borderId="32" xfId="4" applyFont="1" applyBorder="1" applyAlignment="1">
      <alignment horizontal="center" vertical="center" wrapText="1"/>
    </xf>
  </cellXfs>
  <cellStyles count="8">
    <cellStyle name="Currency" xfId="1" builtinId="4"/>
    <cellStyle name="Excel Built-in Normal" xfId="3" xr:uid="{1E8AAB2A-3ABA-4D73-A236-40C981F52148}"/>
    <cellStyle name="Heading 2" xfId="5" builtinId="17"/>
    <cellStyle name="Heading 4" xfId="6" builtinId="19"/>
    <cellStyle name="Normal" xfId="0" builtinId="0"/>
    <cellStyle name="Percent" xfId="2" builtinId="5"/>
    <cellStyle name="Period Headers" xfId="7" xr:uid="{94C1474C-B94F-4E86-887D-2069C30A6D6D}"/>
    <cellStyle name="Title" xfId="4" builtinId="15"/>
  </cellStyles>
  <dxfs count="2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4</xdr:row>
      <xdr:rowOff>0</xdr:rowOff>
    </xdr:from>
    <xdr:to>
      <xdr:col>30</xdr:col>
      <xdr:colOff>590059</xdr:colOff>
      <xdr:row>17</xdr:row>
      <xdr:rowOff>479631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094506-B20D-121F-CA8F-8831C34FF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500" y="867833"/>
          <a:ext cx="12390476" cy="6819048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148166</xdr:colOff>
      <xdr:row>4</xdr:row>
      <xdr:rowOff>21167</xdr:rowOff>
    </xdr:from>
    <xdr:to>
      <xdr:col>31</xdr:col>
      <xdr:colOff>261975</xdr:colOff>
      <xdr:row>20</xdr:row>
      <xdr:rowOff>236215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D28C65-8ED2-4492-ECE9-40AF97773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35833" y="889000"/>
          <a:ext cx="12390476" cy="6819048"/>
        </a:xfrm>
        <a:prstGeom prst="rect">
          <a:avLst/>
        </a:prstGeom>
        <a:solidFill>
          <a:schemeClr val="bg1"/>
        </a:solidFill>
        <a:ln w="127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" dT="2024-02-25T23:54:55.30" personId="{00000000-0000-0000-0000-000000000000}" id="{31401D33-9E63-4049-9424-2D6E4CD6CA5F}">
    <text>Current salary midpoint*1.03 estimated raise*0.5 (6 months to create and hire)</text>
  </threadedComment>
  <threadedComment ref="E8" dT="2024-02-25T23:58:44.82" personId="{00000000-0000-0000-0000-000000000000}" id="{F3504A47-B5D1-4055-87F5-87FA221D836D}">
    <text>(current 3/2024 salary midpoint*1.03)*1.03 to account for inflation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3" zoomScale="90" zoomScaleNormal="90" workbookViewId="0">
      <selection activeCell="R44" sqref="R44"/>
    </sheetView>
  </sheetViews>
  <sheetFormatPr defaultRowHeight="14.4" x14ac:dyDescent="0.3"/>
  <cols>
    <col min="1" max="1" width="1.88671875" customWidth="1"/>
    <col min="5" max="5" width="13.33203125" bestFit="1" customWidth="1"/>
    <col min="6" max="6" width="14.33203125" bestFit="1" customWidth="1"/>
    <col min="7" max="9" width="14.332031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C18" sqref="C18:C25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33203125" style="6" customWidth="1"/>
    <col min="5" max="5" width="12.5546875" style="2" customWidth="1"/>
    <col min="6" max="6" width="12.33203125" customWidth="1"/>
    <col min="7" max="7" width="13" customWidth="1"/>
    <col min="8" max="8" width="12.33203125" style="2" customWidth="1"/>
    <col min="9" max="9" width="1.664062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29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3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3">
      <c r="B18" s="23"/>
      <c r="C18" s="29" t="s">
        <v>50</v>
      </c>
      <c r="D18" s="15" t="s">
        <v>36</v>
      </c>
      <c r="E18" s="11" t="s">
        <v>36</v>
      </c>
      <c r="F18" s="11" t="s">
        <v>36</v>
      </c>
      <c r="G18" s="11"/>
      <c r="H18" s="11"/>
      <c r="J18" s="15"/>
    </row>
    <row r="19" spans="2:10" x14ac:dyDescent="0.3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35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36</v>
      </c>
      <c r="C29" s="28" t="s">
        <v>36</v>
      </c>
      <c r="D29" s="13" t="s">
        <v>32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37</v>
      </c>
      <c r="D31" s="13" t="s">
        <v>32</v>
      </c>
      <c r="E31" s="10"/>
      <c r="F31" s="10"/>
      <c r="G31" s="10"/>
      <c r="H31" s="10"/>
      <c r="J31" s="15"/>
    </row>
    <row r="32" spans="2:10" x14ac:dyDescent="0.3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41</v>
      </c>
      <c r="D35" s="13" t="s">
        <v>32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42</v>
      </c>
      <c r="D41" s="13" t="s">
        <v>32</v>
      </c>
      <c r="E41" s="10"/>
      <c r="F41" s="10"/>
      <c r="G41" s="10"/>
      <c r="H41" s="10"/>
      <c r="J41" s="15"/>
    </row>
    <row r="42" spans="2:10" x14ac:dyDescent="0.3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9"/>
  <sheetViews>
    <sheetView showGridLines="0" tabSelected="1" topLeftCell="A3" zoomScale="83" zoomScaleNormal="85" workbookViewId="0">
      <selection activeCell="C23" sqref="C23:F24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29.109375" customWidth="1"/>
    <col min="4" max="4" width="14.33203125" style="6" customWidth="1"/>
    <col min="5" max="5" width="15.88671875" style="2" customWidth="1"/>
    <col min="6" max="6" width="16.6640625" customWidth="1"/>
    <col min="7" max="7" width="17.6640625" customWidth="1"/>
    <col min="8" max="8" width="14.5546875" style="2" customWidth="1"/>
    <col min="9" max="9" width="3.5546875" style="7" customWidth="1"/>
    <col min="10" max="10" width="16" customWidth="1"/>
    <col min="11" max="11" width="10.109375" customWidth="1"/>
    <col min="12" max="12" width="13" bestFit="1" customWidth="1"/>
  </cols>
  <sheetData>
    <row r="2" spans="2:39" ht="23.4" x14ac:dyDescent="0.45">
      <c r="B2" s="30" t="s">
        <v>0</v>
      </c>
    </row>
    <row r="3" spans="2:39" ht="26.7" customHeight="1" x14ac:dyDescent="0.3">
      <c r="B3" s="137" t="s">
        <v>1</v>
      </c>
      <c r="C3" s="137"/>
      <c r="D3" s="137"/>
      <c r="E3" s="137"/>
      <c r="F3" s="137"/>
      <c r="G3" s="137"/>
      <c r="H3" s="137"/>
      <c r="I3" s="137"/>
      <c r="J3" s="137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7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8" t="s">
        <v>10</v>
      </c>
      <c r="L6" s="98"/>
    </row>
    <row r="7" spans="2:39" s="5" customFormat="1" ht="14.4" x14ac:dyDescent="0.3">
      <c r="B7" s="22" t="s">
        <v>11</v>
      </c>
      <c r="C7" s="51" t="s">
        <v>12</v>
      </c>
      <c r="D7" s="52">
        <f>'Clean Truck Incentives Budget'!D13+'ECO Schools Budget'!D14+'Measure 3 Budget'!D11+'Measure 4 Budget'!D11+'Measure 5 Budget'!D11</f>
        <v>344278.82036111999</v>
      </c>
      <c r="E7" s="52">
        <f>'Clean Truck Incentives Budget'!E13+'ECO Schools Budget'!E14+'Measure 3 Budget'!E11+'Measure 4 Budget'!E11+'Measure 5 Budget'!E11</f>
        <v>603244.7588559537</v>
      </c>
      <c r="F7" s="52">
        <f>'Clean Truck Incentives Budget'!F13+'ECO Schools Budget'!F14+'Measure 3 Budget'!F11+'Measure 4 Budget'!F11+'Measure 5 Budget'!F11</f>
        <v>621342.10162163223</v>
      </c>
      <c r="G7" s="52">
        <f>'Clean Truck Incentives Budget'!G13+'ECO Schools Budget'!G14+'Measure 3 Budget'!G11+'Measure 4 Budget'!G11+'Measure 5 Budget'!G11</f>
        <v>639982.36467028118</v>
      </c>
      <c r="H7" s="52">
        <f>'Clean Truck Incentives Budget'!H13+'ECO Schools Budget'!H14+'Measure 3 Budget'!H11+'Measure 4 Budget'!H11+'Measure 5 Budget'!H11</f>
        <v>659181.83561038971</v>
      </c>
      <c r="I7" s="53"/>
      <c r="J7" s="52">
        <f>SUM(D7:I7)</f>
        <v>2868029.881119377</v>
      </c>
      <c r="L7" s="76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'Clean Truck Incentives Budget'!D20+'ECO Schools Budget'!D22+'Measure 3 Budget'!D16+'Measure 4 Budget'!D16+'Measure 5 Budget'!D16</f>
        <v>133580.18230011457</v>
      </c>
      <c r="E8" s="52">
        <f>'Clean Truck Incentives Budget'!E20+'ECO Schools Budget'!E22+'Measure 3 Budget'!E16+'Measure 4 Budget'!E16</f>
        <v>234058.96643610997</v>
      </c>
      <c r="F8" s="52">
        <f>'Clean Truck Incentives Budget'!F20+'ECO Schools Budget'!F22+'Measure 3 Budget'!F16+'Measure 4 Budget'!F16</f>
        <v>241080.7354291933</v>
      </c>
      <c r="G8" s="52">
        <f>'Clean Truck Incentives Budget'!G20+'ECO Schools Budget'!G22+'Measure 3 Budget'!G16+'Measure 4 Budget'!G16</f>
        <v>248313.15749206909</v>
      </c>
      <c r="H8" s="52">
        <f>'Clean Truck Incentives Budget'!H20+'ECO Schools Budget'!H22+'Measure 3 Budget'!H16+'Measure 4 Budget'!H16</f>
        <v>255762.55221683119</v>
      </c>
      <c r="I8" s="53"/>
      <c r="J8" s="52">
        <f t="shared" ref="J8:J14" si="0">SUM(D8:I8)</f>
        <v>1112795.5938743181</v>
      </c>
      <c r="L8" s="76"/>
    </row>
    <row r="9" spans="2:39" ht="14.4" x14ac:dyDescent="0.3">
      <c r="B9" s="23"/>
      <c r="C9" s="51" t="s">
        <v>14</v>
      </c>
      <c r="D9" s="52">
        <f>'Clean Truck Incentives Budget'!D31+'ECO Schools Budget'!D33+'Measure 3 Budget'!D27+'Measure 4 Budget'!D27+'Measure 5 Budget'!D27</f>
        <v>72214.7</v>
      </c>
      <c r="E9" s="52">
        <f>'Clean Truck Incentives Budget'!E31+'ECO Schools Budget'!E33+'Measure 3 Budget'!E27+'Measure 4 Budget'!E27</f>
        <v>74381.141000000003</v>
      </c>
      <c r="F9" s="52">
        <f>'Clean Truck Incentives Budget'!F31+'ECO Schools Budget'!F33+'Measure 3 Budget'!F27+'Measure 4 Budget'!F27</f>
        <v>76612.575230000002</v>
      </c>
      <c r="G9" s="52">
        <f>'Clean Truck Incentives Budget'!G31+'ECO Schools Budget'!G33+'Measure 3 Budget'!G27+'Measure 4 Budget'!G27</f>
        <v>78910.952486900002</v>
      </c>
      <c r="H9" s="52">
        <f>'Clean Truck Incentives Budget'!H31+'ECO Schools Budget'!H33+'Measure 3 Budget'!H27+'Measure 4 Budget'!H27</f>
        <v>81278.281061507005</v>
      </c>
      <c r="I9" s="53"/>
      <c r="J9" s="52">
        <f t="shared" si="0"/>
        <v>383397.64977840701</v>
      </c>
      <c r="L9" s="76"/>
    </row>
    <row r="10" spans="2:39" ht="14.4" x14ac:dyDescent="0.3">
      <c r="B10" s="23"/>
      <c r="C10" s="51" t="s">
        <v>15</v>
      </c>
      <c r="D10" s="52">
        <f>'Clean Truck Incentives Budget'!D34+'ECO Schools Budget'!D36+'Measure 3 Budget'!D31+'Measure 4 Budget'!D31+'Measure 5 Budget'!D31</f>
        <v>58680</v>
      </c>
      <c r="E10" s="52">
        <f>'Clean Truck Incentives Budget'!E34+'ECO Schools Budget'!E36+'Measure 3 Budget'!E31+'Measure 4 Budget'!E31</f>
        <v>0</v>
      </c>
      <c r="F10" s="52">
        <f>'Clean Truck Incentives Budget'!F34+'ECO Schools Budget'!F36+'Measure 3 Budget'!F31+'Measure 4 Budget'!F31</f>
        <v>0</v>
      </c>
      <c r="G10" s="52">
        <f>'Clean Truck Incentives Budget'!G34+'ECO Schools Budget'!G36+'Measure 3 Budget'!G31+'Measure 4 Budget'!G31</f>
        <v>0</v>
      </c>
      <c r="H10" s="52">
        <f>'Clean Truck Incentives Budget'!H34+'ECO Schools Budget'!H36+'Measure 3 Budget'!H31+'Measure 4 Budget'!H31</f>
        <v>0</v>
      </c>
      <c r="I10" s="53"/>
      <c r="J10" s="52">
        <f t="shared" si="0"/>
        <v>58680</v>
      </c>
      <c r="L10" s="76"/>
    </row>
    <row r="11" spans="2:39" ht="14.4" x14ac:dyDescent="0.3">
      <c r="B11" s="23"/>
      <c r="C11" s="51" t="s">
        <v>16</v>
      </c>
      <c r="D11" s="52">
        <f>'Clean Truck Incentives Budget'!D43+'ECO Schools Budget'!D46+'Measure 3 Budget'!D35+'Measure 4 Budget'!D35+'Measure 5 Budget'!D35</f>
        <v>38624</v>
      </c>
      <c r="E11" s="52">
        <f>'Clean Truck Incentives Budget'!E43+'ECO Schools Budget'!E46+'Measure 3 Budget'!E35+'Measure 4 Budget'!E35</f>
        <v>8530</v>
      </c>
      <c r="F11" s="52">
        <f>'Clean Truck Incentives Budget'!F43+'ECO Schools Budget'!F46+'Measure 3 Budget'!F35+'Measure 4 Budget'!F35</f>
        <v>10443.24</v>
      </c>
      <c r="G11" s="52">
        <f>'Clean Truck Incentives Budget'!G43+'ECO Schools Budget'!G46+'Measure 3 Budget'!G35+'Measure 4 Budget'!G35</f>
        <v>9780.7999999999993</v>
      </c>
      <c r="H11" s="52">
        <f>'Clean Truck Incentives Budget'!H43+'ECO Schools Budget'!H46+'Measure 3 Budget'!H35+'Measure 4 Budget'!H35</f>
        <v>3151.5488000000005</v>
      </c>
      <c r="I11" s="53"/>
      <c r="J11" s="52">
        <f t="shared" si="0"/>
        <v>70529.588799999998</v>
      </c>
      <c r="L11" s="76"/>
    </row>
    <row r="12" spans="2:39" ht="14.4" x14ac:dyDescent="0.3">
      <c r="B12" s="23"/>
      <c r="C12" s="51" t="s">
        <v>17</v>
      </c>
      <c r="D12" s="52">
        <f>'Clean Truck Incentives Budget'!D48+'ECO Schools Budget'!D52+'Measure 3 Budget'!D42+'Measure 4 Budget'!D41+'Measure 5 Budget'!D41</f>
        <v>396000</v>
      </c>
      <c r="E12" s="52">
        <f>'Clean Truck Incentives Budget'!E48+'ECO Schools Budget'!E52+'Measure 3 Budget'!E42+'Measure 4 Budget'!E41</f>
        <v>891000</v>
      </c>
      <c r="F12" s="52">
        <f>'Clean Truck Incentives Budget'!F48+'ECO Schools Budget'!F52+'Measure 3 Budget'!F42+'Measure 4 Budget'!F41</f>
        <v>931000</v>
      </c>
      <c r="G12" s="52">
        <f>'Clean Truck Incentives Budget'!G48+'ECO Schools Budget'!G52+'Measure 3 Budget'!G42+'Measure 4 Budget'!G41</f>
        <v>877000</v>
      </c>
      <c r="H12" s="52">
        <f>'Clean Truck Incentives Budget'!H48+'ECO Schools Budget'!H52+'Measure 3 Budget'!H42+'Measure 4 Budget'!H41</f>
        <v>915000</v>
      </c>
      <c r="I12" s="53"/>
      <c r="J12" s="52">
        <f t="shared" si="0"/>
        <v>4010000</v>
      </c>
      <c r="L12" s="76"/>
    </row>
    <row r="13" spans="2:39" ht="14.4" x14ac:dyDescent="0.3">
      <c r="B13" s="23"/>
      <c r="C13" s="51" t="s">
        <v>18</v>
      </c>
      <c r="D13" s="52">
        <f>'Clean Truck Incentives Budget'!D57+'ECO Schools Budget'!D62+'Measure 3 Budget'!D50+'Measure 4 Budget'!D49+'Measure 5 Budget'!D49</f>
        <v>429711</v>
      </c>
      <c r="E13" s="52">
        <f>'Clean Truck Incentives Budget'!E57+'ECO Schools Budget'!E62+'Measure 3 Budget'!E50+'Measure 4 Budget'!E49</f>
        <v>20923379.82</v>
      </c>
      <c r="F13" s="52">
        <f>'Clean Truck Incentives Budget'!F57+'ECO Schools Budget'!F62+'Measure 3 Budget'!F50+'Measure 4 Budget'!F49</f>
        <v>21539081.214599997</v>
      </c>
      <c r="G13" s="52">
        <f>'Clean Truck Incentives Budget'!G57+'ECO Schools Budget'!G62+'Measure 3 Budget'!G50+'Measure 4 Budget'!G49</f>
        <v>22173253.651037998</v>
      </c>
      <c r="H13" s="52">
        <f>'Clean Truck Incentives Budget'!H57+'ECO Schools Budget'!H62+'Measure 3 Budget'!H50+'Measure 4 Budget'!H49</f>
        <v>22826451.26056914</v>
      </c>
      <c r="I13" s="53"/>
      <c r="J13" s="52">
        <f t="shared" si="0"/>
        <v>87891876.946207136</v>
      </c>
      <c r="L13" s="76"/>
    </row>
    <row r="14" spans="2:39" ht="14.4" x14ac:dyDescent="0.3">
      <c r="B14" s="24"/>
      <c r="C14" s="9" t="s">
        <v>19</v>
      </c>
      <c r="D14" s="16">
        <f>D13+D12+D11+D10+D9+D8+D7</f>
        <v>1473088.7026612344</v>
      </c>
      <c r="E14" s="16">
        <f>E13+E12+E11+E10+E9+E8+E7</f>
        <v>22734594.686292063</v>
      </c>
      <c r="F14" s="16">
        <f>F13+F12+F11+F10+F9+F8+F7</f>
        <v>23419559.866880819</v>
      </c>
      <c r="G14" s="16">
        <f>G13+G12+G11+G10+G9+G8+G7</f>
        <v>24027240.925687246</v>
      </c>
      <c r="H14" s="16">
        <f>H13+H12+H11+H10+H9+H8+H7</f>
        <v>24740825.478257868</v>
      </c>
      <c r="J14" s="16">
        <f t="shared" si="0"/>
        <v>96395309.659779221</v>
      </c>
      <c r="L14" s="76"/>
    </row>
    <row r="15" spans="2:39" ht="14.4" x14ac:dyDescent="0.3">
      <c r="B15" s="66"/>
      <c r="D15"/>
      <c r="E15"/>
      <c r="H15"/>
      <c r="I15"/>
      <c r="J15" s="18" t="s">
        <v>20</v>
      </c>
      <c r="L15" s="76"/>
    </row>
    <row r="16" spans="2:39" ht="20.100000000000001" customHeight="1" x14ac:dyDescent="0.3">
      <c r="B16" s="66"/>
      <c r="C16" s="9" t="s">
        <v>21</v>
      </c>
      <c r="D16" s="59">
        <f>'Clean Truck Incentives Budget'!D62+'ECO Schools Budget'!D67+'Measure 3 Budget'!D56+'Measure 4 Budget'!D55+'Measure 5 Budget'!D55</f>
        <v>168206.36893675459</v>
      </c>
      <c r="E16" s="59">
        <f>'Clean Truck Incentives Budget'!E62+'ECO Schools Budget'!E67+'Measure 3 Budget'!E56+'Measure 4 Budget'!E55</f>
        <v>294730.9113028064</v>
      </c>
      <c r="F16" s="59">
        <f>'Clean Truck Incentives Budget'!F62+'ECO Schools Budget'!F67+'Measure 3 Budget'!F56+'Measure 4 Budget'!F55</f>
        <v>303572.83864189056</v>
      </c>
      <c r="G16" s="59">
        <f>'Clean Truck Incentives Budget'!G62+'ECO Schools Budget'!G67+'Measure 3 Budget'!G56+'Measure 4 Budget'!G55</f>
        <v>312680.02380114724</v>
      </c>
      <c r="H16" s="59">
        <f>'Clean Truck Incentives Budget'!H62+'ECO Schools Budget'!H67+'Measure 3 Budget'!H56+'Measure 4 Budget'!H55</f>
        <v>322060.42451518174</v>
      </c>
      <c r="J16" s="75">
        <f>SUM(D16:H16)</f>
        <v>1401250.5671977806</v>
      </c>
      <c r="L16" s="76"/>
    </row>
    <row r="17" spans="2:12" thickBot="1" x14ac:dyDescent="0.35">
      <c r="B17" s="66"/>
      <c r="D17"/>
      <c r="E17"/>
      <c r="H17"/>
      <c r="I17"/>
      <c r="J17" s="18" t="s">
        <v>20</v>
      </c>
      <c r="L17" s="76"/>
    </row>
    <row r="18" spans="2:12" ht="31.2" customHeight="1" thickBot="1" x14ac:dyDescent="0.35">
      <c r="B18" s="65" t="s">
        <v>22</v>
      </c>
      <c r="C18" s="19"/>
      <c r="D18" s="54">
        <f>D14+D16</f>
        <v>1641295.071597989</v>
      </c>
      <c r="E18" s="54">
        <f>E14+E16</f>
        <v>23029325.597594868</v>
      </c>
      <c r="F18" s="54">
        <f>F14+F16</f>
        <v>23723132.705522709</v>
      </c>
      <c r="G18" s="54">
        <f>G14+G16</f>
        <v>24339920.949488394</v>
      </c>
      <c r="H18" s="54">
        <f>H14+H16</f>
        <v>25062885.902773049</v>
      </c>
      <c r="I18" s="55"/>
      <c r="J18" s="69">
        <f>J14+J16</f>
        <v>97796560.226977006</v>
      </c>
      <c r="L18" s="76"/>
    </row>
    <row r="19" spans="2:12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2" ht="15" customHeight="1" x14ac:dyDescent="0.3">
      <c r="B20" s="6"/>
      <c r="J20" s="77"/>
    </row>
    <row r="21" spans="2:12" ht="15" customHeight="1" x14ac:dyDescent="0.35">
      <c r="B21" s="45" t="s">
        <v>23</v>
      </c>
      <c r="C21" s="46"/>
      <c r="D21" s="46"/>
      <c r="E21" s="140"/>
      <c r="F21" s="140"/>
      <c r="H21"/>
      <c r="I21"/>
      <c r="J21" s="34"/>
    </row>
    <row r="22" spans="2:12" ht="29.1" customHeight="1" x14ac:dyDescent="0.3">
      <c r="B22" s="47" t="s">
        <v>24</v>
      </c>
      <c r="C22" s="47" t="s">
        <v>25</v>
      </c>
      <c r="D22" s="56" t="s">
        <v>26</v>
      </c>
      <c r="E22" s="141" t="s">
        <v>27</v>
      </c>
      <c r="F22" s="141"/>
      <c r="H22"/>
      <c r="I22"/>
      <c r="J22" s="78"/>
    </row>
    <row r="23" spans="2:12" ht="15" customHeight="1" x14ac:dyDescent="0.3">
      <c r="B23" s="51">
        <v>1</v>
      </c>
      <c r="C23" s="57" t="s">
        <v>65</v>
      </c>
      <c r="D23" s="58">
        <f>'Clean Truck Incentives Budget'!J64</f>
        <v>44480096.178813815</v>
      </c>
      <c r="E23" s="138">
        <f>D23/D$26</f>
        <v>0.45482270619313719</v>
      </c>
      <c r="F23" s="139"/>
      <c r="H23"/>
      <c r="I23"/>
    </row>
    <row r="24" spans="2:12" ht="15" customHeight="1" x14ac:dyDescent="0.3">
      <c r="B24" s="51">
        <v>2</v>
      </c>
      <c r="C24" s="52" t="s">
        <v>66</v>
      </c>
      <c r="D24" s="58">
        <f>'ECO Schools Budget'!J69</f>
        <v>53316464.048163205</v>
      </c>
      <c r="E24" s="138">
        <f>D24/D$26</f>
        <v>0.54517729380686286</v>
      </c>
      <c r="F24" s="139"/>
      <c r="H24"/>
      <c r="I24"/>
    </row>
    <row r="25" spans="2:12" ht="15" customHeight="1" x14ac:dyDescent="0.3">
      <c r="B25" s="51"/>
      <c r="C25" s="52"/>
      <c r="D25" s="58"/>
      <c r="E25" s="138"/>
      <c r="F25" s="139"/>
      <c r="H25"/>
      <c r="I25"/>
    </row>
    <row r="26" spans="2:12" ht="15" customHeight="1" x14ac:dyDescent="0.3">
      <c r="B26" s="51" t="s">
        <v>28</v>
      </c>
      <c r="C26" s="52"/>
      <c r="D26" s="58">
        <f>SUM(D23:D25)</f>
        <v>97796560.226977021</v>
      </c>
      <c r="E26" s="138">
        <f>SUM(E23:E25)</f>
        <v>1</v>
      </c>
      <c r="F26" s="139"/>
      <c r="H26"/>
      <c r="I26"/>
    </row>
    <row r="27" spans="2:12" ht="15" customHeight="1" x14ac:dyDescent="0.3">
      <c r="H27"/>
      <c r="I27"/>
    </row>
    <row r="29" spans="2:12" ht="15" customHeight="1" x14ac:dyDescent="0.3">
      <c r="F29" t="s">
        <v>36</v>
      </c>
    </row>
  </sheetData>
  <mergeCells count="7">
    <mergeCell ref="B3:J3"/>
    <mergeCell ref="E25:F25"/>
    <mergeCell ref="E26:F26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9"/>
  <sheetViews>
    <sheetView showGridLines="0" topLeftCell="A51" zoomScale="90" zoomScaleNormal="90" workbookViewId="0">
      <selection activeCell="K10" sqref="K10"/>
    </sheetView>
  </sheetViews>
  <sheetFormatPr defaultColWidth="9.109375" defaultRowHeight="14.4" x14ac:dyDescent="0.3"/>
  <cols>
    <col min="1" max="1" width="3.109375" customWidth="1"/>
    <col min="2" max="2" width="10.109375" customWidth="1"/>
    <col min="3" max="3" width="35.33203125" customWidth="1"/>
    <col min="4" max="4" width="14.33203125" style="6" customWidth="1"/>
    <col min="5" max="5" width="15.88671875" style="2" customWidth="1"/>
    <col min="6" max="6" width="15.6640625" customWidth="1"/>
    <col min="7" max="7" width="15.5546875" customWidth="1"/>
    <col min="8" max="8" width="15.109375" style="2" customWidth="1"/>
    <col min="9" max="9" width="1.6640625" style="7" customWidth="1"/>
    <col min="10" max="10" width="12.88671875" customWidth="1"/>
    <col min="11" max="11" width="8.5546875" customWidth="1"/>
    <col min="12" max="12" width="11.109375" bestFit="1" customWidth="1"/>
    <col min="13" max="13" width="9.33203125" bestFit="1" customWidth="1"/>
  </cols>
  <sheetData>
    <row r="2" spans="2:39" ht="23.4" x14ac:dyDescent="0.45">
      <c r="B2" s="30" t="s">
        <v>29</v>
      </c>
    </row>
    <row r="3" spans="2:39" x14ac:dyDescent="0.3">
      <c r="B3" s="97" t="s">
        <v>121</v>
      </c>
    </row>
    <row r="4" spans="2:39" x14ac:dyDescent="0.3">
      <c r="B4" s="5"/>
    </row>
    <row r="5" spans="2:39" ht="18" x14ac:dyDescent="0.35">
      <c r="B5" s="36" t="s">
        <v>172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0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72" x14ac:dyDescent="0.3">
      <c r="B8" s="23"/>
      <c r="C8" s="96" t="s">
        <v>118</v>
      </c>
      <c r="D8" s="15">
        <f>(94751*1.03)/2</f>
        <v>48796.764999999999</v>
      </c>
      <c r="E8" s="15">
        <f>(94751*1.03)*1.03</f>
        <v>100521.33590000001</v>
      </c>
      <c r="F8" s="15">
        <f>E8*1.03</f>
        <v>103536.97597700001</v>
      </c>
      <c r="G8" s="15">
        <f>F8*1.03</f>
        <v>106643.08525631001</v>
      </c>
      <c r="H8" s="15">
        <f>G8*1.03</f>
        <v>109842.37781399931</v>
      </c>
      <c r="I8" s="35"/>
      <c r="J8" s="15">
        <f>SUM(D8:H8)</f>
        <v>469340.53994730936</v>
      </c>
      <c r="K8" s="142"/>
      <c r="L8" s="143"/>
    </row>
    <row r="9" spans="2:39" ht="57.6" x14ac:dyDescent="0.3">
      <c r="B9" s="23"/>
      <c r="C9" s="25" t="s">
        <v>86</v>
      </c>
      <c r="D9" s="15">
        <f>(((33.23*2080)*2)*1.03)/2</f>
        <v>71191.95199999999</v>
      </c>
      <c r="E9" s="15">
        <f>(((33.23*2080)*1.03)*1.03)*2</f>
        <v>146655.42111999998</v>
      </c>
      <c r="F9" s="15">
        <f t="shared" ref="F9:F10" si="0">E9*1.03</f>
        <v>151055.08375359999</v>
      </c>
      <c r="G9" s="15">
        <f t="shared" ref="G9:G10" si="1">F9*1.03</f>
        <v>155586.736266208</v>
      </c>
      <c r="H9" s="15">
        <f t="shared" ref="H9:H10" si="2">G9*1.03</f>
        <v>160254.33835419425</v>
      </c>
      <c r="I9" s="35"/>
      <c r="J9" s="15">
        <f>SUM(D9:H9)</f>
        <v>684743.53149400232</v>
      </c>
    </row>
    <row r="10" spans="2:39" ht="43.2" x14ac:dyDescent="0.3">
      <c r="B10" s="23"/>
      <c r="C10" s="25" t="s">
        <v>96</v>
      </c>
      <c r="D10" s="15">
        <f>57.156903*1.03*( 40*52*0.05)</f>
        <v>6122.6474493600008</v>
      </c>
      <c r="E10" s="15">
        <f>D10*1.03</f>
        <v>6306.3268728408011</v>
      </c>
      <c r="F10" s="15">
        <f t="shared" si="0"/>
        <v>6495.5166790260255</v>
      </c>
      <c r="G10" s="15">
        <f t="shared" si="1"/>
        <v>6690.3821793968064</v>
      </c>
      <c r="H10" s="15">
        <f t="shared" si="2"/>
        <v>6891.0936447787108</v>
      </c>
      <c r="I10" s="35"/>
      <c r="J10" s="15">
        <f>SUM(D10:H10)</f>
        <v>32505.966825402342</v>
      </c>
    </row>
    <row r="11" spans="2:39" ht="28.8" x14ac:dyDescent="0.3">
      <c r="B11" s="23"/>
      <c r="C11" s="25" t="s">
        <v>95</v>
      </c>
      <c r="D11" s="15">
        <f>31.45338*1.03*( 40*52*0.1)</f>
        <v>6738.5721312000005</v>
      </c>
      <c r="E11" s="15">
        <f t="shared" ref="E11:H12" si="3">D11*1.03</f>
        <v>6940.7292951360005</v>
      </c>
      <c r="F11" s="15">
        <f t="shared" si="3"/>
        <v>7148.9511739900809</v>
      </c>
      <c r="G11" s="15">
        <f t="shared" si="3"/>
        <v>7363.4197092097838</v>
      </c>
      <c r="H11" s="15">
        <f t="shared" si="3"/>
        <v>7584.3223004860774</v>
      </c>
      <c r="I11" s="35"/>
      <c r="J11" s="15">
        <f t="shared" ref="J11:J12" si="4">SUM(D11:H11)</f>
        <v>35775.994610021946</v>
      </c>
    </row>
    <row r="12" spans="2:39" ht="43.2" x14ac:dyDescent="0.3">
      <c r="B12" s="23"/>
      <c r="C12" s="25" t="s">
        <v>97</v>
      </c>
      <c r="D12" s="15">
        <f>45.02*1.03*40*52*0.1*2</f>
        <v>19290.169600000001</v>
      </c>
      <c r="E12" s="15">
        <v>0</v>
      </c>
      <c r="F12" s="15">
        <f t="shared" si="3"/>
        <v>0</v>
      </c>
      <c r="G12" s="15">
        <f t="shared" si="3"/>
        <v>0</v>
      </c>
      <c r="H12" s="15">
        <f t="shared" si="3"/>
        <v>0</v>
      </c>
      <c r="I12" s="35"/>
      <c r="J12" s="15">
        <f t="shared" si="4"/>
        <v>19290.169600000001</v>
      </c>
    </row>
    <row r="13" spans="2:39" x14ac:dyDescent="0.3">
      <c r="B13" s="23"/>
      <c r="C13" s="9" t="s">
        <v>12</v>
      </c>
      <c r="D13" s="16">
        <f>SUM(D8:D12)</f>
        <v>152140.10618055999</v>
      </c>
      <c r="E13" s="16">
        <f>SUM(E8:E12)</f>
        <v>260423.8131879768</v>
      </c>
      <c r="F13" s="16">
        <f>SUM(F8:F12)</f>
        <v>268236.52758361609</v>
      </c>
      <c r="G13" s="16">
        <f>SUM(G8:G12)</f>
        <v>276283.62341112457</v>
      </c>
      <c r="H13" s="16">
        <f>SUM(H8:H12)</f>
        <v>284572.13211345836</v>
      </c>
      <c r="J13" s="16">
        <f>SUM(J8:J12)</f>
        <v>1241656.2024767359</v>
      </c>
      <c r="K13" s="34"/>
    </row>
    <row r="14" spans="2:39" x14ac:dyDescent="0.3">
      <c r="B14" s="23"/>
      <c r="C14" s="14" t="s">
        <v>33</v>
      </c>
      <c r="D14" s="13" t="s">
        <v>32</v>
      </c>
      <c r="E14" s="10"/>
      <c r="F14" s="10"/>
      <c r="G14" s="10"/>
      <c r="H14" s="10"/>
      <c r="J14" s="8" t="s">
        <v>32</v>
      </c>
    </row>
    <row r="15" spans="2:39" ht="43.2" x14ac:dyDescent="0.3">
      <c r="B15" s="23"/>
      <c r="C15" s="25" t="s">
        <v>85</v>
      </c>
      <c r="D15" s="15">
        <f t="shared" ref="D15:H19" si="5">D8*0.388</f>
        <v>18933.144820000001</v>
      </c>
      <c r="E15" s="15">
        <f t="shared" si="5"/>
        <v>39002.278329200002</v>
      </c>
      <c r="F15" s="15">
        <f t="shared" si="5"/>
        <v>40172.346679076007</v>
      </c>
      <c r="G15" s="15">
        <f t="shared" si="5"/>
        <v>41377.517079448284</v>
      </c>
      <c r="H15" s="15">
        <f t="shared" si="5"/>
        <v>42618.84259183173</v>
      </c>
      <c r="J15" s="15">
        <f>SUM(D15:H15)</f>
        <v>182104.129499556</v>
      </c>
    </row>
    <row r="16" spans="2:39" ht="28.8" x14ac:dyDescent="0.3">
      <c r="B16" s="23"/>
      <c r="C16" s="25" t="s">
        <v>91</v>
      </c>
      <c r="D16" s="15">
        <f t="shared" si="5"/>
        <v>27622.477375999995</v>
      </c>
      <c r="E16" s="15">
        <f t="shared" si="5"/>
        <v>56902.303394559996</v>
      </c>
      <c r="F16" s="15">
        <f t="shared" si="5"/>
        <v>58609.372496396798</v>
      </c>
      <c r="G16" s="15">
        <f t="shared" si="5"/>
        <v>60367.653671288703</v>
      </c>
      <c r="H16" s="15">
        <f t="shared" si="5"/>
        <v>62178.683281427366</v>
      </c>
      <c r="J16" s="15">
        <f>SUM(D16:H16)</f>
        <v>265680.49021967285</v>
      </c>
    </row>
    <row r="17" spans="2:13" ht="43.2" x14ac:dyDescent="0.3">
      <c r="B17" s="23"/>
      <c r="C17" s="25" t="s">
        <v>92</v>
      </c>
      <c r="D17" s="15">
        <f t="shared" si="5"/>
        <v>2375.5872103516804</v>
      </c>
      <c r="E17" s="15">
        <f t="shared" si="5"/>
        <v>2446.8548266622311</v>
      </c>
      <c r="F17" s="15">
        <f t="shared" si="5"/>
        <v>2520.2604714620979</v>
      </c>
      <c r="G17" s="15">
        <f t="shared" si="5"/>
        <v>2595.8682856059609</v>
      </c>
      <c r="H17" s="15">
        <f t="shared" si="5"/>
        <v>2673.74433417414</v>
      </c>
      <c r="J17" s="15">
        <f t="shared" ref="J17:J19" si="6">SUM(D17:H17)</f>
        <v>12612.31512825611</v>
      </c>
    </row>
    <row r="18" spans="2:13" ht="28.8" x14ac:dyDescent="0.3">
      <c r="B18" s="23"/>
      <c r="C18" s="25" t="s">
        <v>84</v>
      </c>
      <c r="D18" s="15">
        <f t="shared" si="5"/>
        <v>2614.5659869056003</v>
      </c>
      <c r="E18" s="15">
        <f t="shared" si="5"/>
        <v>2693.0029665127681</v>
      </c>
      <c r="F18" s="15">
        <f t="shared" si="5"/>
        <v>2773.7930555081516</v>
      </c>
      <c r="G18" s="15">
        <f t="shared" si="5"/>
        <v>2857.0068471733962</v>
      </c>
      <c r="H18" s="15">
        <f t="shared" si="5"/>
        <v>2942.7170525885981</v>
      </c>
      <c r="J18" s="15">
        <f t="shared" si="6"/>
        <v>13881.085908688514</v>
      </c>
    </row>
    <row r="19" spans="2:13" ht="28.8" x14ac:dyDescent="0.3">
      <c r="B19" s="23"/>
      <c r="C19" s="25" t="s">
        <v>87</v>
      </c>
      <c r="D19" s="15">
        <f t="shared" si="5"/>
        <v>7484.5858048000009</v>
      </c>
      <c r="E19" s="15">
        <f t="shared" si="5"/>
        <v>0</v>
      </c>
      <c r="F19" s="15">
        <f t="shared" si="5"/>
        <v>0</v>
      </c>
      <c r="G19" s="15">
        <f t="shared" si="5"/>
        <v>0</v>
      </c>
      <c r="H19" s="15">
        <f t="shared" si="5"/>
        <v>0</v>
      </c>
      <c r="J19" s="15">
        <f t="shared" si="6"/>
        <v>7484.5858048000009</v>
      </c>
    </row>
    <row r="20" spans="2:13" x14ac:dyDescent="0.3">
      <c r="B20" s="23"/>
      <c r="C20" s="9" t="s">
        <v>13</v>
      </c>
      <c r="D20" s="16">
        <f>SUM(D15:D19)</f>
        <v>59030.361198057282</v>
      </c>
      <c r="E20" s="16">
        <f>SUM(E15:E19)</f>
        <v>101044.43951693499</v>
      </c>
      <c r="F20" s="16">
        <f>SUM(F15:F19)</f>
        <v>104075.77270244305</v>
      </c>
      <c r="G20" s="16">
        <f>SUM(G15:G19)</f>
        <v>107198.04588351634</v>
      </c>
      <c r="H20" s="16">
        <f>SUM(H15:H19)</f>
        <v>110413.98726002184</v>
      </c>
      <c r="J20" s="16">
        <f>SUM(J15:J19)</f>
        <v>481762.60656097339</v>
      </c>
      <c r="K20" s="34"/>
    </row>
    <row r="21" spans="2:13" x14ac:dyDescent="0.3">
      <c r="B21" s="23"/>
      <c r="C21" s="9" t="s">
        <v>67</v>
      </c>
      <c r="D21" s="16">
        <f t="shared" ref="D21:J21" si="7">SUM(D13, D20)</f>
        <v>211170.46737861726</v>
      </c>
      <c r="E21" s="16">
        <f t="shared" si="7"/>
        <v>361468.25270491181</v>
      </c>
      <c r="F21" s="16">
        <f t="shared" si="7"/>
        <v>372312.30028605915</v>
      </c>
      <c r="G21" s="16">
        <f t="shared" si="7"/>
        <v>383481.66929464089</v>
      </c>
      <c r="H21" s="16">
        <f t="shared" si="7"/>
        <v>394986.11937348021</v>
      </c>
      <c r="I21" s="16">
        <f t="shared" si="7"/>
        <v>0</v>
      </c>
      <c r="J21" s="16">
        <f t="shared" si="7"/>
        <v>1723418.8090377094</v>
      </c>
      <c r="K21" s="34"/>
    </row>
    <row r="22" spans="2:13" x14ac:dyDescent="0.3">
      <c r="B22" s="23"/>
      <c r="C22" s="14" t="s">
        <v>34</v>
      </c>
      <c r="D22" s="13" t="s">
        <v>32</v>
      </c>
      <c r="E22" s="10"/>
      <c r="F22" s="10"/>
      <c r="G22" s="10"/>
      <c r="H22" s="10"/>
      <c r="J22" s="8" t="s">
        <v>32</v>
      </c>
    </row>
    <row r="23" spans="2:13" ht="40.200000000000003" x14ac:dyDescent="0.3">
      <c r="B23" s="23"/>
      <c r="C23" s="83" t="s">
        <v>128</v>
      </c>
      <c r="D23" s="91"/>
      <c r="E23" s="91"/>
      <c r="F23" s="91"/>
      <c r="G23" s="91"/>
      <c r="H23" s="91"/>
      <c r="I23" s="92"/>
      <c r="J23" s="93"/>
    </row>
    <row r="24" spans="2:13" ht="28.8" x14ac:dyDescent="0.3">
      <c r="B24" s="23"/>
      <c r="C24" s="80" t="s">
        <v>111</v>
      </c>
      <c r="D24" s="81">
        <f>400*37*0.66</f>
        <v>9768</v>
      </c>
      <c r="E24" s="81">
        <f>D24*1.03</f>
        <v>10061.040000000001</v>
      </c>
      <c r="F24" s="81">
        <f>E24*1.03</f>
        <v>10362.871200000001</v>
      </c>
      <c r="G24" s="81">
        <f>F24*1.03</f>
        <v>10673.757336000002</v>
      </c>
      <c r="H24" s="81">
        <f>G24*1.03</f>
        <v>10993.970056080003</v>
      </c>
      <c r="J24" s="15">
        <f>SUM(D24:H24)</f>
        <v>51859.638592080009</v>
      </c>
      <c r="K24" s="34"/>
    </row>
    <row r="25" spans="2:13" ht="43.2" x14ac:dyDescent="0.3">
      <c r="B25" s="23"/>
      <c r="C25" s="80" t="s">
        <v>82</v>
      </c>
      <c r="D25" s="81">
        <f>350*3+700*3*2</f>
        <v>5250</v>
      </c>
      <c r="E25" s="81">
        <f t="shared" ref="E25:H30" si="8">D25*1.03</f>
        <v>5407.5</v>
      </c>
      <c r="F25" s="81">
        <f t="shared" si="8"/>
        <v>5569.7250000000004</v>
      </c>
      <c r="G25" s="81">
        <f t="shared" si="8"/>
        <v>5736.8167500000009</v>
      </c>
      <c r="H25" s="81">
        <f t="shared" si="8"/>
        <v>5908.9212525000012</v>
      </c>
      <c r="I25" s="35"/>
      <c r="J25" s="15">
        <f t="shared" ref="J25:J26" si="9">SUM(D25:H25)</f>
        <v>27872.963002500001</v>
      </c>
      <c r="K25" s="34"/>
      <c r="L25" s="73"/>
      <c r="M25" s="72"/>
    </row>
    <row r="26" spans="2:13" ht="28.8" x14ac:dyDescent="0.3">
      <c r="B26" s="23"/>
      <c r="C26" s="80" t="s">
        <v>81</v>
      </c>
      <c r="D26" s="81">
        <f>25*9</f>
        <v>225</v>
      </c>
      <c r="E26" s="81">
        <f t="shared" si="8"/>
        <v>231.75</v>
      </c>
      <c r="F26" s="81">
        <f t="shared" si="8"/>
        <v>238.70250000000001</v>
      </c>
      <c r="G26" s="81">
        <f t="shared" si="8"/>
        <v>245.86357500000003</v>
      </c>
      <c r="H26" s="81">
        <f t="shared" si="8"/>
        <v>253.23948225000004</v>
      </c>
      <c r="J26" s="15">
        <f t="shared" si="9"/>
        <v>1194.55555725</v>
      </c>
      <c r="L26" s="74"/>
    </row>
    <row r="27" spans="2:13" ht="43.2" x14ac:dyDescent="0.3">
      <c r="B27" s="23"/>
      <c r="C27" s="80" t="s">
        <v>80</v>
      </c>
      <c r="D27" s="81">
        <f>6*3*157 + 8*3*250</f>
        <v>8826</v>
      </c>
      <c r="E27" s="81">
        <f t="shared" si="8"/>
        <v>9090.7800000000007</v>
      </c>
      <c r="F27" s="81">
        <f t="shared" si="8"/>
        <v>9363.5034000000014</v>
      </c>
      <c r="G27" s="81">
        <f t="shared" si="8"/>
        <v>9644.408502000002</v>
      </c>
      <c r="H27" s="81">
        <f t="shared" si="8"/>
        <v>9933.7407570600026</v>
      </c>
      <c r="J27" s="15">
        <f t="shared" ref="J27:J30" si="10">SUM(D27:H27)</f>
        <v>46858.43265906001</v>
      </c>
      <c r="L27" s="72"/>
    </row>
    <row r="28" spans="2:13" ht="43.2" x14ac:dyDescent="0.3">
      <c r="B28" s="23"/>
      <c r="C28" s="80" t="s">
        <v>79</v>
      </c>
      <c r="D28" s="81">
        <f>(37*1.5 + 11*3)*59</f>
        <v>5221.5</v>
      </c>
      <c r="E28" s="81">
        <f t="shared" si="8"/>
        <v>5378.1450000000004</v>
      </c>
      <c r="F28" s="81">
        <f t="shared" si="8"/>
        <v>5539.4893500000007</v>
      </c>
      <c r="G28" s="81">
        <f t="shared" si="8"/>
        <v>5705.6740305000012</v>
      </c>
      <c r="H28" s="81">
        <f t="shared" si="8"/>
        <v>5876.8442514150011</v>
      </c>
      <c r="J28" s="15">
        <f t="shared" si="10"/>
        <v>27721.652631915003</v>
      </c>
      <c r="L28" s="72"/>
    </row>
    <row r="29" spans="2:13" ht="28.8" x14ac:dyDescent="0.3">
      <c r="B29" s="23"/>
      <c r="C29" s="80" t="s">
        <v>78</v>
      </c>
      <c r="D29" s="81">
        <f>120*3*3*0.66</f>
        <v>712.80000000000007</v>
      </c>
      <c r="E29" s="81">
        <f t="shared" si="8"/>
        <v>734.18400000000008</v>
      </c>
      <c r="F29" s="81">
        <f t="shared" si="8"/>
        <v>756.20952000000011</v>
      </c>
      <c r="G29" s="81">
        <f t="shared" si="8"/>
        <v>778.89580560000013</v>
      </c>
      <c r="H29" s="81">
        <f t="shared" si="8"/>
        <v>802.26267976800011</v>
      </c>
      <c r="J29" s="15">
        <f t="shared" si="10"/>
        <v>3784.3520053680004</v>
      </c>
    </row>
    <row r="30" spans="2:13" ht="43.2" x14ac:dyDescent="0.3">
      <c r="B30" s="23"/>
      <c r="C30" s="80" t="s">
        <v>77</v>
      </c>
      <c r="D30" s="81">
        <f>20*11*3</f>
        <v>660</v>
      </c>
      <c r="E30" s="81">
        <f t="shared" si="8"/>
        <v>679.80000000000007</v>
      </c>
      <c r="F30" s="81">
        <f t="shared" si="8"/>
        <v>700.19400000000007</v>
      </c>
      <c r="G30" s="81">
        <f t="shared" si="8"/>
        <v>721.19982000000005</v>
      </c>
      <c r="H30" s="81">
        <f t="shared" si="8"/>
        <v>742.83581460000005</v>
      </c>
      <c r="J30" s="15">
        <f t="shared" si="10"/>
        <v>3504.0296346000005</v>
      </c>
    </row>
    <row r="31" spans="2:13" x14ac:dyDescent="0.3">
      <c r="B31" s="23"/>
      <c r="C31" s="9" t="s">
        <v>14</v>
      </c>
      <c r="D31" s="16">
        <f>SUM(D24:D30)</f>
        <v>30663.3</v>
      </c>
      <c r="E31" s="16">
        <f t="shared" ref="E31:J31" si="11">SUM(E24:E30)</f>
        <v>31583.199000000001</v>
      </c>
      <c r="F31" s="16">
        <f t="shared" si="11"/>
        <v>32530.69497</v>
      </c>
      <c r="G31" s="16">
        <f t="shared" si="11"/>
        <v>33506.615819100007</v>
      </c>
      <c r="H31" s="16">
        <f t="shared" si="11"/>
        <v>34511.814293673007</v>
      </c>
      <c r="J31" s="16">
        <f t="shared" si="11"/>
        <v>162795.62408277305</v>
      </c>
      <c r="K31" s="34"/>
    </row>
    <row r="32" spans="2:13" x14ac:dyDescent="0.3">
      <c r="B32" s="23"/>
      <c r="C32" s="14" t="s">
        <v>35</v>
      </c>
      <c r="D32" s="15"/>
      <c r="E32" s="10"/>
      <c r="F32" s="10"/>
      <c r="G32" s="10"/>
      <c r="H32" s="10"/>
      <c r="J32" s="15" t="s">
        <v>20</v>
      </c>
    </row>
    <row r="33" spans="2:13" ht="43.2" x14ac:dyDescent="0.3">
      <c r="B33" s="23"/>
      <c r="C33" s="71" t="s">
        <v>119</v>
      </c>
      <c r="D33" s="15">
        <f>58680/2</f>
        <v>29340</v>
      </c>
      <c r="E33" s="15">
        <v>0</v>
      </c>
      <c r="F33" s="15">
        <v>0</v>
      </c>
      <c r="G33" s="15">
        <v>0</v>
      </c>
      <c r="H33" s="15">
        <v>0</v>
      </c>
      <c r="J33" s="15">
        <f t="shared" ref="J33" si="12">SUM(D33:H33)</f>
        <v>29340</v>
      </c>
    </row>
    <row r="34" spans="2:13" x14ac:dyDescent="0.3">
      <c r="B34" s="23"/>
      <c r="C34" s="9" t="s">
        <v>15</v>
      </c>
      <c r="D34" s="12">
        <f>SUM(D33:D33)</f>
        <v>29340</v>
      </c>
      <c r="E34" s="12">
        <f>SUM(E33:E33)</f>
        <v>0</v>
      </c>
      <c r="F34" s="12">
        <f>SUM(F33:F33)</f>
        <v>0</v>
      </c>
      <c r="G34" s="12">
        <f>SUM(G33:G33)</f>
        <v>0</v>
      </c>
      <c r="H34" s="12">
        <f>SUM(H33:H33)</f>
        <v>0</v>
      </c>
      <c r="J34" s="16">
        <f>SUM(J33:J33)</f>
        <v>29340</v>
      </c>
      <c r="K34" s="34"/>
    </row>
    <row r="35" spans="2:13" x14ac:dyDescent="0.3">
      <c r="B35" s="23"/>
      <c r="C35" s="14" t="s">
        <v>37</v>
      </c>
      <c r="D35" s="13" t="s">
        <v>32</v>
      </c>
      <c r="E35" s="10"/>
      <c r="F35" s="10"/>
      <c r="G35" s="10"/>
      <c r="H35" s="10"/>
      <c r="J35" s="15"/>
    </row>
    <row r="36" spans="2:13" ht="43.2" x14ac:dyDescent="0.3">
      <c r="B36" s="23"/>
      <c r="C36" s="71" t="s">
        <v>120</v>
      </c>
      <c r="D36" s="89">
        <f>4900/2</f>
        <v>2450</v>
      </c>
      <c r="E36" s="90">
        <v>0</v>
      </c>
      <c r="F36" s="90">
        <v>0</v>
      </c>
      <c r="G36" s="90">
        <v>0</v>
      </c>
      <c r="H36" s="90">
        <v>0</v>
      </c>
      <c r="J36" s="15">
        <f t="shared" ref="J36:J41" si="13">SUM(D36:H36)</f>
        <v>2450</v>
      </c>
    </row>
    <row r="37" spans="2:13" ht="28.8" x14ac:dyDescent="0.3">
      <c r="B37" s="23"/>
      <c r="C37" s="82" t="s">
        <v>99</v>
      </c>
      <c r="D37" s="15">
        <f>2200*3</f>
        <v>6600</v>
      </c>
      <c r="E37" s="15">
        <v>0</v>
      </c>
      <c r="F37" s="15">
        <f>2200*1.06</f>
        <v>2332</v>
      </c>
      <c r="G37" s="15">
        <f>2200*1.09</f>
        <v>2398</v>
      </c>
      <c r="H37" s="15">
        <v>0</v>
      </c>
      <c r="J37" s="15">
        <f t="shared" si="13"/>
        <v>11330</v>
      </c>
    </row>
    <row r="38" spans="2:13" ht="43.2" x14ac:dyDescent="0.3">
      <c r="B38" s="23"/>
      <c r="C38" s="80" t="s">
        <v>100</v>
      </c>
      <c r="D38" s="15">
        <f>((250*2)+80+117+55)*3</f>
        <v>2256</v>
      </c>
      <c r="E38" s="15">
        <v>0</v>
      </c>
      <c r="F38" s="15">
        <f>(D38*1.06)/3</f>
        <v>797.12</v>
      </c>
      <c r="G38" s="15">
        <v>0</v>
      </c>
      <c r="H38" s="15">
        <f>F38*1.12</f>
        <v>892.77440000000013</v>
      </c>
      <c r="J38" s="15">
        <f t="shared" si="13"/>
        <v>3945.8944000000001</v>
      </c>
      <c r="K38" s="34"/>
    </row>
    <row r="39" spans="2:13" ht="28.8" x14ac:dyDescent="0.3">
      <c r="B39" s="23"/>
      <c r="C39" s="80" t="s">
        <v>101</v>
      </c>
      <c r="D39" s="15">
        <f>830*3</f>
        <v>2490</v>
      </c>
      <c r="E39" s="15">
        <v>0</v>
      </c>
      <c r="F39" s="15">
        <v>0</v>
      </c>
      <c r="G39" s="15">
        <f>(830*2)*1.09</f>
        <v>1809.4</v>
      </c>
      <c r="H39" s="15">
        <v>0</v>
      </c>
      <c r="J39" s="15">
        <f t="shared" si="13"/>
        <v>4299.3999999999996</v>
      </c>
    </row>
    <row r="40" spans="2:13" ht="43.2" x14ac:dyDescent="0.3">
      <c r="B40" s="23"/>
      <c r="C40" s="80" t="s">
        <v>38</v>
      </c>
      <c r="D40" s="15">
        <v>1000</v>
      </c>
      <c r="E40" s="15">
        <v>1000</v>
      </c>
      <c r="F40" s="15">
        <v>500</v>
      </c>
      <c r="G40" s="15">
        <v>235</v>
      </c>
      <c r="H40" s="15">
        <v>235</v>
      </c>
      <c r="J40" s="15">
        <f t="shared" si="13"/>
        <v>2970</v>
      </c>
    </row>
    <row r="41" spans="2:13" x14ac:dyDescent="0.3">
      <c r="B41" s="23"/>
      <c r="C41" s="80" t="s">
        <v>110</v>
      </c>
      <c r="D41" s="15">
        <v>930</v>
      </c>
      <c r="E41" s="15">
        <v>930</v>
      </c>
      <c r="F41" s="15">
        <v>500</v>
      </c>
      <c r="G41" s="15">
        <v>250</v>
      </c>
      <c r="H41" s="15">
        <v>250</v>
      </c>
      <c r="J41" s="15">
        <f t="shared" si="13"/>
        <v>2860</v>
      </c>
    </row>
    <row r="42" spans="2:13" ht="28.8" x14ac:dyDescent="0.3">
      <c r="B42" s="23"/>
      <c r="C42" s="80" t="s">
        <v>39</v>
      </c>
      <c r="D42" s="15">
        <v>1000</v>
      </c>
      <c r="E42" s="15">
        <v>2000</v>
      </c>
      <c r="F42" s="15">
        <v>1000</v>
      </c>
      <c r="G42" s="15">
        <v>198</v>
      </c>
      <c r="H42" s="15">
        <v>198</v>
      </c>
      <c r="I42" s="35"/>
      <c r="J42" s="15">
        <f t="shared" ref="J42:J58" si="14">SUM(D42:H42)</f>
        <v>4396</v>
      </c>
      <c r="K42" s="34"/>
    </row>
    <row r="43" spans="2:13" x14ac:dyDescent="0.3">
      <c r="B43" s="23"/>
      <c r="C43" s="9" t="s">
        <v>16</v>
      </c>
      <c r="D43" s="16">
        <f>SUM(D36:D42)</f>
        <v>16726</v>
      </c>
      <c r="E43" s="16">
        <f t="shared" ref="E43:H43" si="15">SUM(E36:E42)</f>
        <v>3930</v>
      </c>
      <c r="F43" s="16">
        <f t="shared" si="15"/>
        <v>5129.12</v>
      </c>
      <c r="G43" s="16">
        <f t="shared" si="15"/>
        <v>4890.3999999999996</v>
      </c>
      <c r="H43" s="16">
        <f t="shared" si="15"/>
        <v>1575.7744000000002</v>
      </c>
      <c r="I43" s="16">
        <f t="shared" ref="I43" si="16">SUM(I37:I42)</f>
        <v>0</v>
      </c>
      <c r="J43" s="16">
        <f>SUM(J36:J42)</f>
        <v>32251.294399999999</v>
      </c>
      <c r="K43" s="34"/>
    </row>
    <row r="44" spans="2:13" x14ac:dyDescent="0.3">
      <c r="B44" s="23"/>
      <c r="C44" s="14" t="s">
        <v>41</v>
      </c>
      <c r="D44" s="13" t="s">
        <v>32</v>
      </c>
      <c r="E44" s="10"/>
      <c r="F44" s="10"/>
      <c r="G44" s="10"/>
      <c r="H44" s="10"/>
      <c r="J44" s="15"/>
    </row>
    <row r="45" spans="2:13" ht="43.2" x14ac:dyDescent="0.3">
      <c r="B45" s="23"/>
      <c r="C45" s="94" t="s">
        <v>113</v>
      </c>
      <c r="D45" s="15">
        <v>48000</v>
      </c>
      <c r="E45" s="15">
        <v>23000</v>
      </c>
      <c r="F45" s="15">
        <v>18000</v>
      </c>
      <c r="G45" s="15">
        <v>16000</v>
      </c>
      <c r="H45" s="15">
        <v>10000</v>
      </c>
      <c r="I45" s="35"/>
      <c r="J45" s="15">
        <f t="shared" si="14"/>
        <v>115000</v>
      </c>
    </row>
    <row r="46" spans="2:13" ht="28.8" x14ac:dyDescent="0.3">
      <c r="B46" s="23"/>
      <c r="C46" s="79" t="s">
        <v>98</v>
      </c>
      <c r="D46" s="15">
        <v>0</v>
      </c>
      <c r="E46" s="15">
        <v>420000</v>
      </c>
      <c r="F46" s="15">
        <v>420000</v>
      </c>
      <c r="G46" s="15">
        <v>420000</v>
      </c>
      <c r="H46" s="15">
        <v>420000</v>
      </c>
      <c r="I46" s="35"/>
      <c r="J46" s="15">
        <f t="shared" si="14"/>
        <v>1680000</v>
      </c>
      <c r="M46" s="34"/>
    </row>
    <row r="47" spans="2:13" ht="129.6" x14ac:dyDescent="0.3">
      <c r="B47" s="23"/>
      <c r="C47" s="25" t="s">
        <v>124</v>
      </c>
      <c r="D47" s="15">
        <v>50000</v>
      </c>
      <c r="E47" s="15">
        <v>25000</v>
      </c>
      <c r="F47" s="15">
        <v>50000</v>
      </c>
      <c r="G47" s="15">
        <v>25000</v>
      </c>
      <c r="H47" s="15">
        <v>50000</v>
      </c>
      <c r="I47" s="35"/>
      <c r="J47" s="15">
        <f t="shared" si="14"/>
        <v>200000</v>
      </c>
    </row>
    <row r="48" spans="2:13" x14ac:dyDescent="0.3">
      <c r="B48" s="23"/>
      <c r="C48" s="9" t="s">
        <v>17</v>
      </c>
      <c r="D48" s="16">
        <f>SUM(D45:D47)</f>
        <v>98000</v>
      </c>
      <c r="E48" s="16">
        <f>SUM(E45:E47)</f>
        <v>468000</v>
      </c>
      <c r="F48" s="16">
        <f>SUM(F45:F47)</f>
        <v>488000</v>
      </c>
      <c r="G48" s="16">
        <f>SUM(G45:G47)</f>
        <v>461000</v>
      </c>
      <c r="H48" s="16">
        <f>SUM(H45:H47)</f>
        <v>480000</v>
      </c>
      <c r="J48" s="16">
        <f>SUM(J45:J47)</f>
        <v>1995000</v>
      </c>
      <c r="K48" s="34"/>
    </row>
    <row r="49" spans="2:12" x14ac:dyDescent="0.3">
      <c r="B49" s="23"/>
      <c r="C49" s="14" t="s">
        <v>42</v>
      </c>
      <c r="D49" s="13" t="s">
        <v>32</v>
      </c>
      <c r="E49" s="10"/>
      <c r="F49" s="10"/>
      <c r="G49" s="10"/>
      <c r="H49" s="10"/>
      <c r="J49" s="15"/>
    </row>
    <row r="50" spans="2:12" ht="86.4" x14ac:dyDescent="0.3">
      <c r="B50" s="23"/>
      <c r="C50" s="25" t="s">
        <v>115</v>
      </c>
      <c r="D50" s="15">
        <v>0</v>
      </c>
      <c r="E50" s="15">
        <v>9278722</v>
      </c>
      <c r="F50" s="15">
        <f>E50*1.03</f>
        <v>9557083.6600000001</v>
      </c>
      <c r="G50" s="15">
        <f>F50*1.03</f>
        <v>9843796.1698000003</v>
      </c>
      <c r="H50" s="15">
        <f>G50*1.03</f>
        <v>10139110.054894</v>
      </c>
      <c r="J50" s="15">
        <f>SUM(D50:H50)</f>
        <v>38818711.884694003</v>
      </c>
    </row>
    <row r="51" spans="2:12" ht="57.6" x14ac:dyDescent="0.3">
      <c r="B51" s="23"/>
      <c r="C51" s="25" t="s">
        <v>112</v>
      </c>
      <c r="D51" s="15">
        <v>200000</v>
      </c>
      <c r="E51" s="15">
        <v>200000</v>
      </c>
      <c r="F51" s="15">
        <v>200000</v>
      </c>
      <c r="G51" s="15">
        <v>200000</v>
      </c>
      <c r="H51" s="15">
        <v>200000</v>
      </c>
      <c r="J51" s="15">
        <f t="shared" si="14"/>
        <v>1000000</v>
      </c>
    </row>
    <row r="52" spans="2:12" ht="86.4" x14ac:dyDescent="0.3">
      <c r="B52" s="23"/>
      <c r="C52" s="25" t="s">
        <v>102</v>
      </c>
      <c r="D52" s="15">
        <f>(6302*3)/2</f>
        <v>9453</v>
      </c>
      <c r="E52" s="15">
        <f>(6302*3)*1.03</f>
        <v>19473.18</v>
      </c>
      <c r="F52" s="15">
        <f>E52*1.03</f>
        <v>20057.375400000001</v>
      </c>
      <c r="G52" s="15">
        <f t="shared" ref="G52" si="17">F52*1.03</f>
        <v>20659.096662</v>
      </c>
      <c r="H52" s="15">
        <f t="shared" ref="H52" si="18">G52*1.03</f>
        <v>21278.86956186</v>
      </c>
      <c r="J52" s="15">
        <f t="shared" si="14"/>
        <v>90921.521623859997</v>
      </c>
    </row>
    <row r="53" spans="2:12" ht="43.2" x14ac:dyDescent="0.3">
      <c r="B53" s="23"/>
      <c r="C53" s="25" t="s">
        <v>103</v>
      </c>
      <c r="D53" s="15">
        <v>1700</v>
      </c>
      <c r="E53" s="15">
        <v>0</v>
      </c>
      <c r="F53" s="15">
        <v>0</v>
      </c>
      <c r="G53" s="15">
        <v>0</v>
      </c>
      <c r="H53" s="15">
        <v>0</v>
      </c>
      <c r="J53" s="15">
        <f t="shared" si="14"/>
        <v>1700</v>
      </c>
    </row>
    <row r="54" spans="2:12" ht="28.8" x14ac:dyDescent="0.3">
      <c r="B54" s="23"/>
      <c r="C54" s="25" t="s">
        <v>104</v>
      </c>
      <c r="D54" s="15">
        <f>20*3*6</f>
        <v>360</v>
      </c>
      <c r="E54" s="15">
        <f>(20*3*12)*1.03</f>
        <v>741.6</v>
      </c>
      <c r="F54" s="15">
        <f t="shared" ref="F54:F56" si="19">E54*1.03</f>
        <v>763.84800000000007</v>
      </c>
      <c r="G54" s="15">
        <f t="shared" ref="G54:G56" si="20">F54*1.03</f>
        <v>786.76344000000006</v>
      </c>
      <c r="H54" s="15">
        <f t="shared" ref="H54:H56" si="21">G54*1.03</f>
        <v>810.36634320000007</v>
      </c>
      <c r="J54" s="15">
        <f t="shared" si="14"/>
        <v>3462.5777832000003</v>
      </c>
    </row>
    <row r="55" spans="2:12" x14ac:dyDescent="0.3">
      <c r="B55" s="23"/>
      <c r="C55" s="25" t="s">
        <v>105</v>
      </c>
      <c r="D55" s="15">
        <f>75*3*6</f>
        <v>1350</v>
      </c>
      <c r="E55" s="15">
        <f>75*3*12*1.03</f>
        <v>2781</v>
      </c>
      <c r="F55" s="15">
        <f t="shared" si="19"/>
        <v>2864.4300000000003</v>
      </c>
      <c r="G55" s="15">
        <f t="shared" si="20"/>
        <v>2950.3629000000005</v>
      </c>
      <c r="H55" s="15">
        <f t="shared" si="21"/>
        <v>3038.8737870000004</v>
      </c>
      <c r="J55" s="15">
        <f t="shared" si="14"/>
        <v>12984.666687000001</v>
      </c>
    </row>
    <row r="56" spans="2:12" ht="28.8" x14ac:dyDescent="0.3">
      <c r="B56" s="23"/>
      <c r="C56" s="25" t="s">
        <v>106</v>
      </c>
      <c r="D56" s="15">
        <f>17*3*6</f>
        <v>306</v>
      </c>
      <c r="E56" s="15">
        <f>17*3*12</f>
        <v>612</v>
      </c>
      <c r="F56" s="15">
        <f t="shared" si="19"/>
        <v>630.36</v>
      </c>
      <c r="G56" s="15">
        <f t="shared" si="20"/>
        <v>649.27080000000001</v>
      </c>
      <c r="H56" s="15">
        <f t="shared" si="21"/>
        <v>668.74892399999999</v>
      </c>
      <c r="J56" s="15">
        <f t="shared" si="14"/>
        <v>2866.3797239999999</v>
      </c>
    </row>
    <row r="57" spans="2:12" x14ac:dyDescent="0.3">
      <c r="B57" s="24"/>
      <c r="C57" s="9" t="s">
        <v>18</v>
      </c>
      <c r="D57" s="16">
        <f>SUM(D50:D56)</f>
        <v>213169</v>
      </c>
      <c r="E57" s="16">
        <f t="shared" ref="E57:H57" si="22">SUM(E50:E56)</f>
        <v>9502329.7799999993</v>
      </c>
      <c r="F57" s="16">
        <f t="shared" si="22"/>
        <v>9781399.6733999979</v>
      </c>
      <c r="G57" s="16">
        <f t="shared" si="22"/>
        <v>10068841.663602</v>
      </c>
      <c r="H57" s="16">
        <f t="shared" si="22"/>
        <v>10364906.913510062</v>
      </c>
      <c r="J57" s="16">
        <f>SUM(J50:J56)</f>
        <v>39930647.030512057</v>
      </c>
      <c r="K57" s="34"/>
    </row>
    <row r="58" spans="2:12" x14ac:dyDescent="0.3">
      <c r="B58" s="24"/>
      <c r="C58" s="9" t="s">
        <v>19</v>
      </c>
      <c r="D58" s="16">
        <f>SUM(D57,D48,D43,D34,D31,D20,D13)</f>
        <v>599068.76737861731</v>
      </c>
      <c r="E58" s="16">
        <f>SUM(E57,E48,E43,E34,E31,E20,E13)</f>
        <v>10367311.231704911</v>
      </c>
      <c r="F58" s="16">
        <f>SUM(F57,F48,F43,F34,F31,F20,F13)</f>
        <v>10679371.788656056</v>
      </c>
      <c r="G58" s="16">
        <f>SUM(G57,G48,G43,G34,G31,G20,G13)</f>
        <v>10951720.348715741</v>
      </c>
      <c r="H58" s="16">
        <f>SUM(H57,H48,H43,H34,H31,H20,H13)</f>
        <v>11275980.621577214</v>
      </c>
      <c r="J58" s="16">
        <f t="shared" si="14"/>
        <v>43873452.758032538</v>
      </c>
      <c r="K58" s="34"/>
    </row>
    <row r="59" spans="2:12" x14ac:dyDescent="0.3">
      <c r="B59" s="6"/>
      <c r="D59"/>
      <c r="E59"/>
      <c r="H59"/>
      <c r="I59"/>
      <c r="J59" t="s">
        <v>20</v>
      </c>
    </row>
    <row r="60" spans="2:12" ht="28.8" x14ac:dyDescent="0.3">
      <c r="B60" s="70" t="s">
        <v>43</v>
      </c>
      <c r="C60" s="17" t="s">
        <v>43</v>
      </c>
      <c r="D60" s="18"/>
      <c r="E60" s="18"/>
      <c r="F60" s="18"/>
      <c r="G60" s="18"/>
      <c r="H60" s="18"/>
      <c r="I60"/>
      <c r="J60" s="18" t="s">
        <v>20</v>
      </c>
    </row>
    <row r="61" spans="2:12" x14ac:dyDescent="0.3">
      <c r="B61" s="23"/>
      <c r="C61" s="25"/>
      <c r="D61" s="15">
        <f>D21*0.352</f>
        <v>74332.004517273279</v>
      </c>
      <c r="E61" s="15">
        <f>E21*0.352</f>
        <v>127236.82495212895</v>
      </c>
      <c r="F61" s="15">
        <f>F21*0.352</f>
        <v>131053.92970069281</v>
      </c>
      <c r="G61" s="15">
        <f>G21*0.352</f>
        <v>134985.54759171358</v>
      </c>
      <c r="H61" s="15">
        <f>H21*0.352</f>
        <v>139035.11401946502</v>
      </c>
      <c r="J61" s="15">
        <f>SUM(D61:H61)</f>
        <v>606643.42078127363</v>
      </c>
    </row>
    <row r="62" spans="2:12" x14ac:dyDescent="0.3">
      <c r="B62" s="24"/>
      <c r="C62" s="9" t="s">
        <v>21</v>
      </c>
      <c r="D62" s="16">
        <f>SUM(D61:D61)</f>
        <v>74332.004517273279</v>
      </c>
      <c r="E62" s="16">
        <f>SUM(E61:E61)</f>
        <v>127236.82495212895</v>
      </c>
      <c r="F62" s="16">
        <f>SUM(F61:F61)</f>
        <v>131053.92970069281</v>
      </c>
      <c r="G62" s="16">
        <f>SUM(G61:G61)</f>
        <v>134985.54759171358</v>
      </c>
      <c r="H62" s="16">
        <f>SUM(H61:H61)</f>
        <v>139035.11401946502</v>
      </c>
      <c r="J62" s="16">
        <f>SUM(J61:J61)</f>
        <v>606643.42078127363</v>
      </c>
      <c r="K62" s="34"/>
    </row>
    <row r="63" spans="2:12" ht="15" thickBot="1" x14ac:dyDescent="0.35">
      <c r="B63" s="6"/>
      <c r="D63"/>
      <c r="E63"/>
      <c r="H63"/>
      <c r="I63"/>
      <c r="J63" t="s">
        <v>20</v>
      </c>
      <c r="L63" s="85"/>
    </row>
    <row r="64" spans="2:12" s="1" customFormat="1" ht="29.4" thickBot="1" x14ac:dyDescent="0.35">
      <c r="B64" s="19" t="s">
        <v>22</v>
      </c>
      <c r="C64" s="19"/>
      <c r="D64" s="20">
        <f>SUM(D62,D58)</f>
        <v>673400.77189589059</v>
      </c>
      <c r="E64" s="20">
        <f>SUM(E62,E58)</f>
        <v>10494548.05665704</v>
      </c>
      <c r="F64" s="20">
        <f>SUM(F62,F58)</f>
        <v>10810425.718356749</v>
      </c>
      <c r="G64" s="20">
        <f>SUM(G62,G58)</f>
        <v>11086705.896307455</v>
      </c>
      <c r="H64" s="20">
        <f>SUM(H62,H58)</f>
        <v>11415015.735596679</v>
      </c>
      <c r="I64" s="7"/>
      <c r="J64" s="20">
        <f>SUM(J62,J58)</f>
        <v>44480096.178813815</v>
      </c>
      <c r="K64" s="34"/>
    </row>
    <row r="65" spans="2:11" x14ac:dyDescent="0.3">
      <c r="B65" s="6"/>
      <c r="K65" s="63"/>
    </row>
    <row r="66" spans="2:11" x14ac:dyDescent="0.3">
      <c r="B66" s="6"/>
      <c r="C66" t="s">
        <v>44</v>
      </c>
    </row>
    <row r="67" spans="2:11" x14ac:dyDescent="0.3">
      <c r="B67" s="6"/>
      <c r="C67" t="s">
        <v>68</v>
      </c>
    </row>
    <row r="68" spans="2:11" x14ac:dyDescent="0.3">
      <c r="B68" s="6"/>
    </row>
    <row r="69" spans="2:11" x14ac:dyDescent="0.3">
      <c r="B69" s="6"/>
    </row>
    <row r="70" spans="2:11" x14ac:dyDescent="0.3">
      <c r="B70" s="6"/>
    </row>
    <row r="71" spans="2:11" x14ac:dyDescent="0.3">
      <c r="B71" s="6"/>
    </row>
    <row r="72" spans="2:11" x14ac:dyDescent="0.3">
      <c r="B72" s="6"/>
    </row>
    <row r="73" spans="2:11" x14ac:dyDescent="0.3">
      <c r="B73" s="6"/>
    </row>
    <row r="74" spans="2:11" x14ac:dyDescent="0.3">
      <c r="B74" s="6"/>
    </row>
    <row r="75" spans="2:11" x14ac:dyDescent="0.3">
      <c r="B75" s="6"/>
    </row>
    <row r="76" spans="2:11" x14ac:dyDescent="0.3">
      <c r="B76" s="6"/>
    </row>
    <row r="77" spans="2:11" x14ac:dyDescent="0.3">
      <c r="B77" s="6"/>
    </row>
    <row r="78" spans="2:11" x14ac:dyDescent="0.3">
      <c r="B78" s="6"/>
    </row>
    <row r="79" spans="2:11" x14ac:dyDescent="0.3">
      <c r="B79" s="6"/>
    </row>
  </sheetData>
  <mergeCells count="1">
    <mergeCell ref="K8:L8"/>
  </mergeCells>
  <phoneticPr fontId="24" type="noConversion"/>
  <pageMargins left="0.7" right="0.7" top="0.75" bottom="0.75" header="0.3" footer="0.3"/>
  <pageSetup scale="43" fitToHeight="0" orientation="landscape" r:id="rId1"/>
  <ignoredErrors>
    <ignoredError sqref="J42 J47 J45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84"/>
  <sheetViews>
    <sheetView defaultGridColor="0" colorId="23" zoomScale="90" zoomScaleNormal="90" workbookViewId="0">
      <pane xSplit="3" ySplit="6" topLeftCell="D44" activePane="bottomRight" state="frozen"/>
      <selection pane="topRight" activeCell="R20" sqref="R20:W20"/>
      <selection pane="bottomLeft" activeCell="R20" sqref="R20:W20"/>
      <selection pane="bottomRight" activeCell="B5" sqref="B5"/>
    </sheetView>
  </sheetViews>
  <sheetFormatPr defaultColWidth="9.109375" defaultRowHeight="14.4" x14ac:dyDescent="0.3"/>
  <cols>
    <col min="1" max="1" width="3.109375" customWidth="1"/>
    <col min="2" max="2" width="14.109375" customWidth="1"/>
    <col min="3" max="3" width="44.33203125" customWidth="1"/>
    <col min="4" max="4" width="14.33203125" style="6" customWidth="1"/>
    <col min="5" max="5" width="16.33203125" style="2" customWidth="1"/>
    <col min="6" max="6" width="16.6640625" customWidth="1"/>
    <col min="7" max="7" width="16.33203125" customWidth="1"/>
    <col min="8" max="8" width="15.33203125" style="2" customWidth="1"/>
    <col min="9" max="9" width="0.88671875" style="7" customWidth="1"/>
    <col min="10" max="10" width="14.33203125" customWidth="1"/>
    <col min="11" max="11" width="9.33203125" customWidth="1"/>
  </cols>
  <sheetData>
    <row r="2" spans="2:39" ht="23.4" x14ac:dyDescent="0.45">
      <c r="B2" s="30" t="s">
        <v>29</v>
      </c>
    </row>
    <row r="3" spans="2:39" x14ac:dyDescent="0.3">
      <c r="B3" s="97" t="s">
        <v>130</v>
      </c>
      <c r="K3" s="84"/>
    </row>
    <row r="4" spans="2:39" x14ac:dyDescent="0.3">
      <c r="B4" s="5"/>
    </row>
    <row r="5" spans="2:39" ht="18" x14ac:dyDescent="0.35">
      <c r="B5" s="36" t="s">
        <v>172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57.6" x14ac:dyDescent="0.3">
      <c r="B8" s="86"/>
      <c r="C8" s="25" t="s">
        <v>89</v>
      </c>
      <c r="D8" s="15">
        <f>(94751*1.03)/2</f>
        <v>48796.764999999999</v>
      </c>
      <c r="E8" s="15">
        <f>(94751*1.03)*1.03</f>
        <v>100521.33590000001</v>
      </c>
      <c r="F8" s="15">
        <f>E8*1.03</f>
        <v>103536.97597700001</v>
      </c>
      <c r="G8" s="15">
        <f>F8*1.03</f>
        <v>106643.08525631001</v>
      </c>
      <c r="H8" s="15">
        <f>G8*1.03</f>
        <v>109842.37781399931</v>
      </c>
      <c r="I8" s="35"/>
      <c r="J8" s="15">
        <f>SUM(D8:H8)</f>
        <v>469340.53994730936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ht="43.2" x14ac:dyDescent="0.3">
      <c r="B9" s="23"/>
      <c r="C9" s="25" t="s">
        <v>88</v>
      </c>
      <c r="D9" s="15">
        <f>((37.34*2080)*1.03)/2</f>
        <v>39998.608000000007</v>
      </c>
      <c r="E9" s="15">
        <f>((37.34*2080)*1.03)*1.03</f>
        <v>82397.132480000015</v>
      </c>
      <c r="F9" s="15">
        <f t="shared" ref="F9:H9" si="0">E9*1.03</f>
        <v>84869.046454400013</v>
      </c>
      <c r="G9" s="15">
        <f t="shared" si="0"/>
        <v>87415.117848032023</v>
      </c>
      <c r="H9" s="15">
        <f t="shared" si="0"/>
        <v>90037.571383472983</v>
      </c>
      <c r="I9" s="35">
        <v>450000</v>
      </c>
      <c r="J9" s="15">
        <f>SUM(D9:H9)</f>
        <v>384717.47616590507</v>
      </c>
    </row>
    <row r="10" spans="2:39" ht="43.2" x14ac:dyDescent="0.3">
      <c r="B10" s="23"/>
      <c r="C10" s="25" t="s">
        <v>90</v>
      </c>
      <c r="D10" s="15">
        <f>(33.23*2080)*1.03</f>
        <v>71191.95199999999</v>
      </c>
      <c r="E10" s="15">
        <f>(((33.23*2080)*1.03)*1.03)*2</f>
        <v>146655.42111999998</v>
      </c>
      <c r="F10" s="15">
        <f t="shared" ref="F10:F11" si="1">E10*1.03</f>
        <v>151055.08375359999</v>
      </c>
      <c r="G10" s="15">
        <f t="shared" ref="G10:G11" si="2">F10*1.03</f>
        <v>155586.736266208</v>
      </c>
      <c r="H10" s="15">
        <f t="shared" ref="H10:H11" si="3">G10*1.03</f>
        <v>160254.33835419425</v>
      </c>
      <c r="I10" s="35"/>
      <c r="J10" s="15">
        <f>SUM(D10:H10)</f>
        <v>684743.53149400232</v>
      </c>
    </row>
    <row r="11" spans="2:39" ht="28.8" x14ac:dyDescent="0.3">
      <c r="B11" s="23"/>
      <c r="C11" s="25" t="str">
        <f>'Clean Truck Incentives Budget'!C10</f>
        <v>Existing: 1 Gen I - Env Sci (Bureau Chief), 5% FTE with 3% yearly salary increases</v>
      </c>
      <c r="D11" s="15">
        <f>'Clean Truck Incentives Budget'!D10</f>
        <v>6122.6474493600008</v>
      </c>
      <c r="E11" s="15">
        <f>D11*1.03</f>
        <v>6306.3268728408011</v>
      </c>
      <c r="F11" s="15">
        <f t="shared" si="1"/>
        <v>6495.5166790260255</v>
      </c>
      <c r="G11" s="15">
        <f t="shared" si="2"/>
        <v>6690.3821793968064</v>
      </c>
      <c r="H11" s="15">
        <f t="shared" si="3"/>
        <v>6891.0936447787108</v>
      </c>
      <c r="I11" s="35"/>
      <c r="J11" s="15">
        <f t="shared" ref="J11:J13" si="4">SUM(D11:H11)</f>
        <v>32505.966825402342</v>
      </c>
    </row>
    <row r="12" spans="2:39" ht="28.8" x14ac:dyDescent="0.3">
      <c r="B12" s="23"/>
      <c r="C12" s="25" t="str">
        <f>'Clean Truck Incentives Budget'!C11</f>
        <v>Existing: 1 Acct &amp; Auditor A, 10%  FTE yearly, with 3% yearly salary increases</v>
      </c>
      <c r="D12" s="15">
        <f>'Clean Truck Incentives Budget'!D11</f>
        <v>6738.5721312000005</v>
      </c>
      <c r="E12" s="15">
        <f t="shared" ref="E12:H13" si="5">D12*1.03</f>
        <v>6940.7292951360005</v>
      </c>
      <c r="F12" s="15">
        <f t="shared" si="5"/>
        <v>7148.9511739900809</v>
      </c>
      <c r="G12" s="15">
        <f t="shared" si="5"/>
        <v>7363.4197092097838</v>
      </c>
      <c r="H12" s="15">
        <f t="shared" si="5"/>
        <v>7584.3223004860774</v>
      </c>
      <c r="I12" s="35"/>
      <c r="J12" s="15">
        <f t="shared" si="4"/>
        <v>35775.994610021946</v>
      </c>
    </row>
    <row r="13" spans="2:39" ht="43.2" x14ac:dyDescent="0.3">
      <c r="B13" s="23"/>
      <c r="C13" s="25" t="str">
        <f>'Clean Truck Incentives Budget'!C12</f>
        <v>Existing:  2 A/O I -Env Sci (Program Managers), total of 10% FTE year 1 only, with 3% salary increase</v>
      </c>
      <c r="D13" s="15">
        <f>45.02*1.03*40*52*0.1*2</f>
        <v>19290.169600000001</v>
      </c>
      <c r="E13" s="15">
        <v>0</v>
      </c>
      <c r="F13" s="15">
        <f t="shared" si="5"/>
        <v>0</v>
      </c>
      <c r="G13" s="15">
        <f t="shared" si="5"/>
        <v>0</v>
      </c>
      <c r="H13" s="15">
        <f t="shared" si="5"/>
        <v>0</v>
      </c>
      <c r="I13" s="35"/>
      <c r="J13" s="15">
        <f t="shared" si="4"/>
        <v>19290.169600000001</v>
      </c>
    </row>
    <row r="14" spans="2:39" x14ac:dyDescent="0.3">
      <c r="B14" s="23"/>
      <c r="C14" s="9" t="s">
        <v>12</v>
      </c>
      <c r="D14" s="16">
        <f t="shared" ref="D14:J14" si="6">SUM(D8:D13)</f>
        <v>192138.71418056</v>
      </c>
      <c r="E14" s="16">
        <f t="shared" si="6"/>
        <v>342820.94566797686</v>
      </c>
      <c r="F14" s="16">
        <f t="shared" si="6"/>
        <v>353105.57403801614</v>
      </c>
      <c r="G14" s="16">
        <f t="shared" si="6"/>
        <v>363698.74125915661</v>
      </c>
      <c r="H14" s="16">
        <f t="shared" si="6"/>
        <v>374609.70349693135</v>
      </c>
      <c r="I14" s="35">
        <f t="shared" si="6"/>
        <v>450000</v>
      </c>
      <c r="J14" s="16">
        <f t="shared" si="6"/>
        <v>1626373.6786426411</v>
      </c>
      <c r="K14" s="34"/>
    </row>
    <row r="15" spans="2:39" x14ac:dyDescent="0.3">
      <c r="B15" s="23"/>
      <c r="C15" s="14" t="s">
        <v>33</v>
      </c>
      <c r="D15" s="13" t="s">
        <v>32</v>
      </c>
      <c r="E15" s="10"/>
      <c r="F15" s="10"/>
      <c r="G15" s="10"/>
      <c r="H15" s="10"/>
      <c r="J15" s="8" t="s">
        <v>32</v>
      </c>
    </row>
    <row r="16" spans="2:39" ht="57.6" customHeight="1" x14ac:dyDescent="0.3">
      <c r="B16" s="23"/>
      <c r="C16" s="25" t="s">
        <v>89</v>
      </c>
      <c r="D16" s="15">
        <f t="shared" ref="D16:H21" si="7">D8*0.388</f>
        <v>18933.144820000001</v>
      </c>
      <c r="E16" s="15">
        <f t="shared" si="7"/>
        <v>39002.278329200002</v>
      </c>
      <c r="F16" s="15">
        <f t="shared" si="7"/>
        <v>40172.346679076007</v>
      </c>
      <c r="G16" s="15">
        <f t="shared" si="7"/>
        <v>41377.517079448284</v>
      </c>
      <c r="H16" s="15">
        <f t="shared" si="7"/>
        <v>42618.84259183173</v>
      </c>
      <c r="J16" s="15">
        <f>SUM(D16:H16)</f>
        <v>182104.129499556</v>
      </c>
    </row>
    <row r="17" spans="2:13" ht="42.6" customHeight="1" x14ac:dyDescent="0.3">
      <c r="B17" s="23"/>
      <c r="C17" s="25" t="s">
        <v>88</v>
      </c>
      <c r="D17" s="15">
        <f t="shared" si="7"/>
        <v>15519.459904000003</v>
      </c>
      <c r="E17" s="15">
        <f t="shared" si="7"/>
        <v>31970.087402240006</v>
      </c>
      <c r="F17" s="15">
        <f t="shared" si="7"/>
        <v>32929.190024307209</v>
      </c>
      <c r="G17" s="15">
        <f t="shared" si="7"/>
        <v>33917.065725036424</v>
      </c>
      <c r="H17" s="15">
        <f t="shared" si="7"/>
        <v>34934.577696787521</v>
      </c>
      <c r="J17" s="15">
        <f>SUM(D17:H17)</f>
        <v>149270.38075237116</v>
      </c>
    </row>
    <row r="18" spans="2:13" ht="29.25" customHeight="1" x14ac:dyDescent="0.3">
      <c r="B18" s="23"/>
      <c r="C18" s="25" t="s">
        <v>93</v>
      </c>
      <c r="D18" s="15">
        <f t="shared" si="7"/>
        <v>27622.477375999995</v>
      </c>
      <c r="E18" s="15">
        <f t="shared" si="7"/>
        <v>56902.303394559996</v>
      </c>
      <c r="F18" s="15">
        <f t="shared" si="7"/>
        <v>58609.372496396798</v>
      </c>
      <c r="G18" s="15">
        <f t="shared" si="7"/>
        <v>60367.653671288703</v>
      </c>
      <c r="H18" s="15">
        <f t="shared" si="7"/>
        <v>62178.683281427366</v>
      </c>
      <c r="J18" s="15">
        <f>SUM(D18:H18)</f>
        <v>265680.49021967285</v>
      </c>
    </row>
    <row r="19" spans="2:13" ht="29.25" customHeight="1" x14ac:dyDescent="0.3">
      <c r="B19" s="23"/>
      <c r="C19" s="25" t="s">
        <v>83</v>
      </c>
      <c r="D19" s="15">
        <f t="shared" si="7"/>
        <v>2375.5872103516804</v>
      </c>
      <c r="E19" s="15">
        <f t="shared" si="7"/>
        <v>2446.8548266622311</v>
      </c>
      <c r="F19" s="15">
        <f t="shared" si="7"/>
        <v>2520.2604714620979</v>
      </c>
      <c r="G19" s="15">
        <f t="shared" si="7"/>
        <v>2595.8682856059609</v>
      </c>
      <c r="H19" s="15">
        <f t="shared" si="7"/>
        <v>2673.74433417414</v>
      </c>
      <c r="J19" s="15">
        <f t="shared" ref="J19:J21" si="8">SUM(D19:H19)</f>
        <v>12612.31512825611</v>
      </c>
    </row>
    <row r="20" spans="2:13" ht="29.25" customHeight="1" x14ac:dyDescent="0.3">
      <c r="B20" s="23"/>
      <c r="C20" s="25" t="s">
        <v>84</v>
      </c>
      <c r="D20" s="15">
        <f t="shared" si="7"/>
        <v>2614.5659869056003</v>
      </c>
      <c r="E20" s="15">
        <f t="shared" si="7"/>
        <v>2693.0029665127681</v>
      </c>
      <c r="F20" s="15">
        <f t="shared" si="7"/>
        <v>2773.7930555081516</v>
      </c>
      <c r="G20" s="15">
        <f t="shared" si="7"/>
        <v>2857.0068471733962</v>
      </c>
      <c r="H20" s="15">
        <f t="shared" si="7"/>
        <v>2942.7170525885981</v>
      </c>
      <c r="J20" s="15">
        <f t="shared" si="8"/>
        <v>13881.085908688514</v>
      </c>
    </row>
    <row r="21" spans="2:13" ht="43.5" customHeight="1" x14ac:dyDescent="0.3">
      <c r="B21" s="23"/>
      <c r="C21" s="25" t="s">
        <v>94</v>
      </c>
      <c r="D21" s="15">
        <f t="shared" si="7"/>
        <v>7484.5858048000009</v>
      </c>
      <c r="E21" s="15">
        <f t="shared" si="7"/>
        <v>0</v>
      </c>
      <c r="F21" s="15">
        <f t="shared" si="7"/>
        <v>0</v>
      </c>
      <c r="G21" s="15">
        <f t="shared" si="7"/>
        <v>0</v>
      </c>
      <c r="H21" s="15">
        <f t="shared" si="7"/>
        <v>0</v>
      </c>
      <c r="J21" s="15">
        <f t="shared" si="8"/>
        <v>7484.5858048000009</v>
      </c>
    </row>
    <row r="22" spans="2:13" x14ac:dyDescent="0.3">
      <c r="B22" s="23"/>
      <c r="C22" s="9" t="s">
        <v>13</v>
      </c>
      <c r="D22" s="16">
        <f t="shared" ref="D22:J22" si="9">SUM(D16:D21)</f>
        <v>74549.821102057293</v>
      </c>
      <c r="E22" s="16">
        <f t="shared" si="9"/>
        <v>133014.526919175</v>
      </c>
      <c r="F22" s="16">
        <f t="shared" si="9"/>
        <v>137004.96272675027</v>
      </c>
      <c r="G22" s="16">
        <f t="shared" si="9"/>
        <v>141115.11160855275</v>
      </c>
      <c r="H22" s="16">
        <f t="shared" si="9"/>
        <v>145348.56495680934</v>
      </c>
      <c r="I22" s="16">
        <f t="shared" si="9"/>
        <v>0</v>
      </c>
      <c r="J22" s="16">
        <f t="shared" si="9"/>
        <v>631032.98731334473</v>
      </c>
      <c r="K22" s="34"/>
    </row>
    <row r="23" spans="2:13" x14ac:dyDescent="0.3">
      <c r="B23" s="23"/>
      <c r="C23" s="9" t="s">
        <v>67</v>
      </c>
      <c r="D23" s="16">
        <f t="shared" ref="D23:J23" si="10">SUM(D14,D22)</f>
        <v>266688.53528261732</v>
      </c>
      <c r="E23" s="16">
        <f t="shared" si="10"/>
        <v>475835.47258715186</v>
      </c>
      <c r="F23" s="16">
        <f t="shared" si="10"/>
        <v>490110.53676476644</v>
      </c>
      <c r="G23" s="16">
        <f t="shared" si="10"/>
        <v>504813.85286770936</v>
      </c>
      <c r="H23" s="16">
        <f t="shared" si="10"/>
        <v>519958.26845374069</v>
      </c>
      <c r="I23" s="16">
        <f t="shared" si="10"/>
        <v>450000</v>
      </c>
      <c r="J23" s="16">
        <f t="shared" si="10"/>
        <v>2257406.6659559859</v>
      </c>
      <c r="K23" s="34"/>
    </row>
    <row r="24" spans="2:13" x14ac:dyDescent="0.3">
      <c r="B24" s="23"/>
      <c r="C24" s="14" t="s">
        <v>34</v>
      </c>
      <c r="D24" s="13" t="s">
        <v>32</v>
      </c>
      <c r="E24" s="10"/>
      <c r="F24" s="10"/>
      <c r="G24" s="10"/>
      <c r="H24" s="10"/>
      <c r="J24" s="8" t="s">
        <v>32</v>
      </c>
    </row>
    <row r="25" spans="2:13" ht="27" x14ac:dyDescent="0.3">
      <c r="B25" s="23"/>
      <c r="C25" s="83" t="s">
        <v>127</v>
      </c>
      <c r="D25" s="95"/>
      <c r="E25" s="95"/>
      <c r="F25" s="95"/>
      <c r="G25" s="95"/>
      <c r="H25" s="95"/>
      <c r="I25" s="92"/>
      <c r="J25" s="93"/>
    </row>
    <row r="26" spans="2:13" ht="28.8" x14ac:dyDescent="0.3">
      <c r="B26" s="23"/>
      <c r="C26" s="80" t="s">
        <v>76</v>
      </c>
      <c r="D26" s="81">
        <f>400*50*0.66</f>
        <v>13200</v>
      </c>
      <c r="E26" s="81">
        <f>D26*1.03</f>
        <v>13596</v>
      </c>
      <c r="F26" s="81">
        <f>E26*1.03</f>
        <v>14003.880000000001</v>
      </c>
      <c r="G26" s="81">
        <f t="shared" ref="G26" si="11">F26*1.03</f>
        <v>14423.996400000002</v>
      </c>
      <c r="H26" s="81">
        <f t="shared" ref="H26" si="12">G26*1.03</f>
        <v>14856.716292000003</v>
      </c>
      <c r="J26" s="15">
        <f>SUM(D26:H26)</f>
        <v>70080.592692000006</v>
      </c>
      <c r="K26" s="34"/>
    </row>
    <row r="27" spans="2:13" ht="28.8" x14ac:dyDescent="0.3">
      <c r="B27" s="23"/>
      <c r="C27" s="80" t="s">
        <v>70</v>
      </c>
      <c r="D27" s="81">
        <f>350*4+700*4*2</f>
        <v>7000</v>
      </c>
      <c r="E27" s="81">
        <f t="shared" ref="E27" si="13">D27*1.03</f>
        <v>7210</v>
      </c>
      <c r="F27" s="81">
        <f t="shared" ref="F27" si="14">E27*1.03</f>
        <v>7426.3</v>
      </c>
      <c r="G27" s="81">
        <f t="shared" ref="G27" si="15">F27*1.03</f>
        <v>7649.0889999999999</v>
      </c>
      <c r="H27" s="81">
        <f t="shared" ref="H27" si="16">G27*1.03</f>
        <v>7878.56167</v>
      </c>
      <c r="I27" s="35"/>
      <c r="J27" s="15">
        <f t="shared" ref="J27:J28" si="17">SUM(D27:H27)</f>
        <v>37163.950669999998</v>
      </c>
      <c r="K27" s="34"/>
      <c r="L27" s="73"/>
      <c r="M27" s="72"/>
    </row>
    <row r="28" spans="2:13" x14ac:dyDescent="0.3">
      <c r="B28" s="23"/>
      <c r="C28" s="80" t="s">
        <v>71</v>
      </c>
      <c r="D28" s="81">
        <f>25*12</f>
        <v>300</v>
      </c>
      <c r="E28" s="81">
        <f t="shared" ref="E28:E32" si="18">D28*1.03</f>
        <v>309</v>
      </c>
      <c r="F28" s="81">
        <f t="shared" ref="F28:F32" si="19">E28*1.03</f>
        <v>318.27</v>
      </c>
      <c r="G28" s="81">
        <f t="shared" ref="G28:G32" si="20">F28*1.03</f>
        <v>327.81810000000002</v>
      </c>
      <c r="H28" s="81">
        <f t="shared" ref="H28:H32" si="21">G28*1.03</f>
        <v>337.65264300000001</v>
      </c>
      <c r="J28" s="15">
        <f t="shared" si="17"/>
        <v>1592.7407429999998</v>
      </c>
      <c r="L28" s="74"/>
    </row>
    <row r="29" spans="2:13" ht="43.2" x14ac:dyDescent="0.3">
      <c r="B29" s="23"/>
      <c r="C29" s="80" t="s">
        <v>73</v>
      </c>
      <c r="D29" s="81">
        <f>6*4*175 + 8*4*250</f>
        <v>12200</v>
      </c>
      <c r="E29" s="81">
        <f t="shared" si="18"/>
        <v>12566</v>
      </c>
      <c r="F29" s="81">
        <f t="shared" si="19"/>
        <v>12942.98</v>
      </c>
      <c r="G29" s="81">
        <f t="shared" si="20"/>
        <v>13331.269399999999</v>
      </c>
      <c r="H29" s="81">
        <f t="shared" si="21"/>
        <v>13731.207482</v>
      </c>
      <c r="J29" s="15">
        <f t="shared" ref="J29:J32" si="22">SUM(D29:H29)</f>
        <v>64771.456881999991</v>
      </c>
      <c r="L29" s="72"/>
    </row>
    <row r="30" spans="2:13" ht="28.8" x14ac:dyDescent="0.3">
      <c r="B30" s="23"/>
      <c r="C30" s="80" t="s">
        <v>72</v>
      </c>
      <c r="D30" s="81">
        <f>(50*1.5 + 11*4)*59</f>
        <v>7021</v>
      </c>
      <c r="E30" s="81">
        <f t="shared" si="18"/>
        <v>7231.63</v>
      </c>
      <c r="F30" s="81">
        <f t="shared" si="19"/>
        <v>7448.5789000000004</v>
      </c>
      <c r="G30" s="81">
        <f t="shared" si="20"/>
        <v>7672.0362670000004</v>
      </c>
      <c r="H30" s="81">
        <f t="shared" si="21"/>
        <v>7902.197355010001</v>
      </c>
      <c r="J30" s="15">
        <f t="shared" si="22"/>
        <v>37275.442522010002</v>
      </c>
      <c r="L30" s="72"/>
    </row>
    <row r="31" spans="2:13" ht="28.8" x14ac:dyDescent="0.3">
      <c r="B31" s="23"/>
      <c r="C31" s="80" t="s">
        <v>74</v>
      </c>
      <c r="D31" s="81">
        <f>120*4*3*0.66</f>
        <v>950.40000000000009</v>
      </c>
      <c r="E31" s="81">
        <f t="shared" si="18"/>
        <v>978.91200000000015</v>
      </c>
      <c r="F31" s="81">
        <f t="shared" si="19"/>
        <v>1008.2793600000002</v>
      </c>
      <c r="G31" s="81">
        <f t="shared" si="20"/>
        <v>1038.5277408000002</v>
      </c>
      <c r="H31" s="81">
        <f t="shared" si="21"/>
        <v>1069.6835730240002</v>
      </c>
      <c r="J31" s="15">
        <f t="shared" si="22"/>
        <v>5045.8026738240005</v>
      </c>
    </row>
    <row r="32" spans="2:13" ht="28.8" x14ac:dyDescent="0.3">
      <c r="B32" s="23"/>
      <c r="C32" s="80" t="s">
        <v>75</v>
      </c>
      <c r="D32" s="81">
        <f>20*11*4</f>
        <v>880</v>
      </c>
      <c r="E32" s="81">
        <f t="shared" si="18"/>
        <v>906.4</v>
      </c>
      <c r="F32" s="81">
        <f t="shared" si="19"/>
        <v>933.59199999999998</v>
      </c>
      <c r="G32" s="81">
        <f t="shared" si="20"/>
        <v>961.59976000000006</v>
      </c>
      <c r="H32" s="81">
        <f t="shared" si="21"/>
        <v>990.4477528000001</v>
      </c>
      <c r="J32" s="15">
        <f t="shared" si="22"/>
        <v>4672.0395128</v>
      </c>
    </row>
    <row r="33" spans="2:11" x14ac:dyDescent="0.3">
      <c r="B33" s="23"/>
      <c r="C33" s="9" t="s">
        <v>14</v>
      </c>
      <c r="D33" s="16">
        <f>SUM(D26:D32)</f>
        <v>41551.4</v>
      </c>
      <c r="E33" s="16">
        <f>SUM(E26:E32)</f>
        <v>42797.941999999995</v>
      </c>
      <c r="F33" s="16">
        <f>SUM(F26:F32)</f>
        <v>44081.880259999998</v>
      </c>
      <c r="G33" s="16">
        <f>SUM(G26:G32)</f>
        <v>45404.336667800002</v>
      </c>
      <c r="H33" s="16">
        <f>SUM(H26:H32)</f>
        <v>46766.466767834005</v>
      </c>
      <c r="J33" s="16">
        <f>SUM(J26:J32)</f>
        <v>220602.02569563402</v>
      </c>
      <c r="K33" s="34"/>
    </row>
    <row r="34" spans="2:11" x14ac:dyDescent="0.3">
      <c r="B34" s="23"/>
      <c r="C34" s="14" t="s">
        <v>35</v>
      </c>
      <c r="D34" s="15"/>
      <c r="E34" s="10"/>
      <c r="F34" s="10"/>
      <c r="G34" s="10"/>
      <c r="H34" s="10"/>
      <c r="J34" s="15" t="s">
        <v>20</v>
      </c>
    </row>
    <row r="35" spans="2:11" ht="28.8" x14ac:dyDescent="0.3">
      <c r="B35" s="23"/>
      <c r="C35" s="82" t="s">
        <v>122</v>
      </c>
      <c r="D35" s="15">
        <f>'Clean Truck Incentives Budget'!D33</f>
        <v>29340</v>
      </c>
      <c r="E35" s="15">
        <f>'Clean Truck Incentives Budget'!E33</f>
        <v>0</v>
      </c>
      <c r="F35" s="15">
        <f>'Clean Truck Incentives Budget'!F33</f>
        <v>0</v>
      </c>
      <c r="G35" s="15">
        <f>'Clean Truck Incentives Budget'!G33</f>
        <v>0</v>
      </c>
      <c r="H35" s="15">
        <f>'Clean Truck Incentives Budget'!H33</f>
        <v>0</v>
      </c>
      <c r="J35" s="15">
        <f t="shared" ref="J35" si="23">SUM(D35:H35)</f>
        <v>29340</v>
      </c>
    </row>
    <row r="36" spans="2:11" x14ac:dyDescent="0.3">
      <c r="B36" s="23"/>
      <c r="C36" s="9" t="s">
        <v>15</v>
      </c>
      <c r="D36" s="12">
        <f>SUM(D35:D35)</f>
        <v>29340</v>
      </c>
      <c r="E36" s="12">
        <f>SUM(E35:E35)</f>
        <v>0</v>
      </c>
      <c r="F36" s="12">
        <f>SUM(F35:F35)</f>
        <v>0</v>
      </c>
      <c r="G36" s="12">
        <f>SUM(G35:G35)</f>
        <v>0</v>
      </c>
      <c r="H36" s="12">
        <f>SUM(H35:H35)</f>
        <v>0</v>
      </c>
      <c r="J36" s="16">
        <f>SUM(J35:J35)</f>
        <v>29340</v>
      </c>
      <c r="K36" s="34"/>
    </row>
    <row r="37" spans="2:11" x14ac:dyDescent="0.3">
      <c r="B37" s="23"/>
      <c r="C37" s="14" t="s">
        <v>37</v>
      </c>
      <c r="D37" s="13" t="s">
        <v>32</v>
      </c>
      <c r="E37" s="10"/>
      <c r="F37" s="10"/>
      <c r="G37" s="10"/>
      <c r="H37" s="10"/>
      <c r="J37" s="15"/>
    </row>
    <row r="38" spans="2:11" ht="28.8" x14ac:dyDescent="0.3">
      <c r="B38" s="23"/>
      <c r="C38" s="71" t="s">
        <v>123</v>
      </c>
      <c r="D38" s="89">
        <f>4900/2</f>
        <v>2450</v>
      </c>
      <c r="E38" s="90">
        <v>0</v>
      </c>
      <c r="F38" s="90">
        <v>0</v>
      </c>
      <c r="G38" s="90">
        <v>0</v>
      </c>
      <c r="H38" s="90">
        <v>0</v>
      </c>
      <c r="J38" s="15">
        <f t="shared" ref="J38" si="24">SUM(D38:H38)</f>
        <v>2450</v>
      </c>
    </row>
    <row r="39" spans="2:11" ht="28.8" x14ac:dyDescent="0.3">
      <c r="B39" s="23"/>
      <c r="C39" s="82" t="s">
        <v>69</v>
      </c>
      <c r="D39" s="15">
        <f>2200*4</f>
        <v>8800</v>
      </c>
      <c r="E39" s="15">
        <v>0</v>
      </c>
      <c r="F39" s="15">
        <f>2200*1.06</f>
        <v>2332</v>
      </c>
      <c r="G39" s="15">
        <f>2200*1.09</f>
        <v>2398</v>
      </c>
      <c r="H39" s="15">
        <v>0</v>
      </c>
      <c r="J39" s="15">
        <f>SUM(D39:H39)</f>
        <v>13530</v>
      </c>
    </row>
    <row r="40" spans="2:11" ht="43.2" x14ac:dyDescent="0.3">
      <c r="B40" s="23"/>
      <c r="C40" s="80" t="s">
        <v>107</v>
      </c>
      <c r="D40" s="15">
        <f>((250*2)+80+117+55)*4</f>
        <v>3008</v>
      </c>
      <c r="E40" s="15">
        <v>0</v>
      </c>
      <c r="F40" s="15">
        <f>(D40*1.06)/4</f>
        <v>797.12</v>
      </c>
      <c r="G40" s="15">
        <v>0</v>
      </c>
      <c r="H40" s="15">
        <f>F40*1.12</f>
        <v>892.77440000000013</v>
      </c>
      <c r="J40" s="15">
        <f t="shared" ref="J40:J45" si="25">SUM(D40:H40)</f>
        <v>4697.8944000000001</v>
      </c>
      <c r="K40" s="34"/>
    </row>
    <row r="41" spans="2:11" ht="28.8" x14ac:dyDescent="0.3">
      <c r="B41" s="23"/>
      <c r="C41" s="80" t="s">
        <v>109</v>
      </c>
      <c r="D41" s="15">
        <f>830*4</f>
        <v>3320</v>
      </c>
      <c r="E41" s="15">
        <v>0</v>
      </c>
      <c r="F41" s="15">
        <v>0</v>
      </c>
      <c r="G41" s="15">
        <f>(830*2)*1.09</f>
        <v>1809.4</v>
      </c>
      <c r="H41" s="15">
        <v>0</v>
      </c>
      <c r="J41" s="15">
        <f t="shared" si="25"/>
        <v>5129.3999999999996</v>
      </c>
    </row>
    <row r="42" spans="2:11" ht="28.8" x14ac:dyDescent="0.3">
      <c r="B42" s="23"/>
      <c r="C42" s="80" t="s">
        <v>38</v>
      </c>
      <c r="D42" s="15">
        <v>1300</v>
      </c>
      <c r="E42" s="15">
        <v>1000</v>
      </c>
      <c r="F42" s="15">
        <v>500</v>
      </c>
      <c r="G42" s="15">
        <v>235</v>
      </c>
      <c r="H42" s="15">
        <v>235</v>
      </c>
      <c r="J42" s="15">
        <f t="shared" si="25"/>
        <v>3270</v>
      </c>
    </row>
    <row r="43" spans="2:11" x14ac:dyDescent="0.3">
      <c r="B43" s="23"/>
      <c r="C43" s="80" t="s">
        <v>110</v>
      </c>
      <c r="D43" s="15">
        <v>1240</v>
      </c>
      <c r="E43" s="15">
        <v>1240</v>
      </c>
      <c r="F43" s="15">
        <v>500</v>
      </c>
      <c r="G43" s="15">
        <v>250</v>
      </c>
      <c r="H43" s="15">
        <v>250</v>
      </c>
      <c r="J43" s="15">
        <f t="shared" si="25"/>
        <v>3480</v>
      </c>
    </row>
    <row r="44" spans="2:11" x14ac:dyDescent="0.3">
      <c r="B44" s="23"/>
      <c r="C44" s="80" t="s">
        <v>39</v>
      </c>
      <c r="D44" s="15">
        <v>1300</v>
      </c>
      <c r="E44" s="15">
        <v>2000</v>
      </c>
      <c r="F44" s="15">
        <v>1000</v>
      </c>
      <c r="G44" s="15">
        <v>198</v>
      </c>
      <c r="H44" s="15">
        <v>198</v>
      </c>
      <c r="J44" s="15">
        <f t="shared" si="25"/>
        <v>4696</v>
      </c>
    </row>
    <row r="45" spans="2:11" x14ac:dyDescent="0.3">
      <c r="B45" s="23"/>
      <c r="C45" s="80" t="s">
        <v>40</v>
      </c>
      <c r="D45" s="15">
        <v>480</v>
      </c>
      <c r="E45" s="15">
        <v>360</v>
      </c>
      <c r="F45" s="15">
        <v>185</v>
      </c>
      <c r="G45" s="15">
        <v>0</v>
      </c>
      <c r="H45" s="15">
        <v>0</v>
      </c>
      <c r="J45" s="15">
        <f t="shared" si="25"/>
        <v>1025</v>
      </c>
      <c r="K45" s="34"/>
    </row>
    <row r="46" spans="2:11" x14ac:dyDescent="0.3">
      <c r="B46" s="23"/>
      <c r="C46" s="9" t="s">
        <v>16</v>
      </c>
      <c r="D46" s="16">
        <f>SUM(D38:D45)</f>
        <v>21898</v>
      </c>
      <c r="E46" s="16">
        <f>SUM(E38:E45)</f>
        <v>4600</v>
      </c>
      <c r="F46" s="16">
        <f>SUM(F38:F45)</f>
        <v>5314.12</v>
      </c>
      <c r="G46" s="16">
        <f>SUM(G38:G45)</f>
        <v>4890.3999999999996</v>
      </c>
      <c r="H46" s="16">
        <f>SUM(H38:H45)</f>
        <v>1575.7744000000002</v>
      </c>
      <c r="J46" s="16">
        <f>SUM(J38:J45)</f>
        <v>38278.294399999999</v>
      </c>
      <c r="K46" s="34"/>
    </row>
    <row r="47" spans="2:11" x14ac:dyDescent="0.3">
      <c r="B47" s="23"/>
      <c r="C47" s="14" t="s">
        <v>41</v>
      </c>
      <c r="D47" s="13" t="s">
        <v>32</v>
      </c>
      <c r="E47" s="10"/>
      <c r="F47" s="10"/>
      <c r="G47" s="10"/>
      <c r="H47" s="10"/>
      <c r="J47" s="15"/>
    </row>
    <row r="48" spans="2:11" ht="44.25" customHeight="1" x14ac:dyDescent="0.3">
      <c r="B48" s="23"/>
      <c r="C48" s="80" t="str">
        <f>'Clean Truck Incentives Budget'!C45</f>
        <v xml:space="preserve">Consultant: Community, Tribal nations, and stakeholder outreach and engagement with focus on LIDAC  </v>
      </c>
      <c r="D48" s="15">
        <f>'Clean Truck Incentives Budget'!D45</f>
        <v>48000</v>
      </c>
      <c r="E48" s="15">
        <f>'Clean Truck Incentives Budget'!E45</f>
        <v>23000</v>
      </c>
      <c r="F48" s="15">
        <f>'Clean Truck Incentives Budget'!F45</f>
        <v>18000</v>
      </c>
      <c r="G48" s="15">
        <f>'Clean Truck Incentives Budget'!G45</f>
        <v>16000</v>
      </c>
      <c r="H48" s="15">
        <f>'Clean Truck Incentives Budget'!H45</f>
        <v>10000</v>
      </c>
      <c r="I48" s="35"/>
      <c r="J48" s="15">
        <f t="shared" ref="J48:J63" si="26">SUM(D48:H48)</f>
        <v>115000</v>
      </c>
    </row>
    <row r="49" spans="2:11" ht="28.8" x14ac:dyDescent="0.3">
      <c r="B49" s="23"/>
      <c r="C49" s="79" t="s">
        <v>114</v>
      </c>
      <c r="D49" s="15">
        <v>0</v>
      </c>
      <c r="E49" s="15">
        <f>175000</f>
        <v>175000</v>
      </c>
      <c r="F49" s="15">
        <f>175000</f>
        <v>175000</v>
      </c>
      <c r="G49" s="15">
        <f>175000</f>
        <v>175000</v>
      </c>
      <c r="H49" s="15">
        <f>175000</f>
        <v>175000</v>
      </c>
      <c r="I49" s="15">
        <v>50000</v>
      </c>
      <c r="J49" s="15">
        <f t="shared" si="26"/>
        <v>700000</v>
      </c>
      <c r="K49" s="88"/>
    </row>
    <row r="50" spans="2:11" ht="100.8" x14ac:dyDescent="0.3">
      <c r="B50" s="23"/>
      <c r="C50" s="25" t="str">
        <f>'Clean Truck Incentives Budget'!C47</f>
        <v>Technical analysis to support measuring and tracking progress towards achieving established targets, including calculating and reporting reductions in GHG, NOX, SO2, PM2.5, and PM10 based on VMT and emission factors; technical analysis to assess community and workforce benefits</v>
      </c>
      <c r="D50" s="15">
        <f>'Clean Truck Incentives Budget'!D47</f>
        <v>50000</v>
      </c>
      <c r="E50" s="15">
        <f>'Clean Truck Incentives Budget'!E47</f>
        <v>25000</v>
      </c>
      <c r="F50" s="15">
        <f>'Clean Truck Incentives Budget'!F47</f>
        <v>50000</v>
      </c>
      <c r="G50" s="15">
        <f>'Clean Truck Incentives Budget'!G47</f>
        <v>25000</v>
      </c>
      <c r="H50" s="15">
        <f>'Clean Truck Incentives Budget'!H47</f>
        <v>50000</v>
      </c>
      <c r="I50" s="35"/>
      <c r="J50" s="15">
        <f t="shared" si="26"/>
        <v>200000</v>
      </c>
    </row>
    <row r="51" spans="2:11" ht="43.2" x14ac:dyDescent="0.3">
      <c r="B51" s="23"/>
      <c r="C51" s="79" t="s">
        <v>129</v>
      </c>
      <c r="D51" s="15">
        <v>200000</v>
      </c>
      <c r="E51" s="15">
        <v>200000</v>
      </c>
      <c r="F51" s="15">
        <v>200000</v>
      </c>
      <c r="G51" s="15">
        <v>200000</v>
      </c>
      <c r="H51" s="15">
        <v>200000</v>
      </c>
      <c r="I51" s="35"/>
      <c r="J51" s="15">
        <f t="shared" si="26"/>
        <v>1000000</v>
      </c>
      <c r="K51" s="63"/>
    </row>
    <row r="52" spans="2:11" x14ac:dyDescent="0.3">
      <c r="B52" s="23"/>
      <c r="C52" s="9" t="s">
        <v>17</v>
      </c>
      <c r="D52" s="16">
        <f>SUM(D48:D51)</f>
        <v>298000</v>
      </c>
      <c r="E52" s="16">
        <f>SUM(E48:E51)</f>
        <v>423000</v>
      </c>
      <c r="F52" s="16">
        <f>SUM(F48:F51)</f>
        <v>443000</v>
      </c>
      <c r="G52" s="16">
        <f>SUM(G48:G51)</f>
        <v>416000</v>
      </c>
      <c r="H52" s="16">
        <f>SUM(H48:H51)</f>
        <v>435000</v>
      </c>
      <c r="J52" s="16">
        <f>SUM(J48:J51)</f>
        <v>2015000</v>
      </c>
      <c r="K52" s="34"/>
    </row>
    <row r="53" spans="2:11" x14ac:dyDescent="0.3">
      <c r="B53" s="23"/>
      <c r="C53" s="14" t="s">
        <v>42</v>
      </c>
      <c r="D53" s="13" t="s">
        <v>32</v>
      </c>
      <c r="E53" s="10"/>
      <c r="F53" s="10"/>
      <c r="G53" s="10"/>
      <c r="H53" s="10"/>
      <c r="J53" s="15"/>
    </row>
    <row r="54" spans="2:11" ht="60.6" customHeight="1" x14ac:dyDescent="0.3">
      <c r="B54" s="23"/>
      <c r="C54" s="25" t="s">
        <v>117</v>
      </c>
      <c r="D54" s="15">
        <v>0</v>
      </c>
      <c r="E54" s="15">
        <f>(32200*210)/4</f>
        <v>1690500</v>
      </c>
      <c r="F54" s="15">
        <f>E54*1.03</f>
        <v>1741215</v>
      </c>
      <c r="G54" s="15">
        <f>F54*1.03</f>
        <v>1793451.45</v>
      </c>
      <c r="H54" s="15">
        <f>G54*1.03</f>
        <v>1847254.9935000001</v>
      </c>
      <c r="I54" s="35">
        <v>375000</v>
      </c>
      <c r="J54" s="15">
        <f t="shared" si="26"/>
        <v>7072421.4435000001</v>
      </c>
      <c r="K54" s="87"/>
    </row>
    <row r="55" spans="2:11" ht="43.2" x14ac:dyDescent="0.3">
      <c r="B55" s="23"/>
      <c r="C55" s="25" t="s">
        <v>116</v>
      </c>
      <c r="D55" s="15">
        <v>0</v>
      </c>
      <c r="E55" s="15">
        <f>(380000*100)/4</f>
        <v>9500000</v>
      </c>
      <c r="F55" s="15">
        <f>E55*1.03</f>
        <v>9785000</v>
      </c>
      <c r="G55" s="15">
        <f>F55*1.03</f>
        <v>10078550</v>
      </c>
      <c r="H55" s="15">
        <f t="shared" ref="H55" si="27">G55*1.03</f>
        <v>10380906.5</v>
      </c>
      <c r="I55" s="35">
        <v>781250</v>
      </c>
      <c r="J55" s="15">
        <f t="shared" si="26"/>
        <v>39744456.5</v>
      </c>
      <c r="K55" s="87"/>
    </row>
    <row r="56" spans="2:11" ht="45.6" customHeight="1" x14ac:dyDescent="0.3">
      <c r="B56" s="23"/>
      <c r="C56" s="79" t="str">
        <f>'Clean Truck Incentives Budget'!C51</f>
        <v>Subaward to NM Dept. of Workforce Solutions to support workforce development boards to address job training and readiness</v>
      </c>
      <c r="D56" s="15">
        <v>200000</v>
      </c>
      <c r="E56" s="15">
        <v>200000</v>
      </c>
      <c r="F56" s="15">
        <v>200000</v>
      </c>
      <c r="G56" s="15">
        <v>200000</v>
      </c>
      <c r="H56" s="15">
        <v>200000</v>
      </c>
      <c r="J56" s="15">
        <f t="shared" si="26"/>
        <v>1000000</v>
      </c>
    </row>
    <row r="57" spans="2:11" ht="75.599999999999994" customHeight="1" x14ac:dyDescent="0.3">
      <c r="B57" s="23"/>
      <c r="C57" s="25" t="s">
        <v>108</v>
      </c>
      <c r="D57" s="15">
        <f>(6302*4)/2</f>
        <v>12604</v>
      </c>
      <c r="E57" s="15">
        <f>(6302*4)*1.03</f>
        <v>25964.240000000002</v>
      </c>
      <c r="F57" s="15">
        <f>E57*1.03</f>
        <v>26743.167200000004</v>
      </c>
      <c r="G57" s="15">
        <f t="shared" ref="G57" si="28">F57*1.03</f>
        <v>27545.462216000004</v>
      </c>
      <c r="H57" s="15">
        <f t="shared" ref="H57" si="29">G57*1.03</f>
        <v>28371.826082480005</v>
      </c>
      <c r="J57" s="15">
        <f t="shared" si="26"/>
        <v>121228.69549848002</v>
      </c>
    </row>
    <row r="58" spans="2:11" ht="43.2" customHeight="1" x14ac:dyDescent="0.3">
      <c r="B58" s="23"/>
      <c r="C58" s="25" t="s">
        <v>103</v>
      </c>
      <c r="D58" s="15">
        <v>1700</v>
      </c>
      <c r="E58" s="15">
        <v>0</v>
      </c>
      <c r="F58" s="15">
        <v>0</v>
      </c>
      <c r="G58" s="15">
        <v>0</v>
      </c>
      <c r="H58" s="15">
        <v>0</v>
      </c>
      <c r="J58" s="15">
        <f t="shared" si="26"/>
        <v>1700</v>
      </c>
    </row>
    <row r="59" spans="2:11" ht="17.55" customHeight="1" x14ac:dyDescent="0.3">
      <c r="B59" s="23"/>
      <c r="C59" s="25" t="s">
        <v>125</v>
      </c>
      <c r="D59" s="15">
        <f>20*4*6</f>
        <v>480</v>
      </c>
      <c r="E59" s="15">
        <f>20*4*12*1.03</f>
        <v>988.80000000000007</v>
      </c>
      <c r="F59" s="15">
        <f>E59*1.03</f>
        <v>1018.4640000000001</v>
      </c>
      <c r="G59" s="15">
        <f t="shared" ref="G59:G61" si="30">F59*1.03</f>
        <v>1049.01792</v>
      </c>
      <c r="H59" s="15">
        <f t="shared" ref="H59:H61" si="31">G59*1.03</f>
        <v>1080.4884575999999</v>
      </c>
      <c r="J59" s="15">
        <f t="shared" si="26"/>
        <v>4616.7703775999998</v>
      </c>
    </row>
    <row r="60" spans="2:11" ht="17.55" customHeight="1" x14ac:dyDescent="0.3">
      <c r="B60" s="23"/>
      <c r="C60" s="25" t="s">
        <v>105</v>
      </c>
      <c r="D60" s="15">
        <f>75*3*6</f>
        <v>1350</v>
      </c>
      <c r="E60" s="15">
        <f>75*3*12*1.03</f>
        <v>2781</v>
      </c>
      <c r="F60" s="15">
        <f>E60*1.03</f>
        <v>2864.4300000000003</v>
      </c>
      <c r="G60" s="15">
        <f t="shared" si="30"/>
        <v>2950.3629000000005</v>
      </c>
      <c r="H60" s="15">
        <f t="shared" si="31"/>
        <v>3038.8737870000004</v>
      </c>
      <c r="J60" s="15">
        <f t="shared" si="26"/>
        <v>12984.666687000001</v>
      </c>
    </row>
    <row r="61" spans="2:11" ht="16.95" customHeight="1" x14ac:dyDescent="0.3">
      <c r="B61" s="23"/>
      <c r="C61" s="79" t="s">
        <v>126</v>
      </c>
      <c r="D61" s="15">
        <f>17*4*6</f>
        <v>408</v>
      </c>
      <c r="E61" s="15">
        <f>17*4*12</f>
        <v>816</v>
      </c>
      <c r="F61" s="15">
        <f t="shared" ref="F61" si="32">E61*1.03</f>
        <v>840.48</v>
      </c>
      <c r="G61" s="15">
        <f t="shared" si="30"/>
        <v>865.69440000000009</v>
      </c>
      <c r="H61" s="15">
        <f t="shared" si="31"/>
        <v>891.66523200000006</v>
      </c>
      <c r="J61" s="15">
        <f t="shared" si="26"/>
        <v>3821.8396320000002</v>
      </c>
    </row>
    <row r="62" spans="2:11" x14ac:dyDescent="0.3">
      <c r="B62" s="24"/>
      <c r="C62" s="9" t="s">
        <v>18</v>
      </c>
      <c r="D62" s="16">
        <f>SUM(D54:D61)</f>
        <v>216542</v>
      </c>
      <c r="E62" s="16">
        <f t="shared" ref="E62:H62" si="33">SUM(E54:E61)</f>
        <v>11421050.040000001</v>
      </c>
      <c r="F62" s="16">
        <f t="shared" si="33"/>
        <v>11757681.541199999</v>
      </c>
      <c r="G62" s="16">
        <f t="shared" si="33"/>
        <v>12104411.987435998</v>
      </c>
      <c r="H62" s="16">
        <f t="shared" si="33"/>
        <v>12461544.34705908</v>
      </c>
      <c r="J62" s="16">
        <f>SUM(J54:J61)</f>
        <v>47961229.915695071</v>
      </c>
      <c r="K62" s="34"/>
    </row>
    <row r="63" spans="2:11" x14ac:dyDescent="0.3">
      <c r="B63" s="24"/>
      <c r="C63" s="9" t="s">
        <v>19</v>
      </c>
      <c r="D63" s="16">
        <f>SUM(D62,D52,D46,D36,D33,D22,D14)</f>
        <v>874019.93528261723</v>
      </c>
      <c r="E63" s="16">
        <f>SUM(E62,E52,E46,E36,E33,E22,E14)</f>
        <v>12367283.454587152</v>
      </c>
      <c r="F63" s="16">
        <f>SUM(F62,F52,F46,F36,F33,F22,F14)</f>
        <v>12740188.078224763</v>
      </c>
      <c r="G63" s="16">
        <f>SUM(G62,G52,G46,G36,G33,G22,G14)</f>
        <v>13075520.576971507</v>
      </c>
      <c r="H63" s="16">
        <f>SUM(H62,H52,H46,H36,H33,H22,H14)</f>
        <v>13464844.856680654</v>
      </c>
      <c r="J63" s="16">
        <f t="shared" si="26"/>
        <v>52521856.901746698</v>
      </c>
      <c r="K63" s="34"/>
    </row>
    <row r="64" spans="2:11" x14ac:dyDescent="0.3">
      <c r="B64" s="6"/>
      <c r="D64"/>
      <c r="E64"/>
      <c r="H64"/>
      <c r="I64"/>
      <c r="J64" t="s">
        <v>20</v>
      </c>
      <c r="K64" s="34"/>
    </row>
    <row r="65" spans="2:12" x14ac:dyDescent="0.3">
      <c r="B65" s="22" t="s">
        <v>43</v>
      </c>
      <c r="C65" s="17" t="s">
        <v>43</v>
      </c>
      <c r="D65" s="18"/>
      <c r="E65" s="18"/>
      <c r="F65" s="18"/>
      <c r="G65" s="18"/>
      <c r="H65" s="18"/>
      <c r="I65"/>
      <c r="J65" s="18" t="s">
        <v>20</v>
      </c>
    </row>
    <row r="66" spans="2:12" x14ac:dyDescent="0.3">
      <c r="B66" s="23"/>
      <c r="C66" s="25"/>
      <c r="D66" s="15">
        <f>D23*0.352</f>
        <v>93874.364419481295</v>
      </c>
      <c r="E66" s="15">
        <f>E23*0.352</f>
        <v>167494.08635067745</v>
      </c>
      <c r="F66" s="15">
        <f>F23*0.352</f>
        <v>172518.90894119776</v>
      </c>
      <c r="G66" s="15">
        <f>G23*0.352</f>
        <v>177694.47620943369</v>
      </c>
      <c r="H66" s="15">
        <f>H23*0.352</f>
        <v>183025.31049571672</v>
      </c>
      <c r="J66" s="15">
        <f>SUM(D66:H66)</f>
        <v>794607.14641650696</v>
      </c>
    </row>
    <row r="67" spans="2:12" x14ac:dyDescent="0.3">
      <c r="B67" s="24"/>
      <c r="C67" s="9" t="s">
        <v>21</v>
      </c>
      <c r="D67" s="16">
        <f>SUM(D66:D66)</f>
        <v>93874.364419481295</v>
      </c>
      <c r="E67" s="16">
        <f>SUM(E66:E66)</f>
        <v>167494.08635067745</v>
      </c>
      <c r="F67" s="16">
        <f>SUM(F66:F66)</f>
        <v>172518.90894119776</v>
      </c>
      <c r="G67" s="16">
        <f>SUM(G66:G66)</f>
        <v>177694.47620943369</v>
      </c>
      <c r="H67" s="16">
        <f>SUM(H66:H66)</f>
        <v>183025.31049571672</v>
      </c>
      <c r="J67" s="16">
        <f t="shared" ref="J67" si="34">SUM(D67:H67)</f>
        <v>794607.14641650696</v>
      </c>
      <c r="K67" s="34"/>
    </row>
    <row r="68" spans="2:12" ht="15" thickBot="1" x14ac:dyDescent="0.35">
      <c r="B68" s="6"/>
      <c r="D68"/>
      <c r="E68"/>
      <c r="H68"/>
      <c r="I68"/>
      <c r="J68" t="s">
        <v>20</v>
      </c>
      <c r="L68" s="85"/>
    </row>
    <row r="69" spans="2:12" s="1" customFormat="1" ht="29.4" thickBot="1" x14ac:dyDescent="0.35">
      <c r="B69" s="19" t="s">
        <v>22</v>
      </c>
      <c r="C69" s="19"/>
      <c r="D69" s="20">
        <f t="shared" ref="D69:J69" si="35">SUM(D67,D63)</f>
        <v>967894.29970209848</v>
      </c>
      <c r="E69" s="20">
        <f t="shared" si="35"/>
        <v>12534777.54093783</v>
      </c>
      <c r="F69" s="20">
        <f t="shared" si="35"/>
        <v>12912706.987165961</v>
      </c>
      <c r="G69" s="20">
        <f t="shared" si="35"/>
        <v>13253215.05318094</v>
      </c>
      <c r="H69" s="20">
        <f t="shared" si="35"/>
        <v>13647870.167176371</v>
      </c>
      <c r="I69" s="7">
        <f t="shared" si="35"/>
        <v>0</v>
      </c>
      <c r="J69" s="20">
        <f t="shared" si="35"/>
        <v>53316464.048163205</v>
      </c>
      <c r="K69" s="34"/>
    </row>
    <row r="70" spans="2:12" x14ac:dyDescent="0.3">
      <c r="B70" s="6"/>
    </row>
    <row r="71" spans="2:12" x14ac:dyDescent="0.3">
      <c r="B71" s="6"/>
      <c r="C71" t="s">
        <v>44</v>
      </c>
      <c r="K71" s="34"/>
    </row>
    <row r="72" spans="2:12" x14ac:dyDescent="0.3">
      <c r="B72" s="6"/>
      <c r="C72" t="s">
        <v>68</v>
      </c>
    </row>
    <row r="73" spans="2:12" x14ac:dyDescent="0.3">
      <c r="B73" s="6"/>
    </row>
    <row r="74" spans="2:12" x14ac:dyDescent="0.3">
      <c r="B74" s="6"/>
    </row>
    <row r="75" spans="2:12" x14ac:dyDescent="0.3">
      <c r="B75" s="6"/>
      <c r="D75"/>
      <c r="E75"/>
      <c r="H75"/>
      <c r="I75"/>
    </row>
    <row r="76" spans="2:12" x14ac:dyDescent="0.3">
      <c r="B76" s="6"/>
      <c r="D76"/>
      <c r="E76"/>
      <c r="H76"/>
      <c r="I76"/>
    </row>
    <row r="77" spans="2:12" x14ac:dyDescent="0.3">
      <c r="B77" s="6"/>
      <c r="D77"/>
      <c r="E77"/>
      <c r="H77"/>
      <c r="I77"/>
    </row>
    <row r="78" spans="2:12" x14ac:dyDescent="0.3">
      <c r="B78" s="6"/>
      <c r="D78"/>
      <c r="E78"/>
      <c r="H78"/>
      <c r="I78"/>
    </row>
    <row r="79" spans="2:12" x14ac:dyDescent="0.3">
      <c r="B79" s="6"/>
      <c r="D79"/>
      <c r="E79"/>
      <c r="H79"/>
      <c r="I79"/>
    </row>
    <row r="80" spans="2:12" x14ac:dyDescent="0.3">
      <c r="B80" s="6"/>
      <c r="D80"/>
      <c r="E80"/>
      <c r="H80"/>
      <c r="I80"/>
    </row>
    <row r="81" spans="2:9" x14ac:dyDescent="0.3">
      <c r="B81" s="6"/>
      <c r="D81"/>
      <c r="E81"/>
      <c r="H81"/>
      <c r="I81"/>
    </row>
    <row r="82" spans="2:9" x14ac:dyDescent="0.3">
      <c r="B82" s="6"/>
      <c r="D82"/>
      <c r="E82"/>
      <c r="H82"/>
      <c r="I82"/>
    </row>
    <row r="83" spans="2:9" x14ac:dyDescent="0.3">
      <c r="B83" s="6"/>
      <c r="D83"/>
      <c r="E83"/>
      <c r="H83"/>
      <c r="I83"/>
    </row>
    <row r="84" spans="2:9" x14ac:dyDescent="0.3">
      <c r="B84" s="6"/>
      <c r="D84"/>
      <c r="E84"/>
      <c r="H84"/>
      <c r="I84"/>
    </row>
  </sheetData>
  <pageMargins left="0.7" right="0.7" top="0.75" bottom="0.75" header="0.3" footer="0.3"/>
  <pageSetup scale="52" fitToHeight="0" orientation="landscape" r:id="rId1"/>
  <ignoredErrors>
    <ignoredError sqref="J9 J54:J5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5486-1378-442C-A8A0-93601B8B5109}">
  <dimension ref="A1:Z29"/>
  <sheetViews>
    <sheetView topLeftCell="A14" zoomScaleNormal="100" workbookViewId="0">
      <selection activeCell="B20" sqref="B20"/>
    </sheetView>
  </sheetViews>
  <sheetFormatPr defaultColWidth="3.33203125" defaultRowHeight="14.4" x14ac:dyDescent="0.3"/>
  <cols>
    <col min="1" max="1" width="2.6640625" customWidth="1"/>
    <col min="2" max="2" width="63.5546875" style="63" customWidth="1"/>
    <col min="37" max="37" width="55.109375" customWidth="1"/>
  </cols>
  <sheetData>
    <row r="1" spans="1:26" s="133" customFormat="1" ht="16.2" thickBot="1" x14ac:dyDescent="0.35">
      <c r="A1" s="144" t="s">
        <v>171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6"/>
    </row>
    <row r="2" spans="1:26" s="133" customFormat="1" ht="17.399999999999999" x14ac:dyDescent="0.3">
      <c r="A2" s="99" t="s">
        <v>131</v>
      </c>
      <c r="B2" s="100"/>
      <c r="C2" s="147">
        <v>2024</v>
      </c>
      <c r="D2" s="148"/>
      <c r="E2" s="148"/>
      <c r="F2" s="149">
        <v>2025</v>
      </c>
      <c r="G2" s="149"/>
      <c r="H2" s="149"/>
      <c r="I2" s="149"/>
      <c r="J2" s="149">
        <v>2026</v>
      </c>
      <c r="K2" s="149"/>
      <c r="L2" s="149"/>
      <c r="M2" s="149"/>
      <c r="N2" s="149">
        <v>2027</v>
      </c>
      <c r="O2" s="149"/>
      <c r="P2" s="149"/>
      <c r="Q2" s="149"/>
      <c r="R2" s="149">
        <v>2028</v>
      </c>
      <c r="S2" s="149"/>
      <c r="T2" s="149"/>
      <c r="U2" s="149"/>
      <c r="V2" s="149">
        <v>2029</v>
      </c>
      <c r="W2" s="149"/>
      <c r="X2" s="149"/>
      <c r="Y2" s="150"/>
    </row>
    <row r="3" spans="1:26" s="102" customFormat="1" ht="17.399999999999999" x14ac:dyDescent="0.3">
      <c r="A3" s="101" t="s">
        <v>132</v>
      </c>
      <c r="C3" s="103" t="s">
        <v>133</v>
      </c>
      <c r="D3" s="103" t="s">
        <v>134</v>
      </c>
      <c r="E3" s="103" t="s">
        <v>135</v>
      </c>
      <c r="F3" s="103" t="s">
        <v>136</v>
      </c>
      <c r="G3" s="103" t="s">
        <v>133</v>
      </c>
      <c r="H3" s="103" t="s">
        <v>134</v>
      </c>
      <c r="I3" s="103" t="s">
        <v>135</v>
      </c>
      <c r="J3" s="103" t="s">
        <v>136</v>
      </c>
      <c r="K3" s="103" t="s">
        <v>133</v>
      </c>
      <c r="L3" s="103" t="s">
        <v>134</v>
      </c>
      <c r="M3" s="103" t="s">
        <v>135</v>
      </c>
      <c r="N3" s="103" t="s">
        <v>136</v>
      </c>
      <c r="O3" s="103" t="s">
        <v>133</v>
      </c>
      <c r="P3" s="103" t="s">
        <v>134</v>
      </c>
      <c r="Q3" s="103" t="s">
        <v>135</v>
      </c>
      <c r="R3" s="103" t="s">
        <v>136</v>
      </c>
      <c r="S3" s="103" t="s">
        <v>133</v>
      </c>
      <c r="T3" s="103" t="s">
        <v>134</v>
      </c>
      <c r="U3" s="103" t="s">
        <v>135</v>
      </c>
      <c r="V3" s="103" t="s">
        <v>136</v>
      </c>
      <c r="W3" s="103" t="s">
        <v>133</v>
      </c>
      <c r="X3" s="103" t="s">
        <v>134</v>
      </c>
      <c r="Y3" s="104" t="s">
        <v>135</v>
      </c>
    </row>
    <row r="4" spans="1:26" s="102" customFormat="1" ht="18" thickBot="1" x14ac:dyDescent="0.35">
      <c r="A4" s="105" t="s">
        <v>137</v>
      </c>
      <c r="B4" s="106"/>
      <c r="C4" s="107"/>
      <c r="D4" s="107"/>
      <c r="E4" s="108">
        <v>1</v>
      </c>
      <c r="F4" s="108">
        <v>2</v>
      </c>
      <c r="G4" s="108">
        <v>3</v>
      </c>
      <c r="H4" s="108">
        <v>4</v>
      </c>
      <c r="I4" s="108">
        <v>5</v>
      </c>
      <c r="J4" s="108">
        <v>6</v>
      </c>
      <c r="K4" s="108">
        <v>7</v>
      </c>
      <c r="L4" s="108">
        <v>8</v>
      </c>
      <c r="M4" s="108">
        <v>9</v>
      </c>
      <c r="N4" s="108">
        <v>10</v>
      </c>
      <c r="O4" s="108">
        <v>11</v>
      </c>
      <c r="P4" s="108">
        <v>12</v>
      </c>
      <c r="Q4" s="108">
        <v>13</v>
      </c>
      <c r="R4" s="108">
        <v>14</v>
      </c>
      <c r="S4" s="108">
        <v>15</v>
      </c>
      <c r="T4" s="108">
        <v>16</v>
      </c>
      <c r="U4" s="108">
        <v>17</v>
      </c>
      <c r="V4" s="108">
        <v>18</v>
      </c>
      <c r="W4" s="108">
        <v>19</v>
      </c>
      <c r="X4" s="108">
        <v>20</v>
      </c>
      <c r="Y4" s="109">
        <v>21</v>
      </c>
    </row>
    <row r="5" spans="1:26" s="133" customFormat="1" ht="17.399999999999999" x14ac:dyDescent="0.3">
      <c r="A5" s="110" t="s">
        <v>138</v>
      </c>
      <c r="B5" s="111"/>
      <c r="C5" s="112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4"/>
    </row>
    <row r="6" spans="1:26" s="133" customFormat="1" ht="16.05" customHeight="1" x14ac:dyDescent="0.3">
      <c r="A6" s="115">
        <v>1</v>
      </c>
      <c r="B6" s="116" t="s">
        <v>139</v>
      </c>
      <c r="C6" s="117" t="s">
        <v>140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4"/>
    </row>
    <row r="7" spans="1:26" s="133" customFormat="1" ht="16.05" customHeight="1" x14ac:dyDescent="0.3">
      <c r="A7" s="115">
        <v>2</v>
      </c>
      <c r="B7" s="116" t="s">
        <v>141</v>
      </c>
      <c r="C7" s="112"/>
      <c r="D7" s="113"/>
      <c r="E7" s="118" t="s">
        <v>140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4"/>
    </row>
    <row r="8" spans="1:26" s="133" customFormat="1" ht="16.05" customHeight="1" x14ac:dyDescent="0.3">
      <c r="A8" s="115">
        <v>3</v>
      </c>
      <c r="B8" s="116" t="s">
        <v>142</v>
      </c>
      <c r="C8" s="112"/>
      <c r="D8" s="119"/>
      <c r="E8" s="120" t="s">
        <v>140</v>
      </c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4"/>
    </row>
    <row r="9" spans="1:26" s="133" customFormat="1" ht="16.05" customHeight="1" x14ac:dyDescent="0.3">
      <c r="A9" s="115">
        <v>4</v>
      </c>
      <c r="B9" s="116" t="s">
        <v>143</v>
      </c>
      <c r="C9" s="112"/>
      <c r="D9" s="119"/>
      <c r="E9" s="120" t="s">
        <v>140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4"/>
    </row>
    <row r="10" spans="1:26" ht="16.05" customHeight="1" x14ac:dyDescent="0.3">
      <c r="A10" s="115">
        <v>5</v>
      </c>
      <c r="B10" s="121" t="s">
        <v>144</v>
      </c>
      <c r="C10" s="122"/>
      <c r="D10" s="113"/>
      <c r="E10" s="120" t="s">
        <v>140</v>
      </c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4"/>
      <c r="Z10" s="134"/>
    </row>
    <row r="11" spans="1:26" s="133" customFormat="1" ht="42" customHeight="1" x14ac:dyDescent="0.3">
      <c r="A11" s="115">
        <v>6</v>
      </c>
      <c r="B11" s="116" t="s">
        <v>175</v>
      </c>
      <c r="C11" s="112"/>
      <c r="D11" s="113"/>
      <c r="E11" s="125"/>
      <c r="F11" s="125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4"/>
    </row>
    <row r="12" spans="1:26" s="133" customFormat="1" ht="16.05" customHeight="1" x14ac:dyDescent="0.3">
      <c r="A12" s="115">
        <v>7</v>
      </c>
      <c r="B12" s="116" t="s">
        <v>173</v>
      </c>
      <c r="C12" s="112"/>
      <c r="D12" s="113"/>
      <c r="E12" s="119"/>
      <c r="F12" s="120" t="s">
        <v>140</v>
      </c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4"/>
    </row>
    <row r="13" spans="1:26" s="133" customFormat="1" ht="30" customHeight="1" x14ac:dyDescent="0.3">
      <c r="A13" s="115">
        <v>8</v>
      </c>
      <c r="B13" s="116" t="s">
        <v>174</v>
      </c>
      <c r="C13" s="112"/>
      <c r="D13" s="113"/>
      <c r="E13" s="119"/>
      <c r="F13" s="120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4"/>
    </row>
    <row r="14" spans="1:26" s="133" customFormat="1" ht="30" customHeight="1" x14ac:dyDescent="0.3">
      <c r="A14" s="115">
        <v>9</v>
      </c>
      <c r="B14" s="116" t="s">
        <v>146</v>
      </c>
      <c r="C14" s="112"/>
      <c r="D14" s="113"/>
      <c r="E14" s="113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6"/>
    </row>
    <row r="15" spans="1:26" s="133" customFormat="1" ht="16.05" customHeight="1" x14ac:dyDescent="0.3">
      <c r="A15" s="115">
        <v>10</v>
      </c>
      <c r="B15" s="116" t="s">
        <v>147</v>
      </c>
      <c r="C15" s="112"/>
      <c r="D15" s="113"/>
      <c r="E15" s="113"/>
      <c r="F15" s="120" t="s">
        <v>140</v>
      </c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6"/>
    </row>
    <row r="16" spans="1:26" s="133" customFormat="1" ht="16.05" customHeight="1" x14ac:dyDescent="0.3">
      <c r="A16" s="115">
        <v>11</v>
      </c>
      <c r="B16" s="116" t="s">
        <v>148</v>
      </c>
      <c r="C16" s="112"/>
      <c r="D16" s="113"/>
      <c r="E16" s="113"/>
      <c r="F16" s="113"/>
      <c r="G16" s="125"/>
      <c r="H16" s="113"/>
      <c r="I16" s="113"/>
      <c r="J16" s="113"/>
      <c r="K16" s="125"/>
      <c r="L16" s="113"/>
      <c r="M16" s="113"/>
      <c r="N16" s="113"/>
      <c r="O16" s="125"/>
      <c r="P16" s="113"/>
      <c r="Q16" s="113"/>
      <c r="R16" s="113"/>
      <c r="S16" s="125"/>
      <c r="T16" s="113"/>
      <c r="U16" s="113"/>
      <c r="V16" s="113"/>
      <c r="W16" s="113"/>
      <c r="X16" s="113"/>
      <c r="Y16" s="114"/>
    </row>
    <row r="17" spans="1:25" s="133" customFormat="1" ht="16.05" customHeight="1" x14ac:dyDescent="0.3">
      <c r="A17" s="115">
        <v>12</v>
      </c>
      <c r="B17" s="116" t="s">
        <v>149</v>
      </c>
      <c r="C17" s="112"/>
      <c r="D17" s="113"/>
      <c r="E17" s="113"/>
      <c r="F17" s="113"/>
      <c r="G17" s="113"/>
      <c r="H17" s="118" t="s">
        <v>140</v>
      </c>
      <c r="I17" s="113"/>
      <c r="J17" s="113"/>
      <c r="K17" s="113"/>
      <c r="L17" s="118" t="s">
        <v>140</v>
      </c>
      <c r="M17" s="113"/>
      <c r="N17" s="113"/>
      <c r="O17" s="113"/>
      <c r="P17" s="118" t="s">
        <v>140</v>
      </c>
      <c r="Q17" s="113"/>
      <c r="R17" s="113"/>
      <c r="S17" s="113"/>
      <c r="T17" s="118" t="s">
        <v>140</v>
      </c>
      <c r="U17" s="113"/>
      <c r="V17" s="113"/>
      <c r="W17" s="113"/>
      <c r="X17" s="113"/>
      <c r="Y17" s="114"/>
    </row>
    <row r="18" spans="1:25" s="133" customFormat="1" ht="42" customHeight="1" x14ac:dyDescent="0.3">
      <c r="A18" s="115">
        <v>13</v>
      </c>
      <c r="B18" s="116" t="s">
        <v>150</v>
      </c>
      <c r="C18" s="112"/>
      <c r="D18" s="113"/>
      <c r="E18" s="113"/>
      <c r="F18" s="113"/>
      <c r="G18" s="113"/>
      <c r="H18" s="125"/>
      <c r="I18" s="113"/>
      <c r="J18" s="113"/>
      <c r="K18" s="113"/>
      <c r="L18" s="125"/>
      <c r="M18" s="113"/>
      <c r="N18" s="113"/>
      <c r="O18" s="113"/>
      <c r="P18" s="125"/>
      <c r="Q18" s="113"/>
      <c r="R18" s="113"/>
      <c r="S18" s="113"/>
      <c r="T18" s="125"/>
      <c r="U18" s="113"/>
      <c r="V18" s="113"/>
      <c r="W18" s="113"/>
      <c r="X18" s="113"/>
      <c r="Y18" s="114"/>
    </row>
    <row r="19" spans="1:25" s="133" customFormat="1" ht="16.05" customHeight="1" x14ac:dyDescent="0.3">
      <c r="A19" s="115">
        <v>14</v>
      </c>
      <c r="B19" s="116" t="s">
        <v>176</v>
      </c>
      <c r="C19" s="112"/>
      <c r="D19" s="113"/>
      <c r="E19" s="113"/>
      <c r="F19" s="113"/>
      <c r="G19" s="113"/>
      <c r="H19" s="113"/>
      <c r="I19" s="125"/>
      <c r="J19" s="125"/>
      <c r="K19" s="113"/>
      <c r="L19" s="113"/>
      <c r="M19" s="125"/>
      <c r="N19" s="125"/>
      <c r="O19" s="113"/>
      <c r="P19" s="113"/>
      <c r="Q19" s="125"/>
      <c r="R19" s="125"/>
      <c r="S19" s="113"/>
      <c r="T19" s="113"/>
      <c r="U19" s="125"/>
      <c r="V19" s="125"/>
      <c r="W19" s="113"/>
      <c r="X19" s="113"/>
      <c r="Y19" s="114"/>
    </row>
    <row r="20" spans="1:25" s="133" customFormat="1" ht="16.05" customHeight="1" x14ac:dyDescent="0.3">
      <c r="A20" s="115">
        <v>15</v>
      </c>
      <c r="B20" s="116" t="s">
        <v>151</v>
      </c>
      <c r="C20" s="112"/>
      <c r="D20" s="113"/>
      <c r="E20" s="113"/>
      <c r="F20" s="113"/>
      <c r="G20" s="113"/>
      <c r="H20" s="113"/>
      <c r="I20" s="113"/>
      <c r="J20" s="125"/>
      <c r="K20" s="125"/>
      <c r="L20" s="113"/>
      <c r="M20" s="113"/>
      <c r="N20" s="125"/>
      <c r="O20" s="125"/>
      <c r="P20" s="113"/>
      <c r="Q20" s="113"/>
      <c r="R20" s="125"/>
      <c r="S20" s="125"/>
      <c r="T20" s="113"/>
      <c r="U20" s="113"/>
      <c r="V20" s="125"/>
      <c r="W20" s="125"/>
      <c r="X20" s="113"/>
      <c r="Y20" s="114"/>
    </row>
    <row r="21" spans="1:25" s="133" customFormat="1" ht="16.05" customHeight="1" x14ac:dyDescent="0.3">
      <c r="A21" s="115">
        <v>16</v>
      </c>
      <c r="B21" s="116" t="s">
        <v>152</v>
      </c>
      <c r="C21" s="112"/>
      <c r="D21" s="113"/>
      <c r="E21" s="113"/>
      <c r="F21" s="113"/>
      <c r="G21" s="113"/>
      <c r="H21" s="113"/>
      <c r="I21" s="113"/>
      <c r="J21" s="113"/>
      <c r="K21" s="113"/>
      <c r="L21" s="120" t="s">
        <v>140</v>
      </c>
      <c r="M21" s="113"/>
      <c r="N21" s="113"/>
      <c r="O21" s="113"/>
      <c r="P21" s="120" t="s">
        <v>140</v>
      </c>
      <c r="Q21" s="113"/>
      <c r="R21" s="113"/>
      <c r="S21" s="113"/>
      <c r="T21" s="120" t="s">
        <v>140</v>
      </c>
      <c r="U21" s="113"/>
      <c r="V21" s="113"/>
      <c r="W21" s="113"/>
      <c r="X21" s="120" t="s">
        <v>140</v>
      </c>
      <c r="Y21" s="114"/>
    </row>
    <row r="22" spans="1:25" s="133" customFormat="1" ht="42" customHeight="1" x14ac:dyDescent="0.3">
      <c r="A22" s="115">
        <v>17</v>
      </c>
      <c r="B22" s="116" t="s">
        <v>153</v>
      </c>
      <c r="C22" s="112"/>
      <c r="D22" s="113"/>
      <c r="E22" s="113"/>
      <c r="F22" s="113"/>
      <c r="G22" s="113"/>
      <c r="H22" s="113"/>
      <c r="I22" s="113"/>
      <c r="J22" s="125"/>
      <c r="K22" s="113"/>
      <c r="L22" s="113"/>
      <c r="M22" s="113"/>
      <c r="N22" s="125"/>
      <c r="O22" s="113"/>
      <c r="P22" s="113"/>
      <c r="Q22" s="113"/>
      <c r="R22" s="125"/>
      <c r="S22" s="113"/>
      <c r="T22" s="113"/>
      <c r="U22" s="113"/>
      <c r="V22" s="125"/>
      <c r="W22" s="113"/>
      <c r="X22" s="113"/>
      <c r="Y22" s="114"/>
    </row>
    <row r="23" spans="1:25" s="133" customFormat="1" ht="16.05" customHeight="1" x14ac:dyDescent="0.3">
      <c r="A23" s="115">
        <v>18</v>
      </c>
      <c r="B23" s="116" t="s">
        <v>154</v>
      </c>
      <c r="C23" s="112"/>
      <c r="D23" s="113"/>
      <c r="E23" s="113"/>
      <c r="F23" s="113"/>
      <c r="G23" s="113"/>
      <c r="H23" s="113"/>
      <c r="I23" s="113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6"/>
    </row>
    <row r="24" spans="1:25" s="133" customFormat="1" ht="16.05" customHeight="1" x14ac:dyDescent="0.3">
      <c r="A24" s="115">
        <v>19</v>
      </c>
      <c r="B24" s="116" t="s">
        <v>155</v>
      </c>
      <c r="C24" s="112"/>
      <c r="D24" s="113"/>
      <c r="E24" s="113"/>
      <c r="F24" s="113"/>
      <c r="G24" s="113"/>
      <c r="H24" s="113"/>
      <c r="I24" s="113"/>
      <c r="J24" s="113"/>
      <c r="K24" s="113"/>
      <c r="L24" s="125"/>
      <c r="M24" s="113"/>
      <c r="N24" s="113"/>
      <c r="O24" s="113"/>
      <c r="P24" s="125"/>
      <c r="Q24" s="113"/>
      <c r="R24" s="113"/>
      <c r="S24" s="113"/>
      <c r="T24" s="125"/>
      <c r="U24" s="113"/>
      <c r="V24" s="113"/>
      <c r="W24" s="113"/>
      <c r="X24" s="125"/>
      <c r="Y24" s="114"/>
    </row>
    <row r="25" spans="1:25" s="133" customFormat="1" ht="16.05" customHeight="1" x14ac:dyDescent="0.3">
      <c r="A25" s="115">
        <v>20</v>
      </c>
      <c r="B25" s="116" t="s">
        <v>156</v>
      </c>
      <c r="C25" s="112"/>
      <c r="D25" s="113"/>
      <c r="E25" s="113"/>
      <c r="F25" s="113"/>
      <c r="G25" s="120" t="s">
        <v>140</v>
      </c>
      <c r="H25" s="113"/>
      <c r="I25" s="120" t="s">
        <v>140</v>
      </c>
      <c r="J25" s="113"/>
      <c r="K25" s="120" t="s">
        <v>140</v>
      </c>
      <c r="L25" s="113"/>
      <c r="M25" s="120" t="s">
        <v>140</v>
      </c>
      <c r="N25" s="113"/>
      <c r="O25" s="120" t="s">
        <v>140</v>
      </c>
      <c r="P25" s="113"/>
      <c r="Q25" s="120" t="s">
        <v>140</v>
      </c>
      <c r="R25" s="113"/>
      <c r="S25" s="120" t="s">
        <v>140</v>
      </c>
      <c r="T25" s="113"/>
      <c r="U25" s="120" t="s">
        <v>140</v>
      </c>
      <c r="V25" s="113"/>
      <c r="W25" s="120" t="s">
        <v>140</v>
      </c>
      <c r="X25" s="118"/>
      <c r="Y25" s="127"/>
    </row>
    <row r="26" spans="1:25" s="133" customFormat="1" ht="16.05" customHeight="1" thickBot="1" x14ac:dyDescent="0.35">
      <c r="A26" s="128">
        <v>21</v>
      </c>
      <c r="B26" s="129" t="s">
        <v>157</v>
      </c>
      <c r="C26" s="130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2" t="s">
        <v>140</v>
      </c>
    </row>
    <row r="27" spans="1:25" s="133" customFormat="1" x14ac:dyDescent="0.3">
      <c r="B27" s="135"/>
    </row>
    <row r="28" spans="1:25" s="133" customFormat="1" x14ac:dyDescent="0.3">
      <c r="B28" s="135"/>
    </row>
    <row r="29" spans="1:25" s="133" customFormat="1" x14ac:dyDescent="0.3">
      <c r="B29" s="135"/>
    </row>
  </sheetData>
  <mergeCells count="7">
    <mergeCell ref="A1:Y1"/>
    <mergeCell ref="C2:E2"/>
    <mergeCell ref="F2:I2"/>
    <mergeCell ref="J2:M2"/>
    <mergeCell ref="N2:Q2"/>
    <mergeCell ref="R2:U2"/>
    <mergeCell ref="V2:Y2"/>
  </mergeCells>
  <conditionalFormatting sqref="E4:Y4">
    <cfRule type="expression" dxfId="1" priority="1">
      <formula>E$4=period_selected</formula>
    </cfRule>
  </conditionalFormatting>
  <dataValidations count="4">
    <dataValidation allowBlank="1" showInputMessage="1" showErrorMessage="1" prompt="Enter activity in column B, starting with cell B5_x000a_" sqref="A2:A5 B6" xr:uid="{77FB8328-5A28-45FD-ADAC-C00F7F737EB8}"/>
    <dataValidation allowBlank="1" showInputMessage="1" showErrorMessage="1" prompt="Title of the project. Enter a new title in this cell. Highlight a period in H2. Chart legend is in J2 to AI2" sqref="A1" xr:uid="{AA56840D-AE60-4C10-B8AF-692A73032D67}"/>
    <dataValidation allowBlank="1" showInputMessage="1" showErrorMessage="1" prompt="Periods are charted from 1 to 60 starting from cell H4 to cell BO4 " sqref="C2 C3:Y4" xr:uid="{20D75360-98B8-4A73-9E0C-465EEBF09697}"/>
    <dataValidation allowBlank="1" showInputMessage="1" showErrorMessage="1" prompt="Project planner uses periods for intervals. Start=1 is period 1 and duration=5 means project spans 5 periods starting from start period. Enter data starting in B5 to update the chart" sqref="A2" xr:uid="{ADFA0276-0971-410B-AB7B-C9B722701283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14B36-7F41-4405-A4AA-98750971B92A}">
  <dimension ref="A1:Y99"/>
  <sheetViews>
    <sheetView topLeftCell="A73" workbookViewId="0">
      <selection activeCell="A31" sqref="A31:XFD99"/>
    </sheetView>
  </sheetViews>
  <sheetFormatPr defaultColWidth="3.33203125" defaultRowHeight="14.4" x14ac:dyDescent="0.3"/>
  <cols>
    <col min="1" max="1" width="2.6640625" customWidth="1"/>
    <col min="2" max="2" width="63.5546875" style="63" customWidth="1"/>
    <col min="37" max="37" width="55.109375" customWidth="1"/>
  </cols>
  <sheetData>
    <row r="1" spans="1:25" s="133" customFormat="1" ht="15.75" customHeight="1" thickBot="1" x14ac:dyDescent="0.35">
      <c r="A1" s="144" t="s">
        <v>170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6"/>
    </row>
    <row r="2" spans="1:25" s="133" customFormat="1" ht="17.399999999999999" x14ac:dyDescent="0.3">
      <c r="A2" s="99" t="s">
        <v>158</v>
      </c>
      <c r="B2" s="100"/>
      <c r="C2" s="147">
        <v>2024</v>
      </c>
      <c r="D2" s="148"/>
      <c r="E2" s="148"/>
      <c r="F2" s="149">
        <v>2025</v>
      </c>
      <c r="G2" s="149"/>
      <c r="H2" s="149"/>
      <c r="I2" s="149"/>
      <c r="J2" s="149">
        <v>2026</v>
      </c>
      <c r="K2" s="149"/>
      <c r="L2" s="149"/>
      <c r="M2" s="149"/>
      <c r="N2" s="149">
        <v>2027</v>
      </c>
      <c r="O2" s="149"/>
      <c r="P2" s="149"/>
      <c r="Q2" s="149"/>
      <c r="R2" s="149">
        <v>2028</v>
      </c>
      <c r="S2" s="149"/>
      <c r="T2" s="149"/>
      <c r="U2" s="149"/>
      <c r="V2" s="149">
        <v>2029</v>
      </c>
      <c r="W2" s="149"/>
      <c r="X2" s="149"/>
      <c r="Y2" s="150"/>
    </row>
    <row r="3" spans="1:25" s="102" customFormat="1" ht="15.75" customHeight="1" x14ac:dyDescent="0.3">
      <c r="A3" s="101" t="s">
        <v>159</v>
      </c>
      <c r="C3" s="103" t="s">
        <v>133</v>
      </c>
      <c r="D3" s="103" t="s">
        <v>134</v>
      </c>
      <c r="E3" s="103" t="s">
        <v>135</v>
      </c>
      <c r="F3" s="103" t="s">
        <v>136</v>
      </c>
      <c r="G3" s="103" t="s">
        <v>133</v>
      </c>
      <c r="H3" s="103" t="s">
        <v>134</v>
      </c>
      <c r="I3" s="103" t="s">
        <v>135</v>
      </c>
      <c r="J3" s="103" t="s">
        <v>136</v>
      </c>
      <c r="K3" s="103" t="s">
        <v>133</v>
      </c>
      <c r="L3" s="103" t="s">
        <v>134</v>
      </c>
      <c r="M3" s="103" t="s">
        <v>135</v>
      </c>
      <c r="N3" s="103" t="s">
        <v>136</v>
      </c>
      <c r="O3" s="103" t="s">
        <v>133</v>
      </c>
      <c r="P3" s="103" t="s">
        <v>134</v>
      </c>
      <c r="Q3" s="103" t="s">
        <v>135</v>
      </c>
      <c r="R3" s="103" t="s">
        <v>136</v>
      </c>
      <c r="S3" s="103" t="s">
        <v>133</v>
      </c>
      <c r="T3" s="103" t="s">
        <v>134</v>
      </c>
      <c r="U3" s="103" t="s">
        <v>135</v>
      </c>
      <c r="V3" s="103" t="s">
        <v>136</v>
      </c>
      <c r="W3" s="103" t="s">
        <v>133</v>
      </c>
      <c r="X3" s="103" t="s">
        <v>134</v>
      </c>
      <c r="Y3" s="104" t="s">
        <v>135</v>
      </c>
    </row>
    <row r="4" spans="1:25" s="102" customFormat="1" ht="15.75" customHeight="1" thickBot="1" x14ac:dyDescent="0.35">
      <c r="A4" s="105" t="s">
        <v>137</v>
      </c>
      <c r="B4" s="106"/>
      <c r="C4" s="107"/>
      <c r="D4" s="107"/>
      <c r="E4" s="108">
        <v>1</v>
      </c>
      <c r="F4" s="108">
        <v>2</v>
      </c>
      <c r="G4" s="108">
        <v>3</v>
      </c>
      <c r="H4" s="108">
        <v>4</v>
      </c>
      <c r="I4" s="108">
        <v>5</v>
      </c>
      <c r="J4" s="108">
        <v>6</v>
      </c>
      <c r="K4" s="108">
        <v>7</v>
      </c>
      <c r="L4" s="108">
        <v>8</v>
      </c>
      <c r="M4" s="108">
        <v>9</v>
      </c>
      <c r="N4" s="108">
        <v>10</v>
      </c>
      <c r="O4" s="108">
        <v>11</v>
      </c>
      <c r="P4" s="108">
        <v>12</v>
      </c>
      <c r="Q4" s="108">
        <v>13</v>
      </c>
      <c r="R4" s="108">
        <v>14</v>
      </c>
      <c r="S4" s="108">
        <v>15</v>
      </c>
      <c r="T4" s="108">
        <v>16</v>
      </c>
      <c r="U4" s="108">
        <v>17</v>
      </c>
      <c r="V4" s="108">
        <v>18</v>
      </c>
      <c r="W4" s="108">
        <v>19</v>
      </c>
      <c r="X4" s="108">
        <v>20</v>
      </c>
      <c r="Y4" s="109">
        <v>21</v>
      </c>
    </row>
    <row r="5" spans="1:25" s="133" customFormat="1" ht="17.399999999999999" x14ac:dyDescent="0.3">
      <c r="A5" s="110" t="s">
        <v>138</v>
      </c>
      <c r="B5" s="111"/>
      <c r="C5" s="112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4"/>
    </row>
    <row r="6" spans="1:25" s="133" customFormat="1" ht="16.05" customHeight="1" x14ac:dyDescent="0.3">
      <c r="A6" s="115">
        <v>1</v>
      </c>
      <c r="B6" s="116" t="s">
        <v>139</v>
      </c>
      <c r="C6" s="117" t="s">
        <v>140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4"/>
    </row>
    <row r="7" spans="1:25" s="133" customFormat="1" ht="16.05" customHeight="1" x14ac:dyDescent="0.3">
      <c r="A7" s="115">
        <v>2</v>
      </c>
      <c r="B7" s="116" t="s">
        <v>141</v>
      </c>
      <c r="C7" s="112"/>
      <c r="D7" s="113"/>
      <c r="E7" s="118" t="s">
        <v>140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4"/>
    </row>
    <row r="8" spans="1:25" s="133" customFormat="1" ht="16.05" customHeight="1" x14ac:dyDescent="0.3">
      <c r="A8" s="115">
        <v>3</v>
      </c>
      <c r="B8" s="116" t="s">
        <v>160</v>
      </c>
      <c r="C8" s="112"/>
      <c r="D8" s="119"/>
      <c r="E8" s="120" t="s">
        <v>140</v>
      </c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4"/>
    </row>
    <row r="9" spans="1:25" s="133" customFormat="1" ht="16.05" customHeight="1" x14ac:dyDescent="0.3">
      <c r="A9" s="115">
        <v>4</v>
      </c>
      <c r="B9" s="116" t="s">
        <v>143</v>
      </c>
      <c r="C9" s="112"/>
      <c r="D9" s="119"/>
      <c r="E9" s="120" t="s">
        <v>140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4"/>
    </row>
    <row r="10" spans="1:25" ht="16.05" customHeight="1" x14ac:dyDescent="0.3">
      <c r="A10" s="115">
        <v>5</v>
      </c>
      <c r="B10" s="121" t="s">
        <v>161</v>
      </c>
      <c r="C10" s="122"/>
      <c r="D10" s="119"/>
      <c r="E10" s="120" t="s">
        <v>140</v>
      </c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4"/>
    </row>
    <row r="11" spans="1:25" ht="16.05" customHeight="1" x14ac:dyDescent="0.3">
      <c r="A11" s="115">
        <v>6</v>
      </c>
      <c r="B11" s="121" t="s">
        <v>144</v>
      </c>
      <c r="C11" s="122"/>
      <c r="D11" s="113"/>
      <c r="E11" s="120" t="s">
        <v>140</v>
      </c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4"/>
    </row>
    <row r="12" spans="1:25" s="133" customFormat="1" ht="16.05" customHeight="1" x14ac:dyDescent="0.3">
      <c r="A12" s="115">
        <v>7</v>
      </c>
      <c r="B12" s="116" t="s">
        <v>173</v>
      </c>
      <c r="C12" s="112"/>
      <c r="D12" s="113"/>
      <c r="E12" s="119"/>
      <c r="F12" s="120" t="s">
        <v>140</v>
      </c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4"/>
    </row>
    <row r="13" spans="1:25" s="133" customFormat="1" ht="42" customHeight="1" x14ac:dyDescent="0.3">
      <c r="A13" s="115">
        <v>8</v>
      </c>
      <c r="B13" s="116" t="s">
        <v>145</v>
      </c>
      <c r="C13" s="112"/>
      <c r="D13" s="113"/>
      <c r="E13" s="125"/>
      <c r="F13" s="125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4"/>
    </row>
    <row r="14" spans="1:25" s="133" customFormat="1" ht="16.05" customHeight="1" x14ac:dyDescent="0.3">
      <c r="A14" s="115">
        <v>9</v>
      </c>
      <c r="B14" s="116" t="s">
        <v>177</v>
      </c>
      <c r="C14" s="112"/>
      <c r="D14" s="113"/>
      <c r="E14" s="119"/>
      <c r="F14" s="120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4"/>
    </row>
    <row r="15" spans="1:25" s="133" customFormat="1" ht="28.05" customHeight="1" x14ac:dyDescent="0.3">
      <c r="A15" s="115">
        <v>10</v>
      </c>
      <c r="B15" s="116" t="s">
        <v>162</v>
      </c>
      <c r="C15" s="112"/>
      <c r="D15" s="113"/>
      <c r="E15" s="113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6"/>
    </row>
    <row r="16" spans="1:25" s="133" customFormat="1" ht="16.05" customHeight="1" x14ac:dyDescent="0.3">
      <c r="A16" s="115">
        <v>11</v>
      </c>
      <c r="B16" s="116" t="s">
        <v>163</v>
      </c>
      <c r="C16" s="112"/>
      <c r="D16" s="113"/>
      <c r="E16" s="113"/>
      <c r="F16" s="120" t="s">
        <v>140</v>
      </c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6"/>
    </row>
    <row r="17" spans="1:25" s="133" customFormat="1" ht="16.05" customHeight="1" x14ac:dyDescent="0.3">
      <c r="A17" s="115">
        <v>12</v>
      </c>
      <c r="B17" s="116" t="s">
        <v>148</v>
      </c>
      <c r="C17" s="112"/>
      <c r="D17" s="113"/>
      <c r="E17" s="113"/>
      <c r="F17" s="113"/>
      <c r="G17" s="125"/>
      <c r="H17" s="113"/>
      <c r="I17" s="113"/>
      <c r="J17" s="113"/>
      <c r="K17" s="125"/>
      <c r="L17" s="113"/>
      <c r="M17" s="113"/>
      <c r="N17" s="113"/>
      <c r="O17" s="125"/>
      <c r="P17" s="113"/>
      <c r="Q17" s="113"/>
      <c r="R17" s="113"/>
      <c r="S17" s="125"/>
      <c r="U17" s="113"/>
      <c r="V17" s="113"/>
      <c r="W17" s="113"/>
      <c r="X17" s="113"/>
      <c r="Y17" s="114"/>
    </row>
    <row r="18" spans="1:25" s="133" customFormat="1" ht="16.05" customHeight="1" x14ac:dyDescent="0.3">
      <c r="A18" s="115">
        <v>13</v>
      </c>
      <c r="B18" s="116" t="s">
        <v>149</v>
      </c>
      <c r="C18" s="112"/>
      <c r="D18" s="113"/>
      <c r="E18" s="113"/>
      <c r="F18" s="113"/>
      <c r="G18" s="113"/>
      <c r="H18" s="118" t="s">
        <v>140</v>
      </c>
      <c r="I18" s="113"/>
      <c r="J18" s="113"/>
      <c r="K18" s="113"/>
      <c r="L18" s="118" t="s">
        <v>140</v>
      </c>
      <c r="M18" s="113"/>
      <c r="N18" s="113"/>
      <c r="O18" s="113"/>
      <c r="P18" s="118" t="s">
        <v>140</v>
      </c>
      <c r="Q18" s="113"/>
      <c r="R18" s="113"/>
      <c r="S18" s="113"/>
      <c r="T18" s="118" t="s">
        <v>140</v>
      </c>
      <c r="U18" s="113"/>
      <c r="V18" s="113"/>
      <c r="W18" s="113"/>
      <c r="X18" s="113"/>
      <c r="Y18" s="114"/>
    </row>
    <row r="19" spans="1:25" s="133" customFormat="1" ht="42" customHeight="1" x14ac:dyDescent="0.3">
      <c r="A19" s="115">
        <v>14</v>
      </c>
      <c r="B19" s="116" t="s">
        <v>178</v>
      </c>
      <c r="C19" s="112"/>
      <c r="D19" s="113"/>
      <c r="E19" s="113"/>
      <c r="F19" s="113"/>
      <c r="G19" s="113"/>
      <c r="H19" s="125"/>
      <c r="I19" s="113"/>
      <c r="J19" s="113"/>
      <c r="K19" s="113"/>
      <c r="L19" s="125"/>
      <c r="M19" s="113"/>
      <c r="N19" s="113"/>
      <c r="O19" s="113"/>
      <c r="P19" s="125"/>
      <c r="Q19" s="113"/>
      <c r="R19" s="113"/>
      <c r="S19" s="113"/>
      <c r="T19" s="125"/>
      <c r="U19" s="113"/>
      <c r="V19" s="113"/>
      <c r="W19" s="113"/>
      <c r="X19" s="113"/>
      <c r="Y19" s="114"/>
    </row>
    <row r="20" spans="1:25" s="133" customFormat="1" ht="16.05" customHeight="1" x14ac:dyDescent="0.3">
      <c r="A20" s="115">
        <v>15</v>
      </c>
      <c r="B20" s="116" t="s">
        <v>164</v>
      </c>
      <c r="C20" s="112"/>
      <c r="D20" s="113"/>
      <c r="E20" s="113"/>
      <c r="F20" s="113"/>
      <c r="G20" s="113"/>
      <c r="H20" s="113"/>
      <c r="I20" s="125"/>
      <c r="J20" s="125"/>
      <c r="K20" s="113"/>
      <c r="L20" s="113"/>
      <c r="M20" s="125"/>
      <c r="N20" s="125"/>
      <c r="O20" s="113"/>
      <c r="P20" s="113"/>
      <c r="Q20" s="125"/>
      <c r="R20" s="125"/>
      <c r="S20" s="113"/>
      <c r="T20" s="113"/>
      <c r="U20" s="125"/>
      <c r="V20" s="125"/>
      <c r="W20" s="113"/>
      <c r="X20" s="113"/>
      <c r="Y20" s="114"/>
    </row>
    <row r="21" spans="1:25" s="133" customFormat="1" ht="16.05" customHeight="1" x14ac:dyDescent="0.3">
      <c r="A21" s="115">
        <v>16</v>
      </c>
      <c r="B21" s="116" t="s">
        <v>165</v>
      </c>
      <c r="C21" s="112"/>
      <c r="D21" s="113"/>
      <c r="E21" s="113"/>
      <c r="F21" s="113"/>
      <c r="G21" s="113"/>
      <c r="H21" s="113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6"/>
    </row>
    <row r="22" spans="1:25" s="133" customFormat="1" ht="16.05" customHeight="1" x14ac:dyDescent="0.3">
      <c r="A22" s="115">
        <v>17</v>
      </c>
      <c r="B22" s="116" t="s">
        <v>166</v>
      </c>
      <c r="C22" s="112"/>
      <c r="D22" s="113"/>
      <c r="E22" s="113"/>
      <c r="F22" s="113"/>
      <c r="G22" s="113"/>
      <c r="H22" s="113"/>
      <c r="I22" s="113"/>
      <c r="J22" s="125"/>
      <c r="K22" s="125"/>
      <c r="L22" s="113"/>
      <c r="M22" s="113"/>
      <c r="N22" s="125"/>
      <c r="O22" s="125"/>
      <c r="P22" s="113"/>
      <c r="Q22" s="113"/>
      <c r="R22" s="125"/>
      <c r="S22" s="125"/>
      <c r="T22" s="113"/>
      <c r="U22" s="113"/>
      <c r="V22" s="125"/>
      <c r="W22" s="125"/>
      <c r="X22" s="113"/>
      <c r="Y22" s="114"/>
    </row>
    <row r="23" spans="1:25" s="133" customFormat="1" ht="16.05" customHeight="1" x14ac:dyDescent="0.3">
      <c r="A23" s="115">
        <v>18</v>
      </c>
      <c r="B23" s="116" t="s">
        <v>167</v>
      </c>
      <c r="C23" s="112"/>
      <c r="D23" s="113"/>
      <c r="E23" s="113"/>
      <c r="F23" s="113"/>
      <c r="G23" s="113"/>
      <c r="H23" s="113"/>
      <c r="I23" s="113"/>
      <c r="J23" s="113"/>
      <c r="K23" s="113"/>
      <c r="L23" s="120" t="s">
        <v>140</v>
      </c>
      <c r="M23" s="113"/>
      <c r="N23" s="113"/>
      <c r="O23" s="113"/>
      <c r="P23" s="120" t="s">
        <v>140</v>
      </c>
      <c r="Q23" s="113"/>
      <c r="R23" s="113"/>
      <c r="S23" s="113"/>
      <c r="T23" s="120" t="s">
        <v>140</v>
      </c>
      <c r="U23" s="113"/>
      <c r="V23" s="113"/>
      <c r="W23" s="113"/>
      <c r="X23" s="120" t="s">
        <v>140</v>
      </c>
      <c r="Y23" s="114"/>
    </row>
    <row r="24" spans="1:25" s="133" customFormat="1" ht="42" customHeight="1" x14ac:dyDescent="0.3">
      <c r="A24" s="115">
        <v>19</v>
      </c>
      <c r="B24" s="116" t="s">
        <v>153</v>
      </c>
      <c r="C24" s="112"/>
      <c r="D24" s="113"/>
      <c r="E24" s="113"/>
      <c r="F24" s="113"/>
      <c r="G24" s="113"/>
      <c r="H24" s="113"/>
      <c r="I24" s="113"/>
      <c r="J24" s="125"/>
      <c r="K24" s="113"/>
      <c r="L24" s="113"/>
      <c r="M24" s="113"/>
      <c r="N24" s="125"/>
      <c r="O24" s="113"/>
      <c r="P24" s="113"/>
      <c r="Q24" s="113"/>
      <c r="R24" s="125"/>
      <c r="S24" s="113"/>
      <c r="T24" s="113"/>
      <c r="U24" s="113"/>
      <c r="V24" s="125"/>
      <c r="W24" s="113"/>
      <c r="X24" s="113"/>
      <c r="Y24" s="114"/>
    </row>
    <row r="25" spans="1:25" s="133" customFormat="1" ht="16.05" customHeight="1" x14ac:dyDescent="0.3">
      <c r="A25" s="115">
        <v>20</v>
      </c>
      <c r="B25" s="116" t="s">
        <v>154</v>
      </c>
      <c r="C25" s="112"/>
      <c r="D25" s="113"/>
      <c r="E25" s="113"/>
      <c r="F25" s="113"/>
      <c r="G25" s="113"/>
      <c r="H25" s="113"/>
      <c r="I25" s="113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6"/>
    </row>
    <row r="26" spans="1:25" s="133" customFormat="1" ht="16.05" customHeight="1" x14ac:dyDescent="0.3">
      <c r="A26" s="115">
        <v>21</v>
      </c>
      <c r="B26" s="116" t="s">
        <v>155</v>
      </c>
      <c r="C26" s="112"/>
      <c r="D26" s="113"/>
      <c r="E26" s="113"/>
      <c r="F26" s="113"/>
      <c r="G26" s="113"/>
      <c r="H26" s="113"/>
      <c r="I26" s="113"/>
      <c r="J26" s="113"/>
      <c r="K26" s="113"/>
      <c r="L26" s="125"/>
      <c r="M26" s="113"/>
      <c r="N26" s="113"/>
      <c r="O26" s="113"/>
      <c r="P26" s="125"/>
      <c r="Q26" s="113"/>
      <c r="R26" s="113"/>
      <c r="S26" s="113"/>
      <c r="T26" s="125"/>
      <c r="U26" s="113"/>
      <c r="V26" s="113"/>
      <c r="W26" s="113"/>
      <c r="X26" s="125"/>
      <c r="Y26" s="114"/>
    </row>
    <row r="27" spans="1:25" s="133" customFormat="1" ht="16.05" customHeight="1" x14ac:dyDescent="0.3">
      <c r="A27" s="115">
        <v>22</v>
      </c>
      <c r="B27" s="116" t="s">
        <v>168</v>
      </c>
      <c r="C27" s="112"/>
      <c r="D27" s="113"/>
      <c r="E27" s="113"/>
      <c r="F27" s="113"/>
      <c r="G27" s="120" t="s">
        <v>140</v>
      </c>
      <c r="H27" s="113"/>
      <c r="I27" s="120" t="s">
        <v>140</v>
      </c>
      <c r="J27" s="113"/>
      <c r="K27" s="120" t="s">
        <v>140</v>
      </c>
      <c r="L27" s="113"/>
      <c r="M27" s="120" t="s">
        <v>140</v>
      </c>
      <c r="N27" s="113"/>
      <c r="O27" s="120" t="s">
        <v>140</v>
      </c>
      <c r="P27" s="113"/>
      <c r="Q27" s="120" t="s">
        <v>140</v>
      </c>
      <c r="R27" s="113"/>
      <c r="S27" s="120" t="s">
        <v>140</v>
      </c>
      <c r="T27" s="113"/>
      <c r="U27" s="120" t="s">
        <v>140</v>
      </c>
      <c r="V27" s="113"/>
      <c r="W27" s="120" t="s">
        <v>140</v>
      </c>
      <c r="X27" s="118"/>
      <c r="Y27" s="127"/>
    </row>
    <row r="28" spans="1:25" s="133" customFormat="1" ht="16.05" customHeight="1" thickBot="1" x14ac:dyDescent="0.35">
      <c r="A28" s="136">
        <v>23</v>
      </c>
      <c r="B28" s="129" t="s">
        <v>169</v>
      </c>
      <c r="C28" s="130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2" t="s">
        <v>140</v>
      </c>
    </row>
    <row r="29" spans="1:25" s="133" customFormat="1" x14ac:dyDescent="0.3">
      <c r="B29" s="135"/>
    </row>
    <row r="30" spans="1:25" s="133" customFormat="1" x14ac:dyDescent="0.3">
      <c r="B30" s="135"/>
    </row>
    <row r="31" spans="1:25" s="133" customFormat="1" x14ac:dyDescent="0.3">
      <c r="B31" s="135"/>
    </row>
    <row r="32" spans="1:25" s="133" customFormat="1" x14ac:dyDescent="0.3">
      <c r="B32" s="135"/>
    </row>
    <row r="33" spans="2:2" s="133" customFormat="1" x14ac:dyDescent="0.3">
      <c r="B33" s="135"/>
    </row>
    <row r="34" spans="2:2" s="133" customFormat="1" x14ac:dyDescent="0.3">
      <c r="B34" s="135"/>
    </row>
    <row r="35" spans="2:2" s="133" customFormat="1" x14ac:dyDescent="0.3">
      <c r="B35" s="135"/>
    </row>
    <row r="36" spans="2:2" s="133" customFormat="1" x14ac:dyDescent="0.3">
      <c r="B36" s="135"/>
    </row>
    <row r="37" spans="2:2" s="133" customFormat="1" x14ac:dyDescent="0.3">
      <c r="B37" s="135"/>
    </row>
    <row r="38" spans="2:2" s="133" customFormat="1" x14ac:dyDescent="0.3">
      <c r="B38" s="135"/>
    </row>
    <row r="39" spans="2:2" s="133" customFormat="1" x14ac:dyDescent="0.3">
      <c r="B39" s="135"/>
    </row>
    <row r="40" spans="2:2" s="133" customFormat="1" x14ac:dyDescent="0.3">
      <c r="B40" s="135"/>
    </row>
    <row r="41" spans="2:2" s="133" customFormat="1" x14ac:dyDescent="0.3">
      <c r="B41" s="135"/>
    </row>
    <row r="42" spans="2:2" s="133" customFormat="1" x14ac:dyDescent="0.3">
      <c r="B42" s="135"/>
    </row>
    <row r="43" spans="2:2" s="133" customFormat="1" x14ac:dyDescent="0.3">
      <c r="B43" s="135"/>
    </row>
    <row r="44" spans="2:2" s="133" customFormat="1" x14ac:dyDescent="0.3">
      <c r="B44" s="135"/>
    </row>
    <row r="45" spans="2:2" s="133" customFormat="1" x14ac:dyDescent="0.3">
      <c r="B45" s="135"/>
    </row>
    <row r="46" spans="2:2" s="133" customFormat="1" x14ac:dyDescent="0.3">
      <c r="B46" s="135"/>
    </row>
    <row r="47" spans="2:2" s="133" customFormat="1" x14ac:dyDescent="0.3">
      <c r="B47" s="135"/>
    </row>
    <row r="48" spans="2:2" s="133" customFormat="1" x14ac:dyDescent="0.3">
      <c r="B48" s="135"/>
    </row>
    <row r="49" spans="2:2" s="133" customFormat="1" x14ac:dyDescent="0.3">
      <c r="B49" s="135"/>
    </row>
    <row r="50" spans="2:2" s="133" customFormat="1" x14ac:dyDescent="0.3">
      <c r="B50" s="135"/>
    </row>
    <row r="51" spans="2:2" s="133" customFormat="1" x14ac:dyDescent="0.3">
      <c r="B51" s="135"/>
    </row>
    <row r="52" spans="2:2" s="133" customFormat="1" x14ac:dyDescent="0.3">
      <c r="B52" s="135"/>
    </row>
    <row r="53" spans="2:2" s="133" customFormat="1" x14ac:dyDescent="0.3">
      <c r="B53" s="135"/>
    </row>
    <row r="54" spans="2:2" s="133" customFormat="1" x14ac:dyDescent="0.3">
      <c r="B54" s="135"/>
    </row>
    <row r="55" spans="2:2" s="133" customFormat="1" x14ac:dyDescent="0.3">
      <c r="B55" s="135"/>
    </row>
    <row r="56" spans="2:2" s="133" customFormat="1" x14ac:dyDescent="0.3">
      <c r="B56" s="135"/>
    </row>
    <row r="57" spans="2:2" s="133" customFormat="1" x14ac:dyDescent="0.3">
      <c r="B57" s="135"/>
    </row>
    <row r="58" spans="2:2" s="133" customFormat="1" x14ac:dyDescent="0.3">
      <c r="B58" s="135"/>
    </row>
    <row r="59" spans="2:2" s="133" customFormat="1" x14ac:dyDescent="0.3">
      <c r="B59" s="135"/>
    </row>
    <row r="60" spans="2:2" s="133" customFormat="1" x14ac:dyDescent="0.3">
      <c r="B60" s="135"/>
    </row>
    <row r="61" spans="2:2" s="133" customFormat="1" x14ac:dyDescent="0.3">
      <c r="B61" s="135"/>
    </row>
    <row r="62" spans="2:2" s="133" customFormat="1" x14ac:dyDescent="0.3">
      <c r="B62" s="135"/>
    </row>
    <row r="63" spans="2:2" s="133" customFormat="1" x14ac:dyDescent="0.3">
      <c r="B63" s="135"/>
    </row>
    <row r="64" spans="2:2" s="133" customFormat="1" x14ac:dyDescent="0.3">
      <c r="B64" s="135"/>
    </row>
    <row r="65" spans="2:2" s="133" customFormat="1" x14ac:dyDescent="0.3">
      <c r="B65" s="135"/>
    </row>
    <row r="66" spans="2:2" s="133" customFormat="1" x14ac:dyDescent="0.3">
      <c r="B66" s="135"/>
    </row>
    <row r="67" spans="2:2" s="133" customFormat="1" x14ac:dyDescent="0.3">
      <c r="B67" s="135"/>
    </row>
    <row r="68" spans="2:2" s="133" customFormat="1" x14ac:dyDescent="0.3">
      <c r="B68" s="135"/>
    </row>
    <row r="69" spans="2:2" s="133" customFormat="1" x14ac:dyDescent="0.3">
      <c r="B69" s="135"/>
    </row>
    <row r="70" spans="2:2" s="133" customFormat="1" x14ac:dyDescent="0.3">
      <c r="B70" s="135"/>
    </row>
    <row r="71" spans="2:2" s="133" customFormat="1" x14ac:dyDescent="0.3">
      <c r="B71" s="135"/>
    </row>
    <row r="72" spans="2:2" s="133" customFormat="1" x14ac:dyDescent="0.3">
      <c r="B72" s="135"/>
    </row>
    <row r="73" spans="2:2" s="133" customFormat="1" x14ac:dyDescent="0.3">
      <c r="B73" s="135"/>
    </row>
    <row r="74" spans="2:2" s="133" customFormat="1" x14ac:dyDescent="0.3">
      <c r="B74" s="135"/>
    </row>
    <row r="75" spans="2:2" s="133" customFormat="1" x14ac:dyDescent="0.3">
      <c r="B75" s="135"/>
    </row>
    <row r="76" spans="2:2" s="133" customFormat="1" x14ac:dyDescent="0.3">
      <c r="B76" s="135"/>
    </row>
    <row r="77" spans="2:2" s="133" customFormat="1" x14ac:dyDescent="0.3">
      <c r="B77" s="135"/>
    </row>
    <row r="78" spans="2:2" s="133" customFormat="1" x14ac:dyDescent="0.3">
      <c r="B78" s="135"/>
    </row>
    <row r="79" spans="2:2" s="133" customFormat="1" x14ac:dyDescent="0.3">
      <c r="B79" s="135"/>
    </row>
    <row r="80" spans="2:2" s="133" customFormat="1" x14ac:dyDescent="0.3">
      <c r="B80" s="135"/>
    </row>
    <row r="81" spans="2:2" s="133" customFormat="1" x14ac:dyDescent="0.3">
      <c r="B81" s="135"/>
    </row>
    <row r="82" spans="2:2" s="133" customFormat="1" x14ac:dyDescent="0.3">
      <c r="B82" s="135"/>
    </row>
    <row r="83" spans="2:2" s="133" customFormat="1" x14ac:dyDescent="0.3">
      <c r="B83" s="135"/>
    </row>
    <row r="84" spans="2:2" s="133" customFormat="1" x14ac:dyDescent="0.3">
      <c r="B84" s="135"/>
    </row>
    <row r="85" spans="2:2" s="133" customFormat="1" x14ac:dyDescent="0.3">
      <c r="B85" s="135"/>
    </row>
    <row r="86" spans="2:2" s="133" customFormat="1" x14ac:dyDescent="0.3">
      <c r="B86" s="135"/>
    </row>
    <row r="87" spans="2:2" s="133" customFormat="1" x14ac:dyDescent="0.3">
      <c r="B87" s="135"/>
    </row>
    <row r="88" spans="2:2" s="133" customFormat="1" x14ac:dyDescent="0.3">
      <c r="B88" s="135"/>
    </row>
    <row r="89" spans="2:2" s="133" customFormat="1" x14ac:dyDescent="0.3">
      <c r="B89" s="135"/>
    </row>
    <row r="90" spans="2:2" s="133" customFormat="1" x14ac:dyDescent="0.3">
      <c r="B90" s="135"/>
    </row>
    <row r="91" spans="2:2" s="133" customFormat="1" x14ac:dyDescent="0.3">
      <c r="B91" s="135"/>
    </row>
    <row r="92" spans="2:2" s="133" customFormat="1" x14ac:dyDescent="0.3">
      <c r="B92" s="135"/>
    </row>
    <row r="93" spans="2:2" s="133" customFormat="1" x14ac:dyDescent="0.3">
      <c r="B93" s="135"/>
    </row>
    <row r="94" spans="2:2" s="133" customFormat="1" x14ac:dyDescent="0.3">
      <c r="B94" s="135"/>
    </row>
    <row r="95" spans="2:2" s="133" customFormat="1" x14ac:dyDescent="0.3">
      <c r="B95" s="135"/>
    </row>
    <row r="96" spans="2:2" s="133" customFormat="1" x14ac:dyDescent="0.3">
      <c r="B96" s="135"/>
    </row>
    <row r="97" spans="2:2" s="133" customFormat="1" x14ac:dyDescent="0.3">
      <c r="B97" s="135"/>
    </row>
    <row r="98" spans="2:2" s="133" customFormat="1" x14ac:dyDescent="0.3">
      <c r="B98" s="135"/>
    </row>
    <row r="99" spans="2:2" s="133" customFormat="1" x14ac:dyDescent="0.3">
      <c r="B99" s="135"/>
    </row>
  </sheetData>
  <mergeCells count="7">
    <mergeCell ref="A1:Y1"/>
    <mergeCell ref="C2:E2"/>
    <mergeCell ref="F2:I2"/>
    <mergeCell ref="J2:M2"/>
    <mergeCell ref="N2:Q2"/>
    <mergeCell ref="R2:U2"/>
    <mergeCell ref="V2:Y2"/>
  </mergeCells>
  <conditionalFormatting sqref="E4:Y4">
    <cfRule type="expression" dxfId="0" priority="1">
      <formula>E$4=period_selected</formula>
    </cfRule>
  </conditionalFormatting>
  <dataValidations count="4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2" xr:uid="{C3E2E41A-491F-452B-A84D-4003B6773C17}"/>
    <dataValidation allowBlank="1" showInputMessage="1" showErrorMessage="1" prompt="Periods are charted from 1 to 60 starting from cell H4 to cell BO4 " sqref="C2 C3:Y4" xr:uid="{A9EBFCA6-5193-4CAC-8302-65981C3D7E5D}"/>
    <dataValidation allowBlank="1" showInputMessage="1" showErrorMessage="1" prompt="Title of the project. Enter a new title in this cell. Highlight a period in H2. Chart legend is in J2 to AI2" sqref="A1" xr:uid="{BF189518-6F0A-4C56-B0C4-CAD16AE30113}"/>
    <dataValidation allowBlank="1" showInputMessage="1" showErrorMessage="1" prompt="Enter activity in column B, starting with cell B5_x000a_" sqref="A2:A5 B6" xr:uid="{7352E06E-6657-4FA1-926D-AC9FC97C0FBF}"/>
  </dataValidation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G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09375" defaultRowHeight="14.4" x14ac:dyDescent="0.3"/>
  <cols>
    <col min="1" max="1" width="3.10937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332031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29</v>
      </c>
    </row>
    <row r="3" spans="2:39" x14ac:dyDescent="0.3">
      <c r="B3" s="64" t="s">
        <v>30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32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32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0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0" customWidth="1"/>
    <col min="3" max="3" width="46.88671875" customWidth="1"/>
    <col min="4" max="4" width="12.6640625" style="6" customWidth="1"/>
    <col min="5" max="5" width="12.33203125" style="2" customWidth="1"/>
    <col min="6" max="6" width="12.88671875" customWidth="1"/>
    <col min="7" max="7" width="12.33203125" customWidth="1"/>
    <col min="8" max="8" width="12.6640625" style="2" customWidth="1"/>
    <col min="9" max="9" width="0.88671875" style="7" customWidth="1"/>
    <col min="10" max="10" width="12.6640625" bestFit="1" customWidth="1"/>
    <col min="11" max="11" width="10.109375" customWidth="1"/>
  </cols>
  <sheetData>
    <row r="2" spans="2:39" ht="23.4" x14ac:dyDescent="0.45">
      <c r="B2" s="30" t="s">
        <v>29</v>
      </c>
    </row>
    <row r="3" spans="2:39" x14ac:dyDescent="0.3">
      <c r="B3" s="64" t="s">
        <v>30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36</v>
      </c>
      <c r="E19" s="11" t="s">
        <v>36</v>
      </c>
      <c r="F19" s="11" t="s">
        <v>36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32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46</v>
      </c>
      <c r="D42" s="13" t="s">
        <v>32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0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Q21" activePane="bottomRight" state="frozen"/>
      <selection pane="topRight" activeCell="R20" sqref="R20:W20"/>
      <selection pane="bottomLeft" activeCell="R20" sqref="R20:W20"/>
      <selection pane="bottomRight" activeCell="R76" sqref="R76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46.33203125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0.8867187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29</v>
      </c>
    </row>
    <row r="3" spans="2:39" x14ac:dyDescent="0.3">
      <c r="B3" s="64" t="s">
        <v>30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32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42</v>
      </c>
      <c r="D42" s="13" t="s">
        <v>32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0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8C9ED1425EFA488D35801FF0E43841" ma:contentTypeVersion="15" ma:contentTypeDescription="Create a new document." ma:contentTypeScope="" ma:versionID="c0eadf3e60bf9bd030ebfe7eb5030c3f">
  <xsd:schema xmlns:xsd="http://www.w3.org/2001/XMLSchema" xmlns:xs="http://www.w3.org/2001/XMLSchema" xmlns:p="http://schemas.microsoft.com/office/2006/metadata/properties" xmlns:ns2="ef6fab76-194e-4ce5-acff-594449875fa4" xmlns:ns3="60038b03-d131-4573-ae2b-f2f6cad6770e" targetNamespace="http://schemas.microsoft.com/office/2006/metadata/properties" ma:root="true" ma:fieldsID="8df4540dc632776b85034d00b2ee0021" ns2:_="" ns3:_="">
    <xsd:import namespace="ef6fab76-194e-4ce5-acff-594449875fa4"/>
    <xsd:import namespace="60038b03-d131-4573-ae2b-f2f6cad67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6fab76-194e-4ce5-acff-594449875f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fdcca1d-aa7a-4aa4-88bd-88f0d812d4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38b03-d131-4573-ae2b-f2f6cad67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686def7-f293-4289-a298-2da1e74fbd94}" ma:internalName="TaxCatchAll" ma:showField="CatchAllData" ma:web="60038b03-d131-4573-ae2b-f2f6cad67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0038b03-d131-4573-ae2b-f2f6cad6770e">
      <UserInfo>
        <DisplayName>SharingLinks.5a1d4f3b-126e-4262-a150-ac16e75d3be8.Flexible.709cbb87-40a2-45f6-9e8a-a38b8531f302</DisplayName>
        <AccountId>50</AccountId>
        <AccountType/>
      </UserInfo>
      <UserInfo>
        <DisplayName>Wagner, Margie, ENV</DisplayName>
        <AccountId>62</AccountId>
        <AccountType/>
      </UserInfo>
      <UserInfo>
        <DisplayName>SharingLinks.e3beb0c7-57e0-43cb-8f97-f6d9e4a31c40.Flexible.0532fda6-00ec-4f2b-b7f1-e843f2d94c71</DisplayName>
        <AccountId>16</AccountId>
        <AccountType/>
      </UserInfo>
      <UserInfo>
        <DisplayName>Limited Access System Group For List ef6fab76-194e-4ce5-acff-594449875fa4</DisplayName>
        <AccountId>17</AccountId>
        <AccountType/>
      </UserInfo>
      <UserInfo>
        <DisplayName>Schath, Brian, ENV</DisplayName>
        <AccountId>14</AccountId>
        <AccountType/>
      </UserInfo>
      <UserInfo>
        <DisplayName>Ford, Michael, ENV</DisplayName>
        <AccountId>99</AccountId>
        <AccountType/>
      </UserInfo>
    </SharedWithUsers>
    <TaxCatchAll xmlns="60038b03-d131-4573-ae2b-f2f6cad6770e" xsi:nil="true"/>
    <lcf76f155ced4ddcb4097134ff3c332f xmlns="ef6fab76-194e-4ce5-acff-594449875f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7FB54938-22CF-4AC8-8623-80658C4C24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6fab76-194e-4ce5-acff-594449875fa4"/>
    <ds:schemaRef ds:uri="60038b03-d131-4573-ae2b-f2f6cad67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60038b03-d131-4573-ae2b-f2f6cad6770e"/>
    <ds:schemaRef ds:uri="ef6fab76-194e-4ce5-acff-594449875fa4"/>
  </ds:schemaRefs>
</ds:datastoreItem>
</file>

<file path=docMetadata/LabelInfo.xml><?xml version="1.0" encoding="utf-8"?>
<clbl:labelList xmlns:clbl="http://schemas.microsoft.com/office/2020/mipLabelMetadata">
  <clbl:label id="{04aa6bf4-d436-426f-bfa4-04b7a70e60ff}" enabled="0" method="" siteId="{04aa6bf4-d436-426f-bfa4-04b7a70e60f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Clean Truck Incentives Budget</vt:lpstr>
      <vt:lpstr>ECO Schools Budget</vt:lpstr>
      <vt:lpstr>CTI Timeline Milestones</vt:lpstr>
      <vt:lpstr>ECO School Time Milestones</vt:lpstr>
      <vt:lpstr>Measure 3 Budget</vt:lpstr>
      <vt:lpstr>Measure 4 Budget</vt:lpstr>
      <vt:lpstr>Measure 5 Budget</vt:lpstr>
      <vt:lpstr>Sample Budget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2024-03-26T16:46:50Z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0x0101007A8C9ED1425EFA488D35801FF0E43841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