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nolagov.sharepoint.com/sites/IIJATaskforce/Shared Documents/General/_Taskforce/Grants/Climate Pollution Reduction Grant/Implementation/Submitted Materials/"/>
    </mc:Choice>
  </mc:AlternateContent>
  <xr:revisionPtr revIDLastSave="22" documentId="11_A44120CBBBD7FB3D632AEEE4A62B54216A5C8FB5" xr6:coauthVersionLast="47" xr6:coauthVersionMax="47" xr10:uidLastSave="{529992EE-94BD-4344-B500-32FB10768ADC}"/>
  <bookViews>
    <workbookView xWindow="28680" yWindow="-120" windowWidth="29040" windowHeight="15840" xr2:uid="{00000000-000D-0000-FFFF-FFFF00000000}"/>
  </bookViews>
  <sheets>
    <sheet name="1. Protected Bikeways" sheetId="1" r:id="rId1"/>
    <sheet name="2. Bike Share Expansion" sheetId="2" r:id="rId2"/>
    <sheet name="3. E-bike Rebates" sheetId="3" r:id="rId3"/>
    <sheet name="4. Benchmarking" sheetId="4" r:id="rId4"/>
    <sheet name="5. Municipal Building Decarboni" sheetId="5" r:id="rId5"/>
    <sheet name="6. Solar for All NOLA Bridge Su" sheetId="6" r:id="rId6"/>
    <sheet name="7. Reforestation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9" i="7" l="1"/>
  <c r="S38" i="7"/>
  <c r="Q38" i="7"/>
  <c r="O38" i="7"/>
  <c r="N38" i="7"/>
  <c r="M38" i="7"/>
  <c r="L38" i="7"/>
  <c r="K38" i="7"/>
  <c r="J38" i="7"/>
  <c r="I38" i="7"/>
  <c r="H38" i="7"/>
  <c r="G38" i="7"/>
  <c r="F38" i="7"/>
  <c r="E38" i="7"/>
  <c r="S37" i="7"/>
  <c r="Q37" i="7"/>
  <c r="O37" i="7"/>
  <c r="N37" i="7"/>
  <c r="M37" i="7"/>
  <c r="L37" i="7"/>
  <c r="K37" i="7"/>
  <c r="J37" i="7"/>
  <c r="I37" i="7"/>
  <c r="H37" i="7"/>
  <c r="G37" i="7"/>
  <c r="F37" i="7"/>
  <c r="E37" i="7"/>
  <c r="S36" i="7"/>
  <c r="Q36" i="7"/>
  <c r="O36" i="7"/>
  <c r="N36" i="7"/>
  <c r="M36" i="7"/>
  <c r="L36" i="7"/>
  <c r="K36" i="7"/>
  <c r="J36" i="7"/>
  <c r="I36" i="7"/>
  <c r="H36" i="7"/>
  <c r="G36" i="7"/>
  <c r="F36" i="7"/>
  <c r="E36" i="7"/>
  <c r="S35" i="7"/>
  <c r="Q35" i="7"/>
  <c r="O35" i="7"/>
  <c r="N35" i="7"/>
  <c r="M35" i="7"/>
  <c r="L35" i="7"/>
  <c r="K35" i="7"/>
  <c r="J35" i="7"/>
  <c r="I35" i="7"/>
  <c r="H35" i="7"/>
  <c r="G35" i="7"/>
  <c r="F35" i="7"/>
  <c r="E35" i="7"/>
  <c r="S34" i="7"/>
  <c r="S39" i="7" s="1"/>
  <c r="Q34" i="7"/>
  <c r="O34" i="7"/>
  <c r="N34" i="7"/>
  <c r="M34" i="7"/>
  <c r="L34" i="7"/>
  <c r="K34" i="7"/>
  <c r="J34" i="7"/>
  <c r="I34" i="7"/>
  <c r="I39" i="7" s="1"/>
  <c r="H34" i="7"/>
  <c r="G34" i="7"/>
  <c r="G39" i="7" s="1"/>
  <c r="G40" i="7" s="1"/>
  <c r="F34" i="7"/>
  <c r="E34" i="7"/>
  <c r="S33" i="7"/>
  <c r="Q33" i="7"/>
  <c r="Q39" i="7" s="1"/>
  <c r="O33" i="7"/>
  <c r="O39" i="7" s="1"/>
  <c r="N33" i="7"/>
  <c r="N39" i="7" s="1"/>
  <c r="M33" i="7"/>
  <c r="L33" i="7"/>
  <c r="L39" i="7" s="1"/>
  <c r="K33" i="7"/>
  <c r="J33" i="7"/>
  <c r="I33" i="7"/>
  <c r="H33" i="7"/>
  <c r="G33" i="7"/>
  <c r="F33" i="7"/>
  <c r="F39" i="7" s="1"/>
  <c r="E33" i="7"/>
  <c r="E39" i="7" s="1"/>
  <c r="J19" i="7"/>
  <c r="H19" i="7"/>
  <c r="C19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E18" i="7"/>
  <c r="S17" i="7"/>
  <c r="R17" i="7"/>
  <c r="Q17" i="7"/>
  <c r="P17" i="7"/>
  <c r="O17" i="7"/>
  <c r="N17" i="7"/>
  <c r="M17" i="7"/>
  <c r="L17" i="7"/>
  <c r="K17" i="7"/>
  <c r="J17" i="7"/>
  <c r="I17" i="7"/>
  <c r="H17" i="7"/>
  <c r="G17" i="7"/>
  <c r="F17" i="7"/>
  <c r="E17" i="7"/>
  <c r="S16" i="7"/>
  <c r="R16" i="7"/>
  <c r="Q16" i="7"/>
  <c r="P16" i="7"/>
  <c r="O16" i="7"/>
  <c r="N16" i="7"/>
  <c r="M16" i="7"/>
  <c r="L16" i="7"/>
  <c r="K16" i="7"/>
  <c r="J16" i="7"/>
  <c r="I16" i="7"/>
  <c r="H16" i="7"/>
  <c r="G16" i="7"/>
  <c r="F16" i="7"/>
  <c r="E16" i="7"/>
  <c r="S15" i="7"/>
  <c r="R15" i="7"/>
  <c r="Q15" i="7"/>
  <c r="P15" i="7"/>
  <c r="O15" i="7"/>
  <c r="N15" i="7"/>
  <c r="M15" i="7"/>
  <c r="L15" i="7"/>
  <c r="K15" i="7"/>
  <c r="J15" i="7"/>
  <c r="I15" i="7"/>
  <c r="H15" i="7"/>
  <c r="G15" i="7"/>
  <c r="F15" i="7"/>
  <c r="E15" i="7"/>
  <c r="S14" i="7"/>
  <c r="R14" i="7"/>
  <c r="Q14" i="7"/>
  <c r="P14" i="7"/>
  <c r="O14" i="7"/>
  <c r="N14" i="7"/>
  <c r="M14" i="7"/>
  <c r="L14" i="7"/>
  <c r="L19" i="7" s="1"/>
  <c r="K14" i="7"/>
  <c r="J14" i="7"/>
  <c r="I14" i="7"/>
  <c r="H14" i="7"/>
  <c r="G14" i="7"/>
  <c r="F14" i="7"/>
  <c r="E14" i="7"/>
  <c r="S13" i="7"/>
  <c r="S19" i="7" s="1"/>
  <c r="R13" i="7"/>
  <c r="R19" i="7" s="1"/>
  <c r="Q13" i="7"/>
  <c r="P13" i="7"/>
  <c r="P19" i="7" s="1"/>
  <c r="O13" i="7"/>
  <c r="O19" i="7" s="1"/>
  <c r="N13" i="7"/>
  <c r="M13" i="7"/>
  <c r="L13" i="7"/>
  <c r="K13" i="7"/>
  <c r="K19" i="7" s="1"/>
  <c r="J13" i="7"/>
  <c r="I13" i="7"/>
  <c r="H13" i="7"/>
  <c r="G13" i="7"/>
  <c r="G19" i="7" s="1"/>
  <c r="G20" i="7" s="1"/>
  <c r="F13" i="7"/>
  <c r="E13" i="7"/>
  <c r="C19" i="6"/>
  <c r="D19" i="6" s="1"/>
  <c r="E19" i="6" s="1"/>
  <c r="B19" i="6"/>
  <c r="C18" i="6"/>
  <c r="B18" i="6"/>
  <c r="C17" i="6"/>
  <c r="D17" i="6" s="1"/>
  <c r="E17" i="6" s="1"/>
  <c r="B17" i="6"/>
  <c r="G8" i="6"/>
  <c r="J6" i="6"/>
  <c r="K6" i="6" s="1"/>
  <c r="L6" i="6" s="1"/>
  <c r="M6" i="6" s="1"/>
  <c r="I6" i="6"/>
  <c r="H6" i="6"/>
  <c r="E6" i="6"/>
  <c r="F6" i="6" s="1"/>
  <c r="D6" i="6"/>
  <c r="I5" i="6"/>
  <c r="F5" i="6"/>
  <c r="E5" i="6"/>
  <c r="D5" i="6"/>
  <c r="J4" i="6"/>
  <c r="I4" i="6"/>
  <c r="H4" i="6"/>
  <c r="F4" i="6"/>
  <c r="E4" i="6"/>
  <c r="E8" i="6" s="1"/>
  <c r="D4" i="6"/>
  <c r="H9" i="5"/>
  <c r="H4" i="5"/>
  <c r="AC4" i="5" s="1"/>
  <c r="AC5" i="5" s="1"/>
  <c r="K14" i="4"/>
  <c r="I14" i="4"/>
  <c r="L12" i="4"/>
  <c r="M12" i="4" s="1"/>
  <c r="N12" i="4" s="1"/>
  <c r="O12" i="4" s="1"/>
  <c r="P12" i="4" s="1"/>
  <c r="Q12" i="4" s="1"/>
  <c r="R12" i="4" s="1"/>
  <c r="S12" i="4" s="1"/>
  <c r="T12" i="4" s="1"/>
  <c r="U12" i="4" s="1"/>
  <c r="V12" i="4" s="1"/>
  <c r="W12" i="4" s="1"/>
  <c r="X12" i="4" s="1"/>
  <c r="Y12" i="4" s="1"/>
  <c r="Z12" i="4" s="1"/>
  <c r="AA12" i="4" s="1"/>
  <c r="AB12" i="4" s="1"/>
  <c r="AC12" i="4" s="1"/>
  <c r="AD12" i="4" s="1"/>
  <c r="AE12" i="4" s="1"/>
  <c r="AF12" i="4" s="1"/>
  <c r="AG12" i="4" s="1"/>
  <c r="AH12" i="4" s="1"/>
  <c r="AI12" i="4" s="1"/>
  <c r="AJ12" i="4" s="1"/>
  <c r="K12" i="4"/>
  <c r="J12" i="4"/>
  <c r="H12" i="4"/>
  <c r="G12" i="4"/>
  <c r="K11" i="4"/>
  <c r="L11" i="4" s="1"/>
  <c r="M11" i="4" s="1"/>
  <c r="N11" i="4" s="1"/>
  <c r="O11" i="4" s="1"/>
  <c r="P11" i="4" s="1"/>
  <c r="Q11" i="4" s="1"/>
  <c r="R11" i="4" s="1"/>
  <c r="S11" i="4" s="1"/>
  <c r="T11" i="4" s="1"/>
  <c r="U11" i="4" s="1"/>
  <c r="V11" i="4" s="1"/>
  <c r="W11" i="4" s="1"/>
  <c r="X11" i="4" s="1"/>
  <c r="Y11" i="4" s="1"/>
  <c r="Z11" i="4" s="1"/>
  <c r="AA11" i="4" s="1"/>
  <c r="AB11" i="4" s="1"/>
  <c r="AC11" i="4" s="1"/>
  <c r="AD11" i="4" s="1"/>
  <c r="AE11" i="4" s="1"/>
  <c r="AF11" i="4" s="1"/>
  <c r="AG11" i="4" s="1"/>
  <c r="AH11" i="4" s="1"/>
  <c r="AI11" i="4" s="1"/>
  <c r="AJ11" i="4" s="1"/>
  <c r="J11" i="4"/>
  <c r="H11" i="4"/>
  <c r="G11" i="4"/>
  <c r="K10" i="4"/>
  <c r="L10" i="4" s="1"/>
  <c r="M10" i="4" s="1"/>
  <c r="N10" i="4" s="1"/>
  <c r="O10" i="4" s="1"/>
  <c r="P10" i="4" s="1"/>
  <c r="Q10" i="4" s="1"/>
  <c r="R10" i="4" s="1"/>
  <c r="S10" i="4" s="1"/>
  <c r="T10" i="4" s="1"/>
  <c r="U10" i="4" s="1"/>
  <c r="V10" i="4" s="1"/>
  <c r="W10" i="4" s="1"/>
  <c r="X10" i="4" s="1"/>
  <c r="Y10" i="4" s="1"/>
  <c r="Z10" i="4" s="1"/>
  <c r="AA10" i="4" s="1"/>
  <c r="AB10" i="4" s="1"/>
  <c r="AC10" i="4" s="1"/>
  <c r="AD10" i="4" s="1"/>
  <c r="AE10" i="4" s="1"/>
  <c r="AF10" i="4" s="1"/>
  <c r="AG10" i="4" s="1"/>
  <c r="AH10" i="4" s="1"/>
  <c r="AI10" i="4" s="1"/>
  <c r="AJ10" i="4" s="1"/>
  <c r="J10" i="4"/>
  <c r="G10" i="4"/>
  <c r="H10" i="4" s="1"/>
  <c r="K9" i="4"/>
  <c r="L9" i="4" s="1"/>
  <c r="M9" i="4" s="1"/>
  <c r="N9" i="4" s="1"/>
  <c r="O9" i="4" s="1"/>
  <c r="P9" i="4" s="1"/>
  <c r="Q9" i="4" s="1"/>
  <c r="R9" i="4" s="1"/>
  <c r="S9" i="4" s="1"/>
  <c r="T9" i="4" s="1"/>
  <c r="U9" i="4" s="1"/>
  <c r="V9" i="4" s="1"/>
  <c r="W9" i="4" s="1"/>
  <c r="X9" i="4" s="1"/>
  <c r="Y9" i="4" s="1"/>
  <c r="Z9" i="4" s="1"/>
  <c r="AA9" i="4" s="1"/>
  <c r="AB9" i="4" s="1"/>
  <c r="AC9" i="4" s="1"/>
  <c r="AD9" i="4" s="1"/>
  <c r="AE9" i="4" s="1"/>
  <c r="AF9" i="4" s="1"/>
  <c r="AG9" i="4" s="1"/>
  <c r="AH9" i="4" s="1"/>
  <c r="AI9" i="4" s="1"/>
  <c r="AJ9" i="4" s="1"/>
  <c r="J9" i="4"/>
  <c r="G9" i="4"/>
  <c r="H9" i="4" s="1"/>
  <c r="K8" i="4"/>
  <c r="L8" i="4" s="1"/>
  <c r="M8" i="4" s="1"/>
  <c r="N8" i="4" s="1"/>
  <c r="O8" i="4" s="1"/>
  <c r="P8" i="4" s="1"/>
  <c r="Q8" i="4" s="1"/>
  <c r="R8" i="4" s="1"/>
  <c r="S8" i="4" s="1"/>
  <c r="T8" i="4" s="1"/>
  <c r="U8" i="4" s="1"/>
  <c r="V8" i="4" s="1"/>
  <c r="W8" i="4" s="1"/>
  <c r="X8" i="4" s="1"/>
  <c r="Y8" i="4" s="1"/>
  <c r="Z8" i="4" s="1"/>
  <c r="AA8" i="4" s="1"/>
  <c r="AB8" i="4" s="1"/>
  <c r="AC8" i="4" s="1"/>
  <c r="AD8" i="4" s="1"/>
  <c r="AE8" i="4" s="1"/>
  <c r="AF8" i="4" s="1"/>
  <c r="AG8" i="4" s="1"/>
  <c r="AH8" i="4" s="1"/>
  <c r="AI8" i="4" s="1"/>
  <c r="AJ8" i="4" s="1"/>
  <c r="J8" i="4"/>
  <c r="G8" i="4"/>
  <c r="H8" i="4" s="1"/>
  <c r="T7" i="4"/>
  <c r="U7" i="4" s="1"/>
  <c r="V7" i="4" s="1"/>
  <c r="W7" i="4" s="1"/>
  <c r="X7" i="4" s="1"/>
  <c r="Y7" i="4" s="1"/>
  <c r="Z7" i="4" s="1"/>
  <c r="AA7" i="4" s="1"/>
  <c r="AB7" i="4" s="1"/>
  <c r="AC7" i="4" s="1"/>
  <c r="AD7" i="4" s="1"/>
  <c r="AE7" i="4" s="1"/>
  <c r="AF7" i="4" s="1"/>
  <c r="AG7" i="4" s="1"/>
  <c r="AH7" i="4" s="1"/>
  <c r="AI7" i="4" s="1"/>
  <c r="AJ7" i="4" s="1"/>
  <c r="L7" i="4"/>
  <c r="M7" i="4" s="1"/>
  <c r="N7" i="4" s="1"/>
  <c r="O7" i="4" s="1"/>
  <c r="P7" i="4" s="1"/>
  <c r="Q7" i="4" s="1"/>
  <c r="R7" i="4" s="1"/>
  <c r="S7" i="4" s="1"/>
  <c r="K7" i="4"/>
  <c r="J7" i="4"/>
  <c r="G7" i="4"/>
  <c r="H7" i="4" s="1"/>
  <c r="K6" i="4"/>
  <c r="L6" i="4" s="1"/>
  <c r="M6" i="4" s="1"/>
  <c r="N6" i="4" s="1"/>
  <c r="O6" i="4" s="1"/>
  <c r="P6" i="4" s="1"/>
  <c r="Q6" i="4" s="1"/>
  <c r="R6" i="4" s="1"/>
  <c r="S6" i="4" s="1"/>
  <c r="T6" i="4" s="1"/>
  <c r="U6" i="4" s="1"/>
  <c r="V6" i="4" s="1"/>
  <c r="W6" i="4" s="1"/>
  <c r="X6" i="4" s="1"/>
  <c r="Y6" i="4" s="1"/>
  <c r="Z6" i="4" s="1"/>
  <c r="AA6" i="4" s="1"/>
  <c r="AB6" i="4" s="1"/>
  <c r="AC6" i="4" s="1"/>
  <c r="AD6" i="4" s="1"/>
  <c r="AE6" i="4" s="1"/>
  <c r="AF6" i="4" s="1"/>
  <c r="AG6" i="4" s="1"/>
  <c r="AH6" i="4" s="1"/>
  <c r="AI6" i="4" s="1"/>
  <c r="AJ6" i="4" s="1"/>
  <c r="J6" i="4"/>
  <c r="H6" i="4"/>
  <c r="G6" i="4"/>
  <c r="L5" i="4"/>
  <c r="M5" i="4" s="1"/>
  <c r="N5" i="4" s="1"/>
  <c r="O5" i="4" s="1"/>
  <c r="P5" i="4" s="1"/>
  <c r="Q5" i="4" s="1"/>
  <c r="R5" i="4" s="1"/>
  <c r="S5" i="4" s="1"/>
  <c r="T5" i="4" s="1"/>
  <c r="U5" i="4" s="1"/>
  <c r="V5" i="4" s="1"/>
  <c r="W5" i="4" s="1"/>
  <c r="X5" i="4" s="1"/>
  <c r="Y5" i="4" s="1"/>
  <c r="Z5" i="4" s="1"/>
  <c r="AA5" i="4" s="1"/>
  <c r="AB5" i="4" s="1"/>
  <c r="AC5" i="4" s="1"/>
  <c r="AD5" i="4" s="1"/>
  <c r="AE5" i="4" s="1"/>
  <c r="AF5" i="4" s="1"/>
  <c r="AG5" i="4" s="1"/>
  <c r="AH5" i="4" s="1"/>
  <c r="AI5" i="4" s="1"/>
  <c r="AJ5" i="4" s="1"/>
  <c r="K5" i="4"/>
  <c r="J5" i="4"/>
  <c r="H5" i="4"/>
  <c r="G5" i="4"/>
  <c r="K4" i="4"/>
  <c r="L4" i="4" s="1"/>
  <c r="J4" i="4"/>
  <c r="H4" i="4"/>
  <c r="G4" i="4"/>
  <c r="E21" i="3"/>
  <c r="D21" i="3"/>
  <c r="E20" i="3"/>
  <c r="C20" i="3"/>
  <c r="E19" i="3"/>
  <c r="C19" i="3"/>
  <c r="O11" i="3"/>
  <c r="N11" i="3"/>
  <c r="M11" i="3"/>
  <c r="L7" i="3"/>
  <c r="L9" i="3" s="1"/>
  <c r="L11" i="3" s="1"/>
  <c r="B7" i="3"/>
  <c r="B9" i="3" s="1"/>
  <c r="B11" i="3" s="1"/>
  <c r="P6" i="3"/>
  <c r="P7" i="3" s="1"/>
  <c r="P9" i="3" s="1"/>
  <c r="P11" i="3" s="1"/>
  <c r="O6" i="3"/>
  <c r="O7" i="3" s="1"/>
  <c r="O9" i="3" s="1"/>
  <c r="N6" i="3"/>
  <c r="N7" i="3" s="1"/>
  <c r="N9" i="3" s="1"/>
  <c r="M6" i="3"/>
  <c r="M7" i="3" s="1"/>
  <c r="M9" i="3" s="1"/>
  <c r="L6" i="3"/>
  <c r="K6" i="3"/>
  <c r="J6" i="3"/>
  <c r="I6" i="3"/>
  <c r="G6" i="3"/>
  <c r="F6" i="3"/>
  <c r="E6" i="3"/>
  <c r="D6" i="3"/>
  <c r="C6" i="3"/>
  <c r="C7" i="3" s="1"/>
  <c r="C9" i="3" s="1"/>
  <c r="C11" i="3" s="1"/>
  <c r="B6" i="3"/>
  <c r="D4" i="3"/>
  <c r="C4" i="3"/>
  <c r="J2" i="3"/>
  <c r="K2" i="3" s="1"/>
  <c r="L2" i="3" s="1"/>
  <c r="M2" i="3" s="1"/>
  <c r="N2" i="3" s="1"/>
  <c r="O2" i="3" s="1"/>
  <c r="P2" i="3" s="1"/>
  <c r="C2" i="3"/>
  <c r="D2" i="3" s="1"/>
  <c r="E2" i="3" s="1"/>
  <c r="F2" i="3" s="1"/>
  <c r="G2" i="3" s="1"/>
  <c r="I2" i="3" s="1"/>
  <c r="AC45" i="2"/>
  <c r="H45" i="2"/>
  <c r="AC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G43" i="2"/>
  <c r="F43" i="2"/>
  <c r="E43" i="2"/>
  <c r="D43" i="2"/>
  <c r="C43" i="2"/>
  <c r="B43" i="2"/>
  <c r="AC42" i="2"/>
  <c r="AC41" i="2"/>
  <c r="C40" i="2"/>
  <c r="D40" i="2" s="1"/>
  <c r="E40" i="2" s="1"/>
  <c r="F40" i="2" s="1"/>
  <c r="G40" i="2" s="1"/>
  <c r="I40" i="2" s="1"/>
  <c r="J40" i="2" s="1"/>
  <c r="K40" i="2" s="1"/>
  <c r="L40" i="2" s="1"/>
  <c r="M40" i="2" s="1"/>
  <c r="N40" i="2" s="1"/>
  <c r="O40" i="2" s="1"/>
  <c r="P40" i="2" s="1"/>
  <c r="Q40" i="2" s="1"/>
  <c r="R40" i="2" s="1"/>
  <c r="S40" i="2" s="1"/>
  <c r="T40" i="2" s="1"/>
  <c r="U40" i="2" s="1"/>
  <c r="V40" i="2" s="1"/>
  <c r="W40" i="2" s="1"/>
  <c r="X40" i="2" s="1"/>
  <c r="Y40" i="2" s="1"/>
  <c r="Z40" i="2" s="1"/>
  <c r="AA40" i="2" s="1"/>
  <c r="AB40" i="2" s="1"/>
  <c r="M36" i="2"/>
  <c r="C36" i="2"/>
  <c r="B36" i="2"/>
  <c r="Q34" i="2"/>
  <c r="Q36" i="2" s="1"/>
  <c r="L34" i="2"/>
  <c r="L36" i="2" s="1"/>
  <c r="C34" i="2"/>
  <c r="Q32" i="2"/>
  <c r="O32" i="2"/>
  <c r="O34" i="2" s="1"/>
  <c r="O36" i="2" s="1"/>
  <c r="M32" i="2"/>
  <c r="M34" i="2" s="1"/>
  <c r="K32" i="2"/>
  <c r="K34" i="2" s="1"/>
  <c r="K36" i="2" s="1"/>
  <c r="I32" i="2"/>
  <c r="I34" i="2" s="1"/>
  <c r="I36" i="2" s="1"/>
  <c r="G32" i="2"/>
  <c r="G34" i="2" s="1"/>
  <c r="G36" i="2" s="1"/>
  <c r="D32" i="2"/>
  <c r="D34" i="2" s="1"/>
  <c r="D36" i="2" s="1"/>
  <c r="B32" i="2"/>
  <c r="B34" i="2" s="1"/>
  <c r="V30" i="2"/>
  <c r="V32" i="2" s="1"/>
  <c r="V34" i="2" s="1"/>
  <c r="V36" i="2" s="1"/>
  <c r="U30" i="2"/>
  <c r="U32" i="2" s="1"/>
  <c r="U34" i="2" s="1"/>
  <c r="U36" i="2" s="1"/>
  <c r="T30" i="2"/>
  <c r="T32" i="2" s="1"/>
  <c r="T34" i="2" s="1"/>
  <c r="T36" i="2" s="1"/>
  <c r="S30" i="2"/>
  <c r="S32" i="2" s="1"/>
  <c r="S34" i="2" s="1"/>
  <c r="S36" i="2" s="1"/>
  <c r="R30" i="2"/>
  <c r="R32" i="2" s="1"/>
  <c r="R34" i="2" s="1"/>
  <c r="R36" i="2" s="1"/>
  <c r="Q30" i="2"/>
  <c r="P30" i="2"/>
  <c r="P32" i="2" s="1"/>
  <c r="P34" i="2" s="1"/>
  <c r="P36" i="2" s="1"/>
  <c r="O30" i="2"/>
  <c r="N30" i="2"/>
  <c r="N32" i="2" s="1"/>
  <c r="N34" i="2" s="1"/>
  <c r="N36" i="2" s="1"/>
  <c r="M30" i="2"/>
  <c r="L30" i="2"/>
  <c r="L32" i="2" s="1"/>
  <c r="K30" i="2"/>
  <c r="J30" i="2"/>
  <c r="J32" i="2" s="1"/>
  <c r="J34" i="2" s="1"/>
  <c r="J36" i="2" s="1"/>
  <c r="I30" i="2"/>
  <c r="G30" i="2"/>
  <c r="F30" i="2"/>
  <c r="E30" i="2"/>
  <c r="E32" i="2" s="1"/>
  <c r="E34" i="2" s="1"/>
  <c r="E36" i="2" s="1"/>
  <c r="D30" i="2"/>
  <c r="C30" i="2"/>
  <c r="C32" i="2" s="1"/>
  <c r="B30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F27" i="2"/>
  <c r="E27" i="2"/>
  <c r="D27" i="2"/>
  <c r="C27" i="2"/>
  <c r="B27" i="2"/>
  <c r="W26" i="2"/>
  <c r="V26" i="2"/>
  <c r="V27" i="2" s="1"/>
  <c r="H26" i="2"/>
  <c r="H25" i="2"/>
  <c r="W25" i="2" s="1"/>
  <c r="H24" i="2"/>
  <c r="W24" i="2" s="1"/>
  <c r="K22" i="2"/>
  <c r="L22" i="2" s="1"/>
  <c r="M22" i="2" s="1"/>
  <c r="N22" i="2" s="1"/>
  <c r="O22" i="2" s="1"/>
  <c r="P22" i="2" s="1"/>
  <c r="Q22" i="2" s="1"/>
  <c r="R22" i="2" s="1"/>
  <c r="S22" i="2" s="1"/>
  <c r="T22" i="2" s="1"/>
  <c r="U22" i="2" s="1"/>
  <c r="V22" i="2" s="1"/>
  <c r="I22" i="2"/>
  <c r="J22" i="2" s="1"/>
  <c r="D22" i="2"/>
  <c r="E22" i="2" s="1"/>
  <c r="F22" i="2" s="1"/>
  <c r="G22" i="2" s="1"/>
  <c r="C22" i="2"/>
  <c r="B10" i="2"/>
  <c r="B12" i="2" s="1"/>
  <c r="B14" i="2" s="1"/>
  <c r="B16" i="2" s="1"/>
  <c r="B18" i="2" s="1"/>
  <c r="C9" i="2"/>
  <c r="K8" i="2"/>
  <c r="J8" i="2"/>
  <c r="I8" i="2"/>
  <c r="G8" i="2"/>
  <c r="F8" i="2"/>
  <c r="E8" i="2"/>
  <c r="D8" i="2"/>
  <c r="C8" i="2"/>
  <c r="F6" i="2"/>
  <c r="E6" i="2"/>
  <c r="D6" i="2"/>
  <c r="C6" i="2"/>
  <c r="H6" i="2" s="1"/>
  <c r="L6" i="2" s="1"/>
  <c r="B6" i="2"/>
  <c r="L4" i="2"/>
  <c r="E3" i="2"/>
  <c r="F3" i="2" s="1"/>
  <c r="G3" i="2" s="1"/>
  <c r="I3" i="2" s="1"/>
  <c r="J3" i="2" s="1"/>
  <c r="K3" i="2" s="1"/>
  <c r="E26" i="1"/>
  <c r="G26" i="1" s="1"/>
  <c r="C26" i="1"/>
  <c r="G25" i="1"/>
  <c r="G24" i="1"/>
  <c r="G23" i="1"/>
  <c r="G22" i="1"/>
  <c r="B16" i="1"/>
  <c r="K15" i="1"/>
  <c r="J15" i="1"/>
  <c r="F15" i="1"/>
  <c r="D15" i="1"/>
  <c r="D14" i="1"/>
  <c r="F14" i="1" s="1"/>
  <c r="F13" i="1"/>
  <c r="D13" i="1"/>
  <c r="D12" i="1"/>
  <c r="F12" i="1" s="1"/>
  <c r="F11" i="1"/>
  <c r="D11" i="1"/>
  <c r="O10" i="1"/>
  <c r="D10" i="1"/>
  <c r="F10" i="1" s="1"/>
  <c r="O9" i="1"/>
  <c r="D9" i="1"/>
  <c r="F9" i="1" s="1"/>
  <c r="P8" i="1"/>
  <c r="F8" i="1"/>
  <c r="D8" i="1"/>
  <c r="L7" i="1"/>
  <c r="D7" i="1"/>
  <c r="F7" i="1" s="1"/>
  <c r="F6" i="1"/>
  <c r="D6" i="1"/>
  <c r="D5" i="1"/>
  <c r="F5" i="1" s="1"/>
  <c r="D4" i="1"/>
  <c r="F4" i="1" s="1"/>
  <c r="P3" i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P2" i="1"/>
  <c r="P12" i="1" s="1"/>
  <c r="L2" i="1"/>
  <c r="L9" i="1" s="1"/>
  <c r="K2" i="1"/>
  <c r="O4" i="1" l="1"/>
  <c r="L4" i="1"/>
  <c r="F16" i="1"/>
  <c r="K4" i="1"/>
  <c r="J4" i="1"/>
  <c r="P4" i="1"/>
  <c r="K5" i="1"/>
  <c r="J5" i="1"/>
  <c r="Q5" i="1"/>
  <c r="P5" i="1"/>
  <c r="O5" i="1"/>
  <c r="H36" i="2"/>
  <c r="W36" i="2" s="1"/>
  <c r="O6" i="1"/>
  <c r="L6" i="1"/>
  <c r="K6" i="1"/>
  <c r="J6" i="1"/>
  <c r="P6" i="1"/>
  <c r="K17" i="4"/>
  <c r="L14" i="1"/>
  <c r="K14" i="1"/>
  <c r="J14" i="1"/>
  <c r="Q14" i="1"/>
  <c r="P14" i="1"/>
  <c r="O14" i="1"/>
  <c r="L5" i="1"/>
  <c r="P13" i="1"/>
  <c r="O13" i="1"/>
  <c r="Q13" i="1"/>
  <c r="J13" i="1"/>
  <c r="L13" i="1"/>
  <c r="K13" i="1"/>
  <c r="M2" i="1"/>
  <c r="M11" i="1" s="1"/>
  <c r="L15" i="1"/>
  <c r="P9" i="1"/>
  <c r="K9" i="1"/>
  <c r="J9" i="1"/>
  <c r="Q9" i="1"/>
  <c r="F32" i="2"/>
  <c r="F34" i="2" s="1"/>
  <c r="F36" i="2" s="1"/>
  <c r="H30" i="2"/>
  <c r="H34" i="2"/>
  <c r="W34" i="2" s="1"/>
  <c r="C12" i="2"/>
  <c r="Q6" i="1"/>
  <c r="K7" i="1"/>
  <c r="J7" i="1"/>
  <c r="Q7" i="1"/>
  <c r="P7" i="1"/>
  <c r="O7" i="1"/>
  <c r="O8" i="1"/>
  <c r="J8" i="1"/>
  <c r="L8" i="1"/>
  <c r="K8" i="1"/>
  <c r="P10" i="1"/>
  <c r="Q2" i="1"/>
  <c r="L12" i="1"/>
  <c r="K12" i="1"/>
  <c r="J12" i="1"/>
  <c r="Q12" i="1"/>
  <c r="J5" i="6"/>
  <c r="K5" i="6" s="1"/>
  <c r="L5" i="6" s="1"/>
  <c r="M5" i="6" s="1"/>
  <c r="I8" i="6"/>
  <c r="I11" i="6" s="1"/>
  <c r="P11" i="1"/>
  <c r="O11" i="1"/>
  <c r="L14" i="4"/>
  <c r="M4" i="4"/>
  <c r="G14" i="4"/>
  <c r="H14" i="4"/>
  <c r="J11" i="1"/>
  <c r="L10" i="1"/>
  <c r="K10" i="1"/>
  <c r="J10" i="1"/>
  <c r="Q10" i="1"/>
  <c r="K11" i="1"/>
  <c r="O12" i="1"/>
  <c r="P15" i="1"/>
  <c r="O15" i="1"/>
  <c r="M39" i="7"/>
  <c r="H39" i="7"/>
  <c r="L11" i="1"/>
  <c r="E19" i="7"/>
  <c r="M19" i="7"/>
  <c r="F19" i="7"/>
  <c r="N19" i="7"/>
  <c r="W27" i="2"/>
  <c r="J8" i="6"/>
  <c r="J11" i="6" s="1"/>
  <c r="K4" i="6"/>
  <c r="W30" i="2"/>
  <c r="J14" i="4"/>
  <c r="H5" i="5"/>
  <c r="H27" i="2"/>
  <c r="I19" i="7"/>
  <c r="Q19" i="7"/>
  <c r="J39" i="7"/>
  <c r="C10" i="2"/>
  <c r="D9" i="2"/>
  <c r="D7" i="3"/>
  <c r="D9" i="3" s="1"/>
  <c r="D11" i="3" s="1"/>
  <c r="E4" i="3"/>
  <c r="K20" i="4"/>
  <c r="H5" i="6"/>
  <c r="D18" i="6" s="1"/>
  <c r="E18" i="6" s="1"/>
  <c r="K39" i="7"/>
  <c r="O16" i="1" l="1"/>
  <c r="M10" i="1"/>
  <c r="N10" i="1" s="1"/>
  <c r="M12" i="1"/>
  <c r="N12" i="1" s="1"/>
  <c r="M7" i="1"/>
  <c r="N7" i="1" s="1"/>
  <c r="E7" i="3"/>
  <c r="E9" i="3" s="1"/>
  <c r="E11" i="3" s="1"/>
  <c r="F4" i="3"/>
  <c r="N8" i="1"/>
  <c r="D10" i="2"/>
  <c r="D12" i="2" s="1"/>
  <c r="D14" i="2" s="1"/>
  <c r="D16" i="2" s="1"/>
  <c r="D18" i="2" s="1"/>
  <c r="E9" i="2"/>
  <c r="M15" i="1"/>
  <c r="N15" i="1" s="1"/>
  <c r="L20" i="4"/>
  <c r="M13" i="1"/>
  <c r="N13" i="1" s="1"/>
  <c r="C14" i="2"/>
  <c r="M4" i="1"/>
  <c r="N4" i="1" s="1"/>
  <c r="M9" i="1"/>
  <c r="N6" i="1"/>
  <c r="N5" i="1"/>
  <c r="M8" i="1"/>
  <c r="N11" i="1"/>
  <c r="L4" i="6"/>
  <c r="K8" i="6"/>
  <c r="K11" i="6" s="1"/>
  <c r="M14" i="1"/>
  <c r="N14" i="1" s="1"/>
  <c r="N9" i="1"/>
  <c r="M6" i="1"/>
  <c r="P16" i="1"/>
  <c r="L17" i="4"/>
  <c r="N4" i="4"/>
  <c r="M14" i="4"/>
  <c r="R2" i="1"/>
  <c r="Q15" i="1"/>
  <c r="Q11" i="1"/>
  <c r="Q8" i="1"/>
  <c r="M5" i="1"/>
  <c r="Q4" i="1"/>
  <c r="N16" i="1" l="1"/>
  <c r="M20" i="4"/>
  <c r="S2" i="1"/>
  <c r="R15" i="1"/>
  <c r="R11" i="1"/>
  <c r="R9" i="1"/>
  <c r="R5" i="1"/>
  <c r="R12" i="1"/>
  <c r="R14" i="1"/>
  <c r="R4" i="1"/>
  <c r="R6" i="1"/>
  <c r="R13" i="1"/>
  <c r="R10" i="1"/>
  <c r="R8" i="1"/>
  <c r="R7" i="1"/>
  <c r="Q16" i="1"/>
  <c r="E10" i="2"/>
  <c r="E12" i="2" s="1"/>
  <c r="E14" i="2" s="1"/>
  <c r="E16" i="2" s="1"/>
  <c r="E18" i="2" s="1"/>
  <c r="F9" i="2"/>
  <c r="M4" i="6"/>
  <c r="M8" i="6" s="1"/>
  <c r="M11" i="6" s="1"/>
  <c r="L8" i="6"/>
  <c r="L11" i="6" s="1"/>
  <c r="C16" i="2"/>
  <c r="F7" i="3"/>
  <c r="F9" i="3" s="1"/>
  <c r="F11" i="3" s="1"/>
  <c r="G4" i="3"/>
  <c r="M17" i="4"/>
  <c r="O4" i="4"/>
  <c r="N14" i="4"/>
  <c r="N20" i="4" l="1"/>
  <c r="G7" i="3"/>
  <c r="G9" i="3" s="1"/>
  <c r="G11" i="3" s="1"/>
  <c r="H11" i="3" s="1"/>
  <c r="I4" i="3"/>
  <c r="F10" i="2"/>
  <c r="F12" i="2" s="1"/>
  <c r="F14" i="2" s="1"/>
  <c r="G9" i="2"/>
  <c r="T2" i="1"/>
  <c r="S15" i="1"/>
  <c r="S13" i="1"/>
  <c r="S12" i="1"/>
  <c r="S11" i="1"/>
  <c r="S4" i="1"/>
  <c r="S8" i="1"/>
  <c r="S5" i="1"/>
  <c r="S7" i="1"/>
  <c r="S10" i="1"/>
  <c r="S6" i="1"/>
  <c r="S14" i="1"/>
  <c r="S9" i="1"/>
  <c r="N16" i="6"/>
  <c r="AH16" i="6"/>
  <c r="R16" i="1"/>
  <c r="P4" i="4"/>
  <c r="O14" i="4"/>
  <c r="C18" i="2"/>
  <c r="N17" i="4"/>
  <c r="U2" i="1" l="1"/>
  <c r="T15" i="1"/>
  <c r="T7" i="1"/>
  <c r="T14" i="1"/>
  <c r="T5" i="1"/>
  <c r="T6" i="1"/>
  <c r="T4" i="1"/>
  <c r="T9" i="1"/>
  <c r="T12" i="1"/>
  <c r="T8" i="1"/>
  <c r="T10" i="1"/>
  <c r="T11" i="1"/>
  <c r="T13" i="1"/>
  <c r="G10" i="2"/>
  <c r="G12" i="2" s="1"/>
  <c r="I9" i="2"/>
  <c r="O20" i="4"/>
  <c r="P14" i="4"/>
  <c r="Q4" i="4"/>
  <c r="F16" i="2"/>
  <c r="O17" i="4"/>
  <c r="S16" i="1"/>
  <c r="I7" i="3"/>
  <c r="I9" i="3" s="1"/>
  <c r="I11" i="3" s="1"/>
  <c r="J4" i="3"/>
  <c r="T16" i="1" l="1"/>
  <c r="F18" i="2"/>
  <c r="G14" i="2"/>
  <c r="H12" i="2"/>
  <c r="R4" i="4"/>
  <c r="Q14" i="4"/>
  <c r="Q17" i="4"/>
  <c r="P20" i="4"/>
  <c r="P17" i="4"/>
  <c r="U10" i="1"/>
  <c r="U12" i="1"/>
  <c r="V2" i="1"/>
  <c r="U7" i="1"/>
  <c r="U13" i="1"/>
  <c r="U8" i="1"/>
  <c r="U15" i="1"/>
  <c r="U5" i="1"/>
  <c r="U11" i="1"/>
  <c r="U14" i="1"/>
  <c r="U6" i="1"/>
  <c r="U9" i="1"/>
  <c r="U4" i="1"/>
  <c r="K4" i="3"/>
  <c r="K7" i="3" s="1"/>
  <c r="K9" i="3" s="1"/>
  <c r="K11" i="3" s="1"/>
  <c r="J7" i="3"/>
  <c r="J9" i="3" s="1"/>
  <c r="J11" i="3" s="1"/>
  <c r="Q11" i="3" s="1"/>
  <c r="J9" i="2"/>
  <c r="I10" i="2"/>
  <c r="I12" i="2" s="1"/>
  <c r="I14" i="2" s="1"/>
  <c r="I16" i="2" s="1"/>
  <c r="I18" i="2" s="1"/>
  <c r="R14" i="4" l="1"/>
  <c r="S4" i="4"/>
  <c r="U16" i="1"/>
  <c r="V10" i="1"/>
  <c r="W2" i="1"/>
  <c r="V12" i="1"/>
  <c r="V15" i="1"/>
  <c r="V6" i="1"/>
  <c r="V7" i="1"/>
  <c r="V11" i="1"/>
  <c r="V9" i="1"/>
  <c r="V14" i="1"/>
  <c r="V8" i="1"/>
  <c r="V4" i="1"/>
  <c r="V13" i="1"/>
  <c r="V5" i="1"/>
  <c r="K9" i="2"/>
  <c r="K10" i="2" s="1"/>
  <c r="K12" i="2" s="1"/>
  <c r="K14" i="2" s="1"/>
  <c r="K16" i="2" s="1"/>
  <c r="K18" i="2" s="1"/>
  <c r="J10" i="2"/>
  <c r="J12" i="2" s="1"/>
  <c r="J14" i="2" s="1"/>
  <c r="J16" i="2" s="1"/>
  <c r="J18" i="2" s="1"/>
  <c r="R17" i="4"/>
  <c r="Q20" i="4"/>
  <c r="G16" i="2"/>
  <c r="H14" i="2"/>
  <c r="S14" i="4" l="1"/>
  <c r="T4" i="4"/>
  <c r="S17" i="4"/>
  <c r="R20" i="4"/>
  <c r="X2" i="1"/>
  <c r="W10" i="1"/>
  <c r="W12" i="1"/>
  <c r="W9" i="1"/>
  <c r="W7" i="1"/>
  <c r="W13" i="1"/>
  <c r="W11" i="1"/>
  <c r="W6" i="1"/>
  <c r="W4" i="1"/>
  <c r="W5" i="1"/>
  <c r="W14" i="1"/>
  <c r="W8" i="1"/>
  <c r="W15" i="1"/>
  <c r="L14" i="2"/>
  <c r="G18" i="2"/>
  <c r="H18" i="2" s="1"/>
  <c r="H16" i="2"/>
  <c r="L16" i="2" s="1"/>
  <c r="L12" i="2"/>
  <c r="V16" i="1"/>
  <c r="B50" i="2" l="1"/>
  <c r="B53" i="2" s="1"/>
  <c r="L18" i="2"/>
  <c r="B51" i="2" s="1"/>
  <c r="W16" i="1"/>
  <c r="T14" i="4"/>
  <c r="U4" i="4"/>
  <c r="Y2" i="1"/>
  <c r="X8" i="1"/>
  <c r="X5" i="1"/>
  <c r="X13" i="1"/>
  <c r="X4" i="1"/>
  <c r="X15" i="1"/>
  <c r="X6" i="1"/>
  <c r="X11" i="1"/>
  <c r="X10" i="1"/>
  <c r="X12" i="1"/>
  <c r="X7" i="1"/>
  <c r="X14" i="1"/>
  <c r="X9" i="1"/>
  <c r="S20" i="4"/>
  <c r="Z2" i="1" l="1"/>
  <c r="Y8" i="1"/>
  <c r="Y5" i="1"/>
  <c r="Y4" i="1"/>
  <c r="Y7" i="1"/>
  <c r="Y10" i="1"/>
  <c r="Y6" i="1"/>
  <c r="Y9" i="1"/>
  <c r="Y14" i="1"/>
  <c r="Y15" i="1"/>
  <c r="Y13" i="1"/>
  <c r="Y12" i="1"/>
  <c r="Y11" i="1"/>
  <c r="U14" i="4"/>
  <c r="V4" i="4"/>
  <c r="U17" i="4"/>
  <c r="T20" i="4"/>
  <c r="X16" i="1"/>
  <c r="T17" i="4"/>
  <c r="U20" i="4" l="1"/>
  <c r="Y16" i="1"/>
  <c r="W4" i="4"/>
  <c r="V14" i="4"/>
  <c r="Z15" i="1"/>
  <c r="AA2" i="1"/>
  <c r="Z9" i="1"/>
  <c r="Z5" i="1"/>
  <c r="Z12" i="1"/>
  <c r="Z10" i="1"/>
  <c r="Z4" i="1"/>
  <c r="Z6" i="1"/>
  <c r="Z13" i="1"/>
  <c r="Z14" i="1"/>
  <c r="Z11" i="1"/>
  <c r="Z7" i="1"/>
  <c r="Z8" i="1"/>
  <c r="V20" i="4" l="1"/>
  <c r="AB2" i="1"/>
  <c r="AA15" i="1"/>
  <c r="AA9" i="1"/>
  <c r="AA4" i="1"/>
  <c r="AA8" i="1"/>
  <c r="AA13" i="1"/>
  <c r="AA7" i="1"/>
  <c r="AA10" i="1"/>
  <c r="AA6" i="1"/>
  <c r="AA14" i="1"/>
  <c r="AA11" i="1"/>
  <c r="AA5" i="1"/>
  <c r="AA12" i="1"/>
  <c r="Z16" i="1"/>
  <c r="X4" i="4"/>
  <c r="W14" i="4"/>
  <c r="V17" i="4"/>
  <c r="AC2" i="1" l="1"/>
  <c r="AB15" i="1"/>
  <c r="AB7" i="1"/>
  <c r="AB4" i="1"/>
  <c r="AB6" i="1"/>
  <c r="AB5" i="1"/>
  <c r="AB9" i="1"/>
  <c r="AB12" i="1"/>
  <c r="AB11" i="1"/>
  <c r="AB8" i="1"/>
  <c r="AB10" i="1"/>
  <c r="AB14" i="1"/>
  <c r="AB13" i="1"/>
  <c r="X17" i="4"/>
  <c r="W20" i="4"/>
  <c r="AA16" i="1"/>
  <c r="X14" i="4"/>
  <c r="Y4" i="4"/>
  <c r="W17" i="4"/>
  <c r="AB16" i="1" l="1"/>
  <c r="Z4" i="4"/>
  <c r="Y14" i="4"/>
  <c r="Y17" i="4"/>
  <c r="X20" i="4"/>
  <c r="AC10" i="1"/>
  <c r="AC12" i="1"/>
  <c r="AD2" i="1"/>
  <c r="AC14" i="1"/>
  <c r="AC8" i="1"/>
  <c r="AC7" i="1"/>
  <c r="AC15" i="1"/>
  <c r="AC11" i="1"/>
  <c r="AC5" i="1"/>
  <c r="AC9" i="1"/>
  <c r="AC4" i="1"/>
  <c r="AC16" i="1" s="1"/>
  <c r="AC13" i="1"/>
  <c r="AC6" i="1"/>
  <c r="Z14" i="4" l="1"/>
  <c r="AA4" i="4"/>
  <c r="AD12" i="1"/>
  <c r="AD10" i="1"/>
  <c r="AE2" i="1"/>
  <c r="AD11" i="1"/>
  <c r="AD4" i="1"/>
  <c r="AD9" i="1"/>
  <c r="AD7" i="1"/>
  <c r="AD14" i="1"/>
  <c r="AD5" i="1"/>
  <c r="AD13" i="1"/>
  <c r="AD8" i="1"/>
  <c r="AD6" i="1"/>
  <c r="AD15" i="1"/>
  <c r="Z17" i="4"/>
  <c r="Y20" i="4"/>
  <c r="AD16" i="1" l="1"/>
  <c r="AF2" i="1"/>
  <c r="AE10" i="1"/>
  <c r="AE13" i="1"/>
  <c r="AE9" i="1"/>
  <c r="AE15" i="1"/>
  <c r="AE11" i="1"/>
  <c r="AE6" i="1"/>
  <c r="AE4" i="1"/>
  <c r="AE5" i="1"/>
  <c r="AE14" i="1"/>
  <c r="AE8" i="1"/>
  <c r="AE12" i="1"/>
  <c r="AE7" i="1"/>
  <c r="AA14" i="4"/>
  <c r="AB4" i="4"/>
  <c r="Z20" i="4"/>
  <c r="AA20" i="4" l="1"/>
  <c r="AB14" i="4"/>
  <c r="AC4" i="4"/>
  <c r="AF12" i="1"/>
  <c r="AF10" i="1"/>
  <c r="AG2" i="1"/>
  <c r="AF8" i="1"/>
  <c r="AF14" i="1"/>
  <c r="AF9" i="1"/>
  <c r="AF5" i="1"/>
  <c r="AF6" i="1"/>
  <c r="AF15" i="1"/>
  <c r="AF11" i="1"/>
  <c r="AF7" i="1"/>
  <c r="AF4" i="1"/>
  <c r="AF16" i="1" s="1"/>
  <c r="AF13" i="1"/>
  <c r="AA17" i="4"/>
  <c r="AE16" i="1"/>
  <c r="AH2" i="1" l="1"/>
  <c r="AG15" i="1"/>
  <c r="AG11" i="1"/>
  <c r="AG8" i="1"/>
  <c r="AG7" i="1"/>
  <c r="AG10" i="1"/>
  <c r="AG14" i="1"/>
  <c r="AG4" i="1"/>
  <c r="AG16" i="1" s="1"/>
  <c r="AG5" i="1"/>
  <c r="AG12" i="1"/>
  <c r="AG13" i="1"/>
  <c r="AG6" i="1"/>
  <c r="AG9" i="1"/>
  <c r="AC14" i="4"/>
  <c r="AD4" i="4"/>
  <c r="AC17" i="4"/>
  <c r="AB20" i="4"/>
  <c r="AB17" i="4"/>
  <c r="AD14" i="4" l="1"/>
  <c r="AE4" i="4"/>
  <c r="AD17" i="4"/>
  <c r="AC20" i="4"/>
  <c r="AH11" i="1"/>
  <c r="AI11" i="1" s="1"/>
  <c r="AH15" i="1"/>
  <c r="AI15" i="1" s="1"/>
  <c r="AH6" i="1"/>
  <c r="AI6" i="1" s="1"/>
  <c r="AH13" i="1"/>
  <c r="AI13" i="1" s="1"/>
  <c r="AH5" i="1"/>
  <c r="AI5" i="1" s="1"/>
  <c r="AH12" i="1"/>
  <c r="AI12" i="1" s="1"/>
  <c r="AH4" i="1"/>
  <c r="AH8" i="1"/>
  <c r="AI8" i="1" s="1"/>
  <c r="AH10" i="1"/>
  <c r="AI10" i="1" s="1"/>
  <c r="AH9" i="1"/>
  <c r="AI9" i="1" s="1"/>
  <c r="AH7" i="1"/>
  <c r="AI7" i="1" s="1"/>
  <c r="AH14" i="1"/>
  <c r="AI14" i="1" s="1"/>
  <c r="AF4" i="4" l="1"/>
  <c r="AE14" i="4"/>
  <c r="AH16" i="1"/>
  <c r="AI16" i="1" s="1"/>
  <c r="AI4" i="1"/>
  <c r="AE17" i="4"/>
  <c r="AD20" i="4"/>
  <c r="AE20" i="4" l="1"/>
  <c r="AG4" i="4"/>
  <c r="AF14" i="4"/>
  <c r="AH4" i="4" l="1"/>
  <c r="AG14" i="4"/>
  <c r="AF20" i="4"/>
  <c r="AF17" i="4"/>
  <c r="AG20" i="4" l="1"/>
  <c r="AG17" i="4"/>
  <c r="AH14" i="4"/>
  <c r="AI4" i="4"/>
  <c r="AJ4" i="4" l="1"/>
  <c r="AJ14" i="4" s="1"/>
  <c r="AJ20" i="4" s="1"/>
  <c r="AI14" i="4"/>
  <c r="AH20" i="4"/>
  <c r="AH17" i="4"/>
  <c r="AJ17" i="4" l="1"/>
  <c r="AI20" i="4"/>
  <c r="AI17" i="4"/>
</calcChain>
</file>

<file path=xl/sharedStrings.xml><?xml version="1.0" encoding="utf-8"?>
<sst xmlns="http://schemas.openxmlformats.org/spreadsheetml/2006/main" count="348" uniqueCount="204">
  <si>
    <t>City of New Orleans - CPRG Proposal - Measure 1: Protected Bikeways</t>
  </si>
  <si>
    <t>Average annual fuel efficiency</t>
  </si>
  <si>
    <t>Location</t>
  </si>
  <si>
    <t>Length</t>
  </si>
  <si>
    <t>AADT</t>
  </si>
  <si>
    <t>Annual trips</t>
  </si>
  <si>
    <t>Car Trip Substitution factor**</t>
  </si>
  <si>
    <t>Annual Miles Displaced</t>
  </si>
  <si>
    <t>CO2 Emissions Factor</t>
  </si>
  <si>
    <t>mtCO2 displaced 2025-2030</t>
  </si>
  <si>
    <t>mt CO2 displaced 2025-2050</t>
  </si>
  <si>
    <t>Esplanade</t>
  </si>
  <si>
    <t>Design &amp; Construction Phase</t>
  </si>
  <si>
    <t>St. Claude</t>
  </si>
  <si>
    <t>Rampart (Segment 1)</t>
  </si>
  <si>
    <t>Rampart (Segment 2)</t>
  </si>
  <si>
    <t>Basin/Rampart/St Louis</t>
  </si>
  <si>
    <t>Loyola</t>
  </si>
  <si>
    <t>Simon Bolivar</t>
  </si>
  <si>
    <t>Howard</t>
  </si>
  <si>
    <t>Oretha Castle Haley</t>
  </si>
  <si>
    <t>Baronne</t>
  </si>
  <si>
    <t>Carondelet</t>
  </si>
  <si>
    <t xml:space="preserve">Gravier </t>
  </si>
  <si>
    <t>Total</t>
  </si>
  <si>
    <t>*Assumes construction completed and operations begin in year 3</t>
  </si>
  <si>
    <t>**Motor Vehicle Trip Substitution Factor Calculation</t>
  </si>
  <si>
    <t>Bikeways</t>
  </si>
  <si>
    <t>Cross street(s)</t>
  </si>
  <si>
    <t>AADT - DOTD</t>
  </si>
  <si>
    <t>AADT Year</t>
  </si>
  <si>
    <t>Bike/ped count</t>
  </si>
  <si>
    <t>Bike/Ped Year</t>
  </si>
  <si>
    <t>Bike/ped Split</t>
  </si>
  <si>
    <t>Norman C Francis</t>
  </si>
  <si>
    <t>Overpass</t>
  </si>
  <si>
    <t>Elysian Fields*</t>
  </si>
  <si>
    <t>Decatur/Chartres</t>
  </si>
  <si>
    <t>Wisner</t>
  </si>
  <si>
    <t>MLK*</t>
  </si>
  <si>
    <t>OC Haley</t>
  </si>
  <si>
    <t>*bike only</t>
  </si>
  <si>
    <t>City of New Orleans - CPRG Proposal - Measure 2: Bike Share Expansion</t>
  </si>
  <si>
    <t>FLEET EXPANSION</t>
  </si>
  <si>
    <t>2025-2030</t>
  </si>
  <si>
    <t>Purchased bikes</t>
  </si>
  <si>
    <t>Cost per bike</t>
  </si>
  <si>
    <t>Purchase cost</t>
  </si>
  <si>
    <t>Average bike life span</t>
  </si>
  <si>
    <t>5 years</t>
  </si>
  <si>
    <t>Number of purchased bikes in fleet</t>
  </si>
  <si>
    <t>Trips per bike per day</t>
  </si>
  <si>
    <t>Trips per bike per year</t>
  </si>
  <si>
    <t>Average trip length (miles)</t>
  </si>
  <si>
    <t>Bicycle miles traveled per year</t>
  </si>
  <si>
    <t>Car trip replacement factor</t>
  </si>
  <si>
    <t>Car trip VMT replaced</t>
  </si>
  <si>
    <t>Average fuel economy (miles per gallon)**</t>
  </si>
  <si>
    <t>Gallons of fuel displaced</t>
  </si>
  <si>
    <t>CO2 per gallon (metric tons)*</t>
  </si>
  <si>
    <r>
      <t xml:space="preserve">*Source: </t>
    </r>
    <r>
      <rPr>
        <u/>
        <sz val="10"/>
        <color rgb="FF1155CC"/>
        <rFont val="Arial"/>
      </rPr>
      <t>https://www.epa.gov/energy/greenhouse-gases-equivalencies-calculator-calculations-and-references</t>
    </r>
  </si>
  <si>
    <t>CO2 displaced (metric tons)</t>
  </si>
  <si>
    <r>
      <t xml:space="preserve">**Source: </t>
    </r>
    <r>
      <rPr>
        <u/>
        <sz val="10"/>
        <color rgb="FF1155CC"/>
        <rFont val="Arial"/>
      </rPr>
      <t>https://www.bts.gov/content/average-fuel-efficiency-us-light-duty-vehicles</t>
    </r>
  </si>
  <si>
    <t>Cumulative dollars per CO2 displaced</t>
  </si>
  <si>
    <t>E-VAN GHG EMISSION REDUCTIONS</t>
  </si>
  <si>
    <t>Purchased e-vans</t>
  </si>
  <si>
    <t>Costs per e-van</t>
  </si>
  <si>
    <t>Annual Insurance</t>
  </si>
  <si>
    <t>Annual Maintenance</t>
  </si>
  <si>
    <t>Total cost</t>
  </si>
  <si>
    <t>Average e-van life span</t>
  </si>
  <si>
    <t>15 Years</t>
  </si>
  <si>
    <t>Fleet Size</t>
  </si>
  <si>
    <t>Annual Van VMT (avg. 70 miles per day)</t>
  </si>
  <si>
    <t>Gas Van VMT Replacement Factor</t>
  </si>
  <si>
    <t>Gas Van VMT replaced</t>
  </si>
  <si>
    <t>SOLAR PANEL GHG REDUCTIONS</t>
  </si>
  <si>
    <t>Lifespan - 25 Years</t>
  </si>
  <si>
    <t>Solar System Installation</t>
  </si>
  <si>
    <t>Annual Preventative Maintenance Costs</t>
  </si>
  <si>
    <t>Total Cost</t>
  </si>
  <si>
    <t>Projected Annual MWh production</t>
  </si>
  <si>
    <t>CO2 (Metric Tons) avoided (using CIRIS)</t>
  </si>
  <si>
    <t>Cumulative CO2 (Metric Tons)</t>
  </si>
  <si>
    <t>TOTALS</t>
  </si>
  <si>
    <t>2025-2030 MTCO2</t>
  </si>
  <si>
    <t>2025-2050 MTCO2</t>
  </si>
  <si>
    <t>2025-2030 Cost</t>
  </si>
  <si>
    <t>2025-2030 Cost effectiveness</t>
  </si>
  <si>
    <t>City of New Orleans - CPRG Proposal - Measure 3: E-Bike Rebates</t>
  </si>
  <si>
    <t>2025-30 total</t>
  </si>
  <si>
    <t>2026-2050 total</t>
  </si>
  <si>
    <t>e-bikes sold</t>
  </si>
  <si>
    <t>Number of purchased bikes in use</t>
  </si>
  <si>
    <t>Miles per bike per week</t>
  </si>
  <si>
    <t>Miles per bike per year</t>
  </si>
  <si>
    <t>Motor vehicle miles travelled substituted</t>
  </si>
  <si>
    <r>
      <t xml:space="preserve">*Source: </t>
    </r>
    <r>
      <rPr>
        <u/>
        <sz val="10"/>
        <color rgb="FF1155CC"/>
        <rFont val="Arial"/>
      </rPr>
      <t>https://www.epa.gov/energy/greenhouse-gases-equivalencies-calculator-calculations-and-references</t>
    </r>
  </si>
  <si>
    <r>
      <t xml:space="preserve">**Source: </t>
    </r>
    <r>
      <rPr>
        <u/>
        <sz val="10"/>
        <color rgb="FF1155CC"/>
        <rFont val="Arial"/>
      </rPr>
      <t>https://www.bts.gov/content/average-fuel-efficiency-us-light-duty-vehicles</t>
    </r>
  </si>
  <si>
    <t>subsideized</t>
  </si>
  <si>
    <t>market</t>
  </si>
  <si>
    <t>City of New Orleans - CPRG Proposal - Measure 4: Benchmarking Program Support</t>
  </si>
  <si>
    <t>Sector</t>
  </si>
  <si>
    <t>Sector Type</t>
  </si>
  <si>
    <t>Assumed Rate of Reduction over 25 years</t>
  </si>
  <si>
    <t>Assumed Annual Reduction Rate in First Two Years</t>
  </si>
  <si>
    <t>Assumed Annual Reduction Rate After 2026</t>
  </si>
  <si>
    <t>GWh of Electricity</t>
  </si>
  <si>
    <t>MWh Of Electricity</t>
  </si>
  <si>
    <t>CO2 Emissions_LBs_ENO</t>
  </si>
  <si>
    <t>CO2 Emissions_MetricTons_WithAdditionalCoefficients</t>
  </si>
  <si>
    <t>Percent of Total Sector</t>
  </si>
  <si>
    <t>2025 Reductions_MTs</t>
  </si>
  <si>
    <t>2026 Reduction_MTs</t>
  </si>
  <si>
    <t>2027 Reduction_MTs</t>
  </si>
  <si>
    <t>2028 Reduction_MTs</t>
  </si>
  <si>
    <t>2029 Reduction_MTs</t>
  </si>
  <si>
    <t>2030 Reduction_MTs</t>
  </si>
  <si>
    <t>Residential</t>
  </si>
  <si>
    <t>Apartment/Condominiums</t>
  </si>
  <si>
    <t>Industrial</t>
  </si>
  <si>
    <t>Commercial</t>
  </si>
  <si>
    <t>Warehouse</t>
  </si>
  <si>
    <t>Colleges/Universities</t>
  </si>
  <si>
    <t>Healthcare</t>
  </si>
  <si>
    <t>Lodging</t>
  </si>
  <si>
    <t>Large Office</t>
  </si>
  <si>
    <t>Retail (food)</t>
  </si>
  <si>
    <t>Retail (non-food)</t>
  </si>
  <si>
    <t>Total All Sectors (Not all listed)</t>
  </si>
  <si>
    <t>Total Reduction</t>
  </si>
  <si>
    <t>Total Cumulative Reduction from Baseline</t>
  </si>
  <si>
    <t>City of New Orleans - CPRG Proposal - Measure 5: Municipal Building Decarbonization</t>
  </si>
  <si>
    <t>Total 2025-2030</t>
  </si>
  <si>
    <t>Total 2026-2030</t>
  </si>
  <si>
    <t>kWh avoided</t>
  </si>
  <si>
    <t>MWh avoided</t>
  </si>
  <si>
    <t>MTCO2e (from CIRIS Tool)</t>
  </si>
  <si>
    <t>Municipal Decarb Budget</t>
  </si>
  <si>
    <t>Cost Effectiveness</t>
  </si>
  <si>
    <t>City of New Orleans - CPRG Proposal - Measure 6: Solar for All NOLA Bridge Subsidies</t>
  </si>
  <si>
    <t>Building Typology</t>
  </si>
  <si>
    <t>% of Residential Electric Use</t>
  </si>
  <si>
    <t>Total Residential Gwh</t>
  </si>
  <si>
    <t>GWh Per Sub-sector</t>
  </si>
  <si>
    <t>MWh Per Sub-sector</t>
  </si>
  <si>
    <t>ENO CO2 Emissions_Lbs</t>
  </si>
  <si>
    <t>CO2 Emissions_MT</t>
  </si>
  <si>
    <t>MWh Per Household</t>
  </si>
  <si>
    <t>CO2 Avoided 2025</t>
  </si>
  <si>
    <t>Single-Family Detached</t>
  </si>
  <si>
    <t>Duplex/Townhome</t>
  </si>
  <si>
    <t>Other</t>
  </si>
  <si>
    <t>Assumptions</t>
  </si>
  <si>
    <t>Total Difference</t>
  </si>
  <si>
    <t>Continued Avoided GHG Emissions</t>
  </si>
  <si>
    <t>280 total installs/year between 2025-2030</t>
  </si>
  <si>
    <t>189,859 total residential accounts</t>
  </si>
  <si>
    <t>Through 2030</t>
  </si>
  <si>
    <t>Cumulative</t>
  </si>
  <si>
    <t>Number of Buildings</t>
  </si>
  <si>
    <t>Number of Installs Per Year</t>
  </si>
  <si>
    <t>MWH Avoided</t>
  </si>
  <si>
    <t>ENO CO2 LBS Avoided</t>
  </si>
  <si>
    <t>MT CO2 Avoided Through 2050</t>
  </si>
  <si>
    <t>City of New Orleans - CPRG Proposal - Measure 7: Reforestation Plan</t>
  </si>
  <si>
    <t>This data was produced from the i-Tree Planting Calculator version 2.6.0 for New Orleans; LA.</t>
  </si>
  <si>
    <t>Location: New Orleans; LA 70116</t>
  </si>
  <si>
    <t>Electricity Emissions Factor: 511.77</t>
  </si>
  <si>
    <t>Fuel Emissions Factor: 69.22</t>
  </si>
  <si>
    <t>Lifetime: 5</t>
  </si>
  <si>
    <t>Project Lifetime Tree Mortality: 15%</t>
  </si>
  <si>
    <t>Run Date: 3-18-2024</t>
  </si>
  <si>
    <t>Species</t>
  </si>
  <si>
    <t># of Trees</t>
  </si>
  <si>
    <t>DBH</t>
  </si>
  <si>
    <t>CO2 Avoided (lbs)</t>
  </si>
  <si>
    <t>CO2 Avoided ($)</t>
  </si>
  <si>
    <t>CO2 Sequestered (kgs)</t>
  </si>
  <si>
    <t>CO2 Sequestered ($)</t>
  </si>
  <si>
    <t>Tree Biomass (short ton)</t>
  </si>
  <si>
    <t>O3 Removed (kgs)</t>
  </si>
  <si>
    <t>NO2 Avoided (lbs)</t>
  </si>
  <si>
    <t>NO2 Removed (kgs)</t>
  </si>
  <si>
    <t>SO2 Avoided (lbs)</t>
  </si>
  <si>
    <t>SO2 Removed (kgs)</t>
  </si>
  <si>
    <t>VOC Avoided (pounds)</t>
  </si>
  <si>
    <t>PM2.5 Avoided (pounds)</t>
  </si>
  <si>
    <t>PM2.5 Removed (kgs)</t>
  </si>
  <si>
    <t>Avoided Value ($)</t>
  </si>
  <si>
    <t>Removal Value ($)</t>
  </si>
  <si>
    <t>Live oak(Quercus virginiana)</t>
  </si>
  <si>
    <t>Red maple(Acer rubrum)</t>
  </si>
  <si>
    <t>Bald Cypress spp(Taxodium)</t>
  </si>
  <si>
    <t>Willow oak(Quercus phellos)</t>
  </si>
  <si>
    <t>Holly spp(Ilex)</t>
  </si>
  <si>
    <t>Southern magnolia(Magnolia grandiflora)</t>
  </si>
  <si>
    <t>Metric tons</t>
  </si>
  <si>
    <t>Lifetime: 25</t>
  </si>
  <si>
    <t>Project Lifetime Tree Mortality: 35%</t>
  </si>
  <si>
    <t>SO2 Removed (lbs)</t>
  </si>
  <si>
    <t>VOC Avoided (lbs)</t>
  </si>
  <si>
    <t>Baldcypress(Taxodium distichum)</t>
  </si>
  <si>
    <t>Metric 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</si>
</sst>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8" formatCode="&quot;$&quot;#,##0.00_);[Red]\(&quot;$&quot;#,##0.00\)"/>
    <numFmt numFmtId="164" formatCode="0.0"/>
    <numFmt numFmtId="165" formatCode="&quot;$&quot;#,##0"/>
    <numFmt numFmtId="166" formatCode="#,##0.0"/>
    <numFmt numFmtId="167" formatCode="&quot;$&quot;#,##0.00"/>
    <numFmt numFmtId="168" formatCode="0.0000"/>
    <numFmt numFmtId="169" formatCode="0.00000"/>
  </numFmts>
  <fonts count="22">
    <font>
      <sz val="10"/>
      <color rgb="FF000000"/>
      <name val="Arial"/>
      <scheme val="minor"/>
    </font>
    <font>
      <b/>
      <sz val="12"/>
      <color theme="1"/>
      <name val="Arial"/>
      <scheme val="minor"/>
    </font>
    <font>
      <b/>
      <sz val="10"/>
      <color theme="1"/>
      <name val="Arial"/>
      <scheme val="minor"/>
    </font>
    <font>
      <sz val="9"/>
      <color rgb="FF1F1F1F"/>
      <name val="&quot;Google Sans&quot;"/>
    </font>
    <font>
      <sz val="10"/>
      <color theme="1"/>
      <name val="Arial"/>
      <scheme val="minor"/>
    </font>
    <font>
      <i/>
      <sz val="10"/>
      <color rgb="FF1F1F1F"/>
      <name val="&quot;Google Sans&quot;"/>
    </font>
    <font>
      <sz val="11"/>
      <color rgb="FF000000"/>
      <name val="Calibri"/>
    </font>
    <font>
      <sz val="10"/>
      <color rgb="FF000000"/>
      <name val="Arial"/>
    </font>
    <font>
      <u/>
      <sz val="10"/>
      <color rgb="FF0000FF"/>
      <name val="Arial"/>
    </font>
    <font>
      <u/>
      <sz val="10"/>
      <color rgb="FF1155CC"/>
      <name val="Arial"/>
    </font>
    <font>
      <sz val="10"/>
      <color theme="1"/>
      <name val="Arial"/>
    </font>
    <font>
      <u/>
      <sz val="10"/>
      <color rgb="FF1155CC"/>
      <name val="Arial"/>
    </font>
    <font>
      <b/>
      <sz val="11"/>
      <color theme="1"/>
      <name val="&quot;aptos narrow&quot;"/>
    </font>
    <font>
      <b/>
      <sz val="11"/>
      <color theme="1"/>
      <name val="Arial"/>
    </font>
    <font>
      <sz val="11"/>
      <color theme="1"/>
      <name val="&quot;aptos narrow&quot;"/>
    </font>
    <font>
      <sz val="11"/>
      <color theme="1"/>
      <name val="Arial"/>
    </font>
    <font>
      <b/>
      <sz val="11"/>
      <color theme="1"/>
      <name val="Arial"/>
      <scheme val="minor"/>
    </font>
    <font>
      <sz val="11"/>
      <color theme="1"/>
      <name val="Arial"/>
      <scheme val="minor"/>
    </font>
    <font>
      <sz val="11"/>
      <color theme="1"/>
      <name val="Calibri"/>
    </font>
    <font>
      <b/>
      <sz val="11"/>
      <color theme="1"/>
      <name val="Calibri"/>
    </font>
    <font>
      <b/>
      <i/>
      <sz val="11"/>
      <color theme="1"/>
      <name val="Calibri"/>
    </font>
    <font>
      <b/>
      <i/>
      <sz val="11"/>
      <color rgb="FFFF0000"/>
      <name val="Calibri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FFFF00"/>
        <bgColor rgb="FFFFFF00"/>
      </patternFill>
    </fill>
    <fill>
      <patternFill patternType="solid">
        <fgColor rgb="FFC9DAF8"/>
        <bgColor rgb="FFC9DAF8"/>
      </patternFill>
    </fill>
    <fill>
      <patternFill patternType="solid">
        <fgColor rgb="FF00FF00"/>
        <bgColor rgb="FF00FF00"/>
      </patternFill>
    </fill>
    <fill>
      <patternFill patternType="solid">
        <fgColor rgb="FFCCCCCC"/>
        <bgColor rgb="FFCCCCCC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 applyAlignment="1">
      <alignment horizontal="right"/>
    </xf>
    <xf numFmtId="1" fontId="4" fillId="0" borderId="0" xfId="0" applyNumberFormat="1" applyFont="1"/>
    <xf numFmtId="0" fontId="5" fillId="2" borderId="0" xfId="0" applyFont="1" applyFill="1" applyAlignment="1">
      <alignment horizontal="right"/>
    </xf>
    <xf numFmtId="0" fontId="2" fillId="0" borderId="0" xfId="0" applyFont="1" applyAlignment="1">
      <alignment wrapText="1"/>
    </xf>
    <xf numFmtId="0" fontId="4" fillId="0" borderId="0" xfId="0" applyFont="1"/>
    <xf numFmtId="0" fontId="4" fillId="3" borderId="0" xfId="0" applyFont="1" applyFill="1"/>
    <xf numFmtId="3" fontId="4" fillId="0" borderId="0" xfId="0" applyNumberFormat="1" applyFont="1"/>
    <xf numFmtId="0" fontId="6" fillId="0" borderId="0" xfId="0" applyFont="1" applyAlignment="1">
      <alignment horizontal="right"/>
    </xf>
    <xf numFmtId="164" fontId="4" fillId="0" borderId="0" xfId="0" applyNumberFormat="1" applyFont="1"/>
    <xf numFmtId="3" fontId="2" fillId="0" borderId="0" xfId="0" applyNumberFormat="1" applyFont="1"/>
    <xf numFmtId="164" fontId="2" fillId="0" borderId="0" xfId="0" applyNumberFormat="1" applyFont="1"/>
    <xf numFmtId="164" fontId="2" fillId="4" borderId="0" xfId="0" applyNumberFormat="1" applyFont="1" applyFill="1"/>
    <xf numFmtId="4" fontId="4" fillId="0" borderId="0" xfId="0" applyNumberFormat="1" applyFont="1"/>
    <xf numFmtId="0" fontId="7" fillId="2" borderId="0" xfId="0" applyFont="1" applyFill="1"/>
    <xf numFmtId="10" fontId="4" fillId="0" borderId="0" xfId="0" applyNumberFormat="1" applyFont="1"/>
    <xf numFmtId="10" fontId="4" fillId="3" borderId="0" xfId="0" applyNumberFormat="1" applyFont="1" applyFill="1"/>
    <xf numFmtId="0" fontId="2" fillId="0" borderId="0" xfId="0" applyFont="1" applyAlignment="1">
      <alignment horizontal="center"/>
    </xf>
    <xf numFmtId="165" fontId="4" fillId="3" borderId="0" xfId="0" applyNumberFormat="1" applyFont="1" applyFill="1" applyAlignment="1">
      <alignment horizontal="right"/>
    </xf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5" fontId="4" fillId="6" borderId="0" xfId="0" applyNumberFormat="1" applyFont="1" applyFill="1"/>
    <xf numFmtId="6" fontId="4" fillId="0" borderId="0" xfId="0" applyNumberFormat="1" applyFont="1"/>
    <xf numFmtId="2" fontId="4" fillId="3" borderId="0" xfId="0" applyNumberFormat="1" applyFont="1" applyFill="1"/>
    <xf numFmtId="2" fontId="4" fillId="0" borderId="0" xfId="0" applyNumberFormat="1" applyFont="1"/>
    <xf numFmtId="0" fontId="6" fillId="3" borderId="0" xfId="0" applyFont="1" applyFill="1" applyAlignment="1">
      <alignment horizontal="right"/>
    </xf>
    <xf numFmtId="0" fontId="8" fillId="0" borderId="0" xfId="0" applyFont="1"/>
    <xf numFmtId="166" fontId="4" fillId="4" borderId="0" xfId="0" applyNumberFormat="1" applyFont="1" applyFill="1"/>
    <xf numFmtId="6" fontId="6" fillId="0" borderId="0" xfId="0" applyNumberFormat="1" applyFont="1" applyAlignment="1">
      <alignment horizontal="right" wrapText="1"/>
    </xf>
    <xf numFmtId="6" fontId="6" fillId="0" borderId="0" xfId="0" applyNumberFormat="1" applyFont="1"/>
    <xf numFmtId="167" fontId="4" fillId="0" borderId="0" xfId="0" applyNumberFormat="1" applyFont="1"/>
    <xf numFmtId="165" fontId="4" fillId="0" borderId="0" xfId="0" applyNumberFormat="1" applyFont="1"/>
    <xf numFmtId="6" fontId="6" fillId="2" borderId="0" xfId="0" applyNumberFormat="1" applyFont="1" applyFill="1" applyAlignment="1">
      <alignment horizontal="right"/>
    </xf>
    <xf numFmtId="6" fontId="4" fillId="3" borderId="0" xfId="0" applyNumberFormat="1" applyFont="1" applyFill="1" applyAlignment="1">
      <alignment horizontal="right"/>
    </xf>
    <xf numFmtId="165" fontId="4" fillId="6" borderId="0" xfId="0" applyNumberFormat="1" applyFont="1" applyFill="1" applyAlignment="1">
      <alignment horizontal="right"/>
    </xf>
    <xf numFmtId="166" fontId="4" fillId="0" borderId="0" xfId="0" applyNumberFormat="1" applyFont="1"/>
    <xf numFmtId="0" fontId="9" fillId="0" borderId="0" xfId="0" applyFont="1" applyAlignment="1">
      <alignment wrapText="1"/>
    </xf>
    <xf numFmtId="165" fontId="10" fillId="0" borderId="0" xfId="0" applyNumberFormat="1" applyFont="1" applyAlignment="1">
      <alignment horizontal="right" wrapText="1"/>
    </xf>
    <xf numFmtId="0" fontId="10" fillId="0" borderId="0" xfId="0" applyFont="1"/>
    <xf numFmtId="167" fontId="10" fillId="0" borderId="0" xfId="0" applyNumberFormat="1" applyFont="1" applyAlignment="1">
      <alignment horizontal="right" wrapText="1"/>
    </xf>
    <xf numFmtId="167" fontId="11" fillId="0" borderId="0" xfId="0" applyNumberFormat="1" applyFont="1" applyAlignment="1">
      <alignment wrapText="1"/>
    </xf>
    <xf numFmtId="0" fontId="7" fillId="2" borderId="0" xfId="0" applyFont="1" applyFill="1" applyAlignment="1">
      <alignment horizontal="left"/>
    </xf>
    <xf numFmtId="0" fontId="4" fillId="4" borderId="1" xfId="0" applyFont="1" applyFill="1" applyBorder="1"/>
    <xf numFmtId="164" fontId="4" fillId="4" borderId="1" xfId="0" applyNumberFormat="1" applyFont="1" applyFill="1" applyBorder="1"/>
    <xf numFmtId="1" fontId="4" fillId="4" borderId="1" xfId="0" applyNumberFormat="1" applyFont="1" applyFill="1" applyBorder="1"/>
    <xf numFmtId="6" fontId="4" fillId="4" borderId="1" xfId="0" applyNumberFormat="1" applyFont="1" applyFill="1" applyBorder="1"/>
    <xf numFmtId="165" fontId="4" fillId="4" borderId="1" xfId="0" applyNumberFormat="1" applyFont="1" applyFill="1" applyBorder="1"/>
    <xf numFmtId="49" fontId="4" fillId="0" borderId="0" xfId="0" applyNumberFormat="1" applyFont="1"/>
    <xf numFmtId="1" fontId="4" fillId="4" borderId="0" xfId="0" applyNumberFormat="1" applyFont="1" applyFill="1"/>
    <xf numFmtId="3" fontId="4" fillId="4" borderId="0" xfId="0" applyNumberFormat="1" applyFont="1" applyFill="1"/>
    <xf numFmtId="165" fontId="6" fillId="0" borderId="0" xfId="0" applyNumberFormat="1" applyFont="1"/>
    <xf numFmtId="4" fontId="6" fillId="0" borderId="0" xfId="0" applyNumberFormat="1" applyFont="1"/>
    <xf numFmtId="0" fontId="6" fillId="0" borderId="0" xfId="0" applyFont="1"/>
    <xf numFmtId="3" fontId="6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right"/>
    </xf>
    <xf numFmtId="1" fontId="13" fillId="0" borderId="0" xfId="0" applyNumberFormat="1" applyFont="1"/>
    <xf numFmtId="1" fontId="12" fillId="0" borderId="0" xfId="0" applyNumberFormat="1" applyFont="1"/>
    <xf numFmtId="0" fontId="13" fillId="0" borderId="0" xfId="0" applyFont="1"/>
    <xf numFmtId="9" fontId="12" fillId="0" borderId="0" xfId="0" applyNumberFormat="1" applyFont="1"/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1" fontId="13" fillId="0" borderId="0" xfId="0" applyNumberFormat="1" applyFont="1" applyAlignment="1">
      <alignment wrapText="1"/>
    </xf>
    <xf numFmtId="1" fontId="12" fillId="0" borderId="0" xfId="0" applyNumberFormat="1" applyFont="1" applyAlignment="1">
      <alignment wrapText="1"/>
    </xf>
    <xf numFmtId="9" fontId="12" fillId="0" borderId="0" xfId="0" applyNumberFormat="1" applyFont="1" applyAlignment="1">
      <alignment wrapText="1"/>
    </xf>
    <xf numFmtId="0" fontId="12" fillId="0" borderId="0" xfId="0" applyFont="1" applyAlignment="1">
      <alignment horizontal="right" wrapText="1"/>
    </xf>
    <xf numFmtId="0" fontId="14" fillId="0" borderId="0" xfId="0" applyFont="1"/>
    <xf numFmtId="9" fontId="14" fillId="0" borderId="0" xfId="0" applyNumberFormat="1" applyFont="1" applyAlignment="1">
      <alignment horizontal="right"/>
    </xf>
    <xf numFmtId="168" fontId="15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15" fillId="0" borderId="0" xfId="0" applyNumberFormat="1" applyFont="1" applyAlignment="1">
      <alignment horizontal="right"/>
    </xf>
    <xf numFmtId="10" fontId="14" fillId="0" borderId="0" xfId="0" applyNumberFormat="1" applyFont="1" applyAlignment="1">
      <alignment horizontal="right"/>
    </xf>
    <xf numFmtId="169" fontId="15" fillId="0" borderId="0" xfId="0" applyNumberFormat="1" applyFont="1" applyAlignment="1">
      <alignment horizontal="right"/>
    </xf>
    <xf numFmtId="1" fontId="14" fillId="0" borderId="0" xfId="0" applyNumberFormat="1" applyFont="1"/>
    <xf numFmtId="9" fontId="14" fillId="0" borderId="0" xfId="0" applyNumberFormat="1" applyFont="1"/>
    <xf numFmtId="0" fontId="13" fillId="0" borderId="0" xfId="0" applyFont="1" applyAlignment="1">
      <alignment horizontal="right"/>
    </xf>
    <xf numFmtId="3" fontId="15" fillId="0" borderId="0" xfId="0" applyNumberFormat="1" applyFont="1"/>
    <xf numFmtId="3" fontId="15" fillId="4" borderId="0" xfId="0" applyNumberFormat="1" applyFont="1" applyFill="1"/>
    <xf numFmtId="0" fontId="4" fillId="0" borderId="1" xfId="0" applyFont="1" applyBorder="1"/>
    <xf numFmtId="0" fontId="2" fillId="0" borderId="1" xfId="0" applyFont="1" applyBorder="1"/>
    <xf numFmtId="0" fontId="2" fillId="7" borderId="1" xfId="0" applyFont="1" applyFill="1" applyBorder="1"/>
    <xf numFmtId="3" fontId="4" fillId="0" borderId="1" xfId="0" applyNumberFormat="1" applyFont="1" applyBorder="1"/>
    <xf numFmtId="3" fontId="4" fillId="7" borderId="1" xfId="0" applyNumberFormat="1" applyFont="1" applyFill="1" applyBorder="1"/>
    <xf numFmtId="0" fontId="16" fillId="0" borderId="0" xfId="0" applyFont="1" applyAlignment="1">
      <alignment wrapText="1"/>
    </xf>
    <xf numFmtId="2" fontId="14" fillId="0" borderId="0" xfId="0" applyNumberFormat="1" applyFont="1" applyAlignment="1">
      <alignment horizontal="right"/>
    </xf>
    <xf numFmtId="3" fontId="14" fillId="0" borderId="0" xfId="0" applyNumberFormat="1" applyFont="1"/>
    <xf numFmtId="0" fontId="15" fillId="0" borderId="0" xfId="0" applyFont="1"/>
    <xf numFmtId="3" fontId="17" fillId="0" borderId="0" xfId="0" applyNumberFormat="1" applyFont="1"/>
    <xf numFmtId="3" fontId="14" fillId="4" borderId="0" xfId="0" applyNumberFormat="1" applyFont="1" applyFill="1"/>
    <xf numFmtId="0" fontId="15" fillId="0" borderId="0" xfId="0" applyFont="1" applyAlignment="1">
      <alignment horizontal="right"/>
    </xf>
    <xf numFmtId="0" fontId="18" fillId="0" borderId="0" xfId="0" applyFont="1"/>
    <xf numFmtId="0" fontId="19" fillId="4" borderId="0" xfId="0" applyFont="1" applyFill="1"/>
    <xf numFmtId="0" fontId="18" fillId="4" borderId="0" xfId="0" applyFont="1" applyFill="1"/>
    <xf numFmtId="14" fontId="18" fillId="0" borderId="0" xfId="0" applyNumberFormat="1" applyFont="1"/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2" xfId="0" applyFont="1" applyBorder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8" fontId="18" fillId="0" borderId="0" xfId="0" applyNumberFormat="1" applyFont="1" applyAlignment="1">
      <alignment horizontal="right"/>
    </xf>
    <xf numFmtId="8" fontId="18" fillId="0" borderId="2" xfId="0" applyNumberFormat="1" applyFont="1" applyBorder="1" applyAlignment="1">
      <alignment horizontal="right"/>
    </xf>
    <xf numFmtId="0" fontId="18" fillId="0" borderId="3" xfId="0" applyFont="1" applyBorder="1" applyAlignment="1">
      <alignment horizontal="right"/>
    </xf>
    <xf numFmtId="0" fontId="18" fillId="0" borderId="3" xfId="0" applyFont="1" applyBorder="1"/>
    <xf numFmtId="0" fontId="18" fillId="0" borderId="3" xfId="0" applyFont="1" applyBorder="1" applyAlignment="1">
      <alignment horizontal="center"/>
    </xf>
    <xf numFmtId="8" fontId="18" fillId="0" borderId="3" xfId="0" applyNumberFormat="1" applyFont="1" applyBorder="1" applyAlignment="1">
      <alignment horizontal="right"/>
    </xf>
    <xf numFmtId="8" fontId="18" fillId="0" borderId="4" xfId="0" applyNumberFormat="1" applyFont="1" applyBorder="1" applyAlignment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4" fontId="20" fillId="0" borderId="0" xfId="0" applyNumberFormat="1" applyFont="1" applyAlignment="1">
      <alignment horizontal="right"/>
    </xf>
    <xf numFmtId="8" fontId="20" fillId="0" borderId="0" xfId="0" applyNumberFormat="1" applyFont="1" applyAlignment="1">
      <alignment horizontal="right"/>
    </xf>
    <xf numFmtId="3" fontId="20" fillId="0" borderId="0" xfId="0" applyNumberFormat="1" applyFont="1" applyAlignment="1">
      <alignment horizontal="right"/>
    </xf>
    <xf numFmtId="8" fontId="20" fillId="0" borderId="2" xfId="0" applyNumberFormat="1" applyFont="1" applyBorder="1" applyAlignment="1">
      <alignment horizontal="righ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4" fontId="18" fillId="0" borderId="0" xfId="0" applyNumberFormat="1" applyFont="1" applyAlignment="1">
      <alignment horizontal="right"/>
    </xf>
    <xf numFmtId="3" fontId="18" fillId="0" borderId="0" xfId="0" applyNumberFormat="1" applyFont="1" applyAlignment="1">
      <alignment horizontal="right"/>
    </xf>
    <xf numFmtId="4" fontId="18" fillId="0" borderId="3" xfId="0" applyNumberFormat="1" applyFont="1" applyBorder="1" applyAlignment="1">
      <alignment horizontal="right"/>
    </xf>
    <xf numFmtId="3" fontId="18" fillId="0" borderId="3" xfId="0" applyNumberFormat="1" applyFont="1" applyBorder="1" applyAlignment="1">
      <alignment horizontal="right"/>
    </xf>
    <xf numFmtId="164" fontId="4" fillId="0" borderId="0" xfId="0" applyNumberFormat="1" applyFont="1" applyAlignment="1">
      <alignment horizontal="center" vertical="center" wrapText="1"/>
    </xf>
    <xf numFmtId="0" fontId="0" fillId="0" borderId="0" xfId="0"/>
    <xf numFmtId="0" fontId="2" fillId="5" borderId="0" xfId="0" applyFont="1" applyFill="1"/>
    <xf numFmtId="0" fontId="4" fillId="3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3.basecamp.com/4826072/buckets/27968556/messages/5600207766" TargetMode="External"/><Relationship Id="rId2" Type="http://schemas.openxmlformats.org/officeDocument/2006/relationships/hyperlink" Target="https://www.bts.gov/content/average-fuel-efficiency-us-light-duty-vehicles" TargetMode="External"/><Relationship Id="rId1" Type="http://schemas.openxmlformats.org/officeDocument/2006/relationships/hyperlink" Target="https://www.epa.gov/energy/greenhouse-gases-equivalencies-calculator-calculations-and-references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3.basecamp.com/4826072/buckets/27968556/messages/7017316582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bts.gov/content/average-fuel-efficiency-us-light-duty-vehicles" TargetMode="External"/><Relationship Id="rId1" Type="http://schemas.openxmlformats.org/officeDocument/2006/relationships/hyperlink" Target="https://www.epa.gov/energy/greenhouse-gases-equivalencies-calculator-calculations-and-references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I30"/>
  <sheetViews>
    <sheetView tabSelected="1" view="pageLayout" zoomScaleNormal="100" workbookViewId="0"/>
  </sheetViews>
  <sheetFormatPr defaultColWidth="12.6328125" defaultRowHeight="15.75" customHeight="1"/>
  <cols>
    <col min="1" max="1" width="19" customWidth="1"/>
    <col min="2" max="2" width="14.08984375" customWidth="1"/>
    <col min="3" max="3" width="11.90625" customWidth="1"/>
    <col min="4" max="4" width="10.7265625" customWidth="1"/>
    <col min="5" max="5" width="13" customWidth="1"/>
    <col min="6" max="6" width="12" customWidth="1"/>
    <col min="7" max="7" width="23.36328125" customWidth="1"/>
    <col min="8" max="12" width="5.08984375" customWidth="1"/>
    <col min="13" max="13" width="5.36328125" customWidth="1"/>
    <col min="14" max="14" width="12.6328125" customWidth="1"/>
    <col min="15" max="34" width="5.08984375" customWidth="1"/>
    <col min="35" max="35" width="12.6328125" customWidth="1"/>
  </cols>
  <sheetData>
    <row r="1" spans="1:35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spans="1:35" ht="15.75" customHeight="1">
      <c r="B2" s="2"/>
      <c r="C2" s="2"/>
      <c r="D2" s="2"/>
      <c r="E2" s="2"/>
      <c r="F2" s="2"/>
      <c r="G2" s="5" t="s">
        <v>1</v>
      </c>
      <c r="H2" s="4"/>
      <c r="I2" s="4"/>
      <c r="J2" s="4">
        <v>25</v>
      </c>
      <c r="K2" s="4">
        <f t="shared" ref="K2:M2" si="0">J2+1</f>
        <v>26</v>
      </c>
      <c r="L2" s="4">
        <f t="shared" si="0"/>
        <v>27</v>
      </c>
      <c r="M2" s="4">
        <f t="shared" si="0"/>
        <v>28</v>
      </c>
      <c r="O2" s="4">
        <v>29</v>
      </c>
      <c r="P2" s="4">
        <f t="shared" ref="P2:AH2" si="1">O2+1</f>
        <v>30</v>
      </c>
      <c r="Q2" s="4">
        <f t="shared" si="1"/>
        <v>31</v>
      </c>
      <c r="R2" s="4">
        <f t="shared" si="1"/>
        <v>32</v>
      </c>
      <c r="S2" s="4">
        <f t="shared" si="1"/>
        <v>33</v>
      </c>
      <c r="T2" s="4">
        <f t="shared" si="1"/>
        <v>34</v>
      </c>
      <c r="U2" s="4">
        <f t="shared" si="1"/>
        <v>35</v>
      </c>
      <c r="V2" s="4">
        <f t="shared" si="1"/>
        <v>36</v>
      </c>
      <c r="W2" s="4">
        <f t="shared" si="1"/>
        <v>37</v>
      </c>
      <c r="X2" s="4">
        <f t="shared" si="1"/>
        <v>38</v>
      </c>
      <c r="Y2" s="4">
        <f t="shared" si="1"/>
        <v>39</v>
      </c>
      <c r="Z2" s="4">
        <f t="shared" si="1"/>
        <v>40</v>
      </c>
      <c r="AA2" s="4">
        <f t="shared" si="1"/>
        <v>41</v>
      </c>
      <c r="AB2" s="4">
        <f t="shared" si="1"/>
        <v>42</v>
      </c>
      <c r="AC2" s="4">
        <f t="shared" si="1"/>
        <v>43</v>
      </c>
      <c r="AD2" s="4">
        <f t="shared" si="1"/>
        <v>44</v>
      </c>
      <c r="AE2" s="4">
        <f t="shared" si="1"/>
        <v>45</v>
      </c>
      <c r="AF2" s="4">
        <f t="shared" si="1"/>
        <v>46</v>
      </c>
      <c r="AG2" s="4">
        <f t="shared" si="1"/>
        <v>47</v>
      </c>
      <c r="AH2" s="4">
        <f t="shared" si="1"/>
        <v>48</v>
      </c>
    </row>
    <row r="3" spans="1:35" ht="15.75" customHeight="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>
        <v>2025</v>
      </c>
      <c r="I3" s="6">
        <v>2026</v>
      </c>
      <c r="J3" s="6">
        <v>2027</v>
      </c>
      <c r="K3" s="6">
        <v>2028</v>
      </c>
      <c r="L3" s="6">
        <v>2029</v>
      </c>
      <c r="M3" s="6">
        <v>2030</v>
      </c>
      <c r="N3" s="6" t="s">
        <v>9</v>
      </c>
      <c r="O3" s="2">
        <v>2031</v>
      </c>
      <c r="P3" s="2">
        <f t="shared" ref="P3:AH3" si="2">O3+1</f>
        <v>2032</v>
      </c>
      <c r="Q3" s="2">
        <f t="shared" si="2"/>
        <v>2033</v>
      </c>
      <c r="R3" s="2">
        <f t="shared" si="2"/>
        <v>2034</v>
      </c>
      <c r="S3" s="2">
        <f t="shared" si="2"/>
        <v>2035</v>
      </c>
      <c r="T3" s="2">
        <f t="shared" si="2"/>
        <v>2036</v>
      </c>
      <c r="U3" s="2">
        <f t="shared" si="2"/>
        <v>2037</v>
      </c>
      <c r="V3" s="2">
        <f t="shared" si="2"/>
        <v>2038</v>
      </c>
      <c r="W3" s="2">
        <f t="shared" si="2"/>
        <v>2039</v>
      </c>
      <c r="X3" s="2">
        <f t="shared" si="2"/>
        <v>2040</v>
      </c>
      <c r="Y3" s="2">
        <f t="shared" si="2"/>
        <v>2041</v>
      </c>
      <c r="Z3" s="2">
        <f t="shared" si="2"/>
        <v>2042</v>
      </c>
      <c r="AA3" s="2">
        <f t="shared" si="2"/>
        <v>2043</v>
      </c>
      <c r="AB3" s="2">
        <f t="shared" si="2"/>
        <v>2044</v>
      </c>
      <c r="AC3" s="2">
        <f t="shared" si="2"/>
        <v>2045</v>
      </c>
      <c r="AD3" s="2">
        <f t="shared" si="2"/>
        <v>2046</v>
      </c>
      <c r="AE3" s="2">
        <f t="shared" si="2"/>
        <v>2047</v>
      </c>
      <c r="AF3" s="2">
        <f t="shared" si="2"/>
        <v>2048</v>
      </c>
      <c r="AG3" s="2">
        <f t="shared" si="2"/>
        <v>2049</v>
      </c>
      <c r="AH3" s="2">
        <f t="shared" si="2"/>
        <v>2050</v>
      </c>
      <c r="AI3" s="6" t="s">
        <v>10</v>
      </c>
    </row>
    <row r="4" spans="1:35">
      <c r="A4" s="7" t="s">
        <v>11</v>
      </c>
      <c r="B4" s="7">
        <v>0.78</v>
      </c>
      <c r="C4" s="7">
        <v>14511</v>
      </c>
      <c r="D4" s="7">
        <f t="shared" ref="D4:D15" si="3">C4*365</f>
        <v>5296515</v>
      </c>
      <c r="E4" s="8">
        <v>3.85E-2</v>
      </c>
      <c r="F4" s="9">
        <f t="shared" ref="F4:F15" si="4">B4*D4*E4</f>
        <v>159054.34544999999</v>
      </c>
      <c r="G4" s="10">
        <v>8.8870000000000008E-3</v>
      </c>
      <c r="H4" s="123" t="s">
        <v>12</v>
      </c>
      <c r="I4" s="124"/>
      <c r="J4" s="11">
        <f t="shared" ref="J4:J15" si="5">($F4/J$2)*$G4</f>
        <v>56.540638720566001</v>
      </c>
      <c r="K4" s="11">
        <f t="shared" ref="K4:M4" si="6">($F4/K2)*$G4</f>
        <v>54.365998769774997</v>
      </c>
      <c r="L4" s="11">
        <f t="shared" si="6"/>
        <v>52.352443259783342</v>
      </c>
      <c r="M4" s="11">
        <f t="shared" si="6"/>
        <v>50.482713143362496</v>
      </c>
      <c r="N4" s="11">
        <f t="shared" ref="N4:N15" si="7">SUM(J4:M4)</f>
        <v>213.74179389348683</v>
      </c>
      <c r="O4" s="11">
        <f t="shared" ref="O4:AH4" si="8">($F4/O$2)*$G4</f>
        <v>48.741929931522421</v>
      </c>
      <c r="P4" s="11">
        <f t="shared" si="8"/>
        <v>47.117198933805</v>
      </c>
      <c r="Q4" s="11">
        <f t="shared" si="8"/>
        <v>45.597289290779038</v>
      </c>
      <c r="R4" s="11">
        <f t="shared" si="8"/>
        <v>44.17237400044219</v>
      </c>
      <c r="S4" s="11">
        <f t="shared" si="8"/>
        <v>42.833817212550002</v>
      </c>
      <c r="T4" s="11">
        <f t="shared" si="8"/>
        <v>41.573999059239711</v>
      </c>
      <c r="U4" s="11">
        <f t="shared" si="8"/>
        <v>40.386170514690001</v>
      </c>
      <c r="V4" s="11">
        <f t="shared" si="8"/>
        <v>39.264332444837507</v>
      </c>
      <c r="W4" s="11">
        <f t="shared" si="8"/>
        <v>38.203134270652704</v>
      </c>
      <c r="X4" s="11">
        <f t="shared" si="8"/>
        <v>37.197788631951319</v>
      </c>
      <c r="Y4" s="11">
        <f t="shared" si="8"/>
        <v>36.24399917985</v>
      </c>
      <c r="Z4" s="11">
        <f t="shared" si="8"/>
        <v>35.337899200353753</v>
      </c>
      <c r="AA4" s="11">
        <f t="shared" si="8"/>
        <v>34.475999219857314</v>
      </c>
      <c r="AB4" s="11">
        <f t="shared" si="8"/>
        <v>33.655142095575002</v>
      </c>
      <c r="AC4" s="11">
        <f t="shared" si="8"/>
        <v>32.872464372422094</v>
      </c>
      <c r="AD4" s="11">
        <f t="shared" si="8"/>
        <v>32.125362909412502</v>
      </c>
      <c r="AE4" s="11">
        <f t="shared" si="8"/>
        <v>31.411465955870003</v>
      </c>
      <c r="AF4" s="11">
        <f t="shared" si="8"/>
        <v>30.728608000307609</v>
      </c>
      <c r="AG4" s="11">
        <f t="shared" si="8"/>
        <v>30.0748078300883</v>
      </c>
      <c r="AH4" s="11">
        <f t="shared" si="8"/>
        <v>29.448249333628127</v>
      </c>
      <c r="AI4" s="11">
        <f t="shared" ref="AI4:AI16" si="9">SUM(N4:AH4)</f>
        <v>965.20382628132131</v>
      </c>
    </row>
    <row r="5" spans="1:35">
      <c r="A5" s="7" t="s">
        <v>13</v>
      </c>
      <c r="B5" s="7">
        <v>0.36</v>
      </c>
      <c r="C5" s="7">
        <v>20425</v>
      </c>
      <c r="D5" s="7">
        <f t="shared" si="3"/>
        <v>7455125</v>
      </c>
      <c r="E5" s="8">
        <v>3.85E-2</v>
      </c>
      <c r="F5" s="9">
        <f t="shared" si="4"/>
        <v>103328.0325</v>
      </c>
      <c r="G5" s="10">
        <v>8.8870000000000008E-3</v>
      </c>
      <c r="H5" s="124"/>
      <c r="I5" s="124"/>
      <c r="J5" s="11">
        <f t="shared" si="5"/>
        <v>36.731048993100003</v>
      </c>
      <c r="K5" s="11">
        <f t="shared" ref="K5:M5" si="10">($F5/K$2)*$G5</f>
        <v>35.318316339519235</v>
      </c>
      <c r="L5" s="11">
        <f t="shared" si="10"/>
        <v>34.010230549166671</v>
      </c>
      <c r="M5" s="11">
        <f t="shared" si="10"/>
        <v>32.795579458125005</v>
      </c>
      <c r="N5" s="11">
        <f t="shared" si="7"/>
        <v>138.85517533991089</v>
      </c>
      <c r="O5" s="11">
        <f t="shared" ref="O5:AH5" si="11">($F5/O$2)*$G5</f>
        <v>31.664697407844834</v>
      </c>
      <c r="P5" s="11">
        <f t="shared" si="11"/>
        <v>30.609207494250004</v>
      </c>
      <c r="Q5" s="11">
        <f t="shared" si="11"/>
        <v>29.621813704112906</v>
      </c>
      <c r="R5" s="11">
        <f t="shared" si="11"/>
        <v>28.696132025859377</v>
      </c>
      <c r="S5" s="11">
        <f t="shared" si="11"/>
        <v>27.826552267500002</v>
      </c>
      <c r="T5" s="11">
        <f t="shared" si="11"/>
        <v>27.008124259632357</v>
      </c>
      <c r="U5" s="11">
        <f t="shared" si="11"/>
        <v>26.236463566500003</v>
      </c>
      <c r="V5" s="11">
        <f t="shared" si="11"/>
        <v>25.507672911875002</v>
      </c>
      <c r="W5" s="11">
        <f t="shared" si="11"/>
        <v>24.818276346689192</v>
      </c>
      <c r="X5" s="11">
        <f t="shared" si="11"/>
        <v>24.165163811250004</v>
      </c>
      <c r="Y5" s="11">
        <f t="shared" si="11"/>
        <v>23.545544226346159</v>
      </c>
      <c r="Z5" s="11">
        <f t="shared" si="11"/>
        <v>22.956905620687504</v>
      </c>
      <c r="AA5" s="11">
        <f t="shared" si="11"/>
        <v>22.396981093353663</v>
      </c>
      <c r="AB5" s="11">
        <f t="shared" si="11"/>
        <v>21.863719638750002</v>
      </c>
      <c r="AC5" s="11">
        <f t="shared" si="11"/>
        <v>21.3552610425</v>
      </c>
      <c r="AD5" s="11">
        <f t="shared" si="11"/>
        <v>20.869914200625004</v>
      </c>
      <c r="AE5" s="11">
        <f t="shared" si="11"/>
        <v>20.406138329500003</v>
      </c>
      <c r="AF5" s="11">
        <f t="shared" si="11"/>
        <v>19.962526626684785</v>
      </c>
      <c r="AG5" s="11">
        <f t="shared" si="11"/>
        <v>19.537792017606385</v>
      </c>
      <c r="AH5" s="11">
        <f t="shared" si="11"/>
        <v>19.13075468390625</v>
      </c>
      <c r="AI5" s="11">
        <f t="shared" si="9"/>
        <v>627.03481661538433</v>
      </c>
    </row>
    <row r="6" spans="1:35">
      <c r="A6" s="7" t="s">
        <v>14</v>
      </c>
      <c r="B6" s="7">
        <v>1.2</v>
      </c>
      <c r="C6" s="7">
        <v>25897</v>
      </c>
      <c r="D6" s="7">
        <f t="shared" si="3"/>
        <v>9452405</v>
      </c>
      <c r="E6" s="8">
        <v>3.85E-2</v>
      </c>
      <c r="F6" s="9">
        <f t="shared" si="4"/>
        <v>436701.11099999998</v>
      </c>
      <c r="G6" s="10">
        <v>8.8870000000000008E-3</v>
      </c>
      <c r="H6" s="124"/>
      <c r="I6" s="124"/>
      <c r="J6" s="11">
        <f t="shared" si="5"/>
        <v>155.23851093828</v>
      </c>
      <c r="K6" s="11">
        <f t="shared" ref="K6:M6" si="12">($F6/K$2)*$G6</f>
        <v>149.26779897911541</v>
      </c>
      <c r="L6" s="11">
        <f t="shared" si="12"/>
        <v>143.73936197988888</v>
      </c>
      <c r="M6" s="11">
        <f t="shared" si="12"/>
        <v>138.60581333775002</v>
      </c>
      <c r="N6" s="11">
        <f t="shared" si="7"/>
        <v>586.85148523503426</v>
      </c>
      <c r="O6" s="11">
        <f t="shared" ref="O6:AH6" si="13">($F6/O$2)*$G6</f>
        <v>133.82630253300002</v>
      </c>
      <c r="P6" s="11">
        <f t="shared" si="13"/>
        <v>129.3654257819</v>
      </c>
      <c r="Q6" s="11">
        <f t="shared" si="13"/>
        <v>125.19234753087098</v>
      </c>
      <c r="R6" s="11">
        <f t="shared" si="13"/>
        <v>121.28008667053125</v>
      </c>
      <c r="S6" s="11">
        <f t="shared" si="13"/>
        <v>117.604932529</v>
      </c>
      <c r="T6" s="11">
        <f t="shared" si="13"/>
        <v>114.14596392520589</v>
      </c>
      <c r="U6" s="11">
        <f t="shared" si="13"/>
        <v>110.8846506702</v>
      </c>
      <c r="V6" s="11">
        <f t="shared" si="13"/>
        <v>107.80452148491666</v>
      </c>
      <c r="W6" s="11">
        <f t="shared" si="13"/>
        <v>104.89088576910811</v>
      </c>
      <c r="X6" s="11">
        <f t="shared" si="13"/>
        <v>102.13059930150001</v>
      </c>
      <c r="Y6" s="11">
        <f t="shared" si="13"/>
        <v>99.511865986076913</v>
      </c>
      <c r="Z6" s="11">
        <f t="shared" si="13"/>
        <v>97.024069336425001</v>
      </c>
      <c r="AA6" s="11">
        <f t="shared" si="13"/>
        <v>94.657628620902443</v>
      </c>
      <c r="AB6" s="11">
        <f t="shared" si="13"/>
        <v>92.40387555849999</v>
      </c>
      <c r="AC6" s="11">
        <f t="shared" si="13"/>
        <v>90.254948219930228</v>
      </c>
      <c r="AD6" s="11">
        <f t="shared" si="13"/>
        <v>88.203699396749997</v>
      </c>
      <c r="AE6" s="11">
        <f t="shared" si="13"/>
        <v>86.243617187933324</v>
      </c>
      <c r="AF6" s="11">
        <f t="shared" si="13"/>
        <v>84.368755944717392</v>
      </c>
      <c r="AG6" s="11">
        <f t="shared" si="13"/>
        <v>82.573676031000005</v>
      </c>
      <c r="AH6" s="11">
        <f t="shared" si="13"/>
        <v>80.853391113687493</v>
      </c>
      <c r="AI6" s="11">
        <f t="shared" si="9"/>
        <v>2650.0727288271905</v>
      </c>
    </row>
    <row r="7" spans="1:35">
      <c r="A7" s="7" t="s">
        <v>15</v>
      </c>
      <c r="B7" s="7">
        <v>0.3</v>
      </c>
      <c r="C7" s="7">
        <v>1400</v>
      </c>
      <c r="D7" s="7">
        <f t="shared" si="3"/>
        <v>511000</v>
      </c>
      <c r="E7" s="8">
        <v>3.85E-2</v>
      </c>
      <c r="F7" s="9">
        <f t="shared" si="4"/>
        <v>5902.05</v>
      </c>
      <c r="G7" s="10">
        <v>8.8870000000000008E-3</v>
      </c>
      <c r="H7" s="124"/>
      <c r="I7" s="124"/>
      <c r="J7" s="11">
        <f t="shared" si="5"/>
        <v>2.0980607340000001</v>
      </c>
      <c r="K7" s="11">
        <f t="shared" ref="K7:M7" si="14">($F7/K$2)*$G7</f>
        <v>2.0173660903846158</v>
      </c>
      <c r="L7" s="11">
        <f t="shared" si="14"/>
        <v>1.942648827777778</v>
      </c>
      <c r="M7" s="11">
        <f t="shared" si="14"/>
        <v>1.8732685125000001</v>
      </c>
      <c r="N7" s="11">
        <f t="shared" si="7"/>
        <v>7.9313441646623941</v>
      </c>
      <c r="O7" s="11">
        <f t="shared" ref="O7:AH7" si="15">($F7/O$2)*$G7</f>
        <v>1.8086730465517245</v>
      </c>
      <c r="P7" s="11">
        <f t="shared" si="15"/>
        <v>1.7483839450000003</v>
      </c>
      <c r="Q7" s="11">
        <f t="shared" si="15"/>
        <v>1.6919844629032261</v>
      </c>
      <c r="R7" s="11">
        <f t="shared" si="15"/>
        <v>1.6391099484375002</v>
      </c>
      <c r="S7" s="11">
        <f t="shared" si="15"/>
        <v>1.58943995</v>
      </c>
      <c r="T7" s="11">
        <f t="shared" si="15"/>
        <v>1.5426917161764708</v>
      </c>
      <c r="U7" s="11">
        <f t="shared" si="15"/>
        <v>1.4986148100000001</v>
      </c>
      <c r="V7" s="11">
        <f t="shared" si="15"/>
        <v>1.4569866208333333</v>
      </c>
      <c r="W7" s="11">
        <f t="shared" si="15"/>
        <v>1.4176086040540543</v>
      </c>
      <c r="X7" s="11">
        <f t="shared" si="15"/>
        <v>1.3803031144736846</v>
      </c>
      <c r="Y7" s="11">
        <f t="shared" si="15"/>
        <v>1.3449107269230769</v>
      </c>
      <c r="Z7" s="11">
        <f t="shared" si="15"/>
        <v>1.3112879587500001</v>
      </c>
      <c r="AA7" s="11">
        <f t="shared" si="15"/>
        <v>1.2793053256097564</v>
      </c>
      <c r="AB7" s="11">
        <f t="shared" si="15"/>
        <v>1.2488456750000001</v>
      </c>
      <c r="AC7" s="11">
        <f t="shared" si="15"/>
        <v>1.2198027523255817</v>
      </c>
      <c r="AD7" s="11">
        <f t="shared" si="15"/>
        <v>1.1920799625000003</v>
      </c>
      <c r="AE7" s="11">
        <f t="shared" si="15"/>
        <v>1.1655892966666668</v>
      </c>
      <c r="AF7" s="11">
        <f t="shared" si="15"/>
        <v>1.1402503989130437</v>
      </c>
      <c r="AG7" s="11">
        <f t="shared" si="15"/>
        <v>1.1159897521276596</v>
      </c>
      <c r="AH7" s="11">
        <f t="shared" si="15"/>
        <v>1.0927399656250001</v>
      </c>
      <c r="AI7" s="11">
        <f t="shared" si="9"/>
        <v>35.815942197533168</v>
      </c>
    </row>
    <row r="8" spans="1:35">
      <c r="A8" s="7" t="s">
        <v>16</v>
      </c>
      <c r="B8" s="7">
        <v>0.34</v>
      </c>
      <c r="C8" s="7">
        <v>15263</v>
      </c>
      <c r="D8" s="7">
        <f t="shared" si="3"/>
        <v>5570995</v>
      </c>
      <c r="E8" s="8">
        <v>3.85E-2</v>
      </c>
      <c r="F8" s="9">
        <f t="shared" si="4"/>
        <v>72924.324550000005</v>
      </c>
      <c r="G8" s="10">
        <v>8.8870000000000008E-3</v>
      </c>
      <c r="H8" s="124"/>
      <c r="I8" s="124"/>
      <c r="J8" s="11">
        <f t="shared" si="5"/>
        <v>25.923138891034004</v>
      </c>
      <c r="K8" s="11">
        <f t="shared" ref="K8:M8" si="16">($F8/K$2)*$G8</f>
        <v>24.926095087532698</v>
      </c>
      <c r="L8" s="11">
        <f t="shared" si="16"/>
        <v>24.002906380587042</v>
      </c>
      <c r="M8" s="11">
        <f t="shared" si="16"/>
        <v>23.145659724137502</v>
      </c>
      <c r="N8" s="11">
        <f t="shared" si="7"/>
        <v>97.997800083291239</v>
      </c>
      <c r="O8" s="11">
        <f t="shared" ref="O8:AH8" si="17">($F8/O$2)*$G8</f>
        <v>22.347533526753452</v>
      </c>
      <c r="P8" s="11">
        <f t="shared" si="17"/>
        <v>21.602615742528336</v>
      </c>
      <c r="Q8" s="11">
        <f t="shared" si="17"/>
        <v>20.905757170188714</v>
      </c>
      <c r="R8" s="11">
        <f t="shared" si="17"/>
        <v>20.252452258620316</v>
      </c>
      <c r="S8" s="11">
        <f t="shared" si="17"/>
        <v>19.638741584116669</v>
      </c>
      <c r="T8" s="11">
        <f t="shared" si="17"/>
        <v>19.061131537525</v>
      </c>
      <c r="U8" s="11">
        <f t="shared" si="17"/>
        <v>18.516527779310003</v>
      </c>
      <c r="V8" s="11">
        <f t="shared" si="17"/>
        <v>18.00217978544028</v>
      </c>
      <c r="W8" s="11">
        <f t="shared" si="17"/>
        <v>17.515634385833785</v>
      </c>
      <c r="X8" s="11">
        <f t="shared" si="17"/>
        <v>17.054696638838163</v>
      </c>
      <c r="Y8" s="11">
        <f t="shared" si="17"/>
        <v>16.617396725021798</v>
      </c>
      <c r="Z8" s="11">
        <f t="shared" si="17"/>
        <v>16.20196180689625</v>
      </c>
      <c r="AA8" s="11">
        <f t="shared" si="17"/>
        <v>15.806792006728051</v>
      </c>
      <c r="AB8" s="11">
        <f t="shared" si="17"/>
        <v>15.430439816091669</v>
      </c>
      <c r="AC8" s="11">
        <f t="shared" si="17"/>
        <v>15.071592378508141</v>
      </c>
      <c r="AD8" s="11">
        <f t="shared" si="17"/>
        <v>14.729056188087501</v>
      </c>
      <c r="AE8" s="11">
        <f t="shared" si="17"/>
        <v>14.401743828352224</v>
      </c>
      <c r="AF8" s="11">
        <f t="shared" si="17"/>
        <v>14.08866244077935</v>
      </c>
      <c r="AG8" s="11">
        <f t="shared" si="17"/>
        <v>13.788903665443618</v>
      </c>
      <c r="AH8" s="11">
        <f t="shared" si="17"/>
        <v>13.501634839080209</v>
      </c>
      <c r="AI8" s="11">
        <f t="shared" si="9"/>
        <v>442.53325418743475</v>
      </c>
    </row>
    <row r="9" spans="1:35">
      <c r="A9" s="7" t="s">
        <v>17</v>
      </c>
      <c r="B9" s="7">
        <v>1.3</v>
      </c>
      <c r="C9" s="7">
        <v>19567</v>
      </c>
      <c r="D9" s="7">
        <f t="shared" si="3"/>
        <v>7141955</v>
      </c>
      <c r="E9" s="8">
        <v>3.85E-2</v>
      </c>
      <c r="F9" s="9">
        <f t="shared" si="4"/>
        <v>357454.84775000002</v>
      </c>
      <c r="G9" s="10">
        <v>8.8870000000000008E-3</v>
      </c>
      <c r="H9" s="124"/>
      <c r="I9" s="124"/>
      <c r="J9" s="11">
        <f t="shared" si="5"/>
        <v>127.06804927817001</v>
      </c>
      <c r="K9" s="11">
        <f t="shared" ref="K9:M9" si="18">($F9/K$2)*$G9</f>
        <v>122.18081661362501</v>
      </c>
      <c r="L9" s="11">
        <f t="shared" si="18"/>
        <v>117.65560118349075</v>
      </c>
      <c r="M9" s="11">
        <f t="shared" si="18"/>
        <v>113.45361542693752</v>
      </c>
      <c r="N9" s="11">
        <f t="shared" si="7"/>
        <v>480.35808250222328</v>
      </c>
      <c r="O9" s="11">
        <f t="shared" ref="O9:AH9" si="19">($F9/O$2)*$G9</f>
        <v>109.54142179152588</v>
      </c>
      <c r="P9" s="11">
        <f t="shared" si="19"/>
        <v>105.89004106514167</v>
      </c>
      <c r="Q9" s="11">
        <f t="shared" si="19"/>
        <v>102.47423328884679</v>
      </c>
      <c r="R9" s="11">
        <f t="shared" si="19"/>
        <v>99.271913498570328</v>
      </c>
      <c r="S9" s="11">
        <f t="shared" si="19"/>
        <v>96.26367369558335</v>
      </c>
      <c r="T9" s="11">
        <f t="shared" si="19"/>
        <v>93.43238917512501</v>
      </c>
      <c r="U9" s="11">
        <f t="shared" si="19"/>
        <v>90.762892341550014</v>
      </c>
      <c r="V9" s="11">
        <f t="shared" si="19"/>
        <v>88.241700887618066</v>
      </c>
      <c r="W9" s="11">
        <f t="shared" si="19"/>
        <v>85.856790052817573</v>
      </c>
      <c r="X9" s="11">
        <f t="shared" si="19"/>
        <v>83.597400840901329</v>
      </c>
      <c r="Y9" s="11">
        <f t="shared" si="19"/>
        <v>81.45387774241668</v>
      </c>
      <c r="Z9" s="11">
        <f t="shared" si="19"/>
        <v>79.417530798856262</v>
      </c>
      <c r="AA9" s="11">
        <f t="shared" si="19"/>
        <v>77.48051785254269</v>
      </c>
      <c r="AB9" s="11">
        <f t="shared" si="19"/>
        <v>75.635743617958354</v>
      </c>
      <c r="AC9" s="11">
        <f t="shared" si="19"/>
        <v>73.876772836145363</v>
      </c>
      <c r="AD9" s="11">
        <f t="shared" si="19"/>
        <v>72.197755271687512</v>
      </c>
      <c r="AE9" s="11">
        <f t="shared" si="19"/>
        <v>70.593360710094458</v>
      </c>
      <c r="AF9" s="11">
        <f t="shared" si="19"/>
        <v>69.058722433788049</v>
      </c>
      <c r="AG9" s="11">
        <f t="shared" si="19"/>
        <v>67.58938791392022</v>
      </c>
      <c r="AH9" s="11">
        <f t="shared" si="19"/>
        <v>66.181275665713557</v>
      </c>
      <c r="AI9" s="11">
        <f t="shared" si="9"/>
        <v>2169.1754839830264</v>
      </c>
    </row>
    <row r="10" spans="1:35">
      <c r="A10" s="7" t="s">
        <v>18</v>
      </c>
      <c r="B10" s="7">
        <v>0.27</v>
      </c>
      <c r="C10" s="7">
        <v>5072</v>
      </c>
      <c r="D10" s="7">
        <f t="shared" si="3"/>
        <v>1851280</v>
      </c>
      <c r="E10" s="8">
        <v>3.85E-2</v>
      </c>
      <c r="F10" s="9">
        <f t="shared" si="4"/>
        <v>19244.0556</v>
      </c>
      <c r="G10" s="10">
        <v>8.8870000000000008E-3</v>
      </c>
      <c r="H10" s="124"/>
      <c r="I10" s="124"/>
      <c r="J10" s="11">
        <f t="shared" si="5"/>
        <v>6.8408768846879999</v>
      </c>
      <c r="K10" s="11">
        <f t="shared" ref="K10:M10" si="20">($F10/K$2)*$G10</f>
        <v>6.5777662352769228</v>
      </c>
      <c r="L10" s="11">
        <f t="shared" si="20"/>
        <v>6.3341452636000009</v>
      </c>
      <c r="M10" s="11">
        <f t="shared" si="20"/>
        <v>6.1079257899000003</v>
      </c>
      <c r="N10" s="11">
        <f t="shared" si="7"/>
        <v>25.860714173464924</v>
      </c>
      <c r="O10" s="11">
        <f t="shared" ref="O10:AH10" si="21">($F10/O$2)*$G10</f>
        <v>5.8973076592137934</v>
      </c>
      <c r="P10" s="11">
        <f t="shared" si="21"/>
        <v>5.7007307372400007</v>
      </c>
      <c r="Q10" s="11">
        <f t="shared" si="21"/>
        <v>5.5168361973290327</v>
      </c>
      <c r="R10" s="11">
        <f t="shared" si="21"/>
        <v>5.3444350661625002</v>
      </c>
      <c r="S10" s="11">
        <f t="shared" si="21"/>
        <v>5.1824824883999998</v>
      </c>
      <c r="T10" s="11">
        <f t="shared" si="21"/>
        <v>5.0300565328588238</v>
      </c>
      <c r="U10" s="11">
        <f t="shared" si="21"/>
        <v>4.8863406319200005</v>
      </c>
      <c r="V10" s="11">
        <f t="shared" si="21"/>
        <v>4.7506089477</v>
      </c>
      <c r="W10" s="11">
        <f t="shared" si="21"/>
        <v>4.6222141112756754</v>
      </c>
      <c r="X10" s="11">
        <f t="shared" si="21"/>
        <v>4.5005768978210527</v>
      </c>
      <c r="Y10" s="11">
        <f t="shared" si="21"/>
        <v>4.3851774901846161</v>
      </c>
      <c r="Z10" s="11">
        <f t="shared" si="21"/>
        <v>4.2755480529300005</v>
      </c>
      <c r="AA10" s="11">
        <f t="shared" si="21"/>
        <v>4.1712663931024396</v>
      </c>
      <c r="AB10" s="11">
        <f t="shared" si="21"/>
        <v>4.0719505266000002</v>
      </c>
      <c r="AC10" s="11">
        <f t="shared" si="21"/>
        <v>3.9772540027255818</v>
      </c>
      <c r="AD10" s="11">
        <f t="shared" si="21"/>
        <v>3.8868618663000003</v>
      </c>
      <c r="AE10" s="11">
        <f t="shared" si="21"/>
        <v>3.8004871581600002</v>
      </c>
      <c r="AF10" s="11">
        <f t="shared" si="21"/>
        <v>3.7178678721130436</v>
      </c>
      <c r="AG10" s="11">
        <f t="shared" si="21"/>
        <v>3.6387643003659575</v>
      </c>
      <c r="AH10" s="11">
        <f t="shared" si="21"/>
        <v>3.5629567107750004</v>
      </c>
      <c r="AI10" s="11">
        <f t="shared" si="9"/>
        <v>116.78043781664245</v>
      </c>
    </row>
    <row r="11" spans="1:35">
      <c r="A11" s="7" t="s">
        <v>19</v>
      </c>
      <c r="B11" s="7">
        <v>0.38</v>
      </c>
      <c r="C11" s="7">
        <v>8522</v>
      </c>
      <c r="D11" s="7">
        <f t="shared" si="3"/>
        <v>3110530</v>
      </c>
      <c r="E11" s="8">
        <v>3.85E-2</v>
      </c>
      <c r="F11" s="9">
        <f t="shared" si="4"/>
        <v>45507.053899999999</v>
      </c>
      <c r="G11" s="10">
        <v>8.8870000000000008E-3</v>
      </c>
      <c r="H11" s="124"/>
      <c r="I11" s="124"/>
      <c r="J11" s="11">
        <f t="shared" si="5"/>
        <v>16.176847520372</v>
      </c>
      <c r="K11" s="11">
        <f t="shared" ref="K11:M11" si="22">($F11/K$2)*$G11</f>
        <v>15.554661077280771</v>
      </c>
      <c r="L11" s="11">
        <f t="shared" si="22"/>
        <v>14.978562518862963</v>
      </c>
      <c r="M11" s="11">
        <f t="shared" si="22"/>
        <v>14.443613857475002</v>
      </c>
      <c r="N11" s="11">
        <f t="shared" si="7"/>
        <v>61.153684973990735</v>
      </c>
      <c r="O11" s="11">
        <f t="shared" ref="O11:AH11" si="23">($F11/O$2)*$G11</f>
        <v>13.945558207217243</v>
      </c>
      <c r="P11" s="11">
        <f t="shared" si="23"/>
        <v>13.480706266976666</v>
      </c>
      <c r="Q11" s="11">
        <f t="shared" si="23"/>
        <v>13.045844774493549</v>
      </c>
      <c r="R11" s="11">
        <f t="shared" si="23"/>
        <v>12.638162125290625</v>
      </c>
      <c r="S11" s="11">
        <f t="shared" si="23"/>
        <v>12.255187515433335</v>
      </c>
      <c r="T11" s="11">
        <f t="shared" si="23"/>
        <v>11.894740823802943</v>
      </c>
      <c r="U11" s="11">
        <f t="shared" si="23"/>
        <v>11.554891085980001</v>
      </c>
      <c r="V11" s="11">
        <f t="shared" si="23"/>
        <v>11.233921889147222</v>
      </c>
      <c r="W11" s="11">
        <f t="shared" si="23"/>
        <v>10.93030237862973</v>
      </c>
      <c r="X11" s="11">
        <f t="shared" si="23"/>
        <v>10.642662842350001</v>
      </c>
      <c r="Y11" s="11">
        <f t="shared" si="23"/>
        <v>10.369774051520514</v>
      </c>
      <c r="Z11" s="11">
        <f t="shared" si="23"/>
        <v>10.110529700232501</v>
      </c>
      <c r="AA11" s="11">
        <f t="shared" si="23"/>
        <v>9.8639314148609749</v>
      </c>
      <c r="AB11" s="11">
        <f t="shared" si="23"/>
        <v>9.629075904983333</v>
      </c>
      <c r="AC11" s="11">
        <f t="shared" si="23"/>
        <v>9.4051439071930236</v>
      </c>
      <c r="AD11" s="11">
        <f t="shared" si="23"/>
        <v>9.1913906365750009</v>
      </c>
      <c r="AE11" s="11">
        <f t="shared" si="23"/>
        <v>8.987137511317778</v>
      </c>
      <c r="AF11" s="11">
        <f t="shared" si="23"/>
        <v>8.7917649567239131</v>
      </c>
      <c r="AG11" s="11">
        <f t="shared" si="23"/>
        <v>8.6047061278574475</v>
      </c>
      <c r="AH11" s="11">
        <f t="shared" si="23"/>
        <v>8.4254414168604175</v>
      </c>
      <c r="AI11" s="11">
        <f t="shared" si="9"/>
        <v>276.15455851143696</v>
      </c>
    </row>
    <row r="12" spans="1:35">
      <c r="A12" s="7" t="s">
        <v>20</v>
      </c>
      <c r="B12" s="7">
        <v>0.13</v>
      </c>
      <c r="C12" s="7">
        <v>9797</v>
      </c>
      <c r="D12" s="7">
        <f t="shared" si="3"/>
        <v>3575905</v>
      </c>
      <c r="E12" s="8">
        <v>3.85E-2</v>
      </c>
      <c r="F12" s="9">
        <f t="shared" si="4"/>
        <v>17897.404525000002</v>
      </c>
      <c r="G12" s="10">
        <v>8.8870000000000008E-3</v>
      </c>
      <c r="H12" s="124"/>
      <c r="I12" s="124"/>
      <c r="J12" s="11">
        <f t="shared" si="5"/>
        <v>6.3621693605470009</v>
      </c>
      <c r="K12" s="11">
        <f t="shared" ref="K12:M12" si="24">($F12/K$2)*$G12</f>
        <v>6.1174705389875008</v>
      </c>
      <c r="L12" s="11">
        <f t="shared" si="24"/>
        <v>5.890897556062038</v>
      </c>
      <c r="M12" s="11">
        <f t="shared" si="24"/>
        <v>5.6805083576312514</v>
      </c>
      <c r="N12" s="11">
        <f t="shared" si="7"/>
        <v>24.051045813227791</v>
      </c>
      <c r="O12" s="11">
        <f t="shared" ref="O12:AH12" si="25">($F12/O$2)*$G12</f>
        <v>5.4846287590922422</v>
      </c>
      <c r="P12" s="11">
        <f t="shared" si="25"/>
        <v>5.3018078004558342</v>
      </c>
      <c r="Q12" s="11">
        <f t="shared" si="25"/>
        <v>5.1307817423766133</v>
      </c>
      <c r="R12" s="11">
        <f t="shared" si="25"/>
        <v>4.9704448129273446</v>
      </c>
      <c r="S12" s="11">
        <f t="shared" si="25"/>
        <v>4.8198252731416673</v>
      </c>
      <c r="T12" s="11">
        <f t="shared" si="25"/>
        <v>4.678065706284559</v>
      </c>
      <c r="U12" s="11">
        <f t="shared" si="25"/>
        <v>4.5444066861050008</v>
      </c>
      <c r="V12" s="11">
        <f t="shared" si="25"/>
        <v>4.418173167046529</v>
      </c>
      <c r="W12" s="11">
        <f t="shared" si="25"/>
        <v>4.2987630814506765</v>
      </c>
      <c r="X12" s="11">
        <f t="shared" si="25"/>
        <v>4.1856377372019749</v>
      </c>
      <c r="Y12" s="11">
        <f t="shared" si="25"/>
        <v>4.0783136926583339</v>
      </c>
      <c r="Z12" s="11">
        <f t="shared" si="25"/>
        <v>3.9763558503418759</v>
      </c>
      <c r="AA12" s="11">
        <f t="shared" si="25"/>
        <v>3.8793715613091471</v>
      </c>
      <c r="AB12" s="11">
        <f t="shared" si="25"/>
        <v>3.7870055717541673</v>
      </c>
      <c r="AC12" s="11">
        <f t="shared" si="25"/>
        <v>3.6989356747366284</v>
      </c>
      <c r="AD12" s="11">
        <f t="shared" si="25"/>
        <v>3.6148689548562509</v>
      </c>
      <c r="AE12" s="11">
        <f t="shared" si="25"/>
        <v>3.5345385336372228</v>
      </c>
      <c r="AF12" s="11">
        <f t="shared" si="25"/>
        <v>3.4577007394277182</v>
      </c>
      <c r="AG12" s="11">
        <f t="shared" si="25"/>
        <v>3.3841326385888304</v>
      </c>
      <c r="AH12" s="11">
        <f t="shared" si="25"/>
        <v>3.3136298752848963</v>
      </c>
      <c r="AI12" s="11">
        <f t="shared" si="9"/>
        <v>108.60843367190529</v>
      </c>
    </row>
    <row r="13" spans="1:35">
      <c r="A13" s="7" t="s">
        <v>21</v>
      </c>
      <c r="B13" s="7">
        <v>0.34</v>
      </c>
      <c r="C13" s="7">
        <v>1616</v>
      </c>
      <c r="D13" s="7">
        <f t="shared" si="3"/>
        <v>589840</v>
      </c>
      <c r="E13" s="8">
        <v>3.85E-2</v>
      </c>
      <c r="F13" s="9">
        <f t="shared" si="4"/>
        <v>7721.0056000000004</v>
      </c>
      <c r="G13" s="10">
        <v>8.8870000000000008E-3</v>
      </c>
      <c r="H13" s="124"/>
      <c r="I13" s="124"/>
      <c r="J13" s="11">
        <f t="shared" si="5"/>
        <v>2.7446630706880004</v>
      </c>
      <c r="K13" s="11">
        <f t="shared" ref="K13:M13" si="26">($F13/K$2)*$G13</f>
        <v>2.6390991064307694</v>
      </c>
      <c r="L13" s="11">
        <f t="shared" si="26"/>
        <v>2.5413546950814818</v>
      </c>
      <c r="M13" s="11">
        <f t="shared" si="26"/>
        <v>2.4505920274000004</v>
      </c>
      <c r="N13" s="11">
        <f t="shared" si="7"/>
        <v>10.375708899600253</v>
      </c>
      <c r="O13" s="11">
        <f t="shared" ref="O13:AH13" si="27">($F13/O$2)*$G13</f>
        <v>2.3660888540413794</v>
      </c>
      <c r="P13" s="11">
        <f t="shared" si="27"/>
        <v>2.2872192255733337</v>
      </c>
      <c r="Q13" s="11">
        <f t="shared" si="27"/>
        <v>2.2134379602322585</v>
      </c>
      <c r="R13" s="11">
        <f t="shared" si="27"/>
        <v>2.1442680239750005</v>
      </c>
      <c r="S13" s="11">
        <f t="shared" si="27"/>
        <v>2.0792902050666671</v>
      </c>
      <c r="T13" s="11">
        <f t="shared" si="27"/>
        <v>2.0181346108000002</v>
      </c>
      <c r="U13" s="11">
        <f t="shared" si="27"/>
        <v>1.9604736219200003</v>
      </c>
      <c r="V13" s="11">
        <f t="shared" si="27"/>
        <v>1.9060160213111113</v>
      </c>
      <c r="W13" s="11">
        <f t="shared" si="27"/>
        <v>1.8545020747891894</v>
      </c>
      <c r="X13" s="11">
        <f t="shared" si="27"/>
        <v>1.8056993886105266</v>
      </c>
      <c r="Y13" s="11">
        <f t="shared" si="27"/>
        <v>1.7593994042871797</v>
      </c>
      <c r="Z13" s="11">
        <f t="shared" si="27"/>
        <v>1.7154144191800003</v>
      </c>
      <c r="AA13" s="11">
        <f t="shared" si="27"/>
        <v>1.6735750431024394</v>
      </c>
      <c r="AB13" s="11">
        <f t="shared" si="27"/>
        <v>1.6337280182666669</v>
      </c>
      <c r="AC13" s="11">
        <f t="shared" si="27"/>
        <v>1.5957343434232558</v>
      </c>
      <c r="AD13" s="11">
        <f t="shared" si="27"/>
        <v>1.5594676538000003</v>
      </c>
      <c r="AE13" s="11">
        <f t="shared" si="27"/>
        <v>1.524812817048889</v>
      </c>
      <c r="AF13" s="11">
        <f t="shared" si="27"/>
        <v>1.491664712330435</v>
      </c>
      <c r="AG13" s="11">
        <f t="shared" si="27"/>
        <v>1.4599271652595747</v>
      </c>
      <c r="AH13" s="11">
        <f t="shared" si="27"/>
        <v>1.4295120159833334</v>
      </c>
      <c r="AI13" s="11">
        <f t="shared" si="9"/>
        <v>46.854074478601483</v>
      </c>
    </row>
    <row r="14" spans="1:35">
      <c r="A14" s="7" t="s">
        <v>22</v>
      </c>
      <c r="B14" s="7">
        <v>0.35</v>
      </c>
      <c r="C14" s="7">
        <v>2530</v>
      </c>
      <c r="D14" s="7">
        <f t="shared" si="3"/>
        <v>923450</v>
      </c>
      <c r="E14" s="8">
        <v>3.85E-2</v>
      </c>
      <c r="F14" s="9">
        <f t="shared" si="4"/>
        <v>12443.48875</v>
      </c>
      <c r="G14" s="10">
        <v>8.8870000000000008E-3</v>
      </c>
      <c r="H14" s="124"/>
      <c r="I14" s="124"/>
      <c r="J14" s="11">
        <f t="shared" si="5"/>
        <v>4.4234113808500002</v>
      </c>
      <c r="K14" s="11">
        <f t="shared" ref="K14:M14" si="28">($F14/K$2)*$G14</f>
        <v>4.2532801738942316</v>
      </c>
      <c r="L14" s="11">
        <f t="shared" si="28"/>
        <v>4.0957512785648156</v>
      </c>
      <c r="M14" s="11">
        <f t="shared" si="28"/>
        <v>3.9494744471875007</v>
      </c>
      <c r="N14" s="11">
        <f t="shared" si="7"/>
        <v>16.721917280496548</v>
      </c>
      <c r="O14" s="11">
        <f t="shared" ref="O14:AH14" si="29">($F14/O$2)*$G14</f>
        <v>3.8132856731465523</v>
      </c>
      <c r="P14" s="11">
        <f t="shared" si="29"/>
        <v>3.6861761507083339</v>
      </c>
      <c r="Q14" s="11">
        <f t="shared" si="29"/>
        <v>3.5672672426209679</v>
      </c>
      <c r="R14" s="11">
        <f t="shared" si="29"/>
        <v>3.455790141289063</v>
      </c>
      <c r="S14" s="11">
        <f t="shared" si="29"/>
        <v>3.3510692279166672</v>
      </c>
      <c r="T14" s="11">
        <f t="shared" si="29"/>
        <v>3.2525083682720592</v>
      </c>
      <c r="U14" s="11">
        <f t="shared" si="29"/>
        <v>3.1595795577500003</v>
      </c>
      <c r="V14" s="11">
        <f t="shared" si="29"/>
        <v>3.0718134589236112</v>
      </c>
      <c r="W14" s="11">
        <f t="shared" si="29"/>
        <v>2.9887914735472974</v>
      </c>
      <c r="X14" s="11">
        <f t="shared" si="29"/>
        <v>2.9101390663486844</v>
      </c>
      <c r="Y14" s="11">
        <f t="shared" si="29"/>
        <v>2.8355201159294872</v>
      </c>
      <c r="Z14" s="11">
        <f t="shared" si="29"/>
        <v>2.7646321130312503</v>
      </c>
      <c r="AA14" s="11">
        <f t="shared" si="29"/>
        <v>2.6972020614939027</v>
      </c>
      <c r="AB14" s="11">
        <f t="shared" si="29"/>
        <v>2.6329829647916672</v>
      </c>
      <c r="AC14" s="11">
        <f t="shared" si="29"/>
        <v>2.5717508028197678</v>
      </c>
      <c r="AD14" s="11">
        <f t="shared" si="29"/>
        <v>2.5133019209375003</v>
      </c>
      <c r="AE14" s="11">
        <f t="shared" si="29"/>
        <v>2.4574507671388894</v>
      </c>
      <c r="AF14" s="11">
        <f t="shared" si="29"/>
        <v>2.4040279243750002</v>
      </c>
      <c r="AG14" s="11">
        <f t="shared" si="29"/>
        <v>2.3528783940691489</v>
      </c>
      <c r="AH14" s="11">
        <f t="shared" si="29"/>
        <v>2.3038600941927085</v>
      </c>
      <c r="AI14" s="11">
        <f t="shared" si="9"/>
        <v>75.51194479979911</v>
      </c>
    </row>
    <row r="15" spans="1:35">
      <c r="A15" s="7" t="s">
        <v>23</v>
      </c>
      <c r="B15" s="7">
        <v>0.2</v>
      </c>
      <c r="C15" s="7">
        <v>3117</v>
      </c>
      <c r="D15" s="7">
        <f t="shared" si="3"/>
        <v>1137705</v>
      </c>
      <c r="E15" s="8">
        <v>3.85E-2</v>
      </c>
      <c r="F15" s="9">
        <f t="shared" si="4"/>
        <v>8760.3284999999996</v>
      </c>
      <c r="G15" s="10">
        <v>8.8870000000000008E-3</v>
      </c>
      <c r="H15" s="124"/>
      <c r="I15" s="124"/>
      <c r="J15" s="11">
        <f t="shared" si="5"/>
        <v>3.1141215751800004</v>
      </c>
      <c r="K15" s="11">
        <f t="shared" ref="K15:M15" si="30">($F15/K$2)*$G15</f>
        <v>2.994347668442308</v>
      </c>
      <c r="L15" s="11">
        <f t="shared" si="30"/>
        <v>2.8834459029444446</v>
      </c>
      <c r="M15" s="11">
        <f t="shared" si="30"/>
        <v>2.7804656921250004</v>
      </c>
      <c r="N15" s="11">
        <f t="shared" si="7"/>
        <v>11.772380838691754</v>
      </c>
      <c r="O15" s="11">
        <f t="shared" ref="O15:AH15" si="31">($F15/O$2)*$G15</f>
        <v>2.6845875648103448</v>
      </c>
      <c r="P15" s="11">
        <f t="shared" si="31"/>
        <v>2.5951013126500002</v>
      </c>
      <c r="Q15" s="11">
        <f t="shared" si="31"/>
        <v>2.5113883670806456</v>
      </c>
      <c r="R15" s="11">
        <f t="shared" si="31"/>
        <v>2.4329074806093751</v>
      </c>
      <c r="S15" s="11">
        <f t="shared" si="31"/>
        <v>2.3591830115000003</v>
      </c>
      <c r="T15" s="11">
        <f t="shared" si="31"/>
        <v>2.2897952758676468</v>
      </c>
      <c r="U15" s="11">
        <f t="shared" si="31"/>
        <v>2.2243725537000003</v>
      </c>
      <c r="V15" s="11">
        <f t="shared" si="31"/>
        <v>2.1625844272083334</v>
      </c>
      <c r="W15" s="11">
        <f t="shared" si="31"/>
        <v>2.104136199445946</v>
      </c>
      <c r="X15" s="11">
        <f t="shared" si="31"/>
        <v>2.0487641941973687</v>
      </c>
      <c r="Y15" s="11">
        <f t="shared" si="31"/>
        <v>1.9962317789615385</v>
      </c>
      <c r="Z15" s="11">
        <f t="shared" si="31"/>
        <v>1.9463259844875</v>
      </c>
      <c r="AA15" s="11">
        <f t="shared" si="31"/>
        <v>1.8988546190121953</v>
      </c>
      <c r="AB15" s="11">
        <f t="shared" si="31"/>
        <v>1.8536437947500002</v>
      </c>
      <c r="AC15" s="11">
        <f t="shared" si="31"/>
        <v>1.8105357995232558</v>
      </c>
      <c r="AD15" s="11">
        <f t="shared" si="31"/>
        <v>1.7693872586250001</v>
      </c>
      <c r="AE15" s="11">
        <f t="shared" si="31"/>
        <v>1.7300675417666669</v>
      </c>
      <c r="AF15" s="11">
        <f t="shared" si="31"/>
        <v>1.6924573778152174</v>
      </c>
      <c r="AG15" s="11">
        <f t="shared" si="31"/>
        <v>1.6564476463723405</v>
      </c>
      <c r="AH15" s="11">
        <f t="shared" si="31"/>
        <v>1.6219383204062501</v>
      </c>
      <c r="AI15" s="11">
        <f t="shared" si="9"/>
        <v>53.161091347481388</v>
      </c>
    </row>
    <row r="16" spans="1:35" ht="15.75" customHeight="1">
      <c r="A16" s="2" t="s">
        <v>24</v>
      </c>
      <c r="B16" s="2">
        <f>SUM(B4:B15)</f>
        <v>5.9499999999999984</v>
      </c>
      <c r="C16" s="2"/>
      <c r="D16" s="2"/>
      <c r="E16" s="2"/>
      <c r="F16" s="12">
        <f>SUM(F4:F15)</f>
        <v>1246938.048125</v>
      </c>
      <c r="G16" s="2"/>
      <c r="H16" s="2"/>
      <c r="I16" s="2"/>
      <c r="J16" s="2"/>
      <c r="K16" s="13"/>
      <c r="L16" s="13"/>
      <c r="M16" s="2"/>
      <c r="N16" s="14">
        <f t="shared" ref="N16:AH16" si="32">SUM(N4:N15)</f>
        <v>1675.6711331980812</v>
      </c>
      <c r="O16" s="13">
        <f t="shared" si="32"/>
        <v>382.12201495471976</v>
      </c>
      <c r="P16" s="13">
        <f t="shared" si="32"/>
        <v>369.38461445622914</v>
      </c>
      <c r="Q16" s="13">
        <f t="shared" si="32"/>
        <v>357.46898173183473</v>
      </c>
      <c r="R16" s="13">
        <f t="shared" si="32"/>
        <v>346.2980760527148</v>
      </c>
      <c r="S16" s="13">
        <f t="shared" si="32"/>
        <v>335.80419496020841</v>
      </c>
      <c r="T16" s="13">
        <f t="shared" si="32"/>
        <v>325.92760099079044</v>
      </c>
      <c r="U16" s="13">
        <f t="shared" si="32"/>
        <v>316.61538381962504</v>
      </c>
      <c r="V16" s="13">
        <f t="shared" si="32"/>
        <v>307.82051204685769</v>
      </c>
      <c r="W16" s="13">
        <f t="shared" si="32"/>
        <v>299.50103874829392</v>
      </c>
      <c r="X16" s="13">
        <f t="shared" si="32"/>
        <v>291.61943246544416</v>
      </c>
      <c r="Y16" s="13">
        <f t="shared" si="32"/>
        <v>284.14201112017633</v>
      </c>
      <c r="Z16" s="13">
        <f t="shared" si="32"/>
        <v>277.0384608421719</v>
      </c>
      <c r="AA16" s="13">
        <f t="shared" si="32"/>
        <v>270.28142521187499</v>
      </c>
      <c r="AB16" s="13">
        <f t="shared" si="32"/>
        <v>263.84615318302082</v>
      </c>
      <c r="AC16" s="13">
        <f t="shared" si="32"/>
        <v>257.71019613225292</v>
      </c>
      <c r="AD16" s="13">
        <f t="shared" si="32"/>
        <v>251.85314622015625</v>
      </c>
      <c r="AE16" s="13">
        <f t="shared" si="32"/>
        <v>246.25640963748612</v>
      </c>
      <c r="AF16" s="13">
        <f t="shared" si="32"/>
        <v>240.90300942797558</v>
      </c>
      <c r="AG16" s="13">
        <f t="shared" si="32"/>
        <v>235.77741348269944</v>
      </c>
      <c r="AH16" s="13">
        <f t="shared" si="32"/>
        <v>230.86538403514325</v>
      </c>
      <c r="AI16" s="14">
        <f t="shared" si="9"/>
        <v>7566.906592717758</v>
      </c>
    </row>
    <row r="17" spans="1:17" ht="15.75" customHeight="1">
      <c r="F17" s="15"/>
      <c r="Q17" s="15"/>
    </row>
    <row r="18" spans="1:17" ht="15.75" customHeight="1">
      <c r="A18" s="7" t="s">
        <v>25</v>
      </c>
      <c r="F18" s="15"/>
    </row>
    <row r="20" spans="1:17" ht="15.75" customHeight="1">
      <c r="A20" s="2" t="s">
        <v>26</v>
      </c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7" ht="15.75" customHeight="1">
      <c r="A21" s="2" t="s">
        <v>27</v>
      </c>
      <c r="B21" s="2" t="s">
        <v>28</v>
      </c>
      <c r="C21" s="2" t="s">
        <v>29</v>
      </c>
      <c r="D21" s="2" t="s">
        <v>30</v>
      </c>
      <c r="E21" s="2" t="s">
        <v>31</v>
      </c>
      <c r="F21" s="2" t="s">
        <v>32</v>
      </c>
      <c r="G21" s="2" t="s">
        <v>33</v>
      </c>
    </row>
    <row r="22" spans="1:17" ht="15.75" customHeight="1">
      <c r="A22" s="7" t="s">
        <v>34</v>
      </c>
      <c r="B22" s="7" t="s">
        <v>35</v>
      </c>
      <c r="C22" s="16">
        <v>16021</v>
      </c>
      <c r="D22" s="7">
        <v>2019</v>
      </c>
      <c r="E22" s="7">
        <v>930</v>
      </c>
      <c r="F22" s="7">
        <v>2018</v>
      </c>
      <c r="G22" s="17">
        <f t="shared" ref="G22:G26" si="33">E22/(E22+C22)</f>
        <v>5.4864019821839423E-2</v>
      </c>
    </row>
    <row r="23" spans="1:17" ht="15.75" customHeight="1">
      <c r="A23" s="7" t="s">
        <v>36</v>
      </c>
      <c r="B23" s="7" t="s">
        <v>37</v>
      </c>
      <c r="C23" s="7">
        <v>10850</v>
      </c>
      <c r="D23" s="7">
        <v>2019</v>
      </c>
      <c r="E23" s="7">
        <v>339</v>
      </c>
      <c r="F23" s="7">
        <v>2021</v>
      </c>
      <c r="G23" s="17">
        <f t="shared" si="33"/>
        <v>3.0297613727768343E-2</v>
      </c>
    </row>
    <row r="24" spans="1:17" ht="15.75" customHeight="1">
      <c r="A24" s="7" t="s">
        <v>38</v>
      </c>
      <c r="B24" s="7" t="s">
        <v>35</v>
      </c>
      <c r="C24" s="16">
        <v>14962</v>
      </c>
      <c r="D24" s="7">
        <v>2019</v>
      </c>
      <c r="E24" s="7">
        <v>376</v>
      </c>
      <c r="F24" s="7">
        <v>2021</v>
      </c>
      <c r="G24" s="17">
        <f t="shared" si="33"/>
        <v>2.4514278263137308E-2</v>
      </c>
    </row>
    <row r="25" spans="1:17" ht="15.75" customHeight="1">
      <c r="A25" s="7" t="s">
        <v>39</v>
      </c>
      <c r="B25" s="7" t="s">
        <v>40</v>
      </c>
      <c r="C25" s="7">
        <v>5072</v>
      </c>
      <c r="D25" s="7">
        <v>2022</v>
      </c>
      <c r="E25" s="7">
        <v>235</v>
      </c>
      <c r="F25" s="7">
        <v>2023</v>
      </c>
      <c r="G25" s="17">
        <f t="shared" si="33"/>
        <v>4.4281138119464859E-2</v>
      </c>
    </row>
    <row r="26" spans="1:17" ht="15.75" customHeight="1">
      <c r="A26" s="2" t="s">
        <v>24</v>
      </c>
      <c r="C26" s="7">
        <f>SUM(C22:C25)</f>
        <v>46905</v>
      </c>
      <c r="E26" s="7">
        <f>SUM(E22:E25)</f>
        <v>1880</v>
      </c>
      <c r="G26" s="18">
        <f t="shared" si="33"/>
        <v>3.8536435379727375E-2</v>
      </c>
    </row>
    <row r="28" spans="1:17" ht="15.75" customHeight="1">
      <c r="A28" s="7" t="s">
        <v>41</v>
      </c>
    </row>
    <row r="30" spans="1:17" ht="15.75" customHeight="1">
      <c r="A30" s="2"/>
      <c r="B30" s="2"/>
    </row>
  </sheetData>
  <mergeCells count="1">
    <mergeCell ref="H4:I15"/>
  </mergeCells>
  <pageMargins left="0.7" right="0.7" top="0.75" bottom="0.75" header="0.3" footer="0.3"/>
  <pageSetup orientation="landscape" r:id="rId1"/>
  <headerFooter>
    <oddHeader>&amp;CNew Orleans Climate Action and Resilience Benefiting Our Neighborhoods (NO CARBON)
Appendix D - GHG Emission Reduction Calculations Spreadsheet</oddHeader>
    <oddFooter>&amp;CMeasure 1
Protected Bikeways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C54"/>
  <sheetViews>
    <sheetView view="pageLayout" zoomScaleNormal="100" workbookViewId="0"/>
  </sheetViews>
  <sheetFormatPr defaultColWidth="12.6328125" defaultRowHeight="15.75" customHeight="1"/>
  <cols>
    <col min="1" max="1" width="32.90625" customWidth="1"/>
    <col min="14" max="14" width="13.08984375" customWidth="1"/>
  </cols>
  <sheetData>
    <row r="1" spans="1:20" ht="15.5">
      <c r="A1" s="1" t="s">
        <v>42</v>
      </c>
    </row>
    <row r="2" spans="1:20" ht="13">
      <c r="A2" s="125" t="s">
        <v>43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20" ht="13">
      <c r="B3" s="19">
        <v>2025</v>
      </c>
      <c r="C3" s="19">
        <v>2026</v>
      </c>
      <c r="D3" s="19">
        <v>2027</v>
      </c>
      <c r="E3" s="19">
        <f t="shared" ref="E3:G3" si="0">D3+1</f>
        <v>2028</v>
      </c>
      <c r="F3" s="19">
        <f t="shared" si="0"/>
        <v>2029</v>
      </c>
      <c r="G3" s="19">
        <f t="shared" si="0"/>
        <v>2030</v>
      </c>
      <c r="H3" s="19" t="s">
        <v>44</v>
      </c>
      <c r="I3" s="19">
        <f>G3+1</f>
        <v>2031</v>
      </c>
      <c r="J3" s="19">
        <f t="shared" ref="J3:K3" si="1">I3+1</f>
        <v>2032</v>
      </c>
      <c r="K3" s="19">
        <f t="shared" si="1"/>
        <v>2033</v>
      </c>
      <c r="L3" s="19" t="s">
        <v>24</v>
      </c>
    </row>
    <row r="4" spans="1:20" ht="12.5">
      <c r="A4" s="7" t="s">
        <v>45</v>
      </c>
      <c r="B4" s="8">
        <v>500</v>
      </c>
      <c r="C4" s="8">
        <v>500</v>
      </c>
      <c r="D4" s="8">
        <v>500</v>
      </c>
      <c r="E4" s="8">
        <v>500</v>
      </c>
      <c r="F4" s="8">
        <v>500</v>
      </c>
      <c r="G4" s="8">
        <v>0</v>
      </c>
      <c r="H4" s="7"/>
      <c r="I4" s="8">
        <v>0</v>
      </c>
      <c r="J4" s="8">
        <v>0</v>
      </c>
      <c r="K4" s="8">
        <v>0</v>
      </c>
      <c r="L4" s="7">
        <f>SUM(B4:K4)</f>
        <v>2500</v>
      </c>
    </row>
    <row r="5" spans="1:20" ht="12.5" hidden="1">
      <c r="A5" s="7" t="s">
        <v>46</v>
      </c>
      <c r="B5" s="20">
        <v>1800</v>
      </c>
      <c r="C5" s="20">
        <v>3000</v>
      </c>
      <c r="D5" s="20">
        <v>3000</v>
      </c>
      <c r="E5" s="20">
        <v>3000</v>
      </c>
      <c r="F5" s="20">
        <v>3000</v>
      </c>
      <c r="G5" s="20"/>
      <c r="H5" s="21"/>
      <c r="I5" s="20"/>
      <c r="J5" s="20"/>
      <c r="K5" s="20"/>
    </row>
    <row r="6" spans="1:20" ht="12.5" hidden="1">
      <c r="A6" s="7" t="s">
        <v>47</v>
      </c>
      <c r="B6" s="22">
        <f t="shared" ref="B6:F6" si="2">B4*B5</f>
        <v>900000</v>
      </c>
      <c r="C6" s="22">
        <f t="shared" si="2"/>
        <v>1500000</v>
      </c>
      <c r="D6" s="22">
        <f t="shared" si="2"/>
        <v>1500000</v>
      </c>
      <c r="E6" s="22">
        <f t="shared" si="2"/>
        <v>1500000</v>
      </c>
      <c r="F6" s="22">
        <f t="shared" si="2"/>
        <v>1500000</v>
      </c>
      <c r="G6" s="23"/>
      <c r="H6" s="24">
        <f>SUM(B6:F6)</f>
        <v>6900000</v>
      </c>
      <c r="I6" s="23"/>
      <c r="J6" s="23"/>
      <c r="K6" s="23"/>
      <c r="L6" s="24">
        <f>SUM(H6:K6)</f>
        <v>6900000</v>
      </c>
    </row>
    <row r="7" spans="1:20" ht="12.5">
      <c r="A7" s="7" t="s">
        <v>48</v>
      </c>
      <c r="B7" s="126" t="s">
        <v>49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T7" s="25"/>
    </row>
    <row r="8" spans="1:20" ht="12.5">
      <c r="A8" s="7" t="s">
        <v>50</v>
      </c>
      <c r="B8" s="8">
        <v>500</v>
      </c>
      <c r="C8" s="8">
        <f>B4+C4</f>
        <v>1000</v>
      </c>
      <c r="D8" s="8">
        <f>B4+C4+D4</f>
        <v>1500</v>
      </c>
      <c r="E8" s="8">
        <f>C4+D4+E4+B4</f>
        <v>2000</v>
      </c>
      <c r="F8" s="8">
        <f t="shared" ref="F8:G8" si="3">D4+E4+F4+B4+C4</f>
        <v>2500</v>
      </c>
      <c r="G8" s="8">
        <f t="shared" si="3"/>
        <v>2000</v>
      </c>
      <c r="H8" s="7"/>
      <c r="I8" s="8">
        <f>F4+G4+I4+D4+E4</f>
        <v>1500</v>
      </c>
      <c r="J8" s="8">
        <f>G4+I4+J4+E4+F4</f>
        <v>1000</v>
      </c>
      <c r="K8" s="8">
        <f>I4+J4+K4+F4+G4</f>
        <v>500</v>
      </c>
    </row>
    <row r="9" spans="1:20" ht="12.5">
      <c r="A9" s="7" t="s">
        <v>51</v>
      </c>
      <c r="B9" s="8">
        <v>1.78</v>
      </c>
      <c r="C9" s="26">
        <f t="shared" ref="C9:G9" si="4">B9*1.05</f>
        <v>1.8690000000000002</v>
      </c>
      <c r="D9" s="26">
        <f t="shared" si="4"/>
        <v>1.9624500000000002</v>
      </c>
      <c r="E9" s="26">
        <f t="shared" si="4"/>
        <v>2.0605725000000001</v>
      </c>
      <c r="F9" s="26">
        <f t="shared" si="4"/>
        <v>2.1636011250000005</v>
      </c>
      <c r="G9" s="26">
        <f t="shared" si="4"/>
        <v>2.2717811812500006</v>
      </c>
      <c r="H9" s="27"/>
      <c r="I9" s="26">
        <f>G9*1.05</f>
        <v>2.3853702403125006</v>
      </c>
      <c r="J9" s="26">
        <f t="shared" ref="J9:K9" si="5">I9*1.05</f>
        <v>2.5046387523281255</v>
      </c>
      <c r="K9" s="26">
        <f t="shared" si="5"/>
        <v>2.6298706899445321</v>
      </c>
    </row>
    <row r="10" spans="1:20" ht="12.5">
      <c r="A10" s="7" t="s">
        <v>52</v>
      </c>
      <c r="B10" s="7">
        <f t="shared" ref="B10:G10" si="6">B9*365</f>
        <v>649.70000000000005</v>
      </c>
      <c r="C10" s="11">
        <f t="shared" si="6"/>
        <v>682.18500000000006</v>
      </c>
      <c r="D10" s="11">
        <f t="shared" si="6"/>
        <v>716.29425000000015</v>
      </c>
      <c r="E10" s="11">
        <f t="shared" si="6"/>
        <v>752.10896250000008</v>
      </c>
      <c r="F10" s="11">
        <f t="shared" si="6"/>
        <v>789.71441062500014</v>
      </c>
      <c r="G10" s="11">
        <f t="shared" si="6"/>
        <v>829.20013115625022</v>
      </c>
      <c r="H10" s="11"/>
      <c r="I10" s="11">
        <f t="shared" ref="I10:K10" si="7">I9*365</f>
        <v>870.66013771406267</v>
      </c>
      <c r="J10" s="11">
        <f t="shared" si="7"/>
        <v>914.19314459976579</v>
      </c>
      <c r="K10" s="11">
        <f t="shared" si="7"/>
        <v>959.90280182975425</v>
      </c>
    </row>
    <row r="11" spans="1:20" ht="12.5">
      <c r="A11" s="7" t="s">
        <v>53</v>
      </c>
      <c r="B11" s="8">
        <v>1.5</v>
      </c>
      <c r="C11" s="8">
        <v>1.5</v>
      </c>
      <c r="D11" s="8">
        <v>1.5</v>
      </c>
      <c r="E11" s="8">
        <v>1.5</v>
      </c>
      <c r="F11" s="8">
        <v>1.5</v>
      </c>
      <c r="G11" s="8">
        <v>1.5</v>
      </c>
      <c r="H11" s="7"/>
      <c r="I11" s="8">
        <v>1.5</v>
      </c>
      <c r="J11" s="8">
        <v>1.5</v>
      </c>
      <c r="K11" s="8">
        <v>1.5</v>
      </c>
    </row>
    <row r="12" spans="1:20" ht="12.5">
      <c r="A12" s="7" t="s">
        <v>54</v>
      </c>
      <c r="B12" s="9">
        <f t="shared" ref="B12:G12" si="8">B8*B10*B11</f>
        <v>487275</v>
      </c>
      <c r="C12" s="9">
        <f t="shared" si="8"/>
        <v>1023277.5000000002</v>
      </c>
      <c r="D12" s="9">
        <f t="shared" si="8"/>
        <v>1611662.0625000005</v>
      </c>
      <c r="E12" s="9">
        <f t="shared" si="8"/>
        <v>2256326.8875000002</v>
      </c>
      <c r="F12" s="9">
        <f t="shared" si="8"/>
        <v>2961429.0398437502</v>
      </c>
      <c r="G12" s="9">
        <f t="shared" si="8"/>
        <v>2487600.3934687506</v>
      </c>
      <c r="H12" s="9">
        <f>SUM(B12:G12)</f>
        <v>10827570.883312501</v>
      </c>
      <c r="I12" s="9">
        <f t="shared" ref="I12:K12" si="9">I8*I10*I11</f>
        <v>1958985.3098566411</v>
      </c>
      <c r="J12" s="9">
        <f t="shared" si="9"/>
        <v>1371289.7168996488</v>
      </c>
      <c r="K12" s="9">
        <f t="shared" si="9"/>
        <v>719927.10137231566</v>
      </c>
      <c r="L12" s="9">
        <f>SUM(H12:K12)</f>
        <v>14877773.011441108</v>
      </c>
    </row>
    <row r="13" spans="1:20" ht="12.5">
      <c r="A13" s="7" t="s">
        <v>55</v>
      </c>
      <c r="B13" s="8">
        <v>0.37</v>
      </c>
      <c r="C13" s="8">
        <v>0.37</v>
      </c>
      <c r="D13" s="8">
        <v>0.37</v>
      </c>
      <c r="E13" s="8">
        <v>0.37</v>
      </c>
      <c r="F13" s="8">
        <v>0.37</v>
      </c>
      <c r="G13" s="8">
        <v>0.37</v>
      </c>
      <c r="H13" s="7"/>
      <c r="I13" s="8">
        <v>0.37</v>
      </c>
      <c r="J13" s="8">
        <v>0.37</v>
      </c>
      <c r="K13" s="8">
        <v>0.369999999999999</v>
      </c>
    </row>
    <row r="14" spans="1:20" ht="12.5">
      <c r="A14" s="7" t="s">
        <v>56</v>
      </c>
      <c r="B14" s="9">
        <f t="shared" ref="B14:G14" si="10">B12*B13</f>
        <v>180291.75</v>
      </c>
      <c r="C14" s="9">
        <f t="shared" si="10"/>
        <v>378612.6750000001</v>
      </c>
      <c r="D14" s="9">
        <f t="shared" si="10"/>
        <v>596314.96312500013</v>
      </c>
      <c r="E14" s="9">
        <f t="shared" si="10"/>
        <v>834840.94837500004</v>
      </c>
      <c r="F14" s="9">
        <f t="shared" si="10"/>
        <v>1095728.7447421877</v>
      </c>
      <c r="G14" s="9">
        <f t="shared" si="10"/>
        <v>920412.14558343776</v>
      </c>
      <c r="H14" s="9">
        <f>SUM(B14:G14)</f>
        <v>4006201.2268256256</v>
      </c>
      <c r="I14" s="9">
        <f t="shared" ref="I14:K14" si="11">I12*I13</f>
        <v>724824.56464695721</v>
      </c>
      <c r="J14" s="9">
        <f t="shared" si="11"/>
        <v>507377.19525287003</v>
      </c>
      <c r="K14" s="9">
        <f t="shared" si="11"/>
        <v>266373.02750775608</v>
      </c>
      <c r="L14" s="9">
        <f>SUM(H14:K14)</f>
        <v>5504776.0142332092</v>
      </c>
    </row>
    <row r="15" spans="1:20" ht="12.5">
      <c r="A15" s="7" t="s">
        <v>57</v>
      </c>
      <c r="B15" s="8">
        <v>23</v>
      </c>
      <c r="C15" s="8">
        <v>24</v>
      </c>
      <c r="D15" s="8">
        <v>25</v>
      </c>
      <c r="E15" s="8">
        <v>26</v>
      </c>
      <c r="F15" s="8">
        <v>27</v>
      </c>
      <c r="G15" s="8">
        <v>28</v>
      </c>
      <c r="H15" s="7"/>
      <c r="I15" s="8">
        <v>29</v>
      </c>
      <c r="J15" s="8">
        <v>30</v>
      </c>
      <c r="K15" s="8">
        <v>31</v>
      </c>
    </row>
    <row r="16" spans="1:20" ht="12.5">
      <c r="A16" s="7" t="s">
        <v>58</v>
      </c>
      <c r="B16" s="4">
        <f t="shared" ref="B16:G16" si="12">B14/B15</f>
        <v>7838.771739130435</v>
      </c>
      <c r="C16" s="4">
        <f t="shared" si="12"/>
        <v>15775.528125000004</v>
      </c>
      <c r="D16" s="4">
        <f t="shared" si="12"/>
        <v>23852.598525000005</v>
      </c>
      <c r="E16" s="4">
        <f t="shared" si="12"/>
        <v>32109.26724519231</v>
      </c>
      <c r="F16" s="4">
        <f t="shared" si="12"/>
        <v>40582.546101562504</v>
      </c>
      <c r="G16" s="4">
        <f t="shared" si="12"/>
        <v>32871.862342265631</v>
      </c>
      <c r="H16" s="9">
        <f>SUM(B16:G16)</f>
        <v>153030.57407815088</v>
      </c>
      <c r="I16" s="4">
        <f t="shared" ref="I16:K16" si="13">I14/I15</f>
        <v>24993.950505067489</v>
      </c>
      <c r="J16" s="4">
        <f t="shared" si="13"/>
        <v>16912.573175095669</v>
      </c>
      <c r="K16" s="4">
        <f t="shared" si="13"/>
        <v>8592.6783067018096</v>
      </c>
      <c r="L16" s="9">
        <f>SUM(H16:K16)</f>
        <v>203529.77606501582</v>
      </c>
    </row>
    <row r="17" spans="1:23" ht="14.5">
      <c r="A17" s="7" t="s">
        <v>59</v>
      </c>
      <c r="B17" s="28">
        <v>8.8870000000000008E-3</v>
      </c>
      <c r="C17" s="28">
        <v>8.8870000000000008E-3</v>
      </c>
      <c r="D17" s="28">
        <v>8.8870000000000008E-3</v>
      </c>
      <c r="E17" s="28">
        <v>8.8870000000000008E-3</v>
      </c>
      <c r="F17" s="28">
        <v>8.8870000000000008E-3</v>
      </c>
      <c r="G17" s="28">
        <v>8.8870000000000008E-3</v>
      </c>
      <c r="H17" s="10"/>
      <c r="I17" s="28">
        <v>8.8870000000000008E-3</v>
      </c>
      <c r="J17" s="28">
        <v>8.8870000000000008E-3</v>
      </c>
      <c r="K17" s="28">
        <v>8.8870000000000008E-3</v>
      </c>
      <c r="N17" s="29" t="s">
        <v>60</v>
      </c>
    </row>
    <row r="18" spans="1:23" ht="12.5">
      <c r="A18" s="7" t="s">
        <v>61</v>
      </c>
      <c r="B18" s="11">
        <f t="shared" ref="B18:G18" si="14">B16*B17</f>
        <v>69.663164445652185</v>
      </c>
      <c r="C18" s="11">
        <f t="shared" si="14"/>
        <v>140.19711844687504</v>
      </c>
      <c r="D18" s="11">
        <f t="shared" si="14"/>
        <v>211.97804309167506</v>
      </c>
      <c r="E18" s="11">
        <f t="shared" si="14"/>
        <v>285.35505800802406</v>
      </c>
      <c r="F18" s="11">
        <f t="shared" si="14"/>
        <v>360.65708720458599</v>
      </c>
      <c r="G18" s="11">
        <f t="shared" si="14"/>
        <v>292.13224063571471</v>
      </c>
      <c r="H18" s="30">
        <f>SUM(B18:G18)</f>
        <v>1359.9827118325268</v>
      </c>
      <c r="I18" s="11">
        <f t="shared" ref="I18:K18" si="15">I16*I17</f>
        <v>222.12123813853481</v>
      </c>
      <c r="J18" s="11">
        <f t="shared" si="15"/>
        <v>150.30203780707524</v>
      </c>
      <c r="K18" s="11">
        <f t="shared" si="15"/>
        <v>76.363132111658985</v>
      </c>
      <c r="L18" s="30">
        <f>SUM(H18:K18)</f>
        <v>1808.769119889796</v>
      </c>
      <c r="N18" s="29" t="s">
        <v>62</v>
      </c>
    </row>
    <row r="19" spans="1:23" ht="12.5">
      <c r="A19" s="7" t="s">
        <v>63</v>
      </c>
    </row>
    <row r="21" spans="1:23" ht="13">
      <c r="A21" s="125" t="s">
        <v>64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</row>
    <row r="22" spans="1:23" ht="13">
      <c r="A22" s="7"/>
      <c r="B22" s="19">
        <v>2025</v>
      </c>
      <c r="C22" s="19">
        <f t="shared" ref="C22:G22" si="16">B22+1</f>
        <v>2026</v>
      </c>
      <c r="D22" s="19">
        <f t="shared" si="16"/>
        <v>2027</v>
      </c>
      <c r="E22" s="19">
        <f t="shared" si="16"/>
        <v>2028</v>
      </c>
      <c r="F22" s="19">
        <f t="shared" si="16"/>
        <v>2029</v>
      </c>
      <c r="G22" s="19">
        <f t="shared" si="16"/>
        <v>2030</v>
      </c>
      <c r="H22" s="19" t="s">
        <v>44</v>
      </c>
      <c r="I22" s="19">
        <f>G22+1</f>
        <v>2031</v>
      </c>
      <c r="J22" s="19">
        <f t="shared" ref="J22:V22" si="17">I22+1</f>
        <v>2032</v>
      </c>
      <c r="K22" s="19">
        <f t="shared" si="17"/>
        <v>2033</v>
      </c>
      <c r="L22" s="19">
        <f t="shared" si="17"/>
        <v>2034</v>
      </c>
      <c r="M22" s="19">
        <f t="shared" si="17"/>
        <v>2035</v>
      </c>
      <c r="N22" s="19">
        <f t="shared" si="17"/>
        <v>2036</v>
      </c>
      <c r="O22" s="19">
        <f t="shared" si="17"/>
        <v>2037</v>
      </c>
      <c r="P22" s="19">
        <f t="shared" si="17"/>
        <v>2038</v>
      </c>
      <c r="Q22" s="19">
        <f t="shared" si="17"/>
        <v>2039</v>
      </c>
      <c r="R22" s="19">
        <f t="shared" si="17"/>
        <v>2040</v>
      </c>
      <c r="S22" s="19">
        <f t="shared" si="17"/>
        <v>2041</v>
      </c>
      <c r="T22" s="19">
        <f t="shared" si="17"/>
        <v>2042</v>
      </c>
      <c r="U22" s="19">
        <f t="shared" si="17"/>
        <v>2043</v>
      </c>
      <c r="V22" s="19">
        <f t="shared" si="17"/>
        <v>2044</v>
      </c>
      <c r="W22" s="2" t="s">
        <v>24</v>
      </c>
    </row>
    <row r="23" spans="1:23" ht="12.5">
      <c r="A23" s="7" t="s">
        <v>65</v>
      </c>
      <c r="B23" s="7">
        <v>3</v>
      </c>
      <c r="D23" s="7">
        <v>2</v>
      </c>
      <c r="F23" s="7">
        <v>1</v>
      </c>
    </row>
    <row r="24" spans="1:23" ht="14.5" hidden="1">
      <c r="A24" s="7" t="s">
        <v>66</v>
      </c>
      <c r="B24" s="31">
        <v>150000</v>
      </c>
      <c r="C24" s="32"/>
      <c r="D24" s="31">
        <v>100000</v>
      </c>
      <c r="E24" s="32"/>
      <c r="F24" s="31">
        <v>50000</v>
      </c>
      <c r="G24" s="33"/>
      <c r="H24" s="33">
        <f t="shared" ref="H24:H26" si="18">SUM(B24:F24)</f>
        <v>300000</v>
      </c>
      <c r="W24" s="34">
        <f t="shared" ref="W24:W26" si="19">SUM(H24:V24)</f>
        <v>300000</v>
      </c>
    </row>
    <row r="25" spans="1:23" ht="14.5" hidden="1">
      <c r="A25" s="7" t="s">
        <v>67</v>
      </c>
      <c r="B25" s="31">
        <v>55500</v>
      </c>
      <c r="C25" s="31">
        <v>55500</v>
      </c>
      <c r="D25" s="31">
        <v>92500</v>
      </c>
      <c r="E25" s="31">
        <v>92500</v>
      </c>
      <c r="F25" s="31">
        <v>111000</v>
      </c>
      <c r="G25" s="33"/>
      <c r="H25" s="33">
        <f t="shared" si="18"/>
        <v>407000</v>
      </c>
      <c r="I25" s="31">
        <v>111000</v>
      </c>
      <c r="J25" s="31">
        <v>111000</v>
      </c>
      <c r="K25" s="31">
        <v>111000</v>
      </c>
      <c r="L25" s="31">
        <v>111000</v>
      </c>
      <c r="M25" s="31">
        <v>111000</v>
      </c>
      <c r="N25" s="31">
        <v>111000</v>
      </c>
      <c r="O25" s="31">
        <v>111000</v>
      </c>
      <c r="P25" s="31">
        <v>111000</v>
      </c>
      <c r="Q25" s="31">
        <v>111000</v>
      </c>
      <c r="R25" s="31">
        <v>111000</v>
      </c>
      <c r="S25" s="31">
        <v>55500</v>
      </c>
      <c r="T25" s="31">
        <v>55500</v>
      </c>
      <c r="U25" s="31">
        <v>18500</v>
      </c>
      <c r="V25" s="31">
        <v>18500</v>
      </c>
      <c r="W25" s="34">
        <f t="shared" si="19"/>
        <v>1665000</v>
      </c>
    </row>
    <row r="26" spans="1:23" ht="14.5" hidden="1">
      <c r="A26" s="7" t="s">
        <v>68</v>
      </c>
      <c r="B26" s="31">
        <v>54000</v>
      </c>
      <c r="C26" s="35">
        <v>54000</v>
      </c>
      <c r="D26" s="31">
        <v>90000</v>
      </c>
      <c r="E26" s="35">
        <v>90000</v>
      </c>
      <c r="F26" s="31">
        <v>108000</v>
      </c>
      <c r="G26" s="33"/>
      <c r="H26" s="33">
        <f t="shared" si="18"/>
        <v>396000</v>
      </c>
      <c r="I26" s="31">
        <v>108000</v>
      </c>
      <c r="J26" s="31">
        <v>108000</v>
      </c>
      <c r="K26" s="31">
        <v>108000</v>
      </c>
      <c r="L26" s="31">
        <v>108000</v>
      </c>
      <c r="M26" s="31">
        <v>108000</v>
      </c>
      <c r="N26" s="31">
        <v>108000</v>
      </c>
      <c r="O26" s="31">
        <v>108000</v>
      </c>
      <c r="P26" s="31">
        <v>108000</v>
      </c>
      <c r="Q26" s="31">
        <v>108000</v>
      </c>
      <c r="R26" s="31">
        <v>108000</v>
      </c>
      <c r="S26" s="31">
        <v>54000</v>
      </c>
      <c r="T26" s="31">
        <v>54000</v>
      </c>
      <c r="U26" s="31">
        <v>54000</v>
      </c>
      <c r="V26" s="31">
        <f>U26/3</f>
        <v>18000</v>
      </c>
      <c r="W26" s="34">
        <f t="shared" si="19"/>
        <v>1656000</v>
      </c>
    </row>
    <row r="27" spans="1:23" ht="12.5" hidden="1">
      <c r="A27" s="7" t="s">
        <v>69</v>
      </c>
      <c r="B27" s="36">
        <f t="shared" ref="B27:F27" si="20">B24+B25+B26</f>
        <v>259500</v>
      </c>
      <c r="C27" s="36">
        <f t="shared" si="20"/>
        <v>109500</v>
      </c>
      <c r="D27" s="36">
        <f t="shared" si="20"/>
        <v>282500</v>
      </c>
      <c r="E27" s="36">
        <f t="shared" si="20"/>
        <v>182500</v>
      </c>
      <c r="F27" s="36">
        <f t="shared" si="20"/>
        <v>269000</v>
      </c>
      <c r="G27" s="37"/>
      <c r="H27" s="37">
        <f t="shared" ref="H27:V27" si="21">H24+H25+H26</f>
        <v>1103000</v>
      </c>
      <c r="I27" s="36">
        <f t="shared" si="21"/>
        <v>219000</v>
      </c>
      <c r="J27" s="36">
        <f t="shared" si="21"/>
        <v>219000</v>
      </c>
      <c r="K27" s="36">
        <f t="shared" si="21"/>
        <v>219000</v>
      </c>
      <c r="L27" s="36">
        <f t="shared" si="21"/>
        <v>219000</v>
      </c>
      <c r="M27" s="36">
        <f t="shared" si="21"/>
        <v>219000</v>
      </c>
      <c r="N27" s="36">
        <f t="shared" si="21"/>
        <v>219000</v>
      </c>
      <c r="O27" s="36">
        <f t="shared" si="21"/>
        <v>219000</v>
      </c>
      <c r="P27" s="36">
        <f t="shared" si="21"/>
        <v>219000</v>
      </c>
      <c r="Q27" s="36">
        <f t="shared" si="21"/>
        <v>219000</v>
      </c>
      <c r="R27" s="36">
        <f t="shared" si="21"/>
        <v>219000</v>
      </c>
      <c r="S27" s="36">
        <f t="shared" si="21"/>
        <v>109500</v>
      </c>
      <c r="T27" s="36">
        <f t="shared" si="21"/>
        <v>109500</v>
      </c>
      <c r="U27" s="36">
        <f t="shared" si="21"/>
        <v>72500</v>
      </c>
      <c r="V27" s="36">
        <f t="shared" si="21"/>
        <v>36500</v>
      </c>
      <c r="W27" s="24">
        <f>SUM(W24:W26)</f>
        <v>3621000</v>
      </c>
    </row>
    <row r="28" spans="1:23" ht="12.5">
      <c r="A28" s="7" t="s">
        <v>70</v>
      </c>
      <c r="B28" s="126" t="s">
        <v>71</v>
      </c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</row>
    <row r="29" spans="1:23" ht="12.5">
      <c r="A29" s="7" t="s">
        <v>72</v>
      </c>
      <c r="B29" s="7">
        <v>2</v>
      </c>
      <c r="C29" s="7">
        <v>2</v>
      </c>
      <c r="D29" s="7">
        <v>5</v>
      </c>
      <c r="E29" s="7">
        <v>5</v>
      </c>
      <c r="F29" s="7">
        <v>6</v>
      </c>
      <c r="G29" s="7">
        <v>6</v>
      </c>
      <c r="H29" s="7"/>
      <c r="I29" s="7">
        <v>6</v>
      </c>
      <c r="J29" s="7">
        <v>6</v>
      </c>
      <c r="K29" s="7">
        <v>6</v>
      </c>
      <c r="L29" s="7">
        <v>6</v>
      </c>
      <c r="M29" s="7">
        <v>6</v>
      </c>
      <c r="N29" s="7">
        <v>6</v>
      </c>
      <c r="O29" s="7">
        <v>6</v>
      </c>
      <c r="P29" s="7">
        <v>6</v>
      </c>
      <c r="Q29" s="7">
        <v>6</v>
      </c>
      <c r="R29" s="7">
        <v>6</v>
      </c>
      <c r="S29" s="7">
        <v>3</v>
      </c>
      <c r="T29" s="7">
        <v>3</v>
      </c>
      <c r="U29" s="7">
        <v>1</v>
      </c>
      <c r="V29" s="7">
        <v>1</v>
      </c>
    </row>
    <row r="30" spans="1:23" ht="12.5">
      <c r="A30" s="7" t="s">
        <v>73</v>
      </c>
      <c r="B30" s="7">
        <f t="shared" ref="B30:G30" si="22">70*365*B29</f>
        <v>51100</v>
      </c>
      <c r="C30" s="7">
        <f t="shared" si="22"/>
        <v>51100</v>
      </c>
      <c r="D30" s="7">
        <f t="shared" si="22"/>
        <v>127750</v>
      </c>
      <c r="E30" s="7">
        <f t="shared" si="22"/>
        <v>127750</v>
      </c>
      <c r="F30" s="7">
        <f t="shared" si="22"/>
        <v>153300</v>
      </c>
      <c r="G30" s="7">
        <f t="shared" si="22"/>
        <v>153300</v>
      </c>
      <c r="H30" s="38">
        <f>SUM(B30:G30)</f>
        <v>664300</v>
      </c>
      <c r="I30" s="7">
        <f t="shared" ref="I30:V30" si="23">70*365*I29</f>
        <v>153300</v>
      </c>
      <c r="J30" s="7">
        <f t="shared" si="23"/>
        <v>153300</v>
      </c>
      <c r="K30" s="7">
        <f t="shared" si="23"/>
        <v>153300</v>
      </c>
      <c r="L30" s="7">
        <f t="shared" si="23"/>
        <v>153300</v>
      </c>
      <c r="M30" s="7">
        <f t="shared" si="23"/>
        <v>153300</v>
      </c>
      <c r="N30" s="7">
        <f t="shared" si="23"/>
        <v>153300</v>
      </c>
      <c r="O30" s="7">
        <f t="shared" si="23"/>
        <v>153300</v>
      </c>
      <c r="P30" s="7">
        <f t="shared" si="23"/>
        <v>153300</v>
      </c>
      <c r="Q30" s="7">
        <f t="shared" si="23"/>
        <v>153300</v>
      </c>
      <c r="R30" s="7">
        <f t="shared" si="23"/>
        <v>153300</v>
      </c>
      <c r="S30" s="7">
        <f t="shared" si="23"/>
        <v>76650</v>
      </c>
      <c r="T30" s="7">
        <f t="shared" si="23"/>
        <v>76650</v>
      </c>
      <c r="U30" s="7">
        <f t="shared" si="23"/>
        <v>25550</v>
      </c>
      <c r="V30" s="7">
        <f t="shared" si="23"/>
        <v>25550</v>
      </c>
      <c r="W30" s="7">
        <f>SUM(B30:V30)</f>
        <v>3066000</v>
      </c>
    </row>
    <row r="31" spans="1:23" ht="12.5">
      <c r="A31" s="7" t="s">
        <v>74</v>
      </c>
      <c r="B31" s="7">
        <v>1</v>
      </c>
      <c r="C31" s="7">
        <v>1</v>
      </c>
      <c r="D31" s="7">
        <v>1</v>
      </c>
      <c r="E31" s="7">
        <v>1</v>
      </c>
      <c r="F31" s="7">
        <v>1</v>
      </c>
      <c r="G31" s="7">
        <v>1</v>
      </c>
      <c r="H31" s="7"/>
      <c r="I31" s="7">
        <v>1</v>
      </c>
      <c r="J31" s="7">
        <v>1</v>
      </c>
      <c r="K31" s="7">
        <v>1</v>
      </c>
      <c r="L31" s="7">
        <v>1</v>
      </c>
      <c r="M31" s="7">
        <v>1</v>
      </c>
      <c r="N31" s="7">
        <v>1</v>
      </c>
      <c r="O31" s="7">
        <v>1</v>
      </c>
      <c r="P31" s="7">
        <v>1</v>
      </c>
      <c r="Q31" s="7">
        <v>1</v>
      </c>
      <c r="R31" s="7">
        <v>1</v>
      </c>
      <c r="S31" s="7">
        <v>1</v>
      </c>
      <c r="T31" s="7">
        <v>1</v>
      </c>
      <c r="U31" s="7">
        <v>1</v>
      </c>
      <c r="V31" s="7">
        <v>1</v>
      </c>
    </row>
    <row r="32" spans="1:23" ht="12.5">
      <c r="A32" s="7" t="s">
        <v>75</v>
      </c>
      <c r="B32" s="7">
        <f t="shared" ref="B32:G32" si="24">B31*B30</f>
        <v>51100</v>
      </c>
      <c r="C32" s="7">
        <f t="shared" si="24"/>
        <v>51100</v>
      </c>
      <c r="D32" s="7">
        <f t="shared" si="24"/>
        <v>127750</v>
      </c>
      <c r="E32" s="7">
        <f t="shared" si="24"/>
        <v>127750</v>
      </c>
      <c r="F32" s="7">
        <f t="shared" si="24"/>
        <v>153300</v>
      </c>
      <c r="G32" s="7">
        <f t="shared" si="24"/>
        <v>153300</v>
      </c>
      <c r="I32" s="7">
        <f t="shared" ref="I32:V32" si="25">I31*I30</f>
        <v>153300</v>
      </c>
      <c r="J32" s="7">
        <f t="shared" si="25"/>
        <v>153300</v>
      </c>
      <c r="K32" s="7">
        <f t="shared" si="25"/>
        <v>153300</v>
      </c>
      <c r="L32" s="7">
        <f t="shared" si="25"/>
        <v>153300</v>
      </c>
      <c r="M32" s="7">
        <f t="shared" si="25"/>
        <v>153300</v>
      </c>
      <c r="N32" s="7">
        <f t="shared" si="25"/>
        <v>153300</v>
      </c>
      <c r="O32" s="7">
        <f t="shared" si="25"/>
        <v>153300</v>
      </c>
      <c r="P32" s="7">
        <f t="shared" si="25"/>
        <v>153300</v>
      </c>
      <c r="Q32" s="7">
        <f t="shared" si="25"/>
        <v>153300</v>
      </c>
      <c r="R32" s="7">
        <f t="shared" si="25"/>
        <v>153300</v>
      </c>
      <c r="S32" s="7">
        <f t="shared" si="25"/>
        <v>76650</v>
      </c>
      <c r="T32" s="7">
        <f t="shared" si="25"/>
        <v>76650</v>
      </c>
      <c r="U32" s="7">
        <f t="shared" si="25"/>
        <v>25550</v>
      </c>
      <c r="V32" s="7">
        <f t="shared" si="25"/>
        <v>25550</v>
      </c>
    </row>
    <row r="33" spans="1:29" ht="12.5">
      <c r="A33" s="7" t="s">
        <v>57</v>
      </c>
      <c r="B33" s="8">
        <v>15</v>
      </c>
      <c r="C33" s="8">
        <v>15</v>
      </c>
      <c r="D33" s="8">
        <v>15</v>
      </c>
      <c r="E33" s="8">
        <v>15</v>
      </c>
      <c r="F33" s="8">
        <v>15</v>
      </c>
      <c r="G33" s="8">
        <v>15</v>
      </c>
      <c r="H33" s="8"/>
      <c r="I33" s="8">
        <v>15</v>
      </c>
      <c r="J33" s="8">
        <v>15</v>
      </c>
      <c r="K33" s="8">
        <v>15</v>
      </c>
      <c r="L33" s="8">
        <v>15</v>
      </c>
      <c r="M33" s="8">
        <v>15</v>
      </c>
      <c r="N33" s="8">
        <v>15</v>
      </c>
      <c r="O33" s="8">
        <v>15</v>
      </c>
      <c r="P33" s="8">
        <v>15</v>
      </c>
      <c r="Q33" s="8">
        <v>15</v>
      </c>
      <c r="R33" s="8">
        <v>15</v>
      </c>
      <c r="S33" s="8">
        <v>15</v>
      </c>
      <c r="T33" s="8">
        <v>15</v>
      </c>
      <c r="U33" s="8">
        <v>15</v>
      </c>
      <c r="V33" s="8">
        <v>15</v>
      </c>
    </row>
    <row r="34" spans="1:29" ht="12.5">
      <c r="A34" s="7" t="s">
        <v>58</v>
      </c>
      <c r="B34" s="15">
        <f t="shared" ref="B34:G34" si="26">B32/B33</f>
        <v>3406.6666666666665</v>
      </c>
      <c r="C34" s="15">
        <f t="shared" si="26"/>
        <v>3406.6666666666665</v>
      </c>
      <c r="D34" s="15">
        <f t="shared" si="26"/>
        <v>8516.6666666666661</v>
      </c>
      <c r="E34" s="15">
        <f t="shared" si="26"/>
        <v>8516.6666666666661</v>
      </c>
      <c r="F34" s="15">
        <f t="shared" si="26"/>
        <v>10220</v>
      </c>
      <c r="G34" s="15">
        <f t="shared" si="26"/>
        <v>10220</v>
      </c>
      <c r="H34" s="38">
        <f>SUM(B34:G34)</f>
        <v>44286.666666666664</v>
      </c>
      <c r="I34" s="15">
        <f t="shared" ref="I34:V34" si="27">I32/I33</f>
        <v>10220</v>
      </c>
      <c r="J34" s="15">
        <f t="shared" si="27"/>
        <v>10220</v>
      </c>
      <c r="K34" s="15">
        <f t="shared" si="27"/>
        <v>10220</v>
      </c>
      <c r="L34" s="15">
        <f t="shared" si="27"/>
        <v>10220</v>
      </c>
      <c r="M34" s="15">
        <f t="shared" si="27"/>
        <v>10220</v>
      </c>
      <c r="N34" s="15">
        <f t="shared" si="27"/>
        <v>10220</v>
      </c>
      <c r="O34" s="15">
        <f t="shared" si="27"/>
        <v>10220</v>
      </c>
      <c r="P34" s="15">
        <f t="shared" si="27"/>
        <v>10220</v>
      </c>
      <c r="Q34" s="15">
        <f t="shared" si="27"/>
        <v>10220</v>
      </c>
      <c r="R34" s="15">
        <f t="shared" si="27"/>
        <v>10220</v>
      </c>
      <c r="S34" s="15">
        <f t="shared" si="27"/>
        <v>5110</v>
      </c>
      <c r="T34" s="15">
        <f t="shared" si="27"/>
        <v>5110</v>
      </c>
      <c r="U34" s="15">
        <f t="shared" si="27"/>
        <v>1703.3333333333333</v>
      </c>
      <c r="V34" s="15">
        <f t="shared" si="27"/>
        <v>1703.3333333333333</v>
      </c>
      <c r="W34" s="15">
        <f>SUM(B34:V34)</f>
        <v>204400</v>
      </c>
    </row>
    <row r="35" spans="1:29" ht="14.5">
      <c r="A35" s="7" t="s">
        <v>59</v>
      </c>
      <c r="B35" s="28">
        <v>8.8870000000000008E-3</v>
      </c>
      <c r="C35" s="28">
        <v>8.8870000000000008E-3</v>
      </c>
      <c r="D35" s="28">
        <v>8.8870000000000008E-3</v>
      </c>
      <c r="E35" s="28">
        <v>8.8870000000000008E-3</v>
      </c>
      <c r="F35" s="28">
        <v>8.8870000000000008E-3</v>
      </c>
      <c r="G35" s="28">
        <v>8.8870000000000008E-3</v>
      </c>
      <c r="H35" s="28"/>
      <c r="I35" s="28">
        <v>8.8870000000000008E-3</v>
      </c>
      <c r="J35" s="28">
        <v>8.8870000000000008E-3</v>
      </c>
      <c r="K35" s="28">
        <v>8.8870000000000008E-3</v>
      </c>
      <c r="L35" s="28">
        <v>8.8870000000000008E-3</v>
      </c>
      <c r="M35" s="28">
        <v>8.8870000000000008E-3</v>
      </c>
      <c r="N35" s="28">
        <v>8.8870000000000008E-3</v>
      </c>
      <c r="O35" s="28">
        <v>8.8870000000000008E-3</v>
      </c>
      <c r="P35" s="28">
        <v>8.8870000000000008E-3</v>
      </c>
      <c r="Q35" s="28">
        <v>8.8870000000000008E-3</v>
      </c>
      <c r="R35" s="28">
        <v>8.8870000000000008E-3</v>
      </c>
      <c r="S35" s="28">
        <v>8.8870000000000008E-3</v>
      </c>
      <c r="T35" s="28">
        <v>8.8870000000000008E-3</v>
      </c>
      <c r="U35" s="28">
        <v>8.8870000000000008E-3</v>
      </c>
      <c r="V35" s="28">
        <v>8.8870000000000008E-3</v>
      </c>
    </row>
    <row r="36" spans="1:29" ht="12.5">
      <c r="A36" s="7" t="s">
        <v>61</v>
      </c>
      <c r="B36" s="11">
        <f t="shared" ref="B36:G36" si="28">B34*B35</f>
        <v>30.275046666666668</v>
      </c>
      <c r="C36" s="11">
        <f t="shared" si="28"/>
        <v>30.275046666666668</v>
      </c>
      <c r="D36" s="11">
        <f t="shared" si="28"/>
        <v>75.687616666666671</v>
      </c>
      <c r="E36" s="11">
        <f t="shared" si="28"/>
        <v>75.687616666666671</v>
      </c>
      <c r="F36" s="11">
        <f t="shared" si="28"/>
        <v>90.825140000000005</v>
      </c>
      <c r="G36" s="11">
        <f t="shared" si="28"/>
        <v>90.825140000000005</v>
      </c>
      <c r="H36" s="30">
        <f>SUM(B36:G36)</f>
        <v>393.57560666666666</v>
      </c>
      <c r="I36" s="11">
        <f t="shared" ref="I36:V36" si="29">I34*I35</f>
        <v>90.825140000000005</v>
      </c>
      <c r="J36" s="11">
        <f t="shared" si="29"/>
        <v>90.825140000000005</v>
      </c>
      <c r="K36" s="11">
        <f t="shared" si="29"/>
        <v>90.825140000000005</v>
      </c>
      <c r="L36" s="11">
        <f t="shared" si="29"/>
        <v>90.825140000000005</v>
      </c>
      <c r="M36" s="11">
        <f t="shared" si="29"/>
        <v>90.825140000000005</v>
      </c>
      <c r="N36" s="11">
        <f t="shared" si="29"/>
        <v>90.825140000000005</v>
      </c>
      <c r="O36" s="11">
        <f t="shared" si="29"/>
        <v>90.825140000000005</v>
      </c>
      <c r="P36" s="11">
        <f t="shared" si="29"/>
        <v>90.825140000000005</v>
      </c>
      <c r="Q36" s="11">
        <f t="shared" si="29"/>
        <v>90.825140000000005</v>
      </c>
      <c r="R36" s="11">
        <f t="shared" si="29"/>
        <v>90.825140000000005</v>
      </c>
      <c r="S36" s="11">
        <f t="shared" si="29"/>
        <v>45.412570000000002</v>
      </c>
      <c r="T36" s="11">
        <f t="shared" si="29"/>
        <v>45.412570000000002</v>
      </c>
      <c r="U36" s="11">
        <f t="shared" si="29"/>
        <v>15.137523333333334</v>
      </c>
      <c r="V36" s="11">
        <f t="shared" si="29"/>
        <v>15.137523333333334</v>
      </c>
      <c r="W36" s="30">
        <f>SUM(H36:V36)</f>
        <v>1422.9271933333332</v>
      </c>
    </row>
    <row r="37" spans="1:29" ht="12.5">
      <c r="G37" s="33"/>
      <c r="H37" s="33"/>
      <c r="W37" s="33"/>
    </row>
    <row r="39" spans="1:29" ht="13">
      <c r="A39" s="125" t="s">
        <v>76</v>
      </c>
      <c r="B39" s="124"/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  <c r="AC39" s="124"/>
    </row>
    <row r="40" spans="1:29" ht="13">
      <c r="A40" s="7" t="s">
        <v>77</v>
      </c>
      <c r="B40" s="19">
        <v>2025</v>
      </c>
      <c r="C40" s="19">
        <f t="shared" ref="C40:G40" si="30">B40+1</f>
        <v>2026</v>
      </c>
      <c r="D40" s="19">
        <f t="shared" si="30"/>
        <v>2027</v>
      </c>
      <c r="E40" s="19">
        <f t="shared" si="30"/>
        <v>2028</v>
      </c>
      <c r="F40" s="19">
        <f t="shared" si="30"/>
        <v>2029</v>
      </c>
      <c r="G40" s="19">
        <f t="shared" si="30"/>
        <v>2030</v>
      </c>
      <c r="H40" s="19" t="s">
        <v>44</v>
      </c>
      <c r="I40" s="19">
        <f>G40+1</f>
        <v>2031</v>
      </c>
      <c r="J40" s="19">
        <f t="shared" ref="J40:AB40" si="31">I40+1</f>
        <v>2032</v>
      </c>
      <c r="K40" s="19">
        <f t="shared" si="31"/>
        <v>2033</v>
      </c>
      <c r="L40" s="19">
        <f t="shared" si="31"/>
        <v>2034</v>
      </c>
      <c r="M40" s="19">
        <f t="shared" si="31"/>
        <v>2035</v>
      </c>
      <c r="N40" s="19">
        <f t="shared" si="31"/>
        <v>2036</v>
      </c>
      <c r="O40" s="19">
        <f t="shared" si="31"/>
        <v>2037</v>
      </c>
      <c r="P40" s="19">
        <f t="shared" si="31"/>
        <v>2038</v>
      </c>
      <c r="Q40" s="19">
        <f t="shared" si="31"/>
        <v>2039</v>
      </c>
      <c r="R40" s="19">
        <f t="shared" si="31"/>
        <v>2040</v>
      </c>
      <c r="S40" s="19">
        <f t="shared" si="31"/>
        <v>2041</v>
      </c>
      <c r="T40" s="19">
        <f t="shared" si="31"/>
        <v>2042</v>
      </c>
      <c r="U40" s="19">
        <f t="shared" si="31"/>
        <v>2043</v>
      </c>
      <c r="V40" s="19">
        <f t="shared" si="31"/>
        <v>2044</v>
      </c>
      <c r="W40" s="19">
        <f t="shared" si="31"/>
        <v>2045</v>
      </c>
      <c r="X40" s="19">
        <f t="shared" si="31"/>
        <v>2046</v>
      </c>
      <c r="Y40" s="19">
        <f t="shared" si="31"/>
        <v>2047</v>
      </c>
      <c r="Z40" s="19">
        <f t="shared" si="31"/>
        <v>2048</v>
      </c>
      <c r="AA40" s="19">
        <f t="shared" si="31"/>
        <v>2049</v>
      </c>
      <c r="AB40" s="19">
        <f t="shared" si="31"/>
        <v>2050</v>
      </c>
      <c r="AC40" s="2" t="s">
        <v>24</v>
      </c>
    </row>
    <row r="41" spans="1:29" ht="12.5" hidden="1">
      <c r="A41" s="39" t="s">
        <v>78</v>
      </c>
      <c r="B41" s="40">
        <v>450000</v>
      </c>
      <c r="C41" s="41"/>
      <c r="D41" s="40"/>
      <c r="E41" s="41"/>
      <c r="F41" s="41"/>
      <c r="G41" s="41"/>
      <c r="I41" s="41"/>
      <c r="AC41" s="42">
        <f t="shared" ref="AC41:AC42" si="32">SUM(G41:AA41)</f>
        <v>0</v>
      </c>
    </row>
    <row r="42" spans="1:29" ht="25" hidden="1">
      <c r="A42" s="43" t="s">
        <v>79</v>
      </c>
      <c r="B42" s="42">
        <v>2000</v>
      </c>
      <c r="C42" s="42">
        <v>2000</v>
      </c>
      <c r="D42" s="42">
        <v>2000</v>
      </c>
      <c r="E42" s="42">
        <v>2000</v>
      </c>
      <c r="F42" s="42">
        <v>2000</v>
      </c>
      <c r="G42" s="42">
        <v>2000</v>
      </c>
      <c r="I42" s="42">
        <v>2000</v>
      </c>
      <c r="J42" s="42">
        <v>2000</v>
      </c>
      <c r="K42" s="42">
        <v>2000</v>
      </c>
      <c r="L42" s="42">
        <v>2000</v>
      </c>
      <c r="M42" s="42">
        <v>2000</v>
      </c>
      <c r="N42" s="42">
        <v>2000</v>
      </c>
      <c r="O42" s="42">
        <v>2000</v>
      </c>
      <c r="P42" s="42">
        <v>2000</v>
      </c>
      <c r="Q42" s="42">
        <v>2000</v>
      </c>
      <c r="R42" s="42">
        <v>2000</v>
      </c>
      <c r="S42" s="42">
        <v>2000</v>
      </c>
      <c r="T42" s="42">
        <v>2000</v>
      </c>
      <c r="U42" s="42">
        <v>2000</v>
      </c>
      <c r="V42" s="42">
        <v>2000</v>
      </c>
      <c r="W42" s="42">
        <v>2000</v>
      </c>
      <c r="X42" s="42">
        <v>2000</v>
      </c>
      <c r="Y42" s="42">
        <v>2000</v>
      </c>
      <c r="Z42" s="42">
        <v>2000</v>
      </c>
      <c r="AA42" s="42">
        <v>2000</v>
      </c>
      <c r="AC42" s="42">
        <f t="shared" si="32"/>
        <v>40000</v>
      </c>
    </row>
    <row r="43" spans="1:29" ht="12.5" hidden="1">
      <c r="A43" s="7" t="s">
        <v>80</v>
      </c>
      <c r="B43" s="9">
        <f t="shared" ref="B43:G43" si="33">B41+B42</f>
        <v>452000</v>
      </c>
      <c r="C43" s="9">
        <f t="shared" si="33"/>
        <v>2000</v>
      </c>
      <c r="D43" s="9">
        <f t="shared" si="33"/>
        <v>2000</v>
      </c>
      <c r="E43" s="9">
        <f t="shared" si="33"/>
        <v>2000</v>
      </c>
      <c r="F43" s="9">
        <f t="shared" si="33"/>
        <v>2000</v>
      </c>
      <c r="G43" s="9">
        <f t="shared" si="33"/>
        <v>2000</v>
      </c>
      <c r="I43" s="9">
        <f t="shared" ref="I43:AA43" si="34">I41+I42</f>
        <v>2000</v>
      </c>
      <c r="J43" s="9">
        <f t="shared" si="34"/>
        <v>2000</v>
      </c>
      <c r="K43" s="9">
        <f t="shared" si="34"/>
        <v>2000</v>
      </c>
      <c r="L43" s="9">
        <f t="shared" si="34"/>
        <v>2000</v>
      </c>
      <c r="M43" s="9">
        <f t="shared" si="34"/>
        <v>2000</v>
      </c>
      <c r="N43" s="9">
        <f t="shared" si="34"/>
        <v>2000</v>
      </c>
      <c r="O43" s="9">
        <f t="shared" si="34"/>
        <v>2000</v>
      </c>
      <c r="P43" s="9">
        <f t="shared" si="34"/>
        <v>2000</v>
      </c>
      <c r="Q43" s="9">
        <f t="shared" si="34"/>
        <v>2000</v>
      </c>
      <c r="R43" s="9">
        <f t="shared" si="34"/>
        <v>2000</v>
      </c>
      <c r="S43" s="9">
        <f t="shared" si="34"/>
        <v>2000</v>
      </c>
      <c r="T43" s="9">
        <f t="shared" si="34"/>
        <v>2000</v>
      </c>
      <c r="U43" s="9">
        <f t="shared" si="34"/>
        <v>2000</v>
      </c>
      <c r="V43" s="9">
        <f t="shared" si="34"/>
        <v>2000</v>
      </c>
      <c r="W43" s="9">
        <f t="shared" si="34"/>
        <v>2000</v>
      </c>
      <c r="X43" s="9">
        <f t="shared" si="34"/>
        <v>2000</v>
      </c>
      <c r="Y43" s="9">
        <f t="shared" si="34"/>
        <v>2000</v>
      </c>
      <c r="Z43" s="9">
        <f t="shared" si="34"/>
        <v>2000</v>
      </c>
      <c r="AA43" s="9">
        <f t="shared" si="34"/>
        <v>2000</v>
      </c>
      <c r="AC43" s="24">
        <f>AC41+AC42</f>
        <v>40000</v>
      </c>
    </row>
    <row r="44" spans="1:29" ht="12.5">
      <c r="A44" s="7" t="s">
        <v>81</v>
      </c>
      <c r="B44" s="9">
        <v>270.7</v>
      </c>
      <c r="C44" s="9">
        <v>270.7</v>
      </c>
      <c r="D44" s="9">
        <v>270.7</v>
      </c>
      <c r="E44" s="9">
        <v>270.7</v>
      </c>
      <c r="F44" s="9">
        <v>270.7</v>
      </c>
      <c r="G44" s="9">
        <v>270.7</v>
      </c>
      <c r="I44" s="9">
        <v>270.7</v>
      </c>
      <c r="J44" s="9">
        <v>270.7</v>
      </c>
      <c r="K44" s="9">
        <v>270.7</v>
      </c>
      <c r="L44" s="9">
        <v>270.7</v>
      </c>
      <c r="M44" s="9">
        <v>270.7</v>
      </c>
      <c r="N44" s="9">
        <v>270.7</v>
      </c>
      <c r="O44" s="9">
        <v>270.7</v>
      </c>
      <c r="P44" s="9">
        <v>270.7</v>
      </c>
      <c r="Q44" s="9">
        <v>270.7</v>
      </c>
      <c r="R44" s="9">
        <v>270.7</v>
      </c>
      <c r="S44" s="9">
        <v>270.7</v>
      </c>
      <c r="T44" s="9">
        <v>270.7</v>
      </c>
      <c r="U44" s="9">
        <v>270.7</v>
      </c>
      <c r="V44" s="9">
        <v>270.7</v>
      </c>
      <c r="W44" s="9">
        <v>270.7</v>
      </c>
      <c r="X44" s="9">
        <v>270.7</v>
      </c>
      <c r="Y44" s="9">
        <v>270.7</v>
      </c>
      <c r="Z44" s="9">
        <v>270.7</v>
      </c>
      <c r="AA44" s="9">
        <v>270.7</v>
      </c>
      <c r="AB44" s="9">
        <v>270.7</v>
      </c>
      <c r="AC44" s="42"/>
    </row>
    <row r="45" spans="1:29" ht="12.5">
      <c r="A45" s="7" t="s">
        <v>82</v>
      </c>
      <c r="B45" s="7">
        <v>48</v>
      </c>
      <c r="C45" s="7">
        <v>48</v>
      </c>
      <c r="D45" s="7">
        <v>48</v>
      </c>
      <c r="E45" s="7">
        <v>48</v>
      </c>
      <c r="F45" s="7">
        <v>48</v>
      </c>
      <c r="G45" s="7">
        <v>48</v>
      </c>
      <c r="H45" s="30">
        <f>SUM(B45:G45)</f>
        <v>288</v>
      </c>
      <c r="I45" s="7">
        <v>48</v>
      </c>
      <c r="J45" s="7">
        <v>48</v>
      </c>
      <c r="K45" s="7">
        <v>48</v>
      </c>
      <c r="L45" s="7">
        <v>48</v>
      </c>
      <c r="M45" s="7">
        <v>48</v>
      </c>
      <c r="N45" s="7">
        <v>48</v>
      </c>
      <c r="O45" s="7">
        <v>48</v>
      </c>
      <c r="P45" s="7">
        <v>48</v>
      </c>
      <c r="Q45" s="7">
        <v>48</v>
      </c>
      <c r="R45" s="7">
        <v>48</v>
      </c>
      <c r="S45" s="7">
        <v>48</v>
      </c>
      <c r="T45" s="7">
        <v>48</v>
      </c>
      <c r="U45" s="7">
        <v>48</v>
      </c>
      <c r="V45" s="7">
        <v>48</v>
      </c>
      <c r="W45" s="7">
        <v>48</v>
      </c>
      <c r="X45" s="7">
        <v>48</v>
      </c>
      <c r="Y45" s="7">
        <v>48</v>
      </c>
      <c r="Z45" s="7">
        <v>48</v>
      </c>
      <c r="AA45" s="7">
        <v>48</v>
      </c>
      <c r="AB45" s="7">
        <v>48</v>
      </c>
      <c r="AC45" s="30">
        <f>SUM(H45:AB45)</f>
        <v>1248</v>
      </c>
    </row>
    <row r="46" spans="1:29" ht="12.5">
      <c r="A46" s="44" t="s">
        <v>83</v>
      </c>
      <c r="AB46" s="42"/>
    </row>
    <row r="47" spans="1:29" ht="12.5">
      <c r="A47" s="44" t="s">
        <v>63</v>
      </c>
      <c r="AB47" s="42"/>
    </row>
    <row r="49" spans="1:29" ht="13">
      <c r="A49" s="125" t="s">
        <v>84</v>
      </c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</row>
    <row r="50" spans="1:29" ht="12.5">
      <c r="A50" s="45" t="s">
        <v>85</v>
      </c>
      <c r="B50" s="46">
        <f>H18+H36+H45</f>
        <v>2041.5583184991933</v>
      </c>
    </row>
    <row r="51" spans="1:29" ht="12.5">
      <c r="A51" s="45" t="s">
        <v>86</v>
      </c>
      <c r="B51" s="47">
        <f>L18+W36+AC45</f>
        <v>4479.6963132231294</v>
      </c>
    </row>
    <row r="52" spans="1:29" ht="12.5">
      <c r="A52" s="45" t="s">
        <v>87</v>
      </c>
      <c r="B52" s="48">
        <v>11801337.08</v>
      </c>
    </row>
    <row r="53" spans="1:29" ht="12.5">
      <c r="A53" s="45" t="s">
        <v>88</v>
      </c>
      <c r="B53" s="49">
        <f>B52/B50</f>
        <v>5780.5534983078478</v>
      </c>
    </row>
    <row r="54" spans="1:29" ht="12.5">
      <c r="E54" s="50"/>
    </row>
  </sheetData>
  <mergeCells count="6">
    <mergeCell ref="A49:AC49"/>
    <mergeCell ref="A2:L2"/>
    <mergeCell ref="B7:L7"/>
    <mergeCell ref="A21:W21"/>
    <mergeCell ref="B28:V28"/>
    <mergeCell ref="A39:AC39"/>
  </mergeCells>
  <hyperlinks>
    <hyperlink ref="N17" r:id="rId1" xr:uid="{00000000-0004-0000-0100-000000000000}"/>
    <hyperlink ref="N18" r:id="rId2" xr:uid="{00000000-0004-0000-0100-000001000000}"/>
    <hyperlink ref="A41" r:id="rId3" xr:uid="{00000000-0004-0000-0100-000002000000}"/>
    <hyperlink ref="A42" r:id="rId4" xr:uid="{00000000-0004-0000-0100-000003000000}"/>
  </hyperlinks>
  <pageMargins left="0.7" right="0.7" top="0.75" bottom="0.75" header="0.3" footer="0.3"/>
  <pageSetup orientation="landscape" r:id="rId5"/>
  <headerFooter>
    <oddHeader>&amp;CNew Orleans Climate Action and Resilience Benefiting Our Neighborhoods (NO CARBON)
Appendix D - GHG Emission Reduction Calculations Spreadsheet</oddHeader>
    <oddFooter>&amp;CMeasure 2
Bike Share Expansion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Q35"/>
  <sheetViews>
    <sheetView view="pageLayout" zoomScaleNormal="100" workbookViewId="0">
      <selection sqref="A1:M1"/>
    </sheetView>
  </sheetViews>
  <sheetFormatPr defaultColWidth="12.6328125" defaultRowHeight="15.75" customHeight="1"/>
  <cols>
    <col min="1" max="1" width="34" customWidth="1"/>
    <col min="2" max="2" width="15.08984375" customWidth="1"/>
  </cols>
  <sheetData>
    <row r="1" spans="1:17">
      <c r="A1" s="127" t="s">
        <v>89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7" ht="15.75" customHeight="1">
      <c r="B2" s="19">
        <v>2025</v>
      </c>
      <c r="C2" s="19">
        <f t="shared" ref="C2:G2" si="0">B2+1</f>
        <v>2026</v>
      </c>
      <c r="D2" s="19">
        <f t="shared" si="0"/>
        <v>2027</v>
      </c>
      <c r="E2" s="19">
        <f t="shared" si="0"/>
        <v>2028</v>
      </c>
      <c r="F2" s="19">
        <f t="shared" si="0"/>
        <v>2029</v>
      </c>
      <c r="G2" s="19">
        <f t="shared" si="0"/>
        <v>2030</v>
      </c>
      <c r="H2" s="128" t="s">
        <v>90</v>
      </c>
      <c r="I2" s="19">
        <f>G2+1</f>
        <v>2031</v>
      </c>
      <c r="J2" s="19">
        <f t="shared" ref="J2:P2" si="1">I2+1</f>
        <v>2032</v>
      </c>
      <c r="K2" s="19">
        <f t="shared" si="1"/>
        <v>2033</v>
      </c>
      <c r="L2" s="19">
        <f t="shared" si="1"/>
        <v>2034</v>
      </c>
      <c r="M2" s="19">
        <f t="shared" si="1"/>
        <v>2035</v>
      </c>
      <c r="N2" s="19">
        <f t="shared" si="1"/>
        <v>2036</v>
      </c>
      <c r="O2" s="19">
        <f t="shared" si="1"/>
        <v>2037</v>
      </c>
      <c r="P2" s="19">
        <f t="shared" si="1"/>
        <v>2038</v>
      </c>
      <c r="Q2" s="19" t="s">
        <v>91</v>
      </c>
    </row>
    <row r="3" spans="1:17" ht="15.75" customHeight="1">
      <c r="A3" s="7" t="s">
        <v>92</v>
      </c>
      <c r="B3" s="8">
        <v>500</v>
      </c>
      <c r="C3" s="8">
        <v>500</v>
      </c>
      <c r="D3" s="8">
        <v>500</v>
      </c>
      <c r="E3" s="8">
        <v>500</v>
      </c>
      <c r="F3" s="8">
        <v>500</v>
      </c>
      <c r="G3" s="8">
        <v>0</v>
      </c>
      <c r="H3" s="124"/>
      <c r="I3" s="8">
        <v>0</v>
      </c>
      <c r="J3" s="8">
        <v>0</v>
      </c>
      <c r="K3" s="8">
        <v>0</v>
      </c>
    </row>
    <row r="4" spans="1:17" ht="15.75" customHeight="1">
      <c r="A4" s="7" t="s">
        <v>93</v>
      </c>
      <c r="B4" s="8">
        <v>500</v>
      </c>
      <c r="C4" s="8">
        <f t="shared" ref="C4:G4" si="2">B4+C3</f>
        <v>1000</v>
      </c>
      <c r="D4" s="8">
        <f t="shared" si="2"/>
        <v>1500</v>
      </c>
      <c r="E4" s="8">
        <f t="shared" si="2"/>
        <v>2000</v>
      </c>
      <c r="F4" s="8">
        <f t="shared" si="2"/>
        <v>2500</v>
      </c>
      <c r="G4" s="8">
        <f t="shared" si="2"/>
        <v>2500</v>
      </c>
      <c r="H4" s="124"/>
      <c r="I4" s="8">
        <f>G4+I3</f>
        <v>2500</v>
      </c>
      <c r="J4" s="8">
        <f t="shared" ref="J4:K4" si="3">I4+J3</f>
        <v>2500</v>
      </c>
      <c r="K4" s="8">
        <f t="shared" si="3"/>
        <v>2500</v>
      </c>
      <c r="L4" s="7">
        <v>2500</v>
      </c>
      <c r="M4" s="7">
        <v>2000</v>
      </c>
      <c r="N4" s="7">
        <v>1500</v>
      </c>
      <c r="O4" s="7">
        <v>1000</v>
      </c>
      <c r="P4" s="7">
        <v>500</v>
      </c>
    </row>
    <row r="5" spans="1:17" ht="15.75" customHeight="1">
      <c r="A5" s="7" t="s">
        <v>94</v>
      </c>
      <c r="B5" s="8">
        <v>26</v>
      </c>
      <c r="C5" s="8">
        <v>26</v>
      </c>
      <c r="D5" s="8">
        <v>26</v>
      </c>
      <c r="E5" s="8">
        <v>26</v>
      </c>
      <c r="F5" s="8">
        <v>26</v>
      </c>
      <c r="G5" s="8">
        <v>26</v>
      </c>
      <c r="H5" s="124"/>
      <c r="I5" s="8">
        <v>26</v>
      </c>
      <c r="J5" s="8">
        <v>26</v>
      </c>
      <c r="K5" s="8">
        <v>26</v>
      </c>
      <c r="L5" s="8">
        <v>26</v>
      </c>
      <c r="M5" s="8">
        <v>26</v>
      </c>
      <c r="N5" s="8">
        <v>26</v>
      </c>
      <c r="O5" s="8">
        <v>26</v>
      </c>
      <c r="P5" s="8">
        <v>26</v>
      </c>
    </row>
    <row r="6" spans="1:17" ht="15.75" customHeight="1">
      <c r="A6" s="7" t="s">
        <v>95</v>
      </c>
      <c r="B6" s="9">
        <f t="shared" ref="B6:G6" si="4">B5*52</f>
        <v>1352</v>
      </c>
      <c r="C6" s="9">
        <f t="shared" si="4"/>
        <v>1352</v>
      </c>
      <c r="D6" s="9">
        <f t="shared" si="4"/>
        <v>1352</v>
      </c>
      <c r="E6" s="9">
        <f t="shared" si="4"/>
        <v>1352</v>
      </c>
      <c r="F6" s="9">
        <f t="shared" si="4"/>
        <v>1352</v>
      </c>
      <c r="G6" s="9">
        <f t="shared" si="4"/>
        <v>1352</v>
      </c>
      <c r="H6" s="124"/>
      <c r="I6" s="9">
        <f t="shared" ref="I6:P6" si="5">I5*52</f>
        <v>1352</v>
      </c>
      <c r="J6" s="9">
        <f t="shared" si="5"/>
        <v>1352</v>
      </c>
      <c r="K6" s="9">
        <f t="shared" si="5"/>
        <v>1352</v>
      </c>
      <c r="L6" s="9">
        <f t="shared" si="5"/>
        <v>1352</v>
      </c>
      <c r="M6" s="9">
        <f t="shared" si="5"/>
        <v>1352</v>
      </c>
      <c r="N6" s="9">
        <f t="shared" si="5"/>
        <v>1352</v>
      </c>
      <c r="O6" s="9">
        <f t="shared" si="5"/>
        <v>1352</v>
      </c>
      <c r="P6" s="9">
        <f t="shared" si="5"/>
        <v>1352</v>
      </c>
    </row>
    <row r="7" spans="1:17" ht="15.75" customHeight="1">
      <c r="A7" s="7" t="s">
        <v>96</v>
      </c>
      <c r="B7" s="9">
        <f t="shared" ref="B7:G7" si="6">B4*B6</f>
        <v>676000</v>
      </c>
      <c r="C7" s="9">
        <f t="shared" si="6"/>
        <v>1352000</v>
      </c>
      <c r="D7" s="9">
        <f t="shared" si="6"/>
        <v>2028000</v>
      </c>
      <c r="E7" s="9">
        <f t="shared" si="6"/>
        <v>2704000</v>
      </c>
      <c r="F7" s="9">
        <f t="shared" si="6"/>
        <v>3380000</v>
      </c>
      <c r="G7" s="9">
        <f t="shared" si="6"/>
        <v>3380000</v>
      </c>
      <c r="H7" s="124"/>
      <c r="I7" s="9">
        <f t="shared" ref="I7:P7" si="7">I4*I6</f>
        <v>3380000</v>
      </c>
      <c r="J7" s="9">
        <f t="shared" si="7"/>
        <v>3380000</v>
      </c>
      <c r="K7" s="9">
        <f t="shared" si="7"/>
        <v>3380000</v>
      </c>
      <c r="L7" s="9">
        <f t="shared" si="7"/>
        <v>3380000</v>
      </c>
      <c r="M7" s="9">
        <f t="shared" si="7"/>
        <v>2704000</v>
      </c>
      <c r="N7" s="9">
        <f t="shared" si="7"/>
        <v>2028000</v>
      </c>
      <c r="O7" s="9">
        <f t="shared" si="7"/>
        <v>1352000</v>
      </c>
      <c r="P7" s="9">
        <f t="shared" si="7"/>
        <v>676000</v>
      </c>
      <c r="Q7" s="9"/>
    </row>
    <row r="8" spans="1:17" ht="15.75" customHeight="1">
      <c r="A8" s="7" t="s">
        <v>57</v>
      </c>
      <c r="B8" s="8">
        <v>23</v>
      </c>
      <c r="C8" s="8">
        <v>24</v>
      </c>
      <c r="D8" s="8">
        <v>25</v>
      </c>
      <c r="E8" s="8">
        <v>26</v>
      </c>
      <c r="F8" s="8">
        <v>27</v>
      </c>
      <c r="G8" s="8">
        <v>28</v>
      </c>
      <c r="H8" s="124"/>
      <c r="I8" s="8">
        <v>29</v>
      </c>
      <c r="J8" s="8">
        <v>30</v>
      </c>
      <c r="K8" s="8">
        <v>31</v>
      </c>
      <c r="L8" s="7">
        <v>32</v>
      </c>
      <c r="M8" s="7">
        <v>33</v>
      </c>
      <c r="N8" s="7">
        <v>34</v>
      </c>
      <c r="O8" s="7">
        <v>35</v>
      </c>
      <c r="P8" s="7">
        <v>36</v>
      </c>
    </row>
    <row r="9" spans="1:17" ht="15.75" customHeight="1">
      <c r="A9" s="7" t="s">
        <v>58</v>
      </c>
      <c r="B9" s="9">
        <f t="shared" ref="B9:G9" si="8">B7/B8</f>
        <v>29391.304347826088</v>
      </c>
      <c r="C9" s="9">
        <f t="shared" si="8"/>
        <v>56333.333333333336</v>
      </c>
      <c r="D9" s="9">
        <f t="shared" si="8"/>
        <v>81120</v>
      </c>
      <c r="E9" s="9">
        <f t="shared" si="8"/>
        <v>104000</v>
      </c>
      <c r="F9" s="9">
        <f t="shared" si="8"/>
        <v>125185.18518518518</v>
      </c>
      <c r="G9" s="9">
        <f t="shared" si="8"/>
        <v>120714.28571428571</v>
      </c>
      <c r="H9" s="124"/>
      <c r="I9" s="9">
        <f t="shared" ref="I9:P9" si="9">I7/I8</f>
        <v>116551.72413793103</v>
      </c>
      <c r="J9" s="9">
        <f t="shared" si="9"/>
        <v>112666.66666666667</v>
      </c>
      <c r="K9" s="9">
        <f t="shared" si="9"/>
        <v>109032.25806451614</v>
      </c>
      <c r="L9" s="9">
        <f t="shared" si="9"/>
        <v>105625</v>
      </c>
      <c r="M9" s="9">
        <f t="shared" si="9"/>
        <v>81939.393939393936</v>
      </c>
      <c r="N9" s="9">
        <f t="shared" si="9"/>
        <v>59647.058823529413</v>
      </c>
      <c r="O9" s="9">
        <f t="shared" si="9"/>
        <v>38628.571428571428</v>
      </c>
      <c r="P9" s="9">
        <f t="shared" si="9"/>
        <v>18777.777777777777</v>
      </c>
      <c r="Q9" s="9"/>
    </row>
    <row r="10" spans="1:17">
      <c r="A10" s="7" t="s">
        <v>59</v>
      </c>
      <c r="B10" s="28">
        <v>8.8870000000000008E-3</v>
      </c>
      <c r="C10" s="28">
        <v>8.8870000000000008E-3</v>
      </c>
      <c r="D10" s="28">
        <v>8.8870000000000008E-3</v>
      </c>
      <c r="E10" s="28">
        <v>8.8870000000000008E-3</v>
      </c>
      <c r="F10" s="28">
        <v>8.8870000000000008E-3</v>
      </c>
      <c r="G10" s="28">
        <v>8.8870000000000008E-3</v>
      </c>
      <c r="H10" s="124"/>
      <c r="I10" s="28">
        <v>8.8870000000000008E-3</v>
      </c>
      <c r="J10" s="28">
        <v>8.8870000000000008E-3</v>
      </c>
      <c r="K10" s="28">
        <v>8.8870000000000008E-3</v>
      </c>
      <c r="L10" s="28">
        <v>8.8870000000000008E-3</v>
      </c>
      <c r="M10" s="28">
        <v>8.8870000000000008E-3</v>
      </c>
      <c r="N10" s="28">
        <v>8.8870000000000008E-3</v>
      </c>
      <c r="O10" s="28">
        <v>8.8870000000000008E-3</v>
      </c>
      <c r="P10" s="28">
        <v>8.8870000000000008E-3</v>
      </c>
    </row>
    <row r="11" spans="1:17" ht="15.75" customHeight="1">
      <c r="A11" s="7" t="s">
        <v>61</v>
      </c>
      <c r="B11" s="11">
        <f t="shared" ref="B11:G11" si="10">B9*B10</f>
        <v>261.20052173913047</v>
      </c>
      <c r="C11" s="11">
        <f t="shared" si="10"/>
        <v>500.63433333333342</v>
      </c>
      <c r="D11" s="11">
        <f t="shared" si="10"/>
        <v>720.91344000000004</v>
      </c>
      <c r="E11" s="11">
        <f t="shared" si="10"/>
        <v>924.24800000000005</v>
      </c>
      <c r="F11" s="11">
        <f t="shared" si="10"/>
        <v>1112.5207407407408</v>
      </c>
      <c r="G11" s="11">
        <f t="shared" si="10"/>
        <v>1072.7878571428571</v>
      </c>
      <c r="H11" s="51">
        <f>SUM(B11:G11)</f>
        <v>4592.3048929560618</v>
      </c>
      <c r="I11" s="11">
        <f t="shared" ref="I11:P11" si="11">I9*I10</f>
        <v>1035.7951724137931</v>
      </c>
      <c r="J11" s="11">
        <f t="shared" si="11"/>
        <v>1001.2686666666668</v>
      </c>
      <c r="K11" s="11">
        <f t="shared" si="11"/>
        <v>968.96967741935498</v>
      </c>
      <c r="L11" s="11">
        <f t="shared" si="11"/>
        <v>938.68937500000004</v>
      </c>
      <c r="M11" s="11">
        <f t="shared" si="11"/>
        <v>728.19539393939397</v>
      </c>
      <c r="N11" s="11">
        <f t="shared" si="11"/>
        <v>530.08341176470594</v>
      </c>
      <c r="O11" s="11">
        <f t="shared" si="11"/>
        <v>343.29211428571432</v>
      </c>
      <c r="P11" s="11">
        <f t="shared" si="11"/>
        <v>166.87811111111111</v>
      </c>
      <c r="Q11" s="52">
        <f>SUM(H11:P11)</f>
        <v>10305.476815556802</v>
      </c>
    </row>
    <row r="13" spans="1:17">
      <c r="A13" s="29" t="s">
        <v>97</v>
      </c>
      <c r="B13" s="7"/>
      <c r="D13" s="53"/>
    </row>
    <row r="14" spans="1:17">
      <c r="A14" s="29" t="s">
        <v>98</v>
      </c>
      <c r="B14" s="7"/>
      <c r="D14" s="53"/>
    </row>
    <row r="15" spans="1:17">
      <c r="A15" s="7"/>
      <c r="B15" s="7"/>
      <c r="D15" s="53"/>
    </row>
    <row r="16" spans="1:17">
      <c r="A16" s="7"/>
      <c r="B16" s="7"/>
      <c r="D16" s="53"/>
    </row>
    <row r="17" spans="1:14">
      <c r="A17" s="7"/>
      <c r="B17" s="7"/>
      <c r="D17" s="53"/>
    </row>
    <row r="18" spans="1:14">
      <c r="B18" s="33">
        <v>3000000</v>
      </c>
      <c r="C18" s="33"/>
      <c r="D18" s="53"/>
    </row>
    <row r="19" spans="1:14">
      <c r="A19" s="7" t="s">
        <v>99</v>
      </c>
      <c r="B19" s="33">
        <v>1200</v>
      </c>
      <c r="C19" s="33">
        <f>0.6*B18</f>
        <v>1800000</v>
      </c>
      <c r="D19" s="54">
        <v>2000</v>
      </c>
      <c r="E19" s="33">
        <f t="shared" ref="E19:E20" si="12">D19*B19</f>
        <v>2400000</v>
      </c>
    </row>
    <row r="20" spans="1:14">
      <c r="A20" s="7" t="s">
        <v>100</v>
      </c>
      <c r="B20" s="33">
        <v>600</v>
      </c>
      <c r="C20" s="33">
        <f>0.4*B18</f>
        <v>1200000</v>
      </c>
      <c r="D20" s="54">
        <v>1000</v>
      </c>
      <c r="E20" s="33">
        <f t="shared" si="12"/>
        <v>600000</v>
      </c>
    </row>
    <row r="21" spans="1:14">
      <c r="B21" s="55"/>
      <c r="C21" s="55"/>
      <c r="D21" s="15">
        <f>D19+D20</f>
        <v>3000</v>
      </c>
      <c r="E21" s="33">
        <f>SUM(E19:E20)</f>
        <v>3000000</v>
      </c>
    </row>
    <row r="22" spans="1:14">
      <c r="B22" s="55"/>
      <c r="C22" s="55"/>
      <c r="D22" s="34"/>
      <c r="L22" s="33"/>
    </row>
    <row r="23" spans="1:14">
      <c r="B23" s="55"/>
      <c r="C23" s="55"/>
      <c r="D23" s="34"/>
      <c r="L23" s="33"/>
    </row>
    <row r="24" spans="1:14">
      <c r="B24" s="55"/>
      <c r="C24" s="55"/>
      <c r="L24" s="33"/>
      <c r="N24" s="33"/>
    </row>
    <row r="25" spans="1:14">
      <c r="B25" s="55"/>
      <c r="C25" s="55"/>
    </row>
    <row r="26" spans="1:14">
      <c r="A26" s="10"/>
      <c r="B26" s="56"/>
      <c r="C26" s="56"/>
    </row>
    <row r="27" spans="1:14">
      <c r="A27" s="10"/>
      <c r="B27" s="56"/>
      <c r="C27" s="56"/>
    </row>
    <row r="28" spans="1:14">
      <c r="A28" s="10"/>
      <c r="B28" s="56"/>
      <c r="C28" s="56"/>
    </row>
    <row r="29" spans="1:14">
      <c r="A29" s="10"/>
      <c r="B29" s="56"/>
      <c r="C29" s="56"/>
    </row>
    <row r="30" spans="1:14">
      <c r="A30" s="10"/>
      <c r="B30" s="56"/>
      <c r="C30" s="56"/>
    </row>
    <row r="31" spans="1:14">
      <c r="A31" s="10"/>
      <c r="B31" s="56"/>
      <c r="C31" s="56"/>
    </row>
    <row r="32" spans="1:14">
      <c r="A32" s="10"/>
      <c r="B32" s="56"/>
      <c r="C32" s="56"/>
    </row>
    <row r="33" spans="1:3">
      <c r="A33" s="10"/>
      <c r="B33" s="56"/>
      <c r="C33" s="56"/>
    </row>
    <row r="34" spans="1:3">
      <c r="A34" s="10"/>
      <c r="B34" s="56"/>
      <c r="C34" s="56"/>
    </row>
    <row r="35" spans="1:3">
      <c r="A35" s="10"/>
      <c r="B35" s="56"/>
      <c r="C35" s="56"/>
    </row>
  </sheetData>
  <mergeCells count="2">
    <mergeCell ref="A1:M1"/>
    <mergeCell ref="H2:H10"/>
  </mergeCells>
  <hyperlinks>
    <hyperlink ref="A13" r:id="rId1" xr:uid="{00000000-0004-0000-0200-000000000000}"/>
    <hyperlink ref="A14" r:id="rId2" xr:uid="{00000000-0004-0000-0200-000001000000}"/>
  </hyperlinks>
  <pageMargins left="0.7" right="0.7" top="0.75" bottom="0.75" header="0.3" footer="0.3"/>
  <pageSetup orientation="landscape" r:id="rId3"/>
  <headerFooter>
    <oddHeader>&amp;CNew Orleans Climate Action and Resilience Benefiting Our Neighborhoods (NO CARBON)
Appendix D - GHG Emission Reduction Calculations Spreadsheet</oddHeader>
    <oddFooter>&amp;CMeasure 3
E-Bike Rebates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AJ23"/>
  <sheetViews>
    <sheetView view="pageLayout" zoomScaleNormal="100" workbookViewId="0">
      <selection sqref="A1:M1"/>
    </sheetView>
  </sheetViews>
  <sheetFormatPr defaultColWidth="12.6328125" defaultRowHeight="15.75" customHeight="1"/>
  <cols>
    <col min="2" max="2" width="22.36328125" customWidth="1"/>
    <col min="3" max="3" width="13" customWidth="1"/>
    <col min="7" max="7" width="17.26953125" customWidth="1"/>
    <col min="8" max="8" width="23.90625" customWidth="1"/>
    <col min="9" max="9" width="22.36328125" customWidth="1"/>
    <col min="11" max="12" width="12.7265625" customWidth="1"/>
  </cols>
  <sheetData>
    <row r="1" spans="1:36">
      <c r="A1" s="127" t="s">
        <v>101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57"/>
      <c r="O1" s="57"/>
      <c r="P1" s="57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</row>
    <row r="2" spans="1:36" ht="15.75" customHeight="1">
      <c r="A2" s="57"/>
      <c r="B2" s="57"/>
      <c r="C2" s="57"/>
      <c r="D2" s="59"/>
      <c r="E2" s="59"/>
      <c r="F2" s="60"/>
      <c r="G2" s="57"/>
      <c r="H2" s="57"/>
      <c r="I2" s="61"/>
      <c r="J2" s="62"/>
      <c r="K2" s="57"/>
      <c r="L2" s="57"/>
      <c r="M2" s="57"/>
      <c r="N2" s="57"/>
      <c r="O2" s="57"/>
      <c r="P2" s="57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</row>
    <row r="3" spans="1:36" ht="15.75" customHeight="1">
      <c r="A3" s="63" t="s">
        <v>102</v>
      </c>
      <c r="B3" s="63" t="s">
        <v>103</v>
      </c>
      <c r="C3" s="64" t="s">
        <v>104</v>
      </c>
      <c r="D3" s="65" t="s">
        <v>105</v>
      </c>
      <c r="E3" s="65" t="s">
        <v>106</v>
      </c>
      <c r="F3" s="66" t="s">
        <v>107</v>
      </c>
      <c r="G3" s="63" t="s">
        <v>108</v>
      </c>
      <c r="H3" s="63" t="s">
        <v>109</v>
      </c>
      <c r="I3" s="64" t="s">
        <v>110</v>
      </c>
      <c r="J3" s="67" t="s">
        <v>111</v>
      </c>
      <c r="K3" s="64" t="s">
        <v>112</v>
      </c>
      <c r="L3" s="63" t="s">
        <v>113</v>
      </c>
      <c r="M3" s="63" t="s">
        <v>114</v>
      </c>
      <c r="N3" s="63" t="s">
        <v>115</v>
      </c>
      <c r="O3" s="63" t="s">
        <v>116</v>
      </c>
      <c r="P3" s="63" t="s">
        <v>117</v>
      </c>
      <c r="Q3" s="68">
        <v>2031</v>
      </c>
      <c r="R3" s="68">
        <v>2032</v>
      </c>
      <c r="S3" s="68">
        <v>2033</v>
      </c>
      <c r="T3" s="68">
        <v>2034</v>
      </c>
      <c r="U3" s="68">
        <v>2035</v>
      </c>
      <c r="V3" s="68">
        <v>2036</v>
      </c>
      <c r="W3" s="68">
        <v>2037</v>
      </c>
      <c r="X3" s="68">
        <v>2038</v>
      </c>
      <c r="Y3" s="68">
        <v>2039</v>
      </c>
      <c r="Z3" s="68">
        <v>2040</v>
      </c>
      <c r="AA3" s="68">
        <v>2041</v>
      </c>
      <c r="AB3" s="68">
        <v>2042</v>
      </c>
      <c r="AC3" s="68">
        <v>2043</v>
      </c>
      <c r="AD3" s="68">
        <v>2044</v>
      </c>
      <c r="AE3" s="68">
        <v>2045</v>
      </c>
      <c r="AF3" s="68">
        <v>2046</v>
      </c>
      <c r="AG3" s="68">
        <v>2047</v>
      </c>
      <c r="AH3" s="68">
        <v>2048</v>
      </c>
      <c r="AI3" s="68">
        <v>2049</v>
      </c>
      <c r="AJ3" s="68">
        <v>2050</v>
      </c>
    </row>
    <row r="4" spans="1:36" ht="15.75" customHeight="1">
      <c r="A4" s="69" t="s">
        <v>118</v>
      </c>
      <c r="B4" s="69" t="s">
        <v>119</v>
      </c>
      <c r="C4" s="70">
        <v>0.1</v>
      </c>
      <c r="D4" s="71">
        <v>2.0999999999999999E-3</v>
      </c>
      <c r="E4" s="71">
        <v>4.0000000000000001E-3</v>
      </c>
      <c r="F4" s="72">
        <v>446</v>
      </c>
      <c r="G4" s="73">
        <f t="shared" ref="G4:G12" si="0">F4*1000</f>
        <v>446000</v>
      </c>
      <c r="H4" s="74">
        <f t="shared" ref="H4:H12" si="1">G4*388</f>
        <v>173048000</v>
      </c>
      <c r="I4" s="75">
        <v>79042</v>
      </c>
      <c r="J4" s="76">
        <f t="shared" ref="J4:J12" si="2">((F4*100)/$F$14)/100</f>
        <v>7.910606598084427E-2</v>
      </c>
      <c r="K4" s="74">
        <f t="shared" ref="K4:K12" si="3">I4-(I4*D4)</f>
        <v>78876.011799999993</v>
      </c>
      <c r="L4" s="74">
        <f t="shared" ref="L4:M4" si="4">K4-(K4*D4)</f>
        <v>78710.372175219993</v>
      </c>
      <c r="M4" s="74">
        <f t="shared" si="4"/>
        <v>78395.530686519109</v>
      </c>
      <c r="N4" s="74">
        <f t="shared" ref="N4:N12" si="5">M4-(M4*E4)</f>
        <v>78081.948563773039</v>
      </c>
      <c r="O4" s="74">
        <f t="shared" ref="O4:O12" si="6">N4-(N4*E4)</f>
        <v>77769.620769517947</v>
      </c>
      <c r="P4" s="74">
        <f t="shared" ref="P4:P12" si="7">O4-(O4*E4)</f>
        <v>77458.542286439872</v>
      </c>
      <c r="Q4" s="74">
        <f t="shared" ref="Q4:Q12" si="8">P4-(P4*E4)</f>
        <v>77148.708117294111</v>
      </c>
      <c r="R4" s="74">
        <f t="shared" ref="R4:R12" si="9">Q4-(Q4*E4)</f>
        <v>76840.11328482494</v>
      </c>
      <c r="S4" s="74">
        <f t="shared" ref="S4:S12" si="10">R4-(R4*E4)</f>
        <v>76532.752831685633</v>
      </c>
      <c r="T4" s="74">
        <f t="shared" ref="T4:T12" si="11">S4-(S4*E4)</f>
        <v>76226.621820358894</v>
      </c>
      <c r="U4" s="74">
        <f t="shared" ref="U4:U12" si="12">T4-(T4*E4)</f>
        <v>75921.71533307746</v>
      </c>
      <c r="V4" s="74">
        <f t="shared" ref="V4:V12" si="13">U4-(U4*E4)</f>
        <v>75618.028471745143</v>
      </c>
      <c r="W4" s="74">
        <f t="shared" ref="W4:W12" si="14">V4-(V4*E4)</f>
        <v>75315.556357858164</v>
      </c>
      <c r="X4" s="74">
        <f t="shared" ref="X4:X12" si="15">W4-(W4*E4)</f>
        <v>75014.29413242673</v>
      </c>
      <c r="Y4" s="74">
        <f t="shared" ref="Y4:Y12" si="16">X4-(X4*E4)</f>
        <v>74714.236955897024</v>
      </c>
      <c r="Z4" s="74">
        <f t="shared" ref="Z4:Z12" si="17">Y4-(Y4*E4)</f>
        <v>74415.380008073436</v>
      </c>
      <c r="AA4" s="74">
        <f t="shared" ref="AA4:AA12" si="18">Z4-(Z4*E4)</f>
        <v>74117.718488041137</v>
      </c>
      <c r="AB4" s="74">
        <f t="shared" ref="AB4:AB12" si="19">AA4-(AA4*E4)</f>
        <v>73821.247614088978</v>
      </c>
      <c r="AC4" s="74">
        <f t="shared" ref="AC4:AC12" si="20">AB4-(AB4*E4)</f>
        <v>73525.962623632615</v>
      </c>
      <c r="AD4" s="74">
        <f t="shared" ref="AD4:AD12" si="21">AC4-(AC4*E4)</f>
        <v>73231.858773138083</v>
      </c>
      <c r="AE4" s="74">
        <f t="shared" ref="AE4:AE12" si="22">AD4-(AD4*E4)</f>
        <v>72938.931338045528</v>
      </c>
      <c r="AF4" s="74">
        <f t="shared" ref="AF4:AF12" si="23">AE4-(AE4*E4)</f>
        <v>72647.175612693347</v>
      </c>
      <c r="AG4" s="74">
        <f t="shared" ref="AG4:AG12" si="24">AF4-(AF4*E4)</f>
        <v>72356.586910242579</v>
      </c>
      <c r="AH4" s="74">
        <f t="shared" ref="AH4:AH12" si="25">AG4-(AG4*E4)</f>
        <v>72067.16056260161</v>
      </c>
      <c r="AI4" s="74">
        <f t="shared" ref="AI4:AI12" si="26">AH4-(AH4*E4)</f>
        <v>71778.891920351205</v>
      </c>
      <c r="AJ4" s="74">
        <f t="shared" ref="AJ4:AJ12" si="27">AI4-(AI4*E4)</f>
        <v>71491.776352669796</v>
      </c>
    </row>
    <row r="5" spans="1:36" ht="15.75" customHeight="1">
      <c r="A5" s="69" t="s">
        <v>120</v>
      </c>
      <c r="B5" s="69" t="s">
        <v>120</v>
      </c>
      <c r="C5" s="70">
        <v>0.1</v>
      </c>
      <c r="D5" s="71">
        <v>2.0999999999999999E-3</v>
      </c>
      <c r="E5" s="71">
        <v>4.0000000000000001E-3</v>
      </c>
      <c r="F5" s="72">
        <v>530</v>
      </c>
      <c r="G5" s="73">
        <f t="shared" si="0"/>
        <v>530000</v>
      </c>
      <c r="H5" s="74">
        <f t="shared" si="1"/>
        <v>205640000</v>
      </c>
      <c r="I5" s="75">
        <v>93929</v>
      </c>
      <c r="J5" s="76">
        <f t="shared" si="2"/>
        <v>9.4004966300106407E-2</v>
      </c>
      <c r="K5" s="74">
        <f t="shared" si="3"/>
        <v>93731.749100000001</v>
      </c>
      <c r="L5" s="74">
        <f t="shared" ref="L5:M5" si="28">K5-(K5*D5)</f>
        <v>93534.912426890005</v>
      </c>
      <c r="M5" s="74">
        <f t="shared" si="28"/>
        <v>93160.772777182443</v>
      </c>
      <c r="N5" s="74">
        <f t="shared" si="5"/>
        <v>92788.12968607372</v>
      </c>
      <c r="O5" s="74">
        <f t="shared" si="6"/>
        <v>92416.977167329431</v>
      </c>
      <c r="P5" s="74">
        <f t="shared" si="7"/>
        <v>92047.309258660112</v>
      </c>
      <c r="Q5" s="74">
        <f t="shared" si="8"/>
        <v>91679.120021625466</v>
      </c>
      <c r="R5" s="74">
        <f t="shared" si="9"/>
        <v>91312.403541538966</v>
      </c>
      <c r="S5" s="74">
        <f t="shared" si="10"/>
        <v>90947.153927372812</v>
      </c>
      <c r="T5" s="74">
        <f t="shared" si="11"/>
        <v>90583.365311663321</v>
      </c>
      <c r="U5" s="74">
        <f t="shared" si="12"/>
        <v>90221.031850416664</v>
      </c>
      <c r="V5" s="74">
        <f t="shared" si="13"/>
        <v>89860.147723015005</v>
      </c>
      <c r="W5" s="74">
        <f t="shared" si="14"/>
        <v>89500.707132122945</v>
      </c>
      <c r="X5" s="74">
        <f t="shared" si="15"/>
        <v>89142.704303594452</v>
      </c>
      <c r="Y5" s="74">
        <f t="shared" si="16"/>
        <v>88786.133486380073</v>
      </c>
      <c r="Z5" s="74">
        <f t="shared" si="17"/>
        <v>88430.988952434549</v>
      </c>
      <c r="AA5" s="74">
        <f t="shared" si="18"/>
        <v>88077.264996624814</v>
      </c>
      <c r="AB5" s="74">
        <f t="shared" si="19"/>
        <v>87724.955936638318</v>
      </c>
      <c r="AC5" s="74">
        <f t="shared" si="20"/>
        <v>87374.056112891762</v>
      </c>
      <c r="AD5" s="74">
        <f t="shared" si="21"/>
        <v>87024.559888440199</v>
      </c>
      <c r="AE5" s="74">
        <f t="shared" si="22"/>
        <v>86676.461648886441</v>
      </c>
      <c r="AF5" s="74">
        <f t="shared" si="23"/>
        <v>86329.755802290892</v>
      </c>
      <c r="AG5" s="74">
        <f t="shared" si="24"/>
        <v>85984.436779081734</v>
      </c>
      <c r="AH5" s="74">
        <f t="shared" si="25"/>
        <v>85640.499031965403</v>
      </c>
      <c r="AI5" s="74">
        <f t="shared" si="26"/>
        <v>85297.937035837545</v>
      </c>
      <c r="AJ5" s="74">
        <f t="shared" si="27"/>
        <v>84956.745287694197</v>
      </c>
    </row>
    <row r="6" spans="1:36" ht="15.75" customHeight="1">
      <c r="A6" s="69" t="s">
        <v>121</v>
      </c>
      <c r="B6" s="69" t="s">
        <v>122</v>
      </c>
      <c r="C6" s="70">
        <v>0.09</v>
      </c>
      <c r="D6" s="77">
        <v>1.8500000000000001E-3</v>
      </c>
      <c r="E6" s="71">
        <v>3.5999999999999999E-3</v>
      </c>
      <c r="F6" s="72">
        <v>69</v>
      </c>
      <c r="G6" s="73">
        <f t="shared" si="0"/>
        <v>69000</v>
      </c>
      <c r="H6" s="74">
        <f t="shared" si="1"/>
        <v>26772000</v>
      </c>
      <c r="I6" s="75">
        <v>12229</v>
      </c>
      <c r="J6" s="76">
        <f t="shared" si="2"/>
        <v>1.2238382405108194E-2</v>
      </c>
      <c r="K6" s="74">
        <f t="shared" si="3"/>
        <v>12206.37635</v>
      </c>
      <c r="L6" s="74">
        <f t="shared" ref="L6:M6" si="29">K6-(K6*D6)</f>
        <v>12183.794553752501</v>
      </c>
      <c r="M6" s="74">
        <f t="shared" si="29"/>
        <v>12139.932893358991</v>
      </c>
      <c r="N6" s="74">
        <f t="shared" si="5"/>
        <v>12096.2291349429</v>
      </c>
      <c r="O6" s="74">
        <f t="shared" si="6"/>
        <v>12052.682710057104</v>
      </c>
      <c r="P6" s="74">
        <f t="shared" si="7"/>
        <v>12009.293052300898</v>
      </c>
      <c r="Q6" s="74">
        <f t="shared" si="8"/>
        <v>11966.059597312615</v>
      </c>
      <c r="R6" s="74">
        <f t="shared" si="9"/>
        <v>11922.98178276229</v>
      </c>
      <c r="S6" s="74">
        <f t="shared" si="10"/>
        <v>11880.059048344347</v>
      </c>
      <c r="T6" s="74">
        <f t="shared" si="11"/>
        <v>11837.290835770307</v>
      </c>
      <c r="U6" s="74">
        <f t="shared" si="12"/>
        <v>11794.676588761535</v>
      </c>
      <c r="V6" s="74">
        <f t="shared" si="13"/>
        <v>11752.215753041994</v>
      </c>
      <c r="W6" s="74">
        <f t="shared" si="14"/>
        <v>11709.907776331042</v>
      </c>
      <c r="X6" s="74">
        <f t="shared" si="15"/>
        <v>11667.75210833625</v>
      </c>
      <c r="Y6" s="74">
        <f t="shared" si="16"/>
        <v>11625.748200746239</v>
      </c>
      <c r="Z6" s="74">
        <f t="shared" si="17"/>
        <v>11583.895507223551</v>
      </c>
      <c r="AA6" s="74">
        <f t="shared" si="18"/>
        <v>11542.193483397547</v>
      </c>
      <c r="AB6" s="74">
        <f t="shared" si="19"/>
        <v>11500.641586857315</v>
      </c>
      <c r="AC6" s="74">
        <f t="shared" si="20"/>
        <v>11459.239277144628</v>
      </c>
      <c r="AD6" s="74">
        <f t="shared" si="21"/>
        <v>11417.986015746908</v>
      </c>
      <c r="AE6" s="74">
        <f t="shared" si="22"/>
        <v>11376.88126609022</v>
      </c>
      <c r="AF6" s="74">
        <f t="shared" si="23"/>
        <v>11335.924493532295</v>
      </c>
      <c r="AG6" s="74">
        <f t="shared" si="24"/>
        <v>11295.115165355579</v>
      </c>
      <c r="AH6" s="74">
        <f t="shared" si="25"/>
        <v>11254.4527507603</v>
      </c>
      <c r="AI6" s="74">
        <f t="shared" si="26"/>
        <v>11213.936720857562</v>
      </c>
      <c r="AJ6" s="74">
        <f t="shared" si="27"/>
        <v>11173.566548662475</v>
      </c>
    </row>
    <row r="7" spans="1:36" ht="15.75" customHeight="1">
      <c r="A7" s="69" t="s">
        <v>121</v>
      </c>
      <c r="B7" s="69" t="s">
        <v>123</v>
      </c>
      <c r="C7" s="70">
        <v>0.1</v>
      </c>
      <c r="D7" s="71">
        <v>2.0999999999999999E-3</v>
      </c>
      <c r="E7" s="71">
        <v>4.0000000000000001E-3</v>
      </c>
      <c r="F7" s="72">
        <v>149</v>
      </c>
      <c r="G7" s="73">
        <f t="shared" si="0"/>
        <v>149000</v>
      </c>
      <c r="H7" s="74">
        <f t="shared" si="1"/>
        <v>57812000</v>
      </c>
      <c r="I7" s="75">
        <v>26407</v>
      </c>
      <c r="J7" s="76">
        <f t="shared" si="2"/>
        <v>2.6427811280595955E-2</v>
      </c>
      <c r="K7" s="74">
        <f t="shared" si="3"/>
        <v>26351.545300000002</v>
      </c>
      <c r="L7" s="74">
        <f t="shared" ref="L7:M7" si="30">K7-(K7*D7)</f>
        <v>26296.207054870003</v>
      </c>
      <c r="M7" s="74">
        <f t="shared" si="30"/>
        <v>26191.022226650522</v>
      </c>
      <c r="N7" s="74">
        <f t="shared" si="5"/>
        <v>26086.25813774392</v>
      </c>
      <c r="O7" s="74">
        <f t="shared" si="6"/>
        <v>25981.913105192943</v>
      </c>
      <c r="P7" s="74">
        <f t="shared" si="7"/>
        <v>25877.985452772173</v>
      </c>
      <c r="Q7" s="74">
        <f t="shared" si="8"/>
        <v>25774.473510961085</v>
      </c>
      <c r="R7" s="74">
        <f t="shared" si="9"/>
        <v>25671.375616917241</v>
      </c>
      <c r="S7" s="74">
        <f t="shared" si="10"/>
        <v>25568.690114449571</v>
      </c>
      <c r="T7" s="74">
        <f t="shared" si="11"/>
        <v>25466.415353991772</v>
      </c>
      <c r="U7" s="74">
        <f t="shared" si="12"/>
        <v>25364.549692575805</v>
      </c>
      <c r="V7" s="74">
        <f t="shared" si="13"/>
        <v>25263.091493805503</v>
      </c>
      <c r="W7" s="74">
        <f t="shared" si="14"/>
        <v>25162.039127830281</v>
      </c>
      <c r="X7" s="74">
        <f t="shared" si="15"/>
        <v>25061.390971318961</v>
      </c>
      <c r="Y7" s="74">
        <f t="shared" si="16"/>
        <v>24961.145407433683</v>
      </c>
      <c r="Z7" s="74">
        <f t="shared" si="17"/>
        <v>24861.300825803948</v>
      </c>
      <c r="AA7" s="74">
        <f t="shared" si="18"/>
        <v>24761.855622500731</v>
      </c>
      <c r="AB7" s="74">
        <f t="shared" si="19"/>
        <v>24662.808200010728</v>
      </c>
      <c r="AC7" s="74">
        <f t="shared" si="20"/>
        <v>24564.156967210685</v>
      </c>
      <c r="AD7" s="74">
        <f t="shared" si="21"/>
        <v>24465.900339341842</v>
      </c>
      <c r="AE7" s="74">
        <f t="shared" si="22"/>
        <v>24368.036737984476</v>
      </c>
      <c r="AF7" s="74">
        <f t="shared" si="23"/>
        <v>24270.564591032537</v>
      </c>
      <c r="AG7" s="74">
        <f t="shared" si="24"/>
        <v>24173.482332668405</v>
      </c>
      <c r="AH7" s="74">
        <f t="shared" si="25"/>
        <v>24076.78840333773</v>
      </c>
      <c r="AI7" s="74">
        <f t="shared" si="26"/>
        <v>23980.48124972438</v>
      </c>
      <c r="AJ7" s="74">
        <f t="shared" si="27"/>
        <v>23884.559324725484</v>
      </c>
    </row>
    <row r="8" spans="1:36" ht="15.75" customHeight="1">
      <c r="A8" s="69" t="s">
        <v>121</v>
      </c>
      <c r="B8" s="69" t="s">
        <v>124</v>
      </c>
      <c r="C8" s="70">
        <v>0.03</v>
      </c>
      <c r="D8" s="77">
        <v>6.4999999999999997E-4</v>
      </c>
      <c r="E8" s="71">
        <v>1.1999999999999999E-3</v>
      </c>
      <c r="F8" s="72">
        <v>294</v>
      </c>
      <c r="G8" s="73">
        <f t="shared" si="0"/>
        <v>294000</v>
      </c>
      <c r="H8" s="74">
        <f t="shared" si="1"/>
        <v>114072000</v>
      </c>
      <c r="I8" s="75">
        <v>52104</v>
      </c>
      <c r="J8" s="76">
        <f t="shared" si="2"/>
        <v>5.2146151117417522E-2</v>
      </c>
      <c r="K8" s="74">
        <f t="shared" si="3"/>
        <v>52070.132400000002</v>
      </c>
      <c r="L8" s="74">
        <f t="shared" ref="L8:M8" si="31">K8-(K8*D8)</f>
        <v>52036.286813940002</v>
      </c>
      <c r="M8" s="74">
        <f t="shared" si="31"/>
        <v>51973.843269763274</v>
      </c>
      <c r="N8" s="74">
        <f t="shared" si="5"/>
        <v>51911.474657839557</v>
      </c>
      <c r="O8" s="74">
        <f t="shared" si="6"/>
        <v>51849.18088825015</v>
      </c>
      <c r="P8" s="74">
        <f t="shared" si="7"/>
        <v>51786.961871184249</v>
      </c>
      <c r="Q8" s="74">
        <f t="shared" si="8"/>
        <v>51724.817516938827</v>
      </c>
      <c r="R8" s="74">
        <f t="shared" si="9"/>
        <v>51662.7477359185</v>
      </c>
      <c r="S8" s="74">
        <f t="shared" si="10"/>
        <v>51600.752438635398</v>
      </c>
      <c r="T8" s="74">
        <f t="shared" si="11"/>
        <v>51538.831535709032</v>
      </c>
      <c r="U8" s="74">
        <f t="shared" si="12"/>
        <v>51476.984937866182</v>
      </c>
      <c r="V8" s="74">
        <f t="shared" si="13"/>
        <v>51415.212555940743</v>
      </c>
      <c r="W8" s="74">
        <f t="shared" si="14"/>
        <v>51353.514300873612</v>
      </c>
      <c r="X8" s="74">
        <f t="shared" si="15"/>
        <v>51291.890083712562</v>
      </c>
      <c r="Y8" s="74">
        <f t="shared" si="16"/>
        <v>51230.339815612104</v>
      </c>
      <c r="Z8" s="74">
        <f t="shared" si="17"/>
        <v>51168.863407833371</v>
      </c>
      <c r="AA8" s="74">
        <f t="shared" si="18"/>
        <v>51107.460771743972</v>
      </c>
      <c r="AB8" s="74">
        <f t="shared" si="19"/>
        <v>51046.131818817878</v>
      </c>
      <c r="AC8" s="74">
        <f t="shared" si="20"/>
        <v>50984.876460635292</v>
      </c>
      <c r="AD8" s="74">
        <f t="shared" si="21"/>
        <v>50923.694608882528</v>
      </c>
      <c r="AE8" s="74">
        <f t="shared" si="22"/>
        <v>50862.586175351869</v>
      </c>
      <c r="AF8" s="74">
        <f t="shared" si="23"/>
        <v>50801.551071941445</v>
      </c>
      <c r="AG8" s="74">
        <f t="shared" si="24"/>
        <v>50740.589210655118</v>
      </c>
      <c r="AH8" s="74">
        <f t="shared" si="25"/>
        <v>50679.700503602333</v>
      </c>
      <c r="AI8" s="74">
        <f t="shared" si="26"/>
        <v>50618.884862998013</v>
      </c>
      <c r="AJ8" s="74">
        <f t="shared" si="27"/>
        <v>50558.142201162416</v>
      </c>
    </row>
    <row r="9" spans="1:36" ht="15.75" customHeight="1">
      <c r="A9" s="69" t="s">
        <v>121</v>
      </c>
      <c r="B9" s="69" t="s">
        <v>125</v>
      </c>
      <c r="C9" s="70">
        <v>0.04</v>
      </c>
      <c r="D9" s="77">
        <v>8.4999999999999995E-4</v>
      </c>
      <c r="E9" s="71">
        <v>1.6000000000000001E-3</v>
      </c>
      <c r="F9" s="72">
        <v>398</v>
      </c>
      <c r="G9" s="73">
        <f t="shared" si="0"/>
        <v>398000</v>
      </c>
      <c r="H9" s="74">
        <f t="shared" si="1"/>
        <v>154424000</v>
      </c>
      <c r="I9" s="75">
        <v>70536</v>
      </c>
      <c r="J9" s="76">
        <f t="shared" si="2"/>
        <v>7.0592408655551622E-2</v>
      </c>
      <c r="K9" s="74">
        <f t="shared" si="3"/>
        <v>70476.044399999999</v>
      </c>
      <c r="L9" s="74">
        <f t="shared" ref="L9:M9" si="32">K9-(K9*D9)</f>
        <v>70416.139762260005</v>
      </c>
      <c r="M9" s="74">
        <f t="shared" si="32"/>
        <v>70303.473938640396</v>
      </c>
      <c r="N9" s="74">
        <f t="shared" si="5"/>
        <v>70190.988380338575</v>
      </c>
      <c r="O9" s="74">
        <f t="shared" si="6"/>
        <v>70078.682798930036</v>
      </c>
      <c r="P9" s="74">
        <f t="shared" si="7"/>
        <v>69966.556906451748</v>
      </c>
      <c r="Q9" s="74">
        <f t="shared" si="8"/>
        <v>69854.610415401432</v>
      </c>
      <c r="R9" s="74">
        <f t="shared" si="9"/>
        <v>69742.843038736784</v>
      </c>
      <c r="S9" s="74">
        <f t="shared" si="10"/>
        <v>69631.254489874802</v>
      </c>
      <c r="T9" s="74">
        <f t="shared" si="11"/>
        <v>69519.844482690998</v>
      </c>
      <c r="U9" s="74">
        <f t="shared" si="12"/>
        <v>69408.61273151869</v>
      </c>
      <c r="V9" s="74">
        <f t="shared" si="13"/>
        <v>69297.558951148254</v>
      </c>
      <c r="W9" s="74">
        <f t="shared" si="14"/>
        <v>69186.682856826417</v>
      </c>
      <c r="X9" s="74">
        <f t="shared" si="15"/>
        <v>69075.984164255497</v>
      </c>
      <c r="Y9" s="74">
        <f t="shared" si="16"/>
        <v>68965.462589592687</v>
      </c>
      <c r="Z9" s="74">
        <f t="shared" si="17"/>
        <v>68855.117849449336</v>
      </c>
      <c r="AA9" s="74">
        <f t="shared" si="18"/>
        <v>68744.949660890212</v>
      </c>
      <c r="AB9" s="74">
        <f t="shared" si="19"/>
        <v>68634.957741432794</v>
      </c>
      <c r="AC9" s="74">
        <f t="shared" si="20"/>
        <v>68525.141809046501</v>
      </c>
      <c r="AD9" s="74">
        <f t="shared" si="21"/>
        <v>68415.501582152021</v>
      </c>
      <c r="AE9" s="74">
        <f t="shared" si="22"/>
        <v>68306.036779620583</v>
      </c>
      <c r="AF9" s="74">
        <f t="shared" si="23"/>
        <v>68196.747120773187</v>
      </c>
      <c r="AG9" s="74">
        <f t="shared" si="24"/>
        <v>68087.632325379949</v>
      </c>
      <c r="AH9" s="74">
        <f t="shared" si="25"/>
        <v>67978.692113659345</v>
      </c>
      <c r="AI9" s="74">
        <f t="shared" si="26"/>
        <v>67869.926206277494</v>
      </c>
      <c r="AJ9" s="74">
        <f t="shared" si="27"/>
        <v>67761.334324347452</v>
      </c>
    </row>
    <row r="10" spans="1:36" ht="15.75" customHeight="1">
      <c r="A10" s="69" t="s">
        <v>121</v>
      </c>
      <c r="B10" s="69" t="s">
        <v>126</v>
      </c>
      <c r="C10" s="70">
        <v>0.09</v>
      </c>
      <c r="D10" s="77">
        <v>1.8500000000000001E-3</v>
      </c>
      <c r="E10" s="71">
        <v>3.5999999999999999E-3</v>
      </c>
      <c r="F10" s="72">
        <v>686</v>
      </c>
      <c r="G10" s="73">
        <f t="shared" si="0"/>
        <v>686000</v>
      </c>
      <c r="H10" s="74">
        <f t="shared" si="1"/>
        <v>266168000</v>
      </c>
      <c r="I10" s="75">
        <v>121576</v>
      </c>
      <c r="J10" s="76">
        <f t="shared" si="2"/>
        <v>0.12167435260730755</v>
      </c>
      <c r="K10" s="74">
        <f t="shared" si="3"/>
        <v>121351.08440000001</v>
      </c>
      <c r="L10" s="74">
        <f t="shared" ref="L10:M10" si="33">K10-(K10*D10)</f>
        <v>121126.58489386001</v>
      </c>
      <c r="M10" s="74">
        <f t="shared" si="33"/>
        <v>120690.52918824212</v>
      </c>
      <c r="N10" s="74">
        <f t="shared" si="5"/>
        <v>120256.04328316444</v>
      </c>
      <c r="O10" s="74">
        <f t="shared" si="6"/>
        <v>119823.12152734505</v>
      </c>
      <c r="P10" s="74">
        <f t="shared" si="7"/>
        <v>119391.75828984661</v>
      </c>
      <c r="Q10" s="74">
        <f t="shared" si="8"/>
        <v>118961.94796000316</v>
      </c>
      <c r="R10" s="74">
        <f t="shared" si="9"/>
        <v>118533.68494734715</v>
      </c>
      <c r="S10" s="74">
        <f t="shared" si="10"/>
        <v>118106.9636815367</v>
      </c>
      <c r="T10" s="74">
        <f t="shared" si="11"/>
        <v>117681.77861228316</v>
      </c>
      <c r="U10" s="74">
        <f t="shared" si="12"/>
        <v>117258.12420927895</v>
      </c>
      <c r="V10" s="74">
        <f t="shared" si="13"/>
        <v>116835.99496212554</v>
      </c>
      <c r="W10" s="74">
        <f t="shared" si="14"/>
        <v>116415.38538026188</v>
      </c>
      <c r="X10" s="74">
        <f t="shared" si="15"/>
        <v>115996.28999289294</v>
      </c>
      <c r="Y10" s="74">
        <f t="shared" si="16"/>
        <v>115578.70334891853</v>
      </c>
      <c r="Z10" s="74">
        <f t="shared" si="17"/>
        <v>115162.62001686242</v>
      </c>
      <c r="AA10" s="74">
        <f t="shared" si="18"/>
        <v>114748.03458480172</v>
      </c>
      <c r="AB10" s="74">
        <f t="shared" si="19"/>
        <v>114334.94166029643</v>
      </c>
      <c r="AC10" s="74">
        <f t="shared" si="20"/>
        <v>113923.33587031937</v>
      </c>
      <c r="AD10" s="74">
        <f t="shared" si="21"/>
        <v>113513.21186118621</v>
      </c>
      <c r="AE10" s="74">
        <f t="shared" si="22"/>
        <v>113104.56429848594</v>
      </c>
      <c r="AF10" s="74">
        <f t="shared" si="23"/>
        <v>112697.38786701139</v>
      </c>
      <c r="AG10" s="74">
        <f t="shared" si="24"/>
        <v>112291.67727069015</v>
      </c>
      <c r="AH10" s="74">
        <f t="shared" si="25"/>
        <v>111887.42723251566</v>
      </c>
      <c r="AI10" s="74">
        <f t="shared" si="26"/>
        <v>111484.6324944786</v>
      </c>
      <c r="AJ10" s="74">
        <f t="shared" si="27"/>
        <v>111083.28781749848</v>
      </c>
    </row>
    <row r="11" spans="1:36" ht="15.75" customHeight="1">
      <c r="A11" s="69" t="s">
        <v>121</v>
      </c>
      <c r="B11" s="69" t="s">
        <v>127</v>
      </c>
      <c r="C11" s="70">
        <v>0.1</v>
      </c>
      <c r="D11" s="71">
        <v>2.0999999999999999E-3</v>
      </c>
      <c r="E11" s="71">
        <v>4.0000000000000001E-3</v>
      </c>
      <c r="F11" s="72">
        <v>87</v>
      </c>
      <c r="G11" s="73">
        <f t="shared" si="0"/>
        <v>87000</v>
      </c>
      <c r="H11" s="74">
        <f t="shared" si="1"/>
        <v>33756000</v>
      </c>
      <c r="I11" s="75">
        <v>15419</v>
      </c>
      <c r="J11" s="76">
        <f t="shared" si="2"/>
        <v>1.5431003902092941E-2</v>
      </c>
      <c r="K11" s="74">
        <f t="shared" si="3"/>
        <v>15386.6201</v>
      </c>
      <c r="L11" s="74">
        <f t="shared" ref="L11:M11" si="34">K11-(K11*D11)</f>
        <v>15354.30819779</v>
      </c>
      <c r="M11" s="74">
        <f t="shared" si="34"/>
        <v>15292.89096499884</v>
      </c>
      <c r="N11" s="74">
        <f t="shared" si="5"/>
        <v>15231.719401138844</v>
      </c>
      <c r="O11" s="74">
        <f t="shared" si="6"/>
        <v>15170.792523534288</v>
      </c>
      <c r="P11" s="74">
        <f t="shared" si="7"/>
        <v>15110.109353440152</v>
      </c>
      <c r="Q11" s="74">
        <f t="shared" si="8"/>
        <v>15049.66891602639</v>
      </c>
      <c r="R11" s="74">
        <f t="shared" si="9"/>
        <v>14989.470240362285</v>
      </c>
      <c r="S11" s="74">
        <f t="shared" si="10"/>
        <v>14929.512359400836</v>
      </c>
      <c r="T11" s="74">
        <f t="shared" si="11"/>
        <v>14869.794309963234</v>
      </c>
      <c r="U11" s="74">
        <f t="shared" si="12"/>
        <v>14810.315132723381</v>
      </c>
      <c r="V11" s="74">
        <f t="shared" si="13"/>
        <v>14751.073872192488</v>
      </c>
      <c r="W11" s="74">
        <f t="shared" si="14"/>
        <v>14692.069576703718</v>
      </c>
      <c r="X11" s="74">
        <f t="shared" si="15"/>
        <v>14633.301298396902</v>
      </c>
      <c r="Y11" s="74">
        <f t="shared" si="16"/>
        <v>14574.768093203314</v>
      </c>
      <c r="Z11" s="74">
        <f t="shared" si="17"/>
        <v>14516.469020830502</v>
      </c>
      <c r="AA11" s="74">
        <f t="shared" si="18"/>
        <v>14458.403144747181</v>
      </c>
      <c r="AB11" s="74">
        <f t="shared" si="19"/>
        <v>14400.569532168192</v>
      </c>
      <c r="AC11" s="74">
        <f t="shared" si="20"/>
        <v>14342.96725403952</v>
      </c>
      <c r="AD11" s="74">
        <f t="shared" si="21"/>
        <v>14285.595385023362</v>
      </c>
      <c r="AE11" s="74">
        <f t="shared" si="22"/>
        <v>14228.453003483268</v>
      </c>
      <c r="AF11" s="74">
        <f t="shared" si="23"/>
        <v>14171.539191469335</v>
      </c>
      <c r="AG11" s="74">
        <f t="shared" si="24"/>
        <v>14114.853034703458</v>
      </c>
      <c r="AH11" s="74">
        <f t="shared" si="25"/>
        <v>14058.393622564643</v>
      </c>
      <c r="AI11" s="74">
        <f t="shared" si="26"/>
        <v>14002.160048074384</v>
      </c>
      <c r="AJ11" s="74">
        <f t="shared" si="27"/>
        <v>13946.151407882086</v>
      </c>
    </row>
    <row r="12" spans="1:36" ht="15.75" customHeight="1">
      <c r="A12" s="69" t="s">
        <v>121</v>
      </c>
      <c r="B12" s="69" t="s">
        <v>128</v>
      </c>
      <c r="C12" s="70">
        <v>0.11</v>
      </c>
      <c r="D12" s="71">
        <v>2.3E-3</v>
      </c>
      <c r="E12" s="71">
        <v>4.4000000000000003E-3</v>
      </c>
      <c r="F12" s="72">
        <v>261</v>
      </c>
      <c r="G12" s="73">
        <f t="shared" si="0"/>
        <v>261000</v>
      </c>
      <c r="H12" s="74">
        <f t="shared" si="1"/>
        <v>101268000</v>
      </c>
      <c r="I12" s="75">
        <v>46256</v>
      </c>
      <c r="J12" s="76">
        <f t="shared" si="2"/>
        <v>4.6293011706278822E-2</v>
      </c>
      <c r="K12" s="74">
        <f t="shared" si="3"/>
        <v>46149.611199999999</v>
      </c>
      <c r="L12" s="74">
        <f t="shared" ref="L12:M12" si="35">K12-(K12*D12)</f>
        <v>46043.467094239997</v>
      </c>
      <c r="M12" s="74">
        <f t="shared" si="35"/>
        <v>45840.875839025342</v>
      </c>
      <c r="N12" s="74">
        <f t="shared" si="5"/>
        <v>45639.175985333633</v>
      </c>
      <c r="O12" s="74">
        <f t="shared" si="6"/>
        <v>45438.363610998167</v>
      </c>
      <c r="P12" s="74">
        <f t="shared" si="7"/>
        <v>45238.434811109779</v>
      </c>
      <c r="Q12" s="74">
        <f t="shared" si="8"/>
        <v>45039.385697940896</v>
      </c>
      <c r="R12" s="74">
        <f t="shared" si="9"/>
        <v>44841.212400869954</v>
      </c>
      <c r="S12" s="74">
        <f t="shared" si="10"/>
        <v>44643.911066306129</v>
      </c>
      <c r="T12" s="74">
        <f t="shared" si="11"/>
        <v>44447.47785761438</v>
      </c>
      <c r="U12" s="74">
        <f t="shared" si="12"/>
        <v>44251.908955040875</v>
      </c>
      <c r="V12" s="74">
        <f t="shared" si="13"/>
        <v>44057.200555638694</v>
      </c>
      <c r="W12" s="74">
        <f t="shared" si="14"/>
        <v>43863.348873193885</v>
      </c>
      <c r="X12" s="74">
        <f t="shared" si="15"/>
        <v>43670.350138151829</v>
      </c>
      <c r="Y12" s="74">
        <f t="shared" si="16"/>
        <v>43478.200597543961</v>
      </c>
      <c r="Z12" s="74">
        <f t="shared" si="17"/>
        <v>43286.89651491477</v>
      </c>
      <c r="AA12" s="74">
        <f t="shared" si="18"/>
        <v>43096.434170249144</v>
      </c>
      <c r="AB12" s="74">
        <f t="shared" si="19"/>
        <v>42906.809859900044</v>
      </c>
      <c r="AC12" s="74">
        <f t="shared" si="20"/>
        <v>42718.019896516482</v>
      </c>
      <c r="AD12" s="74">
        <f t="shared" si="21"/>
        <v>42530.060608971806</v>
      </c>
      <c r="AE12" s="74">
        <f t="shared" si="22"/>
        <v>42342.928342292333</v>
      </c>
      <c r="AF12" s="74">
        <f t="shared" si="23"/>
        <v>42156.619457586246</v>
      </c>
      <c r="AG12" s="74">
        <f t="shared" si="24"/>
        <v>41971.130331972869</v>
      </c>
      <c r="AH12" s="74">
        <f t="shared" si="25"/>
        <v>41786.457358512191</v>
      </c>
      <c r="AI12" s="74">
        <f t="shared" si="26"/>
        <v>41602.596946134734</v>
      </c>
      <c r="AJ12" s="74">
        <f t="shared" si="27"/>
        <v>41419.545519571744</v>
      </c>
    </row>
    <row r="13" spans="1:36" ht="15.75" customHeight="1">
      <c r="A13" s="69"/>
      <c r="B13" s="69"/>
      <c r="C13" s="69"/>
      <c r="D13" s="78"/>
      <c r="E13" s="78"/>
      <c r="F13" s="66" t="s">
        <v>129</v>
      </c>
      <c r="G13" s="57" t="s">
        <v>24</v>
      </c>
      <c r="H13" s="57" t="s">
        <v>24</v>
      </c>
      <c r="I13" s="57" t="s">
        <v>24</v>
      </c>
      <c r="J13" s="57" t="s">
        <v>24</v>
      </c>
      <c r="K13" s="61" t="s">
        <v>24</v>
      </c>
      <c r="L13" s="57" t="s">
        <v>24</v>
      </c>
      <c r="M13" s="57" t="s">
        <v>24</v>
      </c>
      <c r="N13" s="57" t="s">
        <v>24</v>
      </c>
      <c r="O13" s="57" t="s">
        <v>24</v>
      </c>
      <c r="P13" s="57" t="s">
        <v>24</v>
      </c>
      <c r="Q13" s="57" t="s">
        <v>24</v>
      </c>
      <c r="R13" s="57" t="s">
        <v>24</v>
      </c>
      <c r="S13" s="57" t="s">
        <v>24</v>
      </c>
      <c r="T13" s="57" t="s">
        <v>24</v>
      </c>
      <c r="U13" s="57" t="s">
        <v>24</v>
      </c>
      <c r="V13" s="57" t="s">
        <v>24</v>
      </c>
      <c r="W13" s="57" t="s">
        <v>24</v>
      </c>
      <c r="X13" s="57" t="s">
        <v>24</v>
      </c>
      <c r="Y13" s="57" t="s">
        <v>24</v>
      </c>
      <c r="Z13" s="57" t="s">
        <v>24</v>
      </c>
      <c r="AA13" s="57" t="s">
        <v>24</v>
      </c>
      <c r="AB13" s="57" t="s">
        <v>24</v>
      </c>
      <c r="AC13" s="57" t="s">
        <v>24</v>
      </c>
      <c r="AD13" s="57" t="s">
        <v>24</v>
      </c>
      <c r="AE13" s="57" t="s">
        <v>24</v>
      </c>
      <c r="AF13" s="57" t="s">
        <v>24</v>
      </c>
      <c r="AG13" s="57" t="s">
        <v>24</v>
      </c>
      <c r="AH13" s="57" t="s">
        <v>24</v>
      </c>
      <c r="AI13" s="57" t="s">
        <v>24</v>
      </c>
      <c r="AJ13" s="57" t="s">
        <v>24</v>
      </c>
    </row>
    <row r="14" spans="1:36" ht="15.75" customHeight="1">
      <c r="A14" s="69"/>
      <c r="B14" s="69"/>
      <c r="C14" s="69"/>
      <c r="D14" s="78"/>
      <c r="E14" s="78"/>
      <c r="F14" s="72">
        <v>5638</v>
      </c>
      <c r="G14" s="73">
        <f t="shared" ref="G14:AJ14" si="36">SUM(G4:G12)</f>
        <v>2920000</v>
      </c>
      <c r="H14" s="74">
        <f t="shared" si="36"/>
        <v>1132960000</v>
      </c>
      <c r="I14" s="74">
        <f t="shared" si="36"/>
        <v>517498</v>
      </c>
      <c r="J14" s="79">
        <f t="shared" si="36"/>
        <v>0.51791415395530327</v>
      </c>
      <c r="K14" s="74">
        <f t="shared" si="36"/>
        <v>516599.17505000002</v>
      </c>
      <c r="L14" s="74">
        <f t="shared" si="36"/>
        <v>515702.07297282253</v>
      </c>
      <c r="M14" s="74">
        <f t="shared" si="36"/>
        <v>513988.8717843811</v>
      </c>
      <c r="N14" s="74">
        <f t="shared" si="36"/>
        <v>512281.96723034861</v>
      </c>
      <c r="O14" s="74">
        <f t="shared" si="36"/>
        <v>510581.33510115504</v>
      </c>
      <c r="P14" s="74">
        <f t="shared" si="36"/>
        <v>508886.95128220564</v>
      </c>
      <c r="Q14" s="74">
        <f t="shared" si="36"/>
        <v>507198.7917535039</v>
      </c>
      <c r="R14" s="74">
        <f t="shared" si="36"/>
        <v>505516.83258927806</v>
      </c>
      <c r="S14" s="74">
        <f t="shared" si="36"/>
        <v>503841.04995760618</v>
      </c>
      <c r="T14" s="74">
        <f t="shared" si="36"/>
        <v>502171.42012004514</v>
      </c>
      <c r="U14" s="74">
        <f t="shared" si="36"/>
        <v>500507.91943125956</v>
      </c>
      <c r="V14" s="74">
        <f t="shared" si="36"/>
        <v>498850.52433865331</v>
      </c>
      <c r="W14" s="74">
        <f t="shared" si="36"/>
        <v>497199.21138200193</v>
      </c>
      <c r="X14" s="74">
        <f t="shared" si="36"/>
        <v>495553.95719308616</v>
      </c>
      <c r="Y14" s="74">
        <f t="shared" si="36"/>
        <v>493914.73849532765</v>
      </c>
      <c r="Z14" s="74">
        <f t="shared" si="36"/>
        <v>492281.53210342588</v>
      </c>
      <c r="AA14" s="74">
        <f t="shared" si="36"/>
        <v>490654.31492299645</v>
      </c>
      <c r="AB14" s="74">
        <f t="shared" si="36"/>
        <v>489033.06395021069</v>
      </c>
      <c r="AC14" s="74">
        <f t="shared" si="36"/>
        <v>487417.75627143687</v>
      </c>
      <c r="AD14" s="74">
        <f t="shared" si="36"/>
        <v>485808.36906288291</v>
      </c>
      <c r="AE14" s="74">
        <f t="shared" si="36"/>
        <v>484204.8795902406</v>
      </c>
      <c r="AF14" s="74">
        <f t="shared" si="36"/>
        <v>482607.26520833065</v>
      </c>
      <c r="AG14" s="74">
        <f t="shared" si="36"/>
        <v>481015.50336074986</v>
      </c>
      <c r="AH14" s="74">
        <f t="shared" si="36"/>
        <v>479429.57157951919</v>
      </c>
      <c r="AI14" s="74">
        <f t="shared" si="36"/>
        <v>477849.44748473394</v>
      </c>
      <c r="AJ14" s="74">
        <f t="shared" si="36"/>
        <v>476275.10878421413</v>
      </c>
    </row>
    <row r="15" spans="1:36" ht="15.75" customHeight="1">
      <c r="A15" s="69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</row>
    <row r="16" spans="1:36" ht="15.75" customHeight="1">
      <c r="A16" s="69"/>
      <c r="B16" s="69"/>
      <c r="C16" s="69"/>
      <c r="D16" s="69"/>
      <c r="E16" s="69"/>
      <c r="F16" s="69"/>
      <c r="G16" s="69"/>
      <c r="H16" s="69"/>
      <c r="I16" s="69"/>
      <c r="J16" s="69"/>
      <c r="K16" s="61" t="s">
        <v>130</v>
      </c>
      <c r="L16" s="61" t="s">
        <v>130</v>
      </c>
      <c r="M16" s="61" t="s">
        <v>130</v>
      </c>
      <c r="N16" s="61" t="s">
        <v>130</v>
      </c>
      <c r="O16" s="61" t="s">
        <v>130</v>
      </c>
      <c r="P16" s="61" t="s">
        <v>130</v>
      </c>
      <c r="Q16" s="61" t="s">
        <v>130</v>
      </c>
      <c r="R16" s="61" t="s">
        <v>130</v>
      </c>
      <c r="S16" s="61" t="s">
        <v>130</v>
      </c>
      <c r="T16" s="61" t="s">
        <v>130</v>
      </c>
      <c r="U16" s="61" t="s">
        <v>130</v>
      </c>
      <c r="V16" s="61" t="s">
        <v>130</v>
      </c>
      <c r="W16" s="61" t="s">
        <v>130</v>
      </c>
      <c r="X16" s="61" t="s">
        <v>130</v>
      </c>
      <c r="Y16" s="61" t="s">
        <v>130</v>
      </c>
      <c r="Z16" s="61" t="s">
        <v>130</v>
      </c>
      <c r="AA16" s="61" t="s">
        <v>130</v>
      </c>
      <c r="AB16" s="61" t="s">
        <v>130</v>
      </c>
      <c r="AC16" s="61" t="s">
        <v>130</v>
      </c>
      <c r="AD16" s="61" t="s">
        <v>130</v>
      </c>
      <c r="AE16" s="61" t="s">
        <v>130</v>
      </c>
      <c r="AF16" s="61" t="s">
        <v>130</v>
      </c>
      <c r="AG16" s="61" t="s">
        <v>130</v>
      </c>
      <c r="AH16" s="61" t="s">
        <v>130</v>
      </c>
      <c r="AI16" s="61" t="s">
        <v>130</v>
      </c>
      <c r="AJ16" s="61" t="s">
        <v>130</v>
      </c>
    </row>
    <row r="17" spans="1:36" ht="15.75" customHeight="1">
      <c r="A17" s="69"/>
      <c r="B17" s="69"/>
      <c r="C17" s="69"/>
      <c r="D17" s="69"/>
      <c r="E17" s="69"/>
      <c r="F17" s="69"/>
      <c r="G17" s="69"/>
      <c r="H17" s="69"/>
      <c r="I17" s="69"/>
      <c r="J17" s="69"/>
      <c r="K17" s="74">
        <f>$I$14-K14</f>
        <v>898.82494999998016</v>
      </c>
      <c r="L17" s="74">
        <f t="shared" ref="L17:AJ17" si="37">K14-L14</f>
        <v>897.1020771774929</v>
      </c>
      <c r="M17" s="74">
        <f t="shared" si="37"/>
        <v>1713.2011884414242</v>
      </c>
      <c r="N17" s="75">
        <f t="shared" si="37"/>
        <v>1706.9045540324878</v>
      </c>
      <c r="O17" s="75">
        <f t="shared" si="37"/>
        <v>1700.6321291935747</v>
      </c>
      <c r="P17" s="75">
        <f t="shared" si="37"/>
        <v>1694.3838189493981</v>
      </c>
      <c r="Q17" s="75">
        <f t="shared" si="37"/>
        <v>1688.1595287017408</v>
      </c>
      <c r="R17" s="75">
        <f t="shared" si="37"/>
        <v>1681.9591642258456</v>
      </c>
      <c r="S17" s="75">
        <f t="shared" si="37"/>
        <v>1675.7826316718711</v>
      </c>
      <c r="T17" s="75">
        <f t="shared" si="37"/>
        <v>1669.6298375610495</v>
      </c>
      <c r="U17" s="75">
        <f t="shared" si="37"/>
        <v>1663.5006887855707</v>
      </c>
      <c r="V17" s="75">
        <f t="shared" si="37"/>
        <v>1657.3950926062535</v>
      </c>
      <c r="W17" s="75">
        <f t="shared" si="37"/>
        <v>1651.3129566513817</v>
      </c>
      <c r="X17" s="75">
        <f t="shared" si="37"/>
        <v>1645.2541889157728</v>
      </c>
      <c r="Y17" s="75">
        <f t="shared" si="37"/>
        <v>1639.2186977585079</v>
      </c>
      <c r="Z17" s="75">
        <f t="shared" si="37"/>
        <v>1633.2063919017673</v>
      </c>
      <c r="AA17" s="75">
        <f t="shared" si="37"/>
        <v>1627.2171804294339</v>
      </c>
      <c r="AB17" s="75">
        <f t="shared" si="37"/>
        <v>1621.2509727857541</v>
      </c>
      <c r="AC17" s="75">
        <f t="shared" si="37"/>
        <v>1615.3076787738246</v>
      </c>
      <c r="AD17" s="75">
        <f t="shared" si="37"/>
        <v>1609.3872085539624</v>
      </c>
      <c r="AE17" s="75">
        <f t="shared" si="37"/>
        <v>1603.4894726423081</v>
      </c>
      <c r="AF17" s="75">
        <f t="shared" si="37"/>
        <v>1597.6143819099525</v>
      </c>
      <c r="AG17" s="75">
        <f t="shared" si="37"/>
        <v>1591.7618475807831</v>
      </c>
      <c r="AH17" s="75">
        <f t="shared" si="37"/>
        <v>1585.931781230669</v>
      </c>
      <c r="AI17" s="75">
        <f t="shared" si="37"/>
        <v>1580.1240947852493</v>
      </c>
      <c r="AJ17" s="75">
        <f t="shared" si="37"/>
        <v>1574.3387005198165</v>
      </c>
    </row>
    <row r="18" spans="1:36" ht="15.75" customHeight="1">
      <c r="A18" s="69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</row>
    <row r="19" spans="1:36" ht="15.75" customHeight="1">
      <c r="A19" s="69"/>
      <c r="B19" s="69"/>
      <c r="C19" s="69"/>
      <c r="D19" s="69"/>
      <c r="E19" s="69"/>
      <c r="F19" s="69"/>
      <c r="G19" s="69"/>
      <c r="H19" s="69"/>
      <c r="I19" s="69"/>
      <c r="J19" s="69"/>
      <c r="K19" s="61" t="s">
        <v>131</v>
      </c>
      <c r="L19" s="69"/>
      <c r="M19" s="69"/>
      <c r="N19" s="69"/>
      <c r="O19" s="69"/>
      <c r="P19" s="61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80"/>
    </row>
    <row r="20" spans="1:36" ht="15.75" customHeight="1">
      <c r="A20" s="69"/>
      <c r="B20" s="69"/>
      <c r="C20" s="69"/>
      <c r="D20" s="69"/>
      <c r="E20" s="69"/>
      <c r="F20" s="69"/>
      <c r="G20" s="69"/>
      <c r="H20" s="69"/>
      <c r="I20" s="69"/>
      <c r="J20" s="69"/>
      <c r="K20" s="81">
        <f t="shared" ref="K20:AJ20" si="38">$I$14-K14</f>
        <v>898.82494999998016</v>
      </c>
      <c r="L20" s="81">
        <f t="shared" si="38"/>
        <v>1795.9270271774731</v>
      </c>
      <c r="M20" s="81">
        <f t="shared" si="38"/>
        <v>3509.1282156188972</v>
      </c>
      <c r="N20" s="81">
        <f t="shared" si="38"/>
        <v>5216.032769651385</v>
      </c>
      <c r="O20" s="81">
        <f t="shared" si="38"/>
        <v>6916.6648988449597</v>
      </c>
      <c r="P20" s="82">
        <f t="shared" si="38"/>
        <v>8611.0487177943578</v>
      </c>
      <c r="Q20" s="81">
        <f t="shared" si="38"/>
        <v>10299.208246496099</v>
      </c>
      <c r="R20" s="81">
        <f t="shared" si="38"/>
        <v>11981.167410721944</v>
      </c>
      <c r="S20" s="81">
        <f t="shared" si="38"/>
        <v>13656.950042393815</v>
      </c>
      <c r="T20" s="81">
        <f t="shared" si="38"/>
        <v>15326.579879954865</v>
      </c>
      <c r="U20" s="81">
        <f t="shared" si="38"/>
        <v>16990.080568740435</v>
      </c>
      <c r="V20" s="81">
        <f t="shared" si="38"/>
        <v>18647.475661346689</v>
      </c>
      <c r="W20" s="81">
        <f t="shared" si="38"/>
        <v>20298.788617998071</v>
      </c>
      <c r="X20" s="81">
        <f t="shared" si="38"/>
        <v>21944.042806913843</v>
      </c>
      <c r="Y20" s="81">
        <f t="shared" si="38"/>
        <v>23583.261504672351</v>
      </c>
      <c r="Z20" s="81">
        <f t="shared" si="38"/>
        <v>25216.467896574119</v>
      </c>
      <c r="AA20" s="81">
        <f t="shared" si="38"/>
        <v>26843.685077003553</v>
      </c>
      <c r="AB20" s="81">
        <f t="shared" si="38"/>
        <v>28464.936049789307</v>
      </c>
      <c r="AC20" s="81">
        <f t="shared" si="38"/>
        <v>30080.243728563131</v>
      </c>
      <c r="AD20" s="81">
        <f t="shared" si="38"/>
        <v>31689.630937117094</v>
      </c>
      <c r="AE20" s="81">
        <f t="shared" si="38"/>
        <v>33293.120409759402</v>
      </c>
      <c r="AF20" s="81">
        <f t="shared" si="38"/>
        <v>34890.734791669354</v>
      </c>
      <c r="AG20" s="81">
        <f t="shared" si="38"/>
        <v>36482.496639250137</v>
      </c>
      <c r="AH20" s="81">
        <f t="shared" si="38"/>
        <v>38068.428420480806</v>
      </c>
      <c r="AI20" s="81">
        <f t="shared" si="38"/>
        <v>39648.552515266056</v>
      </c>
      <c r="AJ20" s="82">
        <f t="shared" si="38"/>
        <v>41222.891215785872</v>
      </c>
    </row>
    <row r="22" spans="1:36" ht="15.75" customHeight="1">
      <c r="K22" s="2"/>
      <c r="P22" s="2"/>
      <c r="AJ22" s="2"/>
    </row>
    <row r="23" spans="1:36" ht="15.75" customHeight="1">
      <c r="K23" s="9"/>
    </row>
  </sheetData>
  <mergeCells count="1">
    <mergeCell ref="A1:M1"/>
  </mergeCells>
  <pageMargins left="0.7" right="0.7" top="0.75" bottom="0.75" header="0.3" footer="0.3"/>
  <pageSetup orientation="landscape" r:id="rId1"/>
  <headerFooter>
    <oddHeader>&amp;CNew Orleans Climate Action and Resilience Benefiting Our Neighborhoods (NO CARBON)
Appendix D - GHG Emission Reduction Calculations Spreadsheet</oddHeader>
    <oddFooter>&amp;CMeasure 4
Benchmarking Program Support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AC9"/>
  <sheetViews>
    <sheetView view="pageLayout" zoomScaleNormal="100" workbookViewId="0">
      <selection sqref="A1:M1"/>
    </sheetView>
  </sheetViews>
  <sheetFormatPr defaultColWidth="12.6328125" defaultRowHeight="15.75" customHeight="1"/>
  <cols>
    <col min="1" max="1" width="21.90625" customWidth="1"/>
  </cols>
  <sheetData>
    <row r="1" spans="1:29">
      <c r="A1" s="127" t="s">
        <v>132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3" spans="1:29" ht="15.75" customHeight="1">
      <c r="A3" s="83"/>
      <c r="B3" s="84">
        <v>2025</v>
      </c>
      <c r="C3" s="84">
        <v>2026</v>
      </c>
      <c r="D3" s="84">
        <v>2027</v>
      </c>
      <c r="E3" s="84">
        <v>2028</v>
      </c>
      <c r="F3" s="84">
        <v>2029</v>
      </c>
      <c r="G3" s="84">
        <v>2030</v>
      </c>
      <c r="H3" s="85" t="s">
        <v>133</v>
      </c>
      <c r="I3" s="84">
        <v>2031</v>
      </c>
      <c r="J3" s="84">
        <v>2032</v>
      </c>
      <c r="K3" s="84">
        <v>2033</v>
      </c>
      <c r="L3" s="84">
        <v>2034</v>
      </c>
      <c r="M3" s="84">
        <v>2035</v>
      </c>
      <c r="N3" s="84">
        <v>2036</v>
      </c>
      <c r="O3" s="84">
        <v>2037</v>
      </c>
      <c r="P3" s="84">
        <v>2038</v>
      </c>
      <c r="Q3" s="84">
        <v>2039</v>
      </c>
      <c r="R3" s="84">
        <v>2040</v>
      </c>
      <c r="S3" s="84">
        <v>2041</v>
      </c>
      <c r="T3" s="84">
        <v>2042</v>
      </c>
      <c r="U3" s="84">
        <v>2043</v>
      </c>
      <c r="V3" s="84">
        <v>2044</v>
      </c>
      <c r="W3" s="84">
        <v>2045</v>
      </c>
      <c r="X3" s="84">
        <v>2046</v>
      </c>
      <c r="Y3" s="84">
        <v>2047</v>
      </c>
      <c r="Z3" s="84">
        <v>2048</v>
      </c>
      <c r="AA3" s="84">
        <v>2049</v>
      </c>
      <c r="AB3" s="84">
        <v>2050</v>
      </c>
      <c r="AC3" s="85" t="s">
        <v>134</v>
      </c>
    </row>
    <row r="4" spans="1:29" ht="15.75" customHeight="1">
      <c r="A4" s="84" t="s">
        <v>135</v>
      </c>
      <c r="B4" s="83"/>
      <c r="C4" s="86">
        <v>3372920</v>
      </c>
      <c r="D4" s="86">
        <v>6745840</v>
      </c>
      <c r="E4" s="86">
        <v>10118760</v>
      </c>
      <c r="F4" s="86">
        <v>10118760</v>
      </c>
      <c r="G4" s="86">
        <v>10118760</v>
      </c>
      <c r="H4" s="87">
        <f>SUM(C4:G4)</f>
        <v>40475040</v>
      </c>
      <c r="I4" s="86">
        <v>10118760</v>
      </c>
      <c r="J4" s="86">
        <v>10118760</v>
      </c>
      <c r="K4" s="86">
        <v>10118760</v>
      </c>
      <c r="L4" s="86">
        <v>10118760</v>
      </c>
      <c r="M4" s="86">
        <v>10118760</v>
      </c>
      <c r="N4" s="86">
        <v>10118760</v>
      </c>
      <c r="O4" s="86">
        <v>10118760</v>
      </c>
      <c r="P4" s="86">
        <v>10118760</v>
      </c>
      <c r="Q4" s="86">
        <v>10118760</v>
      </c>
      <c r="R4" s="86">
        <v>10118760</v>
      </c>
      <c r="S4" s="86">
        <v>10118760</v>
      </c>
      <c r="T4" s="86">
        <v>10118760</v>
      </c>
      <c r="U4" s="86">
        <v>10118760</v>
      </c>
      <c r="V4" s="86">
        <v>10118760</v>
      </c>
      <c r="W4" s="86">
        <v>10118760</v>
      </c>
      <c r="X4" s="86">
        <v>10118760</v>
      </c>
      <c r="Y4" s="86">
        <v>10118760</v>
      </c>
      <c r="Z4" s="86">
        <v>10118760</v>
      </c>
      <c r="AA4" s="86">
        <v>10118760</v>
      </c>
      <c r="AB4" s="86">
        <v>10118760</v>
      </c>
      <c r="AC4" s="87">
        <f>SUM(H4:AB4)</f>
        <v>242850240</v>
      </c>
    </row>
    <row r="5" spans="1:29" ht="15.75" customHeight="1">
      <c r="A5" s="84" t="s">
        <v>136</v>
      </c>
      <c r="B5" s="83"/>
      <c r="C5" s="86">
        <v>3373</v>
      </c>
      <c r="D5" s="86">
        <v>6746</v>
      </c>
      <c r="E5" s="86">
        <v>10119</v>
      </c>
      <c r="F5" s="86">
        <v>10119</v>
      </c>
      <c r="G5" s="86">
        <v>10119</v>
      </c>
      <c r="H5" s="87">
        <f>H4/1000</f>
        <v>40475.040000000001</v>
      </c>
      <c r="I5" s="86">
        <v>10119</v>
      </c>
      <c r="J5" s="86">
        <v>10119</v>
      </c>
      <c r="K5" s="86">
        <v>10119</v>
      </c>
      <c r="L5" s="86">
        <v>10119</v>
      </c>
      <c r="M5" s="86">
        <v>10119</v>
      </c>
      <c r="N5" s="86">
        <v>10119</v>
      </c>
      <c r="O5" s="86">
        <v>10119</v>
      </c>
      <c r="P5" s="86">
        <v>10119</v>
      </c>
      <c r="Q5" s="86">
        <v>10119</v>
      </c>
      <c r="R5" s="86">
        <v>10119</v>
      </c>
      <c r="S5" s="86">
        <v>10119</v>
      </c>
      <c r="T5" s="86">
        <v>10119</v>
      </c>
      <c r="U5" s="86">
        <v>10119</v>
      </c>
      <c r="V5" s="86">
        <v>10119</v>
      </c>
      <c r="W5" s="86">
        <v>10119</v>
      </c>
      <c r="X5" s="86">
        <v>10119</v>
      </c>
      <c r="Y5" s="86">
        <v>10119</v>
      </c>
      <c r="Z5" s="86">
        <v>10119</v>
      </c>
      <c r="AA5" s="86">
        <v>10119</v>
      </c>
      <c r="AB5" s="86">
        <v>10119</v>
      </c>
      <c r="AC5" s="87">
        <f>AC4/1000</f>
        <v>242850.24</v>
      </c>
    </row>
    <row r="6" spans="1:29" ht="15.75" customHeight="1">
      <c r="A6" s="84" t="s">
        <v>137</v>
      </c>
      <c r="B6" s="83"/>
      <c r="C6" s="83">
        <v>598</v>
      </c>
      <c r="D6" s="83">
        <v>1196</v>
      </c>
      <c r="E6" s="83">
        <v>1793</v>
      </c>
      <c r="F6" s="83">
        <v>1793</v>
      </c>
      <c r="G6" s="83">
        <v>1793</v>
      </c>
      <c r="H6" s="87">
        <v>7173</v>
      </c>
      <c r="I6" s="83">
        <v>1793</v>
      </c>
      <c r="J6" s="83">
        <v>1793</v>
      </c>
      <c r="K6" s="83">
        <v>1793</v>
      </c>
      <c r="L6" s="83">
        <v>1793</v>
      </c>
      <c r="M6" s="83">
        <v>1793</v>
      </c>
      <c r="N6" s="83">
        <v>1793</v>
      </c>
      <c r="O6" s="83">
        <v>1793</v>
      </c>
      <c r="P6" s="83">
        <v>1793</v>
      </c>
      <c r="Q6" s="83">
        <v>1793</v>
      </c>
      <c r="R6" s="83">
        <v>1793</v>
      </c>
      <c r="S6" s="83">
        <v>1793</v>
      </c>
      <c r="T6" s="83">
        <v>1793</v>
      </c>
      <c r="U6" s="83">
        <v>1793</v>
      </c>
      <c r="V6" s="83">
        <v>1793</v>
      </c>
      <c r="W6" s="83">
        <v>1793</v>
      </c>
      <c r="X6" s="83">
        <v>1793</v>
      </c>
      <c r="Y6" s="83">
        <v>1793</v>
      </c>
      <c r="Z6" s="83">
        <v>1793</v>
      </c>
      <c r="AA6" s="83">
        <v>1793</v>
      </c>
      <c r="AB6" s="83">
        <v>1793</v>
      </c>
      <c r="AC6" s="87">
        <v>43039</v>
      </c>
    </row>
    <row r="8" spans="1:29" ht="15.75" customHeight="1">
      <c r="A8" s="2" t="s">
        <v>138</v>
      </c>
      <c r="H8" s="34">
        <v>5334444</v>
      </c>
    </row>
    <row r="9" spans="1:29" ht="15.75" customHeight="1">
      <c r="A9" s="2" t="s">
        <v>139</v>
      </c>
      <c r="H9" s="33">
        <f>H8/H6</f>
        <v>743.68381430363866</v>
      </c>
    </row>
  </sheetData>
  <mergeCells count="1">
    <mergeCell ref="A1:M1"/>
  </mergeCells>
  <pageMargins left="0.7" right="0.7" top="0.75" bottom="0.75" header="0.3" footer="0.3"/>
  <pageSetup orientation="landscape" r:id="rId1"/>
  <headerFooter>
    <oddHeader>&amp;CNew Orleans Climate Action and Resilience Benefiting Our Neighborhoods (NO CARBON)
Appendix D - GHG Emission Reduction Calculations Spreadsheet</oddHeader>
    <oddFooter>&amp;CMeasure 5
Municipal Building Decarbonization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AH25"/>
  <sheetViews>
    <sheetView view="pageLayout" zoomScaleNormal="100" workbookViewId="0">
      <selection sqref="A1:M1"/>
    </sheetView>
  </sheetViews>
  <sheetFormatPr defaultColWidth="12.6328125" defaultRowHeight="15.75" customHeight="1"/>
  <cols>
    <col min="1" max="1" width="20.453125" customWidth="1"/>
    <col min="6" max="6" width="28.08984375" customWidth="1"/>
    <col min="7" max="7" width="18.08984375" customWidth="1"/>
    <col min="8" max="8" width="18.90625" customWidth="1"/>
    <col min="9" max="10" width="17" customWidth="1"/>
    <col min="13" max="13" width="14.7265625" customWidth="1"/>
    <col min="14" max="14" width="32.08984375" customWidth="1"/>
  </cols>
  <sheetData>
    <row r="1" spans="1:34">
      <c r="A1" s="127" t="s">
        <v>140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</row>
    <row r="2" spans="1:34" ht="15.75" customHeight="1">
      <c r="A2" s="57"/>
      <c r="B2" s="57"/>
      <c r="C2" s="57"/>
      <c r="D2" s="57"/>
      <c r="E2" s="57"/>
      <c r="F2" s="57"/>
      <c r="G2" s="57"/>
      <c r="H2" s="57"/>
      <c r="I2" s="57"/>
      <c r="J2" s="57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</row>
    <row r="3" spans="1:34" ht="15.75" customHeight="1">
      <c r="A3" s="63" t="s">
        <v>141</v>
      </c>
      <c r="B3" s="63" t="s">
        <v>142</v>
      </c>
      <c r="C3" s="63" t="s">
        <v>143</v>
      </c>
      <c r="D3" s="63" t="s">
        <v>144</v>
      </c>
      <c r="E3" s="63" t="s">
        <v>145</v>
      </c>
      <c r="F3" s="63" t="s">
        <v>146</v>
      </c>
      <c r="G3" s="63" t="s">
        <v>147</v>
      </c>
      <c r="H3" s="63" t="s">
        <v>148</v>
      </c>
      <c r="I3" s="64" t="s">
        <v>149</v>
      </c>
      <c r="J3" s="64">
        <v>2026</v>
      </c>
      <c r="K3" s="68">
        <v>2027</v>
      </c>
      <c r="L3" s="68">
        <v>2028</v>
      </c>
      <c r="M3" s="68">
        <v>2029</v>
      </c>
      <c r="N3" s="64">
        <v>2030</v>
      </c>
      <c r="O3" s="88">
        <v>2031</v>
      </c>
      <c r="P3" s="64">
        <v>2032</v>
      </c>
      <c r="Q3" s="88">
        <v>2033</v>
      </c>
      <c r="R3" s="64">
        <v>2034</v>
      </c>
      <c r="S3" s="88">
        <v>2035</v>
      </c>
      <c r="T3" s="64">
        <v>2036</v>
      </c>
      <c r="U3" s="88">
        <v>2037</v>
      </c>
      <c r="V3" s="64">
        <v>2038</v>
      </c>
      <c r="W3" s="88">
        <v>2039</v>
      </c>
      <c r="X3" s="64">
        <v>2040</v>
      </c>
      <c r="Y3" s="88">
        <v>2041</v>
      </c>
      <c r="Z3" s="64">
        <v>2042</v>
      </c>
      <c r="AA3" s="88">
        <v>2043</v>
      </c>
      <c r="AB3" s="64">
        <v>2044</v>
      </c>
      <c r="AC3" s="88">
        <v>2045</v>
      </c>
      <c r="AD3" s="64">
        <v>2046</v>
      </c>
      <c r="AE3" s="88">
        <v>2047</v>
      </c>
      <c r="AF3" s="64">
        <v>2048</v>
      </c>
      <c r="AG3" s="88">
        <v>2049</v>
      </c>
      <c r="AH3" s="64">
        <v>2050</v>
      </c>
    </row>
    <row r="4" spans="1:34" ht="15.75" customHeight="1">
      <c r="A4" s="69" t="s">
        <v>150</v>
      </c>
      <c r="B4" s="70">
        <v>0.6</v>
      </c>
      <c r="C4" s="74">
        <v>2469</v>
      </c>
      <c r="D4" s="73">
        <f>(60*C4)/100</f>
        <v>1481.4</v>
      </c>
      <c r="E4" s="73">
        <f t="shared" ref="E4:E6" si="0">D4*1000</f>
        <v>1481400</v>
      </c>
      <c r="F4" s="73">
        <f t="shared" ref="F4:F6" si="1">E4*388</f>
        <v>574783200</v>
      </c>
      <c r="G4" s="75">
        <v>262541</v>
      </c>
      <c r="H4" s="89">
        <f t="shared" ref="H4:H6" si="2">E4/B17</f>
        <v>13.004387466488289</v>
      </c>
      <c r="I4" s="74">
        <f t="shared" ref="I4:I6" si="3">G4-F17</f>
        <v>262063</v>
      </c>
      <c r="J4" s="74">
        <f t="shared" ref="J4:J6" si="4">I4-F17</f>
        <v>261585</v>
      </c>
      <c r="K4" s="74">
        <f t="shared" ref="K4:K6" si="5">J4-F17</f>
        <v>261107</v>
      </c>
      <c r="L4" s="74">
        <f t="shared" ref="L4:L6" si="6">K4-F17</f>
        <v>260629</v>
      </c>
      <c r="M4" s="74">
        <f t="shared" ref="M4:M6" si="7">L4-F17</f>
        <v>260151</v>
      </c>
    </row>
    <row r="5" spans="1:34" ht="15.75" customHeight="1">
      <c r="A5" s="69" t="s">
        <v>151</v>
      </c>
      <c r="B5" s="70">
        <v>0.18</v>
      </c>
      <c r="C5" s="69"/>
      <c r="D5" s="73">
        <f>(18*C4)/100</f>
        <v>444.42</v>
      </c>
      <c r="E5" s="73">
        <f t="shared" si="0"/>
        <v>444420</v>
      </c>
      <c r="F5" s="73">
        <f t="shared" si="1"/>
        <v>172434960</v>
      </c>
      <c r="G5" s="75">
        <v>78762</v>
      </c>
      <c r="H5" s="89">
        <f t="shared" si="2"/>
        <v>13.004387466488287</v>
      </c>
      <c r="I5" s="74">
        <f t="shared" si="3"/>
        <v>78619</v>
      </c>
      <c r="J5" s="74">
        <f t="shared" si="4"/>
        <v>78476</v>
      </c>
      <c r="K5" s="74">
        <f t="shared" si="5"/>
        <v>78333</v>
      </c>
      <c r="L5" s="74">
        <f t="shared" si="6"/>
        <v>78190</v>
      </c>
      <c r="M5" s="74">
        <f t="shared" si="7"/>
        <v>78047</v>
      </c>
    </row>
    <row r="6" spans="1:34" ht="15.75" customHeight="1">
      <c r="A6" s="69" t="s">
        <v>152</v>
      </c>
      <c r="B6" s="70">
        <v>0.03</v>
      </c>
      <c r="C6" s="69"/>
      <c r="D6" s="73">
        <f>(3*C4)/100</f>
        <v>74.069999999999993</v>
      </c>
      <c r="E6" s="73">
        <f t="shared" si="0"/>
        <v>74070</v>
      </c>
      <c r="F6" s="73">
        <f t="shared" si="1"/>
        <v>28739160</v>
      </c>
      <c r="G6" s="75">
        <v>13127</v>
      </c>
      <c r="H6" s="89">
        <f t="shared" si="2"/>
        <v>13.004387466488287</v>
      </c>
      <c r="I6" s="74">
        <f t="shared" si="3"/>
        <v>13103</v>
      </c>
      <c r="J6" s="74">
        <f t="shared" si="4"/>
        <v>13079</v>
      </c>
      <c r="K6" s="74">
        <f t="shared" si="5"/>
        <v>13055</v>
      </c>
      <c r="L6" s="74">
        <f t="shared" si="6"/>
        <v>13031</v>
      </c>
      <c r="M6" s="74">
        <f t="shared" si="7"/>
        <v>13007</v>
      </c>
    </row>
    <row r="7" spans="1:34" ht="15.75" customHeight="1">
      <c r="A7" s="69"/>
      <c r="B7" s="57" t="s">
        <v>24</v>
      </c>
      <c r="C7" s="69"/>
      <c r="D7" s="69"/>
      <c r="E7" s="57" t="s">
        <v>24</v>
      </c>
      <c r="F7" s="69"/>
      <c r="G7" s="57" t="s">
        <v>24</v>
      </c>
      <c r="H7" s="69"/>
      <c r="I7" s="61" t="s">
        <v>24</v>
      </c>
      <c r="J7" s="61" t="s">
        <v>24</v>
      </c>
      <c r="K7" s="61" t="s">
        <v>24</v>
      </c>
      <c r="L7" s="61" t="s">
        <v>24</v>
      </c>
      <c r="M7" s="61" t="s">
        <v>24</v>
      </c>
    </row>
    <row r="8" spans="1:34" ht="15.75" customHeight="1">
      <c r="A8" s="69"/>
      <c r="B8" s="70">
        <v>0.81</v>
      </c>
      <c r="C8" s="69"/>
      <c r="D8" s="69"/>
      <c r="E8" s="73">
        <f>SUM(E4:E7)</f>
        <v>1999890</v>
      </c>
      <c r="F8" s="69"/>
      <c r="G8" s="74">
        <f>SUM(G4:G6)</f>
        <v>354430</v>
      </c>
      <c r="H8" s="69"/>
      <c r="I8" s="90">
        <f>SUM(I4:I7)</f>
        <v>353785</v>
      </c>
      <c r="J8" s="90">
        <f t="shared" ref="J8:M8" si="8">SUM(J4:J6)</f>
        <v>353140</v>
      </c>
      <c r="K8" s="90">
        <f t="shared" si="8"/>
        <v>352495</v>
      </c>
      <c r="L8" s="90">
        <f t="shared" si="8"/>
        <v>351850</v>
      </c>
      <c r="M8" s="90">
        <f t="shared" si="8"/>
        <v>351205</v>
      </c>
    </row>
    <row r="9" spans="1:34" ht="15.75" customHeight="1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</row>
    <row r="10" spans="1:34" ht="15.75" customHeight="1">
      <c r="A10" s="57" t="s">
        <v>153</v>
      </c>
      <c r="B10" s="69"/>
      <c r="C10" s="69"/>
      <c r="D10" s="69"/>
      <c r="E10" s="69"/>
      <c r="F10" s="69"/>
      <c r="G10" s="69"/>
      <c r="H10" s="69"/>
      <c r="I10" s="64" t="s">
        <v>154</v>
      </c>
      <c r="J10" s="64" t="s">
        <v>154</v>
      </c>
      <c r="K10" s="64" t="s">
        <v>154</v>
      </c>
      <c r="L10" s="64" t="s">
        <v>154</v>
      </c>
      <c r="M10" s="64" t="s">
        <v>154</v>
      </c>
      <c r="N10" s="64" t="s">
        <v>155</v>
      </c>
      <c r="O10" s="64" t="s">
        <v>155</v>
      </c>
      <c r="P10" s="64" t="s">
        <v>155</v>
      </c>
      <c r="Q10" s="64" t="s">
        <v>155</v>
      </c>
      <c r="R10" s="64" t="s">
        <v>155</v>
      </c>
      <c r="S10" s="64" t="s">
        <v>155</v>
      </c>
      <c r="T10" s="64" t="s">
        <v>155</v>
      </c>
      <c r="U10" s="64" t="s">
        <v>155</v>
      </c>
      <c r="V10" s="64" t="s">
        <v>155</v>
      </c>
      <c r="W10" s="64" t="s">
        <v>155</v>
      </c>
      <c r="X10" s="64" t="s">
        <v>155</v>
      </c>
      <c r="Y10" s="64" t="s">
        <v>155</v>
      </c>
      <c r="Z10" s="64" t="s">
        <v>155</v>
      </c>
      <c r="AA10" s="64" t="s">
        <v>155</v>
      </c>
      <c r="AB10" s="64" t="s">
        <v>155</v>
      </c>
      <c r="AC10" s="64" t="s">
        <v>155</v>
      </c>
      <c r="AD10" s="64" t="s">
        <v>155</v>
      </c>
      <c r="AE10" s="64" t="s">
        <v>155</v>
      </c>
      <c r="AF10" s="64" t="s">
        <v>155</v>
      </c>
      <c r="AG10" s="64" t="s">
        <v>155</v>
      </c>
      <c r="AH10" s="64" t="s">
        <v>155</v>
      </c>
    </row>
    <row r="11" spans="1:34" ht="15.75" customHeight="1">
      <c r="A11" s="91" t="s">
        <v>156</v>
      </c>
      <c r="B11" s="69"/>
      <c r="C11" s="69"/>
      <c r="D11" s="69"/>
      <c r="E11" s="69"/>
      <c r="F11" s="69"/>
      <c r="G11" s="69"/>
      <c r="H11" s="69"/>
      <c r="I11" s="90">
        <f t="shared" ref="I11:M11" si="9">$G$8-I8</f>
        <v>645</v>
      </c>
      <c r="J11" s="90">
        <f t="shared" si="9"/>
        <v>1290</v>
      </c>
      <c r="K11" s="90">
        <f t="shared" si="9"/>
        <v>1935</v>
      </c>
      <c r="L11" s="90">
        <f t="shared" si="9"/>
        <v>2580</v>
      </c>
      <c r="M11" s="90">
        <f t="shared" si="9"/>
        <v>3225</v>
      </c>
      <c r="N11" s="92">
        <v>3225</v>
      </c>
      <c r="O11" s="92">
        <v>3225</v>
      </c>
      <c r="P11" s="92">
        <v>3225</v>
      </c>
      <c r="Q11" s="92">
        <v>3225</v>
      </c>
      <c r="R11" s="92">
        <v>3225</v>
      </c>
      <c r="S11" s="92">
        <v>3225</v>
      </c>
      <c r="T11" s="92">
        <v>3225</v>
      </c>
      <c r="U11" s="92">
        <v>3225</v>
      </c>
      <c r="V11" s="92">
        <v>3225</v>
      </c>
      <c r="W11" s="92">
        <v>3225</v>
      </c>
      <c r="X11" s="92">
        <v>3225</v>
      </c>
      <c r="Y11" s="92">
        <v>3225</v>
      </c>
      <c r="Z11" s="92">
        <v>3225</v>
      </c>
      <c r="AA11" s="92">
        <v>3225</v>
      </c>
      <c r="AB11" s="92">
        <v>3225</v>
      </c>
      <c r="AC11" s="92">
        <v>3225</v>
      </c>
      <c r="AD11" s="92">
        <v>3225</v>
      </c>
      <c r="AE11" s="92">
        <v>3225</v>
      </c>
      <c r="AF11" s="92">
        <v>3225</v>
      </c>
      <c r="AG11" s="92">
        <v>3225</v>
      </c>
      <c r="AH11" s="92">
        <v>3225</v>
      </c>
    </row>
    <row r="12" spans="1:34" ht="15.75" customHeight="1">
      <c r="A12" s="69" t="s">
        <v>157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</row>
    <row r="13" spans="1:34" ht="15.75" customHeight="1">
      <c r="A13" s="69"/>
      <c r="B13" s="69"/>
      <c r="C13" s="69"/>
      <c r="D13" s="69"/>
      <c r="E13" s="69"/>
      <c r="F13" s="69"/>
      <c r="G13" s="69"/>
      <c r="H13" s="69"/>
      <c r="I13" s="61"/>
      <c r="J13" s="69"/>
      <c r="K13" s="69"/>
      <c r="L13" s="69"/>
      <c r="M13" s="69"/>
      <c r="N13" s="61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1"/>
    </row>
    <row r="14" spans="1:34" ht="15.75" customHeight="1">
      <c r="A14" s="69"/>
      <c r="B14" s="69"/>
      <c r="C14" s="69"/>
      <c r="D14" s="69"/>
      <c r="E14" s="69"/>
      <c r="F14" s="69"/>
      <c r="G14" s="69"/>
      <c r="H14" s="69"/>
      <c r="I14" s="91"/>
      <c r="J14" s="69"/>
      <c r="K14" s="69"/>
      <c r="L14" s="69"/>
      <c r="M14" s="69"/>
      <c r="N14" s="81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81"/>
    </row>
    <row r="15" spans="1:34" ht="15.75" customHeight="1">
      <c r="A15" s="57" t="s">
        <v>158</v>
      </c>
      <c r="B15" s="69"/>
      <c r="C15" s="69"/>
      <c r="D15" s="69"/>
      <c r="E15" s="69"/>
      <c r="F15" s="69"/>
      <c r="G15" s="69"/>
      <c r="H15" s="69"/>
      <c r="I15" s="61" t="s">
        <v>159</v>
      </c>
      <c r="J15" s="69"/>
      <c r="K15" s="69"/>
      <c r="L15" s="69"/>
      <c r="M15" s="69"/>
      <c r="N15" s="61" t="s">
        <v>159</v>
      </c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1" t="s">
        <v>159</v>
      </c>
    </row>
    <row r="16" spans="1:34" ht="15.75" customHeight="1">
      <c r="A16" s="63" t="s">
        <v>141</v>
      </c>
      <c r="B16" s="63" t="s">
        <v>160</v>
      </c>
      <c r="C16" s="63" t="s">
        <v>161</v>
      </c>
      <c r="D16" s="63" t="s">
        <v>162</v>
      </c>
      <c r="E16" s="63" t="s">
        <v>163</v>
      </c>
      <c r="F16" s="64" t="s">
        <v>164</v>
      </c>
      <c r="G16" s="69"/>
      <c r="H16" s="69"/>
      <c r="I16" s="91">
        <v>645</v>
      </c>
      <c r="J16" s="69"/>
      <c r="K16" s="69"/>
      <c r="L16" s="69"/>
      <c r="M16" s="69"/>
      <c r="N16" s="93">
        <f>SUM(I11:N11)</f>
        <v>12900</v>
      </c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93">
        <f>SUM(I11:AH11)</f>
        <v>77400</v>
      </c>
    </row>
    <row r="17" spans="1:34" ht="15.75" customHeight="1">
      <c r="A17" s="69" t="s">
        <v>150</v>
      </c>
      <c r="B17" s="89">
        <f>(60*189859)/100</f>
        <v>113915.4</v>
      </c>
      <c r="C17" s="72">
        <f>(60*280)/81</f>
        <v>207.40740740740742</v>
      </c>
      <c r="D17" s="89">
        <f t="shared" ref="D17:D19" si="10">C17*H4</f>
        <v>2697.2062893457196</v>
      </c>
      <c r="E17" s="73">
        <f t="shared" ref="E17:E19" si="11">D17*388</f>
        <v>1046516.0402661392</v>
      </c>
      <c r="F17" s="94">
        <v>478</v>
      </c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</row>
    <row r="18" spans="1:34" ht="15.75" customHeight="1">
      <c r="A18" s="69" t="s">
        <v>151</v>
      </c>
      <c r="B18" s="73">
        <f>(18*189859)/100</f>
        <v>34174.620000000003</v>
      </c>
      <c r="C18" s="72">
        <f>(18*280)/81</f>
        <v>62.222222222222221</v>
      </c>
      <c r="D18" s="89">
        <f t="shared" si="10"/>
        <v>809.16188680371567</v>
      </c>
      <c r="E18" s="73">
        <f t="shared" si="11"/>
        <v>313954.81207984168</v>
      </c>
      <c r="F18" s="94">
        <v>143</v>
      </c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</row>
    <row r="19" spans="1:34" ht="15.75" customHeight="1">
      <c r="A19" s="69" t="s">
        <v>152</v>
      </c>
      <c r="B19" s="73">
        <f>(3*189859)/100</f>
        <v>5695.77</v>
      </c>
      <c r="C19" s="72">
        <f>(3*280)/81</f>
        <v>10.37037037037037</v>
      </c>
      <c r="D19" s="89">
        <f t="shared" si="10"/>
        <v>134.86031446728595</v>
      </c>
      <c r="E19" s="73">
        <f t="shared" si="11"/>
        <v>52325.802013306944</v>
      </c>
      <c r="F19" s="94">
        <v>24</v>
      </c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</row>
    <row r="20" spans="1:34" ht="15.75" customHeight="1">
      <c r="A20" s="69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</row>
    <row r="21" spans="1:34" ht="15.75" customHeight="1">
      <c r="A21" s="57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</row>
    <row r="22" spans="1:34" ht="15.75" customHeight="1">
      <c r="A22" s="57"/>
      <c r="B22" s="57"/>
      <c r="C22" s="57"/>
      <c r="D22" s="57"/>
      <c r="E22" s="57"/>
      <c r="F22" s="57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</row>
    <row r="23" spans="1:34" ht="15.75" customHeight="1">
      <c r="A23" s="69"/>
      <c r="B23" s="89"/>
      <c r="C23" s="72"/>
      <c r="D23" s="89"/>
      <c r="E23" s="89"/>
      <c r="F23" s="94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</row>
    <row r="24" spans="1:34" ht="15.75" customHeight="1">
      <c r="A24" s="69"/>
      <c r="B24" s="73"/>
      <c r="C24" s="72"/>
      <c r="D24" s="89"/>
      <c r="E24" s="89"/>
      <c r="F24" s="94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</row>
    <row r="25" spans="1:34" ht="15.75" customHeight="1">
      <c r="A25" s="69"/>
      <c r="B25" s="73"/>
      <c r="C25" s="72"/>
      <c r="D25" s="89"/>
      <c r="E25" s="89"/>
      <c r="F25" s="94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</row>
  </sheetData>
  <mergeCells count="1">
    <mergeCell ref="A1:M1"/>
  </mergeCells>
  <pageMargins left="0.7" right="0.7" top="0.75" bottom="0.75" header="0.3" footer="0.3"/>
  <pageSetup orientation="landscape" r:id="rId1"/>
  <headerFooter>
    <oddHeader>&amp;CNew Orleans Climate Action and Resilience Benefiting Our Neighborhoods (NO CARBON)
Appendix D - GHG Emission Reduction Calculations Spreadsheet</oddHeader>
    <oddFooter>&amp;CMeasure 6
Solar for All NOLA Bridge Subsidy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S40"/>
  <sheetViews>
    <sheetView view="pageLayout" zoomScaleNormal="100" workbookViewId="0">
      <selection sqref="A1:M1"/>
    </sheetView>
  </sheetViews>
  <sheetFormatPr defaultColWidth="12.6328125" defaultRowHeight="15.75" customHeight="1"/>
  <cols>
    <col min="2" max="2" width="32.36328125" customWidth="1"/>
    <col min="3" max="3" width="11.26953125" customWidth="1"/>
    <col min="4" max="4" width="6.7265625" customWidth="1"/>
    <col min="5" max="6" width="12.6328125" hidden="1"/>
    <col min="8" max="8" width="16.453125" customWidth="1"/>
  </cols>
  <sheetData>
    <row r="1" spans="1:19">
      <c r="A1" s="127" t="s">
        <v>165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9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</row>
    <row r="3" spans="1:19">
      <c r="A3" s="95" t="s">
        <v>166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</row>
    <row r="4" spans="1:19">
      <c r="A4" s="95" t="s">
        <v>167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1:19">
      <c r="A5" s="95" t="s">
        <v>168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</row>
    <row r="6" spans="1:19">
      <c r="A6" s="95" t="s">
        <v>169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</row>
    <row r="7" spans="1:19">
      <c r="A7" s="96" t="s">
        <v>170</v>
      </c>
      <c r="B7" s="97"/>
      <c r="C7" s="97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</row>
    <row r="8" spans="1:19">
      <c r="A8" s="95" t="s">
        <v>171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</row>
    <row r="9" spans="1:19">
      <c r="A9" s="95" t="s">
        <v>172</v>
      </c>
      <c r="B9" s="98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</row>
    <row r="10" spans="1:19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</row>
    <row r="11" spans="1:19">
      <c r="A11" s="95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</row>
    <row r="12" spans="1:19">
      <c r="A12" s="95"/>
      <c r="B12" s="99" t="s">
        <v>173</v>
      </c>
      <c r="C12" s="100" t="s">
        <v>174</v>
      </c>
      <c r="D12" s="100" t="s">
        <v>175</v>
      </c>
      <c r="E12" s="99" t="s">
        <v>176</v>
      </c>
      <c r="F12" s="99" t="s">
        <v>177</v>
      </c>
      <c r="G12" s="99" t="s">
        <v>178</v>
      </c>
      <c r="H12" s="101" t="s">
        <v>179</v>
      </c>
      <c r="I12" s="99" t="s">
        <v>180</v>
      </c>
      <c r="J12" s="99" t="s">
        <v>181</v>
      </c>
      <c r="K12" s="99" t="s">
        <v>182</v>
      </c>
      <c r="L12" s="99" t="s">
        <v>183</v>
      </c>
      <c r="M12" s="99" t="s">
        <v>184</v>
      </c>
      <c r="N12" s="99" t="s">
        <v>185</v>
      </c>
      <c r="O12" s="99" t="s">
        <v>186</v>
      </c>
      <c r="P12" s="99" t="s">
        <v>187</v>
      </c>
      <c r="Q12" s="99" t="s">
        <v>188</v>
      </c>
      <c r="R12" s="99" t="s">
        <v>189</v>
      </c>
      <c r="S12" s="99" t="s">
        <v>190</v>
      </c>
    </row>
    <row r="13" spans="1:19">
      <c r="A13" s="102">
        <v>1</v>
      </c>
      <c r="B13" s="95" t="s">
        <v>191</v>
      </c>
      <c r="C13" s="103">
        <v>450</v>
      </c>
      <c r="D13" s="103">
        <v>3</v>
      </c>
      <c r="E13" s="102">
        <f>208.68*C13</f>
        <v>93906</v>
      </c>
      <c r="F13" s="104">
        <f>4.85*C13</f>
        <v>2182.5</v>
      </c>
      <c r="G13" s="102">
        <f>322.8*C13</f>
        <v>145260</v>
      </c>
      <c r="H13" s="105">
        <f>16.55*C13</f>
        <v>7447.5</v>
      </c>
      <c r="I13" s="102">
        <f>0.2*C13</f>
        <v>90</v>
      </c>
      <c r="J13" s="102">
        <f t="shared" ref="J13:J14" si="0">0.24*C13</f>
        <v>108</v>
      </c>
      <c r="K13" s="102">
        <f>0.04*C13</f>
        <v>18</v>
      </c>
      <c r="L13" s="102">
        <f t="shared" ref="L13:L14" si="1">0.04*C13</f>
        <v>18</v>
      </c>
      <c r="M13" s="102">
        <f>0.35*C13</f>
        <v>157.5</v>
      </c>
      <c r="N13" s="102">
        <f>0.04*C13</f>
        <v>18</v>
      </c>
      <c r="O13" s="102">
        <f t="shared" ref="O13:O18" si="2">0.01*C13</f>
        <v>4.5</v>
      </c>
      <c r="P13" s="102">
        <f>0.04*C13</f>
        <v>18</v>
      </c>
      <c r="Q13" s="102">
        <f>0.01*C13</f>
        <v>4.5</v>
      </c>
      <c r="R13" s="104">
        <f>0.16*C13</f>
        <v>72</v>
      </c>
      <c r="S13" s="104">
        <f>7.84*C13</f>
        <v>3528</v>
      </c>
    </row>
    <row r="14" spans="1:19">
      <c r="A14" s="102">
        <v>2</v>
      </c>
      <c r="B14" s="95" t="s">
        <v>192</v>
      </c>
      <c r="C14" s="103">
        <v>1200</v>
      </c>
      <c r="D14" s="103">
        <v>3</v>
      </c>
      <c r="E14" s="102">
        <f>255.5*C14</f>
        <v>306600</v>
      </c>
      <c r="F14" s="104">
        <f>5.94*C14</f>
        <v>7128.0000000000009</v>
      </c>
      <c r="G14" s="102">
        <f>185.9*C14</f>
        <v>223080</v>
      </c>
      <c r="H14" s="105">
        <f>9.53*C14</f>
        <v>11436</v>
      </c>
      <c r="I14" s="102">
        <f t="shared" ref="I14:I18" si="3">0.1*C14</f>
        <v>120</v>
      </c>
      <c r="J14" s="102">
        <f t="shared" si="0"/>
        <v>288</v>
      </c>
      <c r="K14" s="102">
        <f t="shared" ref="K14:K15" si="4">0.05*C14</f>
        <v>60</v>
      </c>
      <c r="L14" s="102">
        <f t="shared" si="1"/>
        <v>48</v>
      </c>
      <c r="M14" s="102">
        <f>0.43*C14</f>
        <v>516</v>
      </c>
      <c r="N14" s="102">
        <f t="shared" ref="N14:N15" si="5">0.03*C14</f>
        <v>36</v>
      </c>
      <c r="O14" s="102">
        <f t="shared" si="2"/>
        <v>12</v>
      </c>
      <c r="P14" s="102">
        <f>0.05*C14</f>
        <v>60</v>
      </c>
      <c r="Q14" s="102">
        <f>0.02*C14</f>
        <v>24</v>
      </c>
      <c r="R14" s="104">
        <f>0.2*C14</f>
        <v>240</v>
      </c>
      <c r="S14" s="104">
        <f>7.63*C14</f>
        <v>9156</v>
      </c>
    </row>
    <row r="15" spans="1:19">
      <c r="A15" s="102">
        <v>3</v>
      </c>
      <c r="B15" s="95" t="s">
        <v>193</v>
      </c>
      <c r="C15" s="103">
        <v>750</v>
      </c>
      <c r="D15" s="103">
        <v>3</v>
      </c>
      <c r="E15" s="102">
        <f>231.3*C15</f>
        <v>173475</v>
      </c>
      <c r="F15" s="104">
        <f>5.38*C15</f>
        <v>4035</v>
      </c>
      <c r="G15" s="102">
        <f>81.1*C15</f>
        <v>60824.999999999993</v>
      </c>
      <c r="H15" s="105">
        <f>4.16*C15</f>
        <v>3120</v>
      </c>
      <c r="I15" s="102">
        <f t="shared" si="3"/>
        <v>75</v>
      </c>
      <c r="J15" s="102">
        <f>0.2*C15</f>
        <v>150</v>
      </c>
      <c r="K15" s="102">
        <f t="shared" si="4"/>
        <v>37.5</v>
      </c>
      <c r="L15" s="102">
        <f>0.03*C15</f>
        <v>22.5</v>
      </c>
      <c r="M15" s="102">
        <f>0.39*C15</f>
        <v>292.5</v>
      </c>
      <c r="N15" s="102">
        <f t="shared" si="5"/>
        <v>22.5</v>
      </c>
      <c r="O15" s="102">
        <f t="shared" si="2"/>
        <v>7.5</v>
      </c>
      <c r="P15" s="102">
        <f>0.04*C15</f>
        <v>30</v>
      </c>
      <c r="Q15" s="102">
        <f>0.01*C15</f>
        <v>7.5</v>
      </c>
      <c r="R15" s="104">
        <f>0.18*C15</f>
        <v>135</v>
      </c>
      <c r="S15" s="104">
        <f>6.63*C15</f>
        <v>4972.5</v>
      </c>
    </row>
    <row r="16" spans="1:19">
      <c r="A16" s="102">
        <v>4</v>
      </c>
      <c r="B16" s="95" t="s">
        <v>194</v>
      </c>
      <c r="C16" s="103">
        <v>600</v>
      </c>
      <c r="D16" s="103">
        <v>3</v>
      </c>
      <c r="E16" s="102">
        <f>141.1*C16</f>
        <v>84660</v>
      </c>
      <c r="F16" s="104">
        <f>3.28*C16</f>
        <v>1967.9999999999998</v>
      </c>
      <c r="G16" s="102">
        <f>142.6*C16</f>
        <v>85560</v>
      </c>
      <c r="H16" s="105">
        <f>7.31*C16</f>
        <v>4386</v>
      </c>
      <c r="I16" s="102">
        <f t="shared" si="3"/>
        <v>60</v>
      </c>
      <c r="J16" s="102">
        <f>0.29*C16</f>
        <v>174</v>
      </c>
      <c r="K16" s="102">
        <f>0.03*C16</f>
        <v>18</v>
      </c>
      <c r="L16" s="102">
        <f t="shared" ref="L16:L17" si="6">0.05*C16</f>
        <v>30</v>
      </c>
      <c r="M16" s="102">
        <f>0.24*C16</f>
        <v>144</v>
      </c>
      <c r="N16" s="102">
        <f>0.04*C16</f>
        <v>24</v>
      </c>
      <c r="O16" s="102">
        <f t="shared" si="2"/>
        <v>6</v>
      </c>
      <c r="P16" s="102">
        <f>0.03*C16</f>
        <v>18</v>
      </c>
      <c r="Q16" s="102">
        <f t="shared" ref="Q16:Q17" si="7">0.02*C16</f>
        <v>12</v>
      </c>
      <c r="R16" s="104">
        <f>0.11*C16</f>
        <v>66</v>
      </c>
      <c r="S16" s="104">
        <f>9.02*C16</f>
        <v>5412</v>
      </c>
    </row>
    <row r="17" spans="1:19">
      <c r="A17" s="102">
        <v>5</v>
      </c>
      <c r="B17" s="95" t="s">
        <v>195</v>
      </c>
      <c r="C17" s="103">
        <v>3000</v>
      </c>
      <c r="D17" s="103">
        <v>3</v>
      </c>
      <c r="E17" s="102">
        <f>206.8*C17</f>
        <v>620400</v>
      </c>
      <c r="F17" s="104">
        <f>4.81*C17</f>
        <v>14429.999999999998</v>
      </c>
      <c r="G17" s="102">
        <f>138.7*C17</f>
        <v>416099.99999999994</v>
      </c>
      <c r="H17" s="105">
        <f>7.11*C17</f>
        <v>21330</v>
      </c>
      <c r="I17" s="102">
        <f t="shared" si="3"/>
        <v>300</v>
      </c>
      <c r="J17" s="102">
        <f>0.3*C17</f>
        <v>900</v>
      </c>
      <c r="K17" s="102">
        <f>0.04*C17</f>
        <v>120</v>
      </c>
      <c r="L17" s="102">
        <f t="shared" si="6"/>
        <v>150</v>
      </c>
      <c r="M17" s="102">
        <f>0.35*C17</f>
        <v>1050</v>
      </c>
      <c r="N17" s="102">
        <f>0.05*C17</f>
        <v>150</v>
      </c>
      <c r="O17" s="102">
        <f t="shared" si="2"/>
        <v>30</v>
      </c>
      <c r="P17" s="102">
        <f>0.04*C17</f>
        <v>120</v>
      </c>
      <c r="Q17" s="102">
        <f t="shared" si="7"/>
        <v>60</v>
      </c>
      <c r="R17" s="104">
        <f>0.16*C17</f>
        <v>480</v>
      </c>
      <c r="S17" s="104">
        <f>9.05*C17</f>
        <v>27150.000000000004</v>
      </c>
    </row>
    <row r="18" spans="1:19">
      <c r="A18" s="106">
        <v>6</v>
      </c>
      <c r="B18" s="107" t="s">
        <v>196</v>
      </c>
      <c r="C18" s="108">
        <v>1500</v>
      </c>
      <c r="D18" s="108">
        <v>3</v>
      </c>
      <c r="E18" s="106">
        <f>255.5*C18</f>
        <v>383250</v>
      </c>
      <c r="F18" s="109">
        <f>5.94*C18</f>
        <v>8910</v>
      </c>
      <c r="G18" s="106">
        <f>111.8*C18</f>
        <v>167700</v>
      </c>
      <c r="H18" s="110">
        <f>4.73*C18</f>
        <v>7095.0000000000009</v>
      </c>
      <c r="I18" s="106">
        <f t="shared" si="3"/>
        <v>150</v>
      </c>
      <c r="J18" s="106">
        <f>0.39*C18</f>
        <v>585</v>
      </c>
      <c r="K18" s="106">
        <f>0.05*C18</f>
        <v>75</v>
      </c>
      <c r="L18" s="106">
        <f>0.07*C18</f>
        <v>105.00000000000001</v>
      </c>
      <c r="M18" s="106">
        <f>0.43*C18</f>
        <v>645</v>
      </c>
      <c r="N18" s="106">
        <f>0.06*C18</f>
        <v>90</v>
      </c>
      <c r="O18" s="106">
        <f t="shared" si="2"/>
        <v>15</v>
      </c>
      <c r="P18" s="106">
        <f>0.05*C18</f>
        <v>75</v>
      </c>
      <c r="Q18" s="106">
        <f>0.03*C18</f>
        <v>45</v>
      </c>
      <c r="R18" s="109">
        <f>0.2*C18</f>
        <v>300</v>
      </c>
      <c r="S18" s="109">
        <f>14.88*C18</f>
        <v>22320</v>
      </c>
    </row>
    <row r="19" spans="1:19">
      <c r="A19" s="111" t="s">
        <v>24</v>
      </c>
      <c r="B19" s="95"/>
      <c r="C19" s="112">
        <f>SUM(C13:C18)</f>
        <v>7500</v>
      </c>
      <c r="D19" s="95"/>
      <c r="E19" s="113">
        <f t="shared" ref="E19:S19" si="8">SUM(E13:E18)</f>
        <v>1662291</v>
      </c>
      <c r="F19" s="114">
        <f t="shared" si="8"/>
        <v>38653.5</v>
      </c>
      <c r="G19" s="115">
        <f t="shared" si="8"/>
        <v>1098525</v>
      </c>
      <c r="H19" s="116">
        <f t="shared" si="8"/>
        <v>54814.5</v>
      </c>
      <c r="I19" s="111">
        <f t="shared" si="8"/>
        <v>795</v>
      </c>
      <c r="J19" s="111">
        <f t="shared" si="8"/>
        <v>2205</v>
      </c>
      <c r="K19" s="111">
        <f t="shared" si="8"/>
        <v>328.5</v>
      </c>
      <c r="L19" s="111">
        <f t="shared" si="8"/>
        <v>373.5</v>
      </c>
      <c r="M19" s="111">
        <f t="shared" si="8"/>
        <v>2805</v>
      </c>
      <c r="N19" s="111">
        <f t="shared" si="8"/>
        <v>340.5</v>
      </c>
      <c r="O19" s="111">
        <f t="shared" si="8"/>
        <v>75</v>
      </c>
      <c r="P19" s="111">
        <f t="shared" si="8"/>
        <v>321</v>
      </c>
      <c r="Q19" s="111">
        <f t="shared" si="8"/>
        <v>153</v>
      </c>
      <c r="R19" s="114">
        <f t="shared" si="8"/>
        <v>1293</v>
      </c>
      <c r="S19" s="114">
        <f t="shared" si="8"/>
        <v>72538.5</v>
      </c>
    </row>
    <row r="20" spans="1:19">
      <c r="A20" s="95"/>
      <c r="B20" s="95"/>
      <c r="C20" s="117" t="s">
        <v>197</v>
      </c>
      <c r="D20" s="95"/>
      <c r="E20" s="95"/>
      <c r="F20" s="95"/>
      <c r="G20" s="118">
        <f>(G19/1000)</f>
        <v>1098.5250000000001</v>
      </c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</row>
    <row r="21" spans="1:19">
      <c r="A21" s="95"/>
      <c r="B21" s="95"/>
      <c r="C21" s="95"/>
      <c r="D21" s="95"/>
      <c r="E21" s="95"/>
      <c r="F21" s="95"/>
      <c r="H21" s="95"/>
      <c r="I21" s="99"/>
      <c r="J21" s="99"/>
      <c r="K21" s="99"/>
      <c r="L21" s="99"/>
      <c r="M21" s="99"/>
      <c r="N21" s="99"/>
      <c r="O21" s="99"/>
      <c r="P21" s="95"/>
      <c r="Q21" s="95"/>
      <c r="R21" s="95"/>
      <c r="S21" s="95"/>
    </row>
    <row r="22" spans="1:19">
      <c r="A22" s="95" t="s">
        <v>166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</row>
    <row r="23" spans="1:19">
      <c r="A23" s="95" t="s">
        <v>167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</row>
    <row r="24" spans="1:19">
      <c r="A24" s="95" t="s">
        <v>168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</row>
    <row r="25" spans="1:19">
      <c r="A25" s="95" t="s">
        <v>169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</row>
    <row r="26" spans="1:19">
      <c r="A26" s="97" t="s">
        <v>198</v>
      </c>
      <c r="B26" s="97"/>
      <c r="C26" s="97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</row>
    <row r="27" spans="1:19">
      <c r="A27" s="95" t="s">
        <v>199</v>
      </c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</row>
    <row r="28" spans="1:19">
      <c r="A28" s="95" t="s">
        <v>172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</row>
    <row r="29" spans="1:19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</row>
    <row r="30" spans="1:19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</row>
    <row r="31" spans="1:19">
      <c r="A31" s="95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</row>
    <row r="32" spans="1:19">
      <c r="A32" s="95"/>
      <c r="B32" s="99" t="s">
        <v>173</v>
      </c>
      <c r="C32" s="100" t="s">
        <v>174</v>
      </c>
      <c r="D32" s="99" t="s">
        <v>175</v>
      </c>
      <c r="E32" s="99" t="s">
        <v>176</v>
      </c>
      <c r="F32" s="99" t="s">
        <v>177</v>
      </c>
      <c r="G32" s="99" t="s">
        <v>178</v>
      </c>
      <c r="H32" s="101" t="s">
        <v>179</v>
      </c>
      <c r="I32" s="99" t="s">
        <v>180</v>
      </c>
      <c r="J32" s="99" t="s">
        <v>181</v>
      </c>
      <c r="K32" s="99" t="s">
        <v>182</v>
      </c>
      <c r="L32" s="99" t="s">
        <v>183</v>
      </c>
      <c r="M32" s="99" t="s">
        <v>184</v>
      </c>
      <c r="N32" s="99" t="s">
        <v>200</v>
      </c>
      <c r="O32" s="99" t="s">
        <v>201</v>
      </c>
      <c r="P32" s="99" t="s">
        <v>187</v>
      </c>
      <c r="Q32" s="99" t="s">
        <v>188</v>
      </c>
      <c r="R32" s="99" t="s">
        <v>189</v>
      </c>
      <c r="S32" s="99" t="s">
        <v>190</v>
      </c>
    </row>
    <row r="33" spans="1:19">
      <c r="A33" s="102">
        <v>1</v>
      </c>
      <c r="B33" s="95" t="s">
        <v>191</v>
      </c>
      <c r="C33" s="103">
        <v>450</v>
      </c>
      <c r="D33" s="103">
        <v>3</v>
      </c>
      <c r="E33" s="119">
        <f>1813.3*C33</f>
        <v>815985</v>
      </c>
      <c r="F33" s="104">
        <f>42.17*C33</f>
        <v>18976.5</v>
      </c>
      <c r="G33" s="120">
        <f>3437.2*C33</f>
        <v>1546740</v>
      </c>
      <c r="H33" s="105">
        <f>176.24*C33</f>
        <v>79308</v>
      </c>
      <c r="I33" s="102">
        <f>1.5*C33</f>
        <v>675</v>
      </c>
      <c r="J33" s="102">
        <f>6.53*C33</f>
        <v>2938.5</v>
      </c>
      <c r="K33" s="102">
        <f>0.39*C33</f>
        <v>175.5</v>
      </c>
      <c r="L33" s="102">
        <f>1.13*C33</f>
        <v>508.49999999999994</v>
      </c>
      <c r="M33" s="102">
        <f>3.04*C33</f>
        <v>1368</v>
      </c>
      <c r="N33" s="102">
        <f>0.99*C33</f>
        <v>445.5</v>
      </c>
      <c r="O33" s="102">
        <f>0.07*C33</f>
        <v>31.500000000000004</v>
      </c>
      <c r="P33" s="102">
        <v>0.32</v>
      </c>
      <c r="Q33" s="102">
        <f>0.49*C33</f>
        <v>220.5</v>
      </c>
      <c r="R33" s="104">
        <v>1.37</v>
      </c>
      <c r="S33" s="104">
        <f>250.22*C33</f>
        <v>112599</v>
      </c>
    </row>
    <row r="34" spans="1:19">
      <c r="A34" s="102">
        <v>2</v>
      </c>
      <c r="B34" s="95" t="s">
        <v>192</v>
      </c>
      <c r="C34" s="103">
        <v>1200</v>
      </c>
      <c r="D34" s="103">
        <v>3</v>
      </c>
      <c r="E34" s="119">
        <f>2734.4*C34</f>
        <v>3281280</v>
      </c>
      <c r="F34" s="104">
        <f>63.59*C34</f>
        <v>76308</v>
      </c>
      <c r="G34" s="120">
        <f>3040.6*C34</f>
        <v>3648720</v>
      </c>
      <c r="H34" s="105">
        <f>155.9*C34</f>
        <v>187080</v>
      </c>
      <c r="I34" s="102">
        <f>1.3*C34</f>
        <v>1560</v>
      </c>
      <c r="J34" s="102">
        <f>3.41*C34</f>
        <v>4092</v>
      </c>
      <c r="K34" s="102">
        <f>0.59*C34</f>
        <v>708</v>
      </c>
      <c r="L34" s="102">
        <f>0.66*C34</f>
        <v>792</v>
      </c>
      <c r="M34" s="102">
        <f>4.59*C34</f>
        <v>5508</v>
      </c>
      <c r="N34" s="102">
        <f>0.47*C34</f>
        <v>564</v>
      </c>
      <c r="O34" s="102">
        <f>0.1*C34</f>
        <v>120</v>
      </c>
      <c r="P34" s="102">
        <v>0.52</v>
      </c>
      <c r="Q34" s="102">
        <f>0.37*C34</f>
        <v>444</v>
      </c>
      <c r="R34" s="104">
        <v>2.17</v>
      </c>
      <c r="S34" s="104">
        <f>164.35*C34</f>
        <v>197220</v>
      </c>
    </row>
    <row r="35" spans="1:19">
      <c r="A35" s="102">
        <v>3</v>
      </c>
      <c r="B35" s="95" t="s">
        <v>202</v>
      </c>
      <c r="C35" s="103">
        <v>750</v>
      </c>
      <c r="D35" s="103">
        <v>3</v>
      </c>
      <c r="E35" s="119">
        <f>2391.9*C35</f>
        <v>1793925</v>
      </c>
      <c r="F35" s="104">
        <f>55.63*C35</f>
        <v>41722.5</v>
      </c>
      <c r="G35" s="120">
        <f>1031*C35</f>
        <v>773250</v>
      </c>
      <c r="H35" s="105">
        <f>52.86*C35</f>
        <v>39645</v>
      </c>
      <c r="I35" s="102">
        <f>0.5*C35</f>
        <v>375</v>
      </c>
      <c r="J35" s="102">
        <f>2.98*C35</f>
        <v>2235</v>
      </c>
      <c r="K35" s="102">
        <f>0.51*C35</f>
        <v>382.5</v>
      </c>
      <c r="L35" s="102">
        <f>0.55*C35</f>
        <v>412.50000000000006</v>
      </c>
      <c r="M35" s="102">
        <f>4.02*C35</f>
        <v>3014.9999999999995</v>
      </c>
      <c r="N35" s="102">
        <f>0.44*C35</f>
        <v>330</v>
      </c>
      <c r="O35" s="102">
        <f>0.09*C35</f>
        <v>67.5</v>
      </c>
      <c r="P35" s="102">
        <v>0.46</v>
      </c>
      <c r="Q35" s="102">
        <f>0.3*C35</f>
        <v>225</v>
      </c>
      <c r="R35" s="104">
        <v>1.9</v>
      </c>
      <c r="S35" s="104">
        <f>148.68*C35</f>
        <v>111510</v>
      </c>
    </row>
    <row r="36" spans="1:19">
      <c r="A36" s="102">
        <v>4</v>
      </c>
      <c r="B36" s="95" t="s">
        <v>194</v>
      </c>
      <c r="C36" s="103">
        <v>600</v>
      </c>
      <c r="D36" s="103">
        <v>3</v>
      </c>
      <c r="E36" s="119">
        <f>2324.2*C36</f>
        <v>1394520</v>
      </c>
      <c r="F36" s="104">
        <f>54.05*C36</f>
        <v>32430</v>
      </c>
      <c r="G36" s="120">
        <f>2451*C36</f>
        <v>1470600</v>
      </c>
      <c r="H36" s="105">
        <f>125.67*C36</f>
        <v>75402</v>
      </c>
      <c r="I36" s="102">
        <f>1.1*C36</f>
        <v>660</v>
      </c>
      <c r="J36" s="102">
        <f>6.97*C36</f>
        <v>4182</v>
      </c>
      <c r="K36" s="102">
        <f>0.5*C36</f>
        <v>300</v>
      </c>
      <c r="L36" s="102">
        <f>1.3*C36</f>
        <v>780</v>
      </c>
      <c r="M36" s="102">
        <f>3.9*C36</f>
        <v>2340</v>
      </c>
      <c r="N36" s="102">
        <f>0.97*C36</f>
        <v>582</v>
      </c>
      <c r="O36" s="102">
        <f t="shared" ref="O36:O37" si="9">0.08*C36</f>
        <v>48</v>
      </c>
      <c r="P36" s="102">
        <v>0.44</v>
      </c>
      <c r="Q36" s="102">
        <f>0.63*C36</f>
        <v>378</v>
      </c>
      <c r="R36" s="104">
        <v>1.84</v>
      </c>
      <c r="S36" s="104">
        <f>283.16*C36</f>
        <v>169896.00000000003</v>
      </c>
    </row>
    <row r="37" spans="1:19">
      <c r="A37" s="102">
        <v>5</v>
      </c>
      <c r="B37" s="95" t="s">
        <v>195</v>
      </c>
      <c r="C37" s="103">
        <v>3000</v>
      </c>
      <c r="D37" s="103">
        <v>3</v>
      </c>
      <c r="E37" s="119">
        <f>2104.8*C37</f>
        <v>6314400.0000000009</v>
      </c>
      <c r="F37" s="104">
        <f>48.95*C37</f>
        <v>146850</v>
      </c>
      <c r="G37" s="120">
        <f>1314.2*C37</f>
        <v>3942600</v>
      </c>
      <c r="H37" s="105">
        <f>67.38*C37</f>
        <v>202140</v>
      </c>
      <c r="I37" s="102">
        <f>0.6*C37</f>
        <v>1800</v>
      </c>
      <c r="J37" s="102">
        <f>3.94*C37</f>
        <v>11820</v>
      </c>
      <c r="K37" s="102">
        <f>0.45*C37</f>
        <v>1350</v>
      </c>
      <c r="L37" s="102">
        <f>0.7*C37</f>
        <v>2100</v>
      </c>
      <c r="M37" s="102">
        <f>3.53*C37</f>
        <v>10590</v>
      </c>
      <c r="N37" s="102">
        <f>0.59*C37</f>
        <v>1770</v>
      </c>
      <c r="O37" s="102">
        <f t="shared" si="9"/>
        <v>240</v>
      </c>
      <c r="P37" s="102">
        <v>0.37</v>
      </c>
      <c r="Q37" s="102">
        <f>0.33*C37</f>
        <v>990</v>
      </c>
      <c r="R37" s="104">
        <v>1.57</v>
      </c>
      <c r="S37" s="104">
        <f>165.44*C37</f>
        <v>496320</v>
      </c>
    </row>
    <row r="38" spans="1:19">
      <c r="A38" s="106">
        <v>6</v>
      </c>
      <c r="B38" s="107" t="s">
        <v>196</v>
      </c>
      <c r="C38" s="108">
        <v>1500</v>
      </c>
      <c r="D38" s="108">
        <v>3</v>
      </c>
      <c r="E38" s="121">
        <f>2955.7*C38</f>
        <v>4433550</v>
      </c>
      <c r="F38" s="109">
        <f>68.74*C38</f>
        <v>103109.99999999999</v>
      </c>
      <c r="G38" s="122">
        <f>1537.6*C38</f>
        <v>2306400</v>
      </c>
      <c r="H38" s="110">
        <f>78.84*C38</f>
        <v>118260</v>
      </c>
      <c r="I38" s="106">
        <f>0.7*C38</f>
        <v>1050</v>
      </c>
      <c r="J38" s="106">
        <f>3.87*C38</f>
        <v>5805</v>
      </c>
      <c r="K38" s="106">
        <f>0.63*C38</f>
        <v>945</v>
      </c>
      <c r="L38" s="106">
        <f>0.74*C38</f>
        <v>1110</v>
      </c>
      <c r="M38" s="106">
        <f>4.96*C38</f>
        <v>7440</v>
      </c>
      <c r="N38" s="106">
        <f>0.56*C38</f>
        <v>840.00000000000011</v>
      </c>
      <c r="O38" s="106">
        <f>0.11*C38</f>
        <v>165</v>
      </c>
      <c r="P38" s="106">
        <v>0.5</v>
      </c>
      <c r="Q38" s="106">
        <f>0.43*C38</f>
        <v>645</v>
      </c>
      <c r="R38" s="109">
        <v>2.16</v>
      </c>
      <c r="S38" s="109">
        <f>212.28*C38</f>
        <v>318420</v>
      </c>
    </row>
    <row r="39" spans="1:19">
      <c r="A39" s="111" t="s">
        <v>24</v>
      </c>
      <c r="B39" s="95"/>
      <c r="C39" s="112">
        <f>SUM(C33:C38)</f>
        <v>7500</v>
      </c>
      <c r="D39" s="95"/>
      <c r="E39" s="113">
        <f t="shared" ref="E39:O39" si="10">SUM(E33:E38)</f>
        <v>18033660</v>
      </c>
      <c r="F39" s="114">
        <f t="shared" si="10"/>
        <v>419397</v>
      </c>
      <c r="G39" s="115">
        <f t="shared" si="10"/>
        <v>13688310</v>
      </c>
      <c r="H39" s="116">
        <f t="shared" si="10"/>
        <v>701835</v>
      </c>
      <c r="I39" s="111">
        <f t="shared" si="10"/>
        <v>6120</v>
      </c>
      <c r="J39" s="111">
        <f t="shared" si="10"/>
        <v>31072.5</v>
      </c>
      <c r="K39" s="111">
        <f t="shared" si="10"/>
        <v>3861</v>
      </c>
      <c r="L39" s="111">
        <f t="shared" si="10"/>
        <v>5703</v>
      </c>
      <c r="M39" s="111">
        <f t="shared" si="10"/>
        <v>30261</v>
      </c>
      <c r="N39" s="111">
        <f t="shared" si="10"/>
        <v>4531.5</v>
      </c>
      <c r="O39" s="111">
        <f t="shared" si="10"/>
        <v>672</v>
      </c>
      <c r="P39" s="111">
        <v>2.6</v>
      </c>
      <c r="Q39" s="111">
        <f>SUM(Q33:Q38)</f>
        <v>2902.5</v>
      </c>
      <c r="R39" s="114">
        <v>11.01</v>
      </c>
      <c r="S39" s="114">
        <f>SUM(S33:S38)</f>
        <v>1405965</v>
      </c>
    </row>
    <row r="40" spans="1:19">
      <c r="A40" s="95"/>
      <c r="B40" s="95"/>
      <c r="C40" s="117" t="s">
        <v>203</v>
      </c>
      <c r="D40" s="95"/>
      <c r="E40" s="95"/>
      <c r="F40" s="95"/>
      <c r="G40" s="118">
        <f>(G39/1000)</f>
        <v>13688.31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</row>
  </sheetData>
  <mergeCells count="1">
    <mergeCell ref="A1:M1"/>
  </mergeCells>
  <pageMargins left="0.7" right="0.7" top="0.75" bottom="0.75" header="0.3" footer="0.3"/>
  <pageSetup orientation="landscape" r:id="rId1"/>
  <headerFooter>
    <oddHeader>&amp;CNew Orleans Climate Action and Resilience Benefiting Our Neighborhoods (NO CARBON)
Appendix D - GHG Emission Reduction Calculations Spreadsheet</oddHeader>
    <oddFooter>&amp;CMeasure 7
Reforestation Plan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229DB4DB31BD48A80376A0B244729B" ma:contentTypeVersion="14" ma:contentTypeDescription="Create a new document." ma:contentTypeScope="" ma:versionID="0a659aca23c46029e6cfbccfebbad46f">
  <xsd:schema xmlns:xsd="http://www.w3.org/2001/XMLSchema" xmlns:xs="http://www.w3.org/2001/XMLSchema" xmlns:p="http://schemas.microsoft.com/office/2006/metadata/properties" xmlns:ns2="6d8ee2ae-d927-4900-8b43-d073ab28303b" xmlns:ns3="d5bfd251-a914-44e4-86e2-baf32357b529" targetNamespace="http://schemas.microsoft.com/office/2006/metadata/properties" ma:root="true" ma:fieldsID="1dc9764831ff4f0d911cda57da91c210" ns2:_="" ns3:_="">
    <xsd:import namespace="6d8ee2ae-d927-4900-8b43-d073ab28303b"/>
    <xsd:import namespace="d5bfd251-a914-44e4-86e2-baf32357b5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8ee2ae-d927-4900-8b43-d073ab2830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abb12ba4-be90-464f-b02c-3d5a455f49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bfd251-a914-44e4-86e2-baf32357b52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af55bd2f-cf56-4085-b2e5-616d2ca236ac}" ma:internalName="TaxCatchAll" ma:showField="CatchAllData" ma:web="d5bfd251-a914-44e4-86e2-baf32357b5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D161FB-7FDE-473F-BC8A-ADBAE61D6FB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D873AB-0E65-4624-A21F-C1FB4935C7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8ee2ae-d927-4900-8b43-d073ab28303b"/>
    <ds:schemaRef ds:uri="d5bfd251-a914-44e4-86e2-baf32357b5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1. Protected Bikeways</vt:lpstr>
      <vt:lpstr>2. Bike Share Expansion</vt:lpstr>
      <vt:lpstr>3. E-bike Rebates</vt:lpstr>
      <vt:lpstr>4. Benchmarking</vt:lpstr>
      <vt:lpstr>5. Municipal Building Decarboni</vt:lpstr>
      <vt:lpstr>6. Solar for All NOLA Bridge Su</vt:lpstr>
      <vt:lpstr>7. Reforestation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Daniel Jatres</cp:lastModifiedBy>
  <dcterms:modified xsi:type="dcterms:W3CDTF">2024-03-29T17:02:44Z</dcterms:modified>
</cp:coreProperties>
</file>