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codeName="ThisWorkbook" defaultThemeVersion="166925"/>
  <xr:revisionPtr revIDLastSave="2720" documentId="8_{8C794FCC-600B-4574-80D7-A95DE8243E6C}" xr6:coauthVersionLast="47" xr6:coauthVersionMax="47" xr10:uidLastSave="{21868DCA-55FE-410C-9646-321FF7FEA950}"/>
  <bookViews>
    <workbookView xWindow="28680" yWindow="-120" windowWidth="29040" windowHeight="15720" tabRatio="979" activeTab="6" xr2:uid="{AAC398A2-E95D-4231-A920-55B8B1C73F3F}"/>
  </bookViews>
  <sheets>
    <sheet name="Consolidated Budget" sheetId="30" r:id="rId1"/>
    <sheet name="NYPL (Measure 1) Budget" sheetId="27" r:id="rId2"/>
    <sheet name="NYPD (Measure 2) Budget" sheetId="28" r:id="rId3"/>
    <sheet name="Health Bldg (Measure 3) Budget" sheetId="31" r:id="rId4"/>
    <sheet name="NYCPS (Measure 4) Budget" sheetId="29" r:id="rId5"/>
    <sheet name="NYCHA (Measure 5) Budget" sheetId="16" r:id="rId6"/>
    <sheet name="HPD (Measure 6) Budget" sheetId="35" r:id="rId7"/>
  </sheets>
  <definedNames>
    <definedName name="_xlnm._FilterDatabase" localSheetId="0" hidden="1">'Consolidated Budget'!#REF!</definedName>
    <definedName name="_xlnm._FilterDatabase" localSheetId="3" hidden="1">'Health Bldg (Measure 3) Budget'!#REF!</definedName>
    <definedName name="_xlnm._FilterDatabase" localSheetId="6" hidden="1">'HPD (Measure 6) Budget'!#REF!</definedName>
    <definedName name="_xlnm._FilterDatabase" localSheetId="5" hidden="1">'NYCHA (Measure 5) Budget'!#REF!</definedName>
    <definedName name="_xlnm._FilterDatabase" localSheetId="4" hidden="1">'NYCPS (Measure 4) Budget'!#REF!</definedName>
    <definedName name="_xlnm._FilterDatabase" localSheetId="2" hidden="1">'NYPD (Measure 2) Budget'!#REF!</definedName>
    <definedName name="_xlnm._FilterDatabase" localSheetId="1" hidden="1">'NYPL (Measure 1) Budget'!#REF!</definedName>
    <definedName name="_xlnm.Print_Area" localSheetId="0">'Consolidated Budget'!$A$1:$K$33</definedName>
    <definedName name="_xlnm.Print_Area" localSheetId="3">'Health Bldg (Measure 3) Budget'!$A$1:$K$48</definedName>
    <definedName name="_xlnm.Print_Area" localSheetId="6">'HPD (Measure 6) Budget'!$A$1:$K$51</definedName>
    <definedName name="_xlnm.Print_Area" localSheetId="5">'NYCHA (Measure 5) Budget'!$A$1:$K$67</definedName>
    <definedName name="_xlnm.Print_Area" localSheetId="4">'NYCPS (Measure 4) Budget'!$A$1:$K$52</definedName>
    <definedName name="_xlnm.Print_Area" localSheetId="2">'NYPD (Measure 2) Budget'!$A$1:$K$62</definedName>
    <definedName name="_xlnm.Print_Area" localSheetId="1">'NYPL (Measure 1) Budget'!$A$1:$K$46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30" l="1"/>
  <c r="D27" i="30"/>
  <c r="J65" i="16"/>
  <c r="J57" i="16"/>
  <c r="D58" i="16"/>
  <c r="E57" i="16"/>
  <c r="F57" i="16"/>
  <c r="G57" i="16"/>
  <c r="H57" i="16"/>
  <c r="D57" i="16"/>
  <c r="J32" i="16" l="1"/>
  <c r="J35" i="29"/>
  <c r="J36" i="29"/>
  <c r="H31" i="29"/>
  <c r="G31" i="29"/>
  <c r="F31" i="29"/>
  <c r="E31" i="29"/>
  <c r="D31" i="29"/>
  <c r="J30" i="29"/>
  <c r="J15" i="31"/>
  <c r="J16" i="31"/>
  <c r="H44" i="28"/>
  <c r="G44" i="28"/>
  <c r="F44" i="28"/>
  <c r="H43" i="28"/>
  <c r="G43" i="28"/>
  <c r="F43" i="28"/>
  <c r="H34" i="29"/>
  <c r="G34" i="29"/>
  <c r="F34" i="29"/>
  <c r="E34" i="29"/>
  <c r="D34" i="29"/>
  <c r="H33" i="29"/>
  <c r="G33" i="29"/>
  <c r="F33" i="29"/>
  <c r="E33" i="29"/>
  <c r="D33" i="29"/>
  <c r="J33" i="29" s="1"/>
  <c r="H32" i="29"/>
  <c r="G32" i="29"/>
  <c r="F32" i="29"/>
  <c r="E32" i="29"/>
  <c r="D32" i="29"/>
  <c r="J45" i="16"/>
  <c r="J41" i="16"/>
  <c r="J37" i="16"/>
  <c r="H44" i="16"/>
  <c r="G44" i="16"/>
  <c r="F44" i="16"/>
  <c r="E44" i="16"/>
  <c r="D44" i="16"/>
  <c r="J44" i="16" s="1"/>
  <c r="H43" i="16"/>
  <c r="G43" i="16"/>
  <c r="F43" i="16"/>
  <c r="E43" i="16"/>
  <c r="J43" i="16" s="1"/>
  <c r="H40" i="16"/>
  <c r="G40" i="16"/>
  <c r="F40" i="16"/>
  <c r="E40" i="16"/>
  <c r="D40" i="16"/>
  <c r="J40" i="16" s="1"/>
  <c r="H39" i="16"/>
  <c r="G39" i="16"/>
  <c r="F39" i="16"/>
  <c r="E39" i="16"/>
  <c r="J39" i="16" s="1"/>
  <c r="H36" i="16"/>
  <c r="G36" i="16"/>
  <c r="F36" i="16"/>
  <c r="E36" i="16"/>
  <c r="D36" i="16"/>
  <c r="H35" i="16"/>
  <c r="G35" i="16"/>
  <c r="F35" i="16"/>
  <c r="E35" i="16"/>
  <c r="H37" i="35"/>
  <c r="G37" i="35"/>
  <c r="F37" i="35"/>
  <c r="E37" i="35"/>
  <c r="H36" i="35"/>
  <c r="H39" i="35" s="1"/>
  <c r="G36" i="35"/>
  <c r="G39" i="35" s="1"/>
  <c r="F36" i="35"/>
  <c r="F39" i="35" s="1"/>
  <c r="E36" i="35"/>
  <c r="E39" i="35" s="1"/>
  <c r="D35" i="35"/>
  <c r="D39" i="35" s="1"/>
  <c r="D30" i="31"/>
  <c r="D49" i="28"/>
  <c r="J9" i="27"/>
  <c r="J8" i="27"/>
  <c r="J31" i="29" l="1"/>
  <c r="D38" i="29"/>
  <c r="E38" i="29"/>
  <c r="F38" i="29"/>
  <c r="G38" i="29"/>
  <c r="H38" i="29"/>
  <c r="J39" i="35"/>
  <c r="J35" i="16"/>
  <c r="J36" i="16"/>
  <c r="J32" i="29"/>
  <c r="J34" i="29"/>
  <c r="J48" i="16"/>
  <c r="J38" i="29" l="1"/>
  <c r="H30" i="27"/>
  <c r="G30" i="27"/>
  <c r="F30" i="27"/>
  <c r="H29" i="27"/>
  <c r="G29" i="27"/>
  <c r="F29" i="27"/>
  <c r="H28" i="27"/>
  <c r="G28" i="27"/>
  <c r="F28" i="27"/>
  <c r="H27" i="27"/>
  <c r="F27" i="27"/>
  <c r="G27" i="27"/>
  <c r="H46" i="28"/>
  <c r="G46" i="28"/>
  <c r="F46" i="28"/>
  <c r="J46" i="28" s="1"/>
  <c r="H45" i="28"/>
  <c r="G45" i="28"/>
  <c r="F45" i="28"/>
  <c r="H31" i="31"/>
  <c r="G31" i="31"/>
  <c r="H29" i="31"/>
  <c r="G29" i="31"/>
  <c r="F29" i="31"/>
  <c r="E29" i="31"/>
  <c r="D29" i="31"/>
  <c r="H30" i="31"/>
  <c r="G30" i="31"/>
  <c r="F30" i="31"/>
  <c r="E30" i="31"/>
  <c r="G28" i="31"/>
  <c r="F28" i="31"/>
  <c r="G27" i="31"/>
  <c r="F27" i="31"/>
  <c r="J31" i="27" l="1"/>
  <c r="J31" i="31" l="1"/>
  <c r="H12" i="27" l="1"/>
  <c r="H14" i="27" s="1"/>
  <c r="G12" i="27"/>
  <c r="F12" i="27"/>
  <c r="E12" i="27"/>
  <c r="J8" i="28"/>
  <c r="G14" i="27" l="1"/>
  <c r="F14" i="27"/>
  <c r="E14" i="27"/>
  <c r="H10" i="35"/>
  <c r="H14" i="35" s="1"/>
  <c r="G10" i="35"/>
  <c r="G14" i="35" s="1"/>
  <c r="F10" i="35"/>
  <c r="F14" i="35" s="1"/>
  <c r="E10" i="35"/>
  <c r="E14" i="35" s="1"/>
  <c r="D10" i="35"/>
  <c r="D14" i="35" s="1"/>
  <c r="J10" i="35"/>
  <c r="I47" i="35"/>
  <c r="H45" i="35"/>
  <c r="G45" i="35"/>
  <c r="F45" i="35"/>
  <c r="E45" i="35"/>
  <c r="D45" i="35"/>
  <c r="J44" i="35"/>
  <c r="J43" i="35"/>
  <c r="J38" i="35"/>
  <c r="J37" i="35"/>
  <c r="J36" i="35"/>
  <c r="J35" i="35"/>
  <c r="J34" i="35"/>
  <c r="J33" i="35"/>
  <c r="I28" i="35"/>
  <c r="H28" i="35"/>
  <c r="G28" i="35"/>
  <c r="F28" i="35"/>
  <c r="E28" i="35"/>
  <c r="D28" i="35"/>
  <c r="H25" i="35"/>
  <c r="G25" i="35"/>
  <c r="F25" i="35"/>
  <c r="E25" i="35"/>
  <c r="D25" i="35"/>
  <c r="J24" i="35"/>
  <c r="J23" i="35"/>
  <c r="H21" i="35"/>
  <c r="G21" i="35"/>
  <c r="F21" i="35"/>
  <c r="E21" i="35"/>
  <c r="D21" i="35"/>
  <c r="J20" i="35"/>
  <c r="J19" i="35"/>
  <c r="H17" i="35"/>
  <c r="G17" i="35"/>
  <c r="F17" i="35"/>
  <c r="E17" i="35"/>
  <c r="D17" i="35"/>
  <c r="J16" i="35"/>
  <c r="I14" i="35"/>
  <c r="I10" i="35"/>
  <c r="J14" i="35" l="1"/>
  <c r="J21" i="35"/>
  <c r="J25" i="35"/>
  <c r="J17" i="35"/>
  <c r="E40" i="35"/>
  <c r="E47" i="35" s="1"/>
  <c r="G40" i="35"/>
  <c r="G47" i="35" s="1"/>
  <c r="J45" i="35"/>
  <c r="F40" i="35"/>
  <c r="F47" i="35" s="1"/>
  <c r="H40" i="35"/>
  <c r="H47" i="35" s="1"/>
  <c r="J28" i="35"/>
  <c r="D40" i="35"/>
  <c r="I33" i="31"/>
  <c r="H33" i="31"/>
  <c r="G33" i="31"/>
  <c r="F33" i="31"/>
  <c r="E33" i="31"/>
  <c r="D33" i="31"/>
  <c r="J30" i="31"/>
  <c r="J29" i="31"/>
  <c r="J28" i="31"/>
  <c r="J27" i="31"/>
  <c r="J23" i="28"/>
  <c r="J22" i="28"/>
  <c r="J21" i="28"/>
  <c r="J20" i="28"/>
  <c r="J19" i="28"/>
  <c r="D25" i="28"/>
  <c r="J18" i="28"/>
  <c r="J17" i="28"/>
  <c r="J16" i="28"/>
  <c r="J14" i="28"/>
  <c r="J13" i="28"/>
  <c r="J12" i="28"/>
  <c r="I13" i="31"/>
  <c r="H13" i="31"/>
  <c r="G13" i="31"/>
  <c r="F13" i="31"/>
  <c r="E13" i="31"/>
  <c r="I9" i="31"/>
  <c r="H9" i="31"/>
  <c r="G9" i="31"/>
  <c r="F9" i="31"/>
  <c r="E9" i="31"/>
  <c r="D27" i="29"/>
  <c r="I25" i="28"/>
  <c r="H25" i="28"/>
  <c r="H27" i="28" s="1"/>
  <c r="G25" i="28"/>
  <c r="G27" i="28" s="1"/>
  <c r="F25" i="28"/>
  <c r="F27" i="28" s="1"/>
  <c r="E25" i="28"/>
  <c r="E27" i="28" s="1"/>
  <c r="H16" i="27"/>
  <c r="G16" i="27"/>
  <c r="F16" i="27"/>
  <c r="E16" i="27"/>
  <c r="D12" i="27"/>
  <c r="D14" i="27" s="1"/>
  <c r="J14" i="27" s="1"/>
  <c r="J16" i="27" s="1"/>
  <c r="J9" i="31"/>
  <c r="J40" i="35" l="1"/>
  <c r="J47" i="35" s="1"/>
  <c r="D28" i="30" s="1"/>
  <c r="D47" i="35"/>
  <c r="J33" i="31"/>
  <c r="D9" i="31"/>
  <c r="D13" i="31" s="1"/>
  <c r="D41" i="27" l="1"/>
  <c r="H33" i="27"/>
  <c r="G33" i="27"/>
  <c r="F33" i="27"/>
  <c r="E33" i="27"/>
  <c r="D33" i="27"/>
  <c r="J30" i="27"/>
  <c r="J29" i="27"/>
  <c r="J28" i="27"/>
  <c r="J27" i="27"/>
  <c r="J33" i="27" l="1"/>
  <c r="D27" i="28"/>
  <c r="D29" i="28" s="1"/>
  <c r="D16" i="27" l="1"/>
  <c r="J11" i="27"/>
  <c r="J44" i="28" l="1"/>
  <c r="J45" i="28" l="1"/>
  <c r="J55" i="16" l="1"/>
  <c r="J54" i="16"/>
  <c r="J52" i="16"/>
  <c r="J51" i="16"/>
  <c r="J31" i="28" l="1"/>
  <c r="E58" i="28"/>
  <c r="F58" i="28"/>
  <c r="J47" i="28"/>
  <c r="H29" i="28"/>
  <c r="I44" i="31"/>
  <c r="H42" i="31"/>
  <c r="G42" i="31"/>
  <c r="F42" i="31"/>
  <c r="E42" i="31"/>
  <c r="D42" i="31"/>
  <c r="J41" i="31"/>
  <c r="J40" i="31"/>
  <c r="H36" i="31"/>
  <c r="G36" i="31"/>
  <c r="F36" i="31"/>
  <c r="E36" i="31"/>
  <c r="D36" i="31"/>
  <c r="J35" i="31"/>
  <c r="H25" i="31"/>
  <c r="G25" i="31"/>
  <c r="F25" i="31"/>
  <c r="E25" i="31"/>
  <c r="D25" i="31"/>
  <c r="J24" i="31"/>
  <c r="J23" i="31"/>
  <c r="H21" i="31"/>
  <c r="G21" i="31"/>
  <c r="F21" i="31"/>
  <c r="E21" i="31"/>
  <c r="D21" i="31"/>
  <c r="J20" i="31"/>
  <c r="J19" i="31"/>
  <c r="H17" i="31"/>
  <c r="G17" i="31"/>
  <c r="F17" i="31"/>
  <c r="E17" i="31"/>
  <c r="D17" i="31"/>
  <c r="J11" i="31"/>
  <c r="J13" i="31" s="1"/>
  <c r="I46" i="29"/>
  <c r="H44" i="29"/>
  <c r="G44" i="29"/>
  <c r="F44" i="29"/>
  <c r="E44" i="29"/>
  <c r="D44" i="29"/>
  <c r="J43" i="29"/>
  <c r="J42" i="29"/>
  <c r="H27" i="29"/>
  <c r="G27" i="29"/>
  <c r="F27" i="29"/>
  <c r="E27" i="29"/>
  <c r="H24" i="29"/>
  <c r="G24" i="29"/>
  <c r="F24" i="29"/>
  <c r="E24" i="29"/>
  <c r="D24" i="29"/>
  <c r="J23" i="29"/>
  <c r="J22" i="29"/>
  <c r="H20" i="29"/>
  <c r="G20" i="29"/>
  <c r="F20" i="29"/>
  <c r="E20" i="29"/>
  <c r="D20" i="29"/>
  <c r="J19" i="29"/>
  <c r="J18" i="29"/>
  <c r="H16" i="29"/>
  <c r="G16" i="29"/>
  <c r="F16" i="29"/>
  <c r="E16" i="29"/>
  <c r="D16" i="29"/>
  <c r="J15" i="29"/>
  <c r="I13" i="29"/>
  <c r="J12" i="29"/>
  <c r="I10" i="29"/>
  <c r="H10" i="29"/>
  <c r="G10" i="29"/>
  <c r="G13" i="29" s="1"/>
  <c r="F10" i="29"/>
  <c r="F13" i="29" s="1"/>
  <c r="E10" i="29"/>
  <c r="E13" i="29" s="1"/>
  <c r="D10" i="29"/>
  <c r="D13" i="29" s="1"/>
  <c r="I60" i="28"/>
  <c r="H58" i="28"/>
  <c r="G58" i="28"/>
  <c r="D58" i="28"/>
  <c r="H53" i="28"/>
  <c r="G53" i="28"/>
  <c r="F53" i="28"/>
  <c r="E53" i="28"/>
  <c r="D53" i="28"/>
  <c r="J52" i="28"/>
  <c r="J51" i="28"/>
  <c r="H49" i="28"/>
  <c r="G49" i="28"/>
  <c r="F49" i="28"/>
  <c r="E49" i="28"/>
  <c r="J43" i="28"/>
  <c r="H41" i="28"/>
  <c r="G41" i="28"/>
  <c r="F41" i="28"/>
  <c r="E41" i="28"/>
  <c r="D41" i="28"/>
  <c r="J40" i="28"/>
  <c r="J39" i="28"/>
  <c r="H37" i="28"/>
  <c r="G37" i="28"/>
  <c r="F37" i="28"/>
  <c r="E37" i="28"/>
  <c r="D37" i="28"/>
  <c r="J36" i="28"/>
  <c r="J35" i="28"/>
  <c r="H33" i="28"/>
  <c r="G33" i="28"/>
  <c r="F33" i="28"/>
  <c r="E33" i="28"/>
  <c r="D33" i="28"/>
  <c r="J32" i="28"/>
  <c r="I29" i="28"/>
  <c r="G29" i="28"/>
  <c r="F29" i="28"/>
  <c r="E29" i="28"/>
  <c r="J10" i="28"/>
  <c r="J9" i="28"/>
  <c r="I43" i="27"/>
  <c r="H41" i="27"/>
  <c r="G41" i="27"/>
  <c r="F41" i="27"/>
  <c r="E41" i="27"/>
  <c r="J40" i="27"/>
  <c r="H36" i="27"/>
  <c r="G36" i="27"/>
  <c r="F36" i="27"/>
  <c r="E36" i="27"/>
  <c r="D36" i="27"/>
  <c r="J35" i="27"/>
  <c r="H25" i="27"/>
  <c r="G25" i="27"/>
  <c r="F25" i="27"/>
  <c r="E25" i="27"/>
  <c r="D25" i="27"/>
  <c r="J24" i="27"/>
  <c r="H22" i="27"/>
  <c r="G22" i="27"/>
  <c r="F22" i="27"/>
  <c r="E22" i="27"/>
  <c r="D22" i="27"/>
  <c r="J21" i="27"/>
  <c r="H19" i="27"/>
  <c r="G19" i="27"/>
  <c r="F19" i="27"/>
  <c r="E19" i="27"/>
  <c r="D19" i="27"/>
  <c r="J18" i="27"/>
  <c r="I16" i="27"/>
  <c r="I12" i="27"/>
  <c r="J10" i="27"/>
  <c r="J12" i="27" s="1"/>
  <c r="E63" i="16"/>
  <c r="F63" i="16"/>
  <c r="G63" i="16"/>
  <c r="H63" i="16"/>
  <c r="D63" i="16"/>
  <c r="J62" i="16"/>
  <c r="J61" i="16"/>
  <c r="E29" i="16"/>
  <c r="F29" i="16"/>
  <c r="G29" i="16"/>
  <c r="H29" i="16"/>
  <c r="D29" i="16"/>
  <c r="E25" i="16"/>
  <c r="F25" i="16"/>
  <c r="G25" i="16"/>
  <c r="H25" i="16"/>
  <c r="D25" i="16"/>
  <c r="J23" i="16"/>
  <c r="J24" i="16"/>
  <c r="J49" i="16"/>
  <c r="E21" i="16"/>
  <c r="F21" i="16"/>
  <c r="G21" i="16"/>
  <c r="H21" i="16"/>
  <c r="D21" i="16"/>
  <c r="J20" i="16"/>
  <c r="J19" i="16"/>
  <c r="E17" i="16"/>
  <c r="F17" i="16"/>
  <c r="G17" i="16"/>
  <c r="H17" i="16"/>
  <c r="D17" i="16"/>
  <c r="J16" i="16"/>
  <c r="E10" i="16"/>
  <c r="F10" i="16"/>
  <c r="G10" i="16"/>
  <c r="H10" i="16"/>
  <c r="D10" i="16"/>
  <c r="D14" i="16" l="1"/>
  <c r="D8" i="30" s="1"/>
  <c r="G14" i="16"/>
  <c r="F14" i="16"/>
  <c r="H14" i="16"/>
  <c r="H58" i="16" s="1"/>
  <c r="H65" i="16" s="1"/>
  <c r="J20" i="29"/>
  <c r="J13" i="29"/>
  <c r="H13" i="29"/>
  <c r="D65" i="16"/>
  <c r="D16" i="30"/>
  <c r="G12" i="30"/>
  <c r="H12" i="30"/>
  <c r="H9" i="30"/>
  <c r="E12" i="30"/>
  <c r="F12" i="30"/>
  <c r="E13" i="30"/>
  <c r="H7" i="30"/>
  <c r="G7" i="30"/>
  <c r="D10" i="30"/>
  <c r="E11" i="30"/>
  <c r="D12" i="30"/>
  <c r="F7" i="30"/>
  <c r="E7" i="30"/>
  <c r="E14" i="16"/>
  <c r="E8" i="30" s="1"/>
  <c r="G13" i="30"/>
  <c r="E10" i="30"/>
  <c r="F10" i="30"/>
  <c r="G10" i="30"/>
  <c r="H13" i="30"/>
  <c r="F13" i="30"/>
  <c r="H10" i="30"/>
  <c r="F9" i="30"/>
  <c r="H11" i="30"/>
  <c r="D11" i="30"/>
  <c r="D9" i="30"/>
  <c r="F11" i="30"/>
  <c r="E16" i="30"/>
  <c r="E9" i="30"/>
  <c r="G11" i="30"/>
  <c r="F16" i="30"/>
  <c r="G16" i="30"/>
  <c r="G9" i="30"/>
  <c r="H16" i="30"/>
  <c r="D13" i="30"/>
  <c r="D37" i="27"/>
  <c r="D43" i="27" s="1"/>
  <c r="D7" i="30"/>
  <c r="J25" i="28"/>
  <c r="J25" i="31"/>
  <c r="J17" i="31"/>
  <c r="J42" i="31"/>
  <c r="J21" i="31"/>
  <c r="J24" i="29"/>
  <c r="J10" i="29"/>
  <c r="J27" i="28"/>
  <c r="J29" i="28" s="1"/>
  <c r="J22" i="27"/>
  <c r="J25" i="27"/>
  <c r="J19" i="27"/>
  <c r="J36" i="27"/>
  <c r="J21" i="16"/>
  <c r="J63" i="16"/>
  <c r="J17" i="16"/>
  <c r="J25" i="16"/>
  <c r="J29" i="16"/>
  <c r="H37" i="27"/>
  <c r="G37" i="27"/>
  <c r="G43" i="27" s="1"/>
  <c r="J58" i="28"/>
  <c r="J57" i="28"/>
  <c r="J49" i="28"/>
  <c r="J37" i="28"/>
  <c r="J41" i="28"/>
  <c r="J33" i="28"/>
  <c r="E54" i="28"/>
  <c r="E60" i="28" s="1"/>
  <c r="G54" i="28"/>
  <c r="G60" i="28" s="1"/>
  <c r="H54" i="28"/>
  <c r="H60" i="28" s="1"/>
  <c r="F54" i="28"/>
  <c r="H37" i="31"/>
  <c r="H44" i="31" s="1"/>
  <c r="F37" i="31"/>
  <c r="F44" i="31" s="1"/>
  <c r="G37" i="31"/>
  <c r="G44" i="31" s="1"/>
  <c r="D37" i="31"/>
  <c r="D44" i="31" s="1"/>
  <c r="E37" i="31"/>
  <c r="E44" i="31" s="1"/>
  <c r="J27" i="29"/>
  <c r="J16" i="29"/>
  <c r="E39" i="29"/>
  <c r="E46" i="29" s="1"/>
  <c r="G39" i="29"/>
  <c r="G46" i="29" s="1"/>
  <c r="D39" i="29"/>
  <c r="D46" i="29" s="1"/>
  <c r="F39" i="29"/>
  <c r="F46" i="29" s="1"/>
  <c r="J36" i="31"/>
  <c r="E37" i="27"/>
  <c r="E43" i="27" s="1"/>
  <c r="F37" i="27"/>
  <c r="F43" i="27" s="1"/>
  <c r="J10" i="16"/>
  <c r="J44" i="29"/>
  <c r="J53" i="28"/>
  <c r="J41" i="27"/>
  <c r="F58" i="16" l="1"/>
  <c r="F65" i="16" s="1"/>
  <c r="F8" i="30"/>
  <c r="F14" i="30" s="1"/>
  <c r="F18" i="30" s="1"/>
  <c r="G8" i="30"/>
  <c r="G58" i="16"/>
  <c r="G65" i="16" s="1"/>
  <c r="H8" i="30"/>
  <c r="H39" i="29"/>
  <c r="H46" i="29" s="1"/>
  <c r="D14" i="30"/>
  <c r="E58" i="16"/>
  <c r="E65" i="16" s="1"/>
  <c r="J14" i="16"/>
  <c r="J16" i="30"/>
  <c r="H43" i="27"/>
  <c r="J37" i="27"/>
  <c r="J43" i="27" s="1"/>
  <c r="D23" i="30" s="1"/>
  <c r="J10" i="30"/>
  <c r="J11" i="30"/>
  <c r="E14" i="30"/>
  <c r="E18" i="30" s="1"/>
  <c r="J12" i="30"/>
  <c r="J9" i="30"/>
  <c r="G14" i="30"/>
  <c r="G18" i="30" s="1"/>
  <c r="J7" i="30"/>
  <c r="F60" i="28"/>
  <c r="H14" i="30"/>
  <c r="H18" i="30" s="1"/>
  <c r="J13" i="30"/>
  <c r="J37" i="31"/>
  <c r="J44" i="31" s="1"/>
  <c r="D25" i="30" s="1"/>
  <c r="J39" i="29" l="1"/>
  <c r="J46" i="29" s="1"/>
  <c r="J58" i="16"/>
  <c r="D54" i="28"/>
  <c r="D60" i="28" l="1"/>
  <c r="J54" i="28"/>
  <c r="J60" i="28" s="1"/>
  <c r="D24" i="30" s="1"/>
  <c r="D29" i="30" s="1"/>
  <c r="J8" i="30"/>
  <c r="D18" i="30" l="1"/>
  <c r="J14" i="30"/>
  <c r="J18" i="30" s="1"/>
  <c r="E26" i="30" l="1"/>
  <c r="E23" i="30"/>
  <c r="E28" i="30"/>
  <c r="E24" i="30"/>
  <c r="E25" i="30"/>
  <c r="E27" i="30"/>
  <c r="E29" i="30" l="1"/>
</calcChain>
</file>

<file path=xl/sharedStrings.xml><?xml version="1.0" encoding="utf-8"?>
<sst xmlns="http://schemas.openxmlformats.org/spreadsheetml/2006/main" count="402" uniqueCount="105">
  <si>
    <r>
      <t>Brighter Futures: Electrifying NYC’s Vital Spaces to Build Resilient Communities </t>
    </r>
    <r>
      <rPr>
        <sz val="20"/>
        <color theme="0"/>
        <rFont val="Calibri"/>
        <family val="2"/>
      </rPr>
      <t> </t>
    </r>
  </si>
  <si>
    <t>Consolidated Budget Table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</si>
  <si>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</si>
  <si>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</si>
  <si>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</si>
  <si>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</si>
  <si>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</si>
  <si>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</si>
  <si>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</si>
  <si>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</si>
  <si>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</si>
  <si>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</si>
  <si>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</si>
  <si>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</si>
  <si>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</si>
  <si>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</si>
  <si>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</si>
  <si>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</si>
  <si>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</si>
  <si>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</si>
  <si>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</si>
  <si>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</si>
  <si>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</si>
  <si>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</si>
  <si>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</si>
  <si>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</si>
  <si>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</si>
  <si>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</si>
  <si>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New York Public Library (NYPL)</t>
  </si>
  <si>
    <t>New York Police Department (NYPD)</t>
  </si>
  <si>
    <t>Health Building</t>
  </si>
  <si>
    <t>New York City Housing Authority (NYCHA)</t>
  </si>
  <si>
    <t>New York City Public Schools (NYCPS)</t>
  </si>
  <si>
    <t>Housing Preservation &amp; Development (HPD)</t>
  </si>
  <si>
    <t>Total</t>
  </si>
  <si>
    <t>Detailed Budget Table - NYPL 
Electrification Measure</t>
  </si>
  <si>
    <t>Personnel</t>
  </si>
  <si>
    <t> </t>
  </si>
  <si>
    <t>Project Manager - Schomburg Center for Research in Black Culture</t>
  </si>
  <si>
    <t>Project Manager - Parkchester Library</t>
  </si>
  <si>
    <t>Project Manager - St. George Library Center</t>
  </si>
  <si>
    <t>Engineer - NYPL portfolio</t>
  </si>
  <si>
    <t xml:space="preserve"> Fringe Benefits </t>
  </si>
  <si>
    <t>4 Full-time Employees @ 58.63% of salary</t>
  </si>
  <si>
    <t xml:space="preserve"> Travel </t>
  </si>
  <si>
    <t xml:space="preserve"> Equipment </t>
  </si>
  <si>
    <t xml:space="preserve"> Supplies </t>
  </si>
  <si>
    <t xml:space="preserve"> Contractual </t>
  </si>
  <si>
    <t>Construction</t>
  </si>
  <si>
    <t>Construction Contingency</t>
  </si>
  <si>
    <t>Environmental Design &amp; Monitoring</t>
  </si>
  <si>
    <t xml:space="preserve">DB - Design &amp; CM </t>
  </si>
  <si>
    <t>Monitoring and Verification (M&amp;V)</t>
  </si>
  <si>
    <t>OTHER</t>
  </si>
  <si>
    <t>Indirect Costs</t>
  </si>
  <si>
    <t>Detailed Budget Table - NYPD
Electrification Measure</t>
  </si>
  <si>
    <t>The costs reflected here are related to grant administration costs for DCAS as the Lead Applicant.  These costs are related to admininistration of all measures encompassed in this application.</t>
  </si>
  <si>
    <t xml:space="preserve">Project Manager </t>
  </si>
  <si>
    <t>Engineer - NYPD portfolio</t>
  </si>
  <si>
    <r>
      <t>Technical project delivery personnel (DEM)</t>
    </r>
    <r>
      <rPr>
        <b/>
        <vertAlign val="superscript"/>
        <sz val="11"/>
        <rFont val="Calibri"/>
        <family val="2"/>
        <scheme val="minor"/>
      </rPr>
      <t>1</t>
    </r>
  </si>
  <si>
    <t>Design-Build Manager</t>
  </si>
  <si>
    <t>Procurement Specialist (DEM or OCP)
(to manage procurement procedures and compliance)</t>
  </si>
  <si>
    <r>
      <t>Grant admin personnel (DEM, FBM, Audit)</t>
    </r>
    <r>
      <rPr>
        <b/>
        <vertAlign val="superscript"/>
        <sz val="11"/>
        <rFont val="Calibri"/>
        <family val="2"/>
        <scheme val="minor"/>
      </rPr>
      <t>1</t>
    </r>
  </si>
  <si>
    <t>Senior Grant Administrator (DEM)</t>
  </si>
  <si>
    <t>Junior Grant Administrator (DEM)</t>
  </si>
  <si>
    <t>Senior Financial Analyst (DEM) (to oversee reimbursement - invoicing, collecting timesheets, any other documentation needed from contractors)</t>
  </si>
  <si>
    <t>Junior Financial Analyst (DEM) (to work under the Senior Financial Analyst)</t>
  </si>
  <si>
    <t>Senior Financial Analyst (FBM) (to oversee reimbursement)</t>
  </si>
  <si>
    <t>Junior Financial Analyst (FBM) (to work under the Senior Financial Analyst)</t>
  </si>
  <si>
    <t>Engineering Auditor (to manage compliance with NYC Comptroller Directive 7)</t>
  </si>
  <si>
    <t>Full-time Employees @ 58.63% of salary</t>
  </si>
  <si>
    <t xml:space="preserve"> </t>
  </si>
  <si>
    <t>Note:</t>
  </si>
  <si>
    <t>Detailed Budget Table - Health Building
Electrification Measure</t>
  </si>
  <si>
    <t>Detailed Budget Table - NYCPS
Electrification Measure</t>
  </si>
  <si>
    <t>TOTAL CONTRACTUAL</t>
  </si>
  <si>
    <t>Other</t>
  </si>
  <si>
    <t>Subaward to NYCPS for the following:</t>
  </si>
  <si>
    <t xml:space="preserve">8 FTE Grant Administration staff </t>
  </si>
  <si>
    <t>8 FTE employees Fringe at 58.63% of salary</t>
  </si>
  <si>
    <t>Job Order Contract - 172 buildings, 2 units each</t>
  </si>
  <si>
    <t>Job Order Contract - 283 buildings, 3 units each</t>
  </si>
  <si>
    <t>Job Order Contract - 45 buildings, 4 units each</t>
  </si>
  <si>
    <t>Monitoring and Verification (M&amp;V)/Commissioning - 500 buildings</t>
  </si>
  <si>
    <t>Training</t>
  </si>
  <si>
    <t>Detailed Budget Table - NYCHA
Electrification Measure</t>
  </si>
  <si>
    <t xml:space="preserve">Subaward to NYCHA for the following: </t>
  </si>
  <si>
    <t>Program Manager</t>
  </si>
  <si>
    <t>1 FTE Employee Fringe at 58.63% of salary</t>
  </si>
  <si>
    <t>Morrisania Air Rights (MAR):</t>
  </si>
  <si>
    <t>Pomonok:</t>
  </si>
  <si>
    <t>Pelham Parkway:</t>
  </si>
  <si>
    <t>Electrical Survey</t>
  </si>
  <si>
    <t>Hazmat Testing</t>
  </si>
  <si>
    <t>Included under Construction</t>
  </si>
  <si>
    <t>Detailed Budget Table - HPD
Electrification Measure</t>
  </si>
  <si>
    <t>Subaward to HPD for CSO at 2% FTE with salary increase @ 5% annual</t>
  </si>
  <si>
    <t>Subaward to HPD for HPD Staff (Project Manager) 1 FTE, with salary increase @ 3% annual</t>
  </si>
  <si>
    <t>Subaward to HPD for Fringe at 58.63% of salary</t>
  </si>
  <si>
    <t>Subaward to HPD for subaward to Implementation Partner for program coordination, outreach, engagement, etc. (3% of Grant Cost)</t>
  </si>
  <si>
    <t>Subaward to HPD for subaward Technical Support including development of Screening Protocols, Project Selection, Research and M&amp;V Contract (4% of grant cost)</t>
  </si>
  <si>
    <t>Subaward to HPD for Contractor to perform 100 building screenings. Assumes average of 15 hours per assessment (site visit, post-visit analysis and documentation) @ $100/hr</t>
  </si>
  <si>
    <t>Subaward to HPD for Contractor to perform oversight of installation. Assumes 2% on top of installation costs.</t>
  </si>
  <si>
    <t xml:space="preserve">Subaward to HPD for Contract to install heat pumps in 500 dwelling units (including procurement, installation, etc) @ $16,000/ each (80% of total grant) </t>
  </si>
  <si>
    <t>Subaward to HPD for Contract for reports &amp; develop final market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</si>
</sst>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242424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20"/>
      <color theme="0"/>
      <name val="Calibri"/>
      <family val="2"/>
    </font>
    <font>
      <sz val="20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5" fillId="0" borderId="0" xfId="0" applyFont="1"/>
    <xf numFmtId="0" fontId="5" fillId="0" borderId="1" xfId="0" applyFont="1" applyBorder="1"/>
    <xf numFmtId="0" fontId="5" fillId="4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0" fillId="0" borderId="1" xfId="0" applyBorder="1"/>
    <xf numFmtId="0" fontId="6" fillId="0" borderId="9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2" fillId="0" borderId="1" xfId="0" applyFont="1" applyBorder="1" applyAlignment="1">
      <alignment vertical="top"/>
    </xf>
    <xf numFmtId="6" fontId="0" fillId="0" borderId="0" xfId="0" applyNumberFormat="1"/>
    <xf numFmtId="0" fontId="7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6" fillId="6" borderId="11" xfId="0" applyFont="1" applyFill="1" applyBorder="1" applyAlignment="1">
      <alignment wrapText="1"/>
    </xf>
    <xf numFmtId="0" fontId="6" fillId="6" borderId="12" xfId="0" applyFont="1" applyFill="1" applyBorder="1" applyAlignment="1">
      <alignment wrapText="1"/>
    </xf>
    <xf numFmtId="0" fontId="6" fillId="6" borderId="13" xfId="0" applyFont="1" applyFill="1" applyBorder="1" applyAlignment="1">
      <alignment wrapText="1"/>
    </xf>
    <xf numFmtId="0" fontId="6" fillId="6" borderId="7" xfId="0" applyFont="1" applyFill="1" applyBorder="1" applyAlignment="1">
      <alignment wrapText="1"/>
    </xf>
    <xf numFmtId="0" fontId="6" fillId="6" borderId="3" xfId="0" applyFont="1" applyFill="1" applyBorder="1"/>
    <xf numFmtId="0" fontId="7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6" fillId="3" borderId="11" xfId="0" applyFont="1" applyFill="1" applyBorder="1" applyAlignment="1">
      <alignment wrapText="1"/>
    </xf>
    <xf numFmtId="0" fontId="6" fillId="3" borderId="12" xfId="0" applyFont="1" applyFill="1" applyBorder="1" applyAlignment="1">
      <alignment wrapText="1"/>
    </xf>
    <xf numFmtId="0" fontId="6" fillId="3" borderId="13" xfId="0" applyFont="1" applyFill="1" applyBorder="1" applyAlignment="1">
      <alignment wrapText="1"/>
    </xf>
    <xf numFmtId="0" fontId="6" fillId="3" borderId="7" xfId="0" applyFont="1" applyFill="1" applyBorder="1" applyAlignment="1">
      <alignment wrapText="1"/>
    </xf>
    <xf numFmtId="0" fontId="5" fillId="7" borderId="1" xfId="0" applyFont="1" applyFill="1" applyBorder="1" applyAlignment="1">
      <alignment wrapText="1"/>
    </xf>
    <xf numFmtId="6" fontId="6" fillId="0" borderId="14" xfId="0" applyNumberFormat="1" applyFont="1" applyBorder="1" applyAlignment="1">
      <alignment wrapText="1"/>
    </xf>
    <xf numFmtId="0" fontId="6" fillId="0" borderId="0" xfId="0" applyFont="1"/>
    <xf numFmtId="0" fontId="6" fillId="3" borderId="15" xfId="0" applyFont="1" applyFill="1" applyBorder="1" applyAlignment="1">
      <alignment wrapText="1"/>
    </xf>
    <xf numFmtId="6" fontId="5" fillId="4" borderId="1" xfId="0" applyNumberFormat="1" applyFont="1" applyFill="1" applyBorder="1" applyAlignment="1">
      <alignment wrapText="1"/>
    </xf>
    <xf numFmtId="0" fontId="9" fillId="0" borderId="0" xfId="0" applyFont="1"/>
    <xf numFmtId="0" fontId="6" fillId="0" borderId="16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6" fillId="3" borderId="1" xfId="0" applyFont="1" applyFill="1" applyBorder="1"/>
    <xf numFmtId="6" fontId="6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43" fontId="0" fillId="0" borderId="0" xfId="0" applyNumberFormat="1"/>
    <xf numFmtId="0" fontId="10" fillId="0" borderId="0" xfId="0" applyFont="1"/>
    <xf numFmtId="8" fontId="0" fillId="0" borderId="0" xfId="0" applyNumberFormat="1"/>
    <xf numFmtId="6" fontId="11" fillId="7" borderId="1" xfId="0" applyNumberFormat="1" applyFont="1" applyFill="1" applyBorder="1" applyAlignment="1">
      <alignment horizontal="left" vertical="top" wrapText="1"/>
    </xf>
    <xf numFmtId="6" fontId="11" fillId="7" borderId="8" xfId="0" applyNumberFormat="1" applyFont="1" applyFill="1" applyBorder="1" applyAlignment="1">
      <alignment wrapText="1"/>
    </xf>
    <xf numFmtId="6" fontId="11" fillId="7" borderId="1" xfId="0" applyNumberFormat="1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11" fillId="8" borderId="0" xfId="0" applyFont="1" applyFill="1"/>
    <xf numFmtId="6" fontId="9" fillId="4" borderId="1" xfId="0" applyNumberFormat="1" applyFont="1" applyFill="1" applyBorder="1" applyAlignment="1">
      <alignment wrapText="1"/>
    </xf>
    <xf numFmtId="0" fontId="11" fillId="0" borderId="0" xfId="0" applyFont="1"/>
    <xf numFmtId="0" fontId="9" fillId="0" borderId="1" xfId="0" applyFont="1" applyBorder="1" applyAlignment="1">
      <alignment horizontal="left" wrapText="1" indent="2"/>
    </xf>
    <xf numFmtId="6" fontId="9" fillId="0" borderId="1" xfId="0" applyNumberFormat="1" applyFont="1" applyBorder="1" applyAlignment="1">
      <alignment wrapText="1"/>
    </xf>
    <xf numFmtId="6" fontId="11" fillId="0" borderId="0" xfId="0" applyNumberFormat="1" applyFont="1"/>
    <xf numFmtId="0" fontId="11" fillId="0" borderId="1" xfId="0" applyFont="1" applyBorder="1" applyAlignment="1">
      <alignment horizontal="left" wrapText="1" indent="2"/>
    </xf>
    <xf numFmtId="6" fontId="11" fillId="0" borderId="1" xfId="0" applyNumberFormat="1" applyFont="1" applyBorder="1" applyAlignment="1">
      <alignment wrapText="1"/>
    </xf>
    <xf numFmtId="0" fontId="11" fillId="4" borderId="1" xfId="0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9" fillId="0" borderId="1" xfId="0" applyFont="1" applyBorder="1" applyAlignment="1">
      <alignment horizontal="left" wrapText="1" indent="4"/>
    </xf>
    <xf numFmtId="6" fontId="9" fillId="4" borderId="4" xfId="0" applyNumberFormat="1" applyFont="1" applyFill="1" applyBorder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left" wrapText="1"/>
    </xf>
    <xf numFmtId="0" fontId="12" fillId="0" borderId="1" xfId="0" applyFont="1" applyBorder="1"/>
    <xf numFmtId="0" fontId="12" fillId="0" borderId="9" xfId="0" applyFont="1" applyBorder="1" applyAlignment="1">
      <alignment wrapText="1"/>
    </xf>
    <xf numFmtId="6" fontId="13" fillId="0" borderId="10" xfId="0" applyNumberFormat="1" applyFont="1" applyBorder="1" applyAlignment="1">
      <alignment wrapText="1"/>
    </xf>
    <xf numFmtId="0" fontId="12" fillId="0" borderId="0" xfId="0" applyFont="1"/>
    <xf numFmtId="0" fontId="11" fillId="0" borderId="0" xfId="0" applyFont="1" applyAlignment="1">
      <alignment vertical="top"/>
    </xf>
    <xf numFmtId="164" fontId="11" fillId="0" borderId="0" xfId="1" applyNumberFormat="1" applyFont="1" applyBorder="1"/>
    <xf numFmtId="3" fontId="11" fillId="0" borderId="0" xfId="0" applyNumberFormat="1" applyFont="1"/>
    <xf numFmtId="0" fontId="11" fillId="0" borderId="5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/>
    </xf>
    <xf numFmtId="0" fontId="13" fillId="0" borderId="1" xfId="0" applyFont="1" applyBorder="1" applyAlignment="1">
      <alignment horizontal="left" wrapText="1" indent="2"/>
    </xf>
    <xf numFmtId="0" fontId="13" fillId="0" borderId="1" xfId="0" applyFont="1" applyBorder="1" applyAlignment="1">
      <alignment wrapText="1"/>
    </xf>
    <xf numFmtId="2" fontId="0" fillId="0" borderId="0" xfId="2" applyNumberFormat="1" applyFont="1"/>
    <xf numFmtId="2" fontId="0" fillId="0" borderId="0" xfId="0" applyNumberFormat="1"/>
    <xf numFmtId="165" fontId="9" fillId="0" borderId="1" xfId="1" applyNumberFormat="1" applyFont="1" applyBorder="1" applyAlignment="1">
      <alignment wrapText="1"/>
    </xf>
    <xf numFmtId="165" fontId="9" fillId="0" borderId="0" xfId="1" applyNumberFormat="1" applyFont="1"/>
    <xf numFmtId="165" fontId="9" fillId="0" borderId="1" xfId="0" applyNumberFormat="1" applyFont="1" applyBorder="1" applyAlignment="1">
      <alignment wrapText="1"/>
    </xf>
    <xf numFmtId="165" fontId="11" fillId="0" borderId="1" xfId="0" applyNumberFormat="1" applyFont="1" applyBorder="1" applyAlignment="1">
      <alignment wrapText="1"/>
    </xf>
    <xf numFmtId="165" fontId="11" fillId="0" borderId="0" xfId="0" applyNumberFormat="1" applyFont="1"/>
    <xf numFmtId="0" fontId="9" fillId="0" borderId="1" xfId="0" applyFont="1" applyBorder="1" applyAlignment="1">
      <alignment horizontal="right" wrapText="1"/>
    </xf>
    <xf numFmtId="9" fontId="11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16" fillId="10" borderId="0" xfId="0" applyFont="1" applyFill="1" applyAlignment="1">
      <alignment horizontal="center" vertic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15" fillId="9" borderId="0" xfId="0" applyFont="1" applyFill="1" applyAlignment="1">
      <alignment horizontal="left" vertical="top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  <pageSetUpPr fitToPage="1"/>
  </sheetPr>
  <dimension ref="B1:AM30"/>
  <sheetViews>
    <sheetView showGridLines="0" zoomScale="92" zoomScaleNormal="85" workbookViewId="0">
      <selection activeCell="C34" sqref="C34"/>
    </sheetView>
  </sheetViews>
  <sheetFormatPr defaultColWidth="9.453125" defaultRowHeight="15" customHeight="1" x14ac:dyDescent="0.35"/>
  <cols>
    <col min="1" max="1" width="3.453125" customWidth="1"/>
    <col min="2" max="2" width="12.453125" customWidth="1"/>
    <col min="3" max="3" width="38" customWidth="1"/>
    <col min="4" max="4" width="13.81640625" style="4" customWidth="1"/>
    <col min="5" max="5" width="12.81640625" style="2" customWidth="1"/>
    <col min="6" max="6" width="13.54296875" customWidth="1"/>
    <col min="7" max="7" width="13.81640625" customWidth="1"/>
    <col min="8" max="8" width="12.81640625" style="2" customWidth="1"/>
    <col min="9" max="9" width="3.54296875" style="5" customWidth="1"/>
    <col min="10" max="10" width="15.81640625" customWidth="1"/>
    <col min="11" max="11" width="10.453125" customWidth="1"/>
    <col min="12" max="12" width="23.54296875" customWidth="1"/>
  </cols>
  <sheetData>
    <row r="1" spans="2:39" ht="51.75" customHeight="1" x14ac:dyDescent="0.35">
      <c r="B1" s="91" t="s">
        <v>0</v>
      </c>
      <c r="C1" s="91"/>
      <c r="D1" s="91"/>
      <c r="E1" s="91"/>
      <c r="F1" s="91"/>
      <c r="G1" s="91"/>
      <c r="H1" s="91"/>
      <c r="I1" s="91"/>
      <c r="J1" s="91"/>
    </row>
    <row r="2" spans="2:39" ht="23.5" x14ac:dyDescent="0.55000000000000004">
      <c r="B2" s="92" t="s">
        <v>1</v>
      </c>
      <c r="C2" s="92"/>
      <c r="D2" s="92"/>
      <c r="E2" s="92"/>
      <c r="F2" s="92"/>
      <c r="G2" s="92"/>
      <c r="H2" s="92"/>
      <c r="I2" s="92"/>
      <c r="J2" s="92"/>
    </row>
    <row r="3" spans="2:39" ht="26.9" customHeight="1" x14ac:dyDescent="0.35">
      <c r="B3" s="93"/>
      <c r="C3" s="93"/>
      <c r="D3" s="93"/>
      <c r="E3" s="93"/>
      <c r="F3" s="93"/>
      <c r="G3" s="93"/>
      <c r="H3" s="93"/>
      <c r="I3" s="93"/>
      <c r="J3" s="93"/>
    </row>
    <row r="4" spans="2:39" ht="15" customHeight="1" x14ac:dyDescent="0.35">
      <c r="B4" s="3"/>
    </row>
    <row r="5" spans="2:39" ht="18.5" x14ac:dyDescent="0.45">
      <c r="B5" s="24" t="s">
        <v>2</v>
      </c>
      <c r="C5" s="25"/>
      <c r="D5" s="25"/>
      <c r="E5" s="25"/>
      <c r="F5" s="25"/>
      <c r="G5" s="25"/>
      <c r="H5" s="25"/>
      <c r="I5" s="25"/>
      <c r="J5" s="38"/>
    </row>
    <row r="6" spans="2:39" ht="17.149999999999999" customHeight="1" x14ac:dyDescent="0.35">
      <c r="B6" s="26" t="s">
        <v>3</v>
      </c>
      <c r="C6" s="26" t="s">
        <v>4</v>
      </c>
      <c r="D6" s="26" t="s">
        <v>5</v>
      </c>
      <c r="E6" s="27" t="s">
        <v>6</v>
      </c>
      <c r="F6" s="27" t="s">
        <v>7</v>
      </c>
      <c r="G6" s="27" t="s">
        <v>8</v>
      </c>
      <c r="H6" s="28" t="s">
        <v>9</v>
      </c>
      <c r="I6" s="29"/>
      <c r="J6" s="39" t="s">
        <v>10</v>
      </c>
    </row>
    <row r="7" spans="2:39" s="3" customFormat="1" ht="14.5" x14ac:dyDescent="0.35">
      <c r="B7" s="11" t="s">
        <v>11</v>
      </c>
      <c r="C7" s="30" t="s">
        <v>12</v>
      </c>
      <c r="D7" s="48">
        <f>'NYCHA (Measure 5) Budget'!D10+'NYCPS (Measure 4) Budget'!D10+'NYPD (Measure 2) Budget'!D25+'NYPL (Measure 1) Budget'!D12+'Health Bldg (Measure 3) Budget'!D9+'HPD (Measure 6) Budget'!D10</f>
        <v>1720000</v>
      </c>
      <c r="E7" s="48">
        <f>'NYCHA (Measure 5) Budget'!E10+'NYCPS (Measure 4) Budget'!E10+'NYPD (Measure 2) Budget'!E25+'NYPL (Measure 1) Budget'!E12+'Health Bldg (Measure 3) Budget'!E9+'HPD (Measure 6) Budget'!E10</f>
        <v>1720000</v>
      </c>
      <c r="F7" s="48">
        <f>'NYCHA (Measure 5) Budget'!F10+'NYCPS (Measure 4) Budget'!F10+'NYPD (Measure 2) Budget'!F25+'NYPL (Measure 1) Budget'!F12+'Health Bldg (Measure 3) Budget'!F9+'HPD (Measure 6) Budget'!F10</f>
        <v>1720000</v>
      </c>
      <c r="G7" s="48">
        <f>'NYCHA (Measure 5) Budget'!G10+'NYCPS (Measure 4) Budget'!G10+'NYPD (Measure 2) Budget'!G25+'NYPL (Measure 1) Budget'!G12+'Health Bldg (Measure 3) Budget'!G9+'HPD (Measure 6) Budget'!G10</f>
        <v>1720000</v>
      </c>
      <c r="H7" s="48">
        <f>'NYCHA (Measure 5) Budget'!H10+'NYCPS (Measure 4) Budget'!H10+'NYPD (Measure 2) Budget'!H25+'NYPL (Measure 1) Budget'!H12+'Health Bldg (Measure 3) Budget'!H9+'HPD (Measure 6) Budget'!H10</f>
        <v>1720000</v>
      </c>
      <c r="I7" s="49"/>
      <c r="J7" s="48">
        <f>SUM(D7:I7)</f>
        <v>8600000</v>
      </c>
      <c r="K7"/>
      <c r="L7" s="80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12"/>
      <c r="C8" s="30" t="s">
        <v>13</v>
      </c>
      <c r="D8" s="48">
        <f>'NYCHA (Measure 5) Budget'!D14+'NYCPS (Measure 4) Budget'!D13+'NYPD (Measure 2) Budget'!D29+'NYPL (Measure 1) Budget'!D16+'Health Bldg (Measure 3) Budget'!D13+'HPD (Measure 6) Budget'!D14</f>
        <v>1008436.0000000001</v>
      </c>
      <c r="E8" s="48">
        <f>'NYCHA (Measure 5) Budget'!E14+'NYCPS (Measure 4) Budget'!E13+'NYPD (Measure 2) Budget'!E29+'NYPL (Measure 1) Budget'!E16+'Health Bldg (Measure 3) Budget'!E13+'HPD (Measure 6) Budget'!E14</f>
        <v>1008436.0000000001</v>
      </c>
      <c r="F8" s="48">
        <f>'NYCHA (Measure 5) Budget'!F14+'NYCPS (Measure 4) Budget'!F13+'NYPD (Measure 2) Budget'!F29+'NYPL (Measure 1) Budget'!F16+'Health Bldg (Measure 3) Budget'!F13+'HPD (Measure 6) Budget'!F14</f>
        <v>1008436.0000000001</v>
      </c>
      <c r="G8" s="48">
        <f>'NYCHA (Measure 5) Budget'!G14+'NYCPS (Measure 4) Budget'!G13+'NYPD (Measure 2) Budget'!G29+'NYPL (Measure 1) Budget'!G16+'Health Bldg (Measure 3) Budget'!G13+'HPD (Measure 6) Budget'!G14</f>
        <v>1008436.0000000001</v>
      </c>
      <c r="H8" s="48">
        <f>'NYCHA (Measure 5) Budget'!H14+'NYCPS (Measure 4) Budget'!H13+'NYPD (Measure 2) Budget'!H29+'NYPL (Measure 1) Budget'!H16+'Health Bldg (Measure 3) Budget'!H13+'HPD (Measure 6) Budget'!H14</f>
        <v>1008436.0000000001</v>
      </c>
      <c r="I8" s="49"/>
      <c r="J8" s="48">
        <f t="shared" ref="J8:J14" si="0">SUM(D8:I8)</f>
        <v>5042180.0000000009</v>
      </c>
      <c r="L8" s="81"/>
    </row>
    <row r="9" spans="2:39" ht="14.5" x14ac:dyDescent="0.35">
      <c r="B9" s="12"/>
      <c r="C9" s="30" t="s">
        <v>14</v>
      </c>
      <c r="D9" s="48">
        <f>'NYCHA (Measure 5) Budget'!D17+'NYCPS (Measure 4) Budget'!D16+'NYPD (Measure 2) Budget'!D33+'NYPL (Measure 1) Budget'!D19+'Health Bldg (Measure 3) Budget'!D17+'HPD (Measure 6) Budget'!D17</f>
        <v>0</v>
      </c>
      <c r="E9" s="48">
        <f>'NYCHA (Measure 5) Budget'!E17+'NYCPS (Measure 4) Budget'!E16+'NYPD (Measure 2) Budget'!E33+'NYPL (Measure 1) Budget'!E19+'Health Bldg (Measure 3) Budget'!E17+'HPD (Measure 6) Budget'!E17</f>
        <v>0</v>
      </c>
      <c r="F9" s="48">
        <f>'NYCHA (Measure 5) Budget'!F17+'NYCPS (Measure 4) Budget'!F16+'NYPD (Measure 2) Budget'!F33+'NYPL (Measure 1) Budget'!F19+'Health Bldg (Measure 3) Budget'!F17+'HPD (Measure 6) Budget'!F17</f>
        <v>0</v>
      </c>
      <c r="G9" s="48">
        <f>'NYCHA (Measure 5) Budget'!G17+'NYCPS (Measure 4) Budget'!G16+'NYPD (Measure 2) Budget'!G33+'NYPL (Measure 1) Budget'!G19+'Health Bldg (Measure 3) Budget'!G17+'HPD (Measure 6) Budget'!G17</f>
        <v>0</v>
      </c>
      <c r="H9" s="48">
        <f>'NYCHA (Measure 5) Budget'!H17+'NYCPS (Measure 4) Budget'!H16+'NYPD (Measure 2) Budget'!H33+'NYPL (Measure 1) Budget'!H19+'Health Bldg (Measure 3) Budget'!H17+'HPD (Measure 6) Budget'!H17</f>
        <v>0</v>
      </c>
      <c r="I9" s="49"/>
      <c r="J9" s="48">
        <f t="shared" si="0"/>
        <v>0</v>
      </c>
      <c r="L9" s="81"/>
    </row>
    <row r="10" spans="2:39" ht="14.5" x14ac:dyDescent="0.35">
      <c r="B10" s="12"/>
      <c r="C10" s="30" t="s">
        <v>15</v>
      </c>
      <c r="D10" s="48">
        <f>'NYCHA (Measure 5) Budget'!D21+'NYCPS (Measure 4) Budget'!D20+'NYPD (Measure 2) Budget'!D37+'NYPL (Measure 1) Budget'!D22+'Health Bldg (Measure 3) Budget'!D21+'HPD (Measure 6) Budget'!D21</f>
        <v>0</v>
      </c>
      <c r="E10" s="48">
        <f>'NYCHA (Measure 5) Budget'!E21+'NYCPS (Measure 4) Budget'!E20+'NYPD (Measure 2) Budget'!E37+'NYPL (Measure 1) Budget'!E22+'Health Bldg (Measure 3) Budget'!E21+'HPD (Measure 6) Budget'!E21</f>
        <v>0</v>
      </c>
      <c r="F10" s="48">
        <f>'NYCHA (Measure 5) Budget'!F21+'NYCPS (Measure 4) Budget'!F20+'NYPD (Measure 2) Budget'!F37+'NYPL (Measure 1) Budget'!F22+'Health Bldg (Measure 3) Budget'!F21+'HPD (Measure 6) Budget'!F21</f>
        <v>0</v>
      </c>
      <c r="G10" s="48">
        <f>'NYCHA (Measure 5) Budget'!G21+'NYCPS (Measure 4) Budget'!G20+'NYPD (Measure 2) Budget'!G37+'NYPL (Measure 1) Budget'!G22+'Health Bldg (Measure 3) Budget'!G21+'HPD (Measure 6) Budget'!G21</f>
        <v>0</v>
      </c>
      <c r="H10" s="48">
        <f>'NYCHA (Measure 5) Budget'!H21+'NYCPS (Measure 4) Budget'!H20+'NYPD (Measure 2) Budget'!H37+'NYPL (Measure 1) Budget'!H22+'Health Bldg (Measure 3) Budget'!H21+'HPD (Measure 6) Budget'!H21</f>
        <v>0</v>
      </c>
      <c r="I10" s="49"/>
      <c r="J10" s="48">
        <f t="shared" si="0"/>
        <v>0</v>
      </c>
      <c r="L10" s="81"/>
    </row>
    <row r="11" spans="2:39" ht="14.5" x14ac:dyDescent="0.35">
      <c r="B11" s="12"/>
      <c r="C11" s="30" t="s">
        <v>16</v>
      </c>
      <c r="D11" s="48">
        <f>'NYCHA (Measure 5) Budget'!D25+'NYCPS (Measure 4) Budget'!D24+'NYPD (Measure 2) Budget'!D41+'NYPL (Measure 1) Budget'!D25+'Health Bldg (Measure 3) Budget'!D25+'HPD (Measure 6) Budget'!D25</f>
        <v>0</v>
      </c>
      <c r="E11" s="48">
        <f>'NYCHA (Measure 5) Budget'!E25+'NYCPS (Measure 4) Budget'!E24+'NYPD (Measure 2) Budget'!E41+'NYPL (Measure 1) Budget'!E25+'Health Bldg (Measure 3) Budget'!E25+'HPD (Measure 6) Budget'!E25</f>
        <v>0</v>
      </c>
      <c r="F11" s="48">
        <f>'NYCHA (Measure 5) Budget'!F25+'NYCPS (Measure 4) Budget'!F24+'NYPD (Measure 2) Budget'!F41+'NYPL (Measure 1) Budget'!F25+'Health Bldg (Measure 3) Budget'!F25+'HPD (Measure 6) Budget'!F25</f>
        <v>0</v>
      </c>
      <c r="G11" s="48">
        <f>'NYCHA (Measure 5) Budget'!G25+'NYCPS (Measure 4) Budget'!G24+'NYPD (Measure 2) Budget'!G41+'NYPL (Measure 1) Budget'!G25+'Health Bldg (Measure 3) Budget'!G25+'HPD (Measure 6) Budget'!G25</f>
        <v>0</v>
      </c>
      <c r="H11" s="48">
        <f>'NYCHA (Measure 5) Budget'!H25+'NYCPS (Measure 4) Budget'!H24+'NYPD (Measure 2) Budget'!H41+'NYPL (Measure 1) Budget'!H25+'Health Bldg (Measure 3) Budget'!H25+'HPD (Measure 6) Budget'!H25</f>
        <v>0</v>
      </c>
      <c r="I11" s="49"/>
      <c r="J11" s="48">
        <f t="shared" si="0"/>
        <v>0</v>
      </c>
      <c r="L11" s="81"/>
    </row>
    <row r="12" spans="2:39" ht="14.5" x14ac:dyDescent="0.35">
      <c r="B12" s="12"/>
      <c r="C12" s="30" t="s">
        <v>17</v>
      </c>
      <c r="D12" s="48">
        <f>'NYCHA (Measure 5) Budget'!D29+'NYCPS (Measure 4) Budget'!D27+'NYPD (Measure 2) Budget'!D49+'NYPL (Measure 1) Budget'!D33+'Health Bldg (Measure 3) Budget'!D33+'HPD (Measure 6) Budget'!D28</f>
        <v>240189.40527377755</v>
      </c>
      <c r="E12" s="48">
        <f>'NYCHA (Measure 5) Budget'!E29+'NYCPS (Measure 4) Budget'!E27+'NYPD (Measure 2) Budget'!E49+'NYPL (Measure 1) Budget'!E33+'Health Bldg (Measure 3) Budget'!E33+'HPD (Measure 6) Budget'!E28</f>
        <v>480378.8105475551</v>
      </c>
      <c r="F12" s="48">
        <f>'NYCHA (Measure 5) Budget'!F29+'NYCPS (Measure 4) Budget'!F27+'NYPD (Measure 2) Budget'!F49+'NYPL (Measure 1) Budget'!F33+'Health Bldg (Measure 3) Budget'!F33+'HPD (Measure 6) Budget'!F28</f>
        <v>45499592.677466691</v>
      </c>
      <c r="G12" s="48">
        <f>'NYCHA (Measure 5) Budget'!G29+'NYCPS (Measure 4) Budget'!G27+'NYPD (Measure 2) Budget'!G49+'NYPL (Measure 1) Budget'!G33+'Health Bldg (Measure 3) Budget'!G33+'HPD (Measure 6) Budget'!G28</f>
        <v>42587040.871026047</v>
      </c>
      <c r="H12" s="48">
        <f>'NYCHA (Measure 5) Budget'!H29+'NYCPS (Measure 4) Budget'!H27+'NYPD (Measure 2) Budget'!H49+'NYPL (Measure 1) Budget'!H33+'Health Bldg (Measure 3) Budget'!H33+'HPD (Measure 6) Budget'!H28</f>
        <v>24792254.915119037</v>
      </c>
      <c r="I12" s="49"/>
      <c r="J12" s="48">
        <f t="shared" si="0"/>
        <v>113599456.67943311</v>
      </c>
      <c r="L12" s="81"/>
    </row>
    <row r="13" spans="2:39" ht="14.5" x14ac:dyDescent="0.35">
      <c r="B13" s="12"/>
      <c r="C13" s="30" t="s">
        <v>18</v>
      </c>
      <c r="D13" s="48">
        <f>'NYCHA (Measure 5) Budget'!D57+'NYCPS (Measure 4) Budget'!D38+'NYPD (Measure 2) Budget'!D53+'NYPL (Measure 1) Budget'!D36+'Health Bldg (Measure 3) Budget'!D36+'HPD (Measure 6) Budget'!D39</f>
        <v>28915564.458946142</v>
      </c>
      <c r="E13" s="48">
        <f>'NYCHA (Measure 5) Budget'!E57+'NYCPS (Measure 4) Budget'!E38+'NYPD (Measure 2) Budget'!E53+'NYPL (Measure 1) Budget'!E36+'Health Bldg (Measure 3) Budget'!E36+'HPD (Measure 6) Budget'!E39</f>
        <v>73184656.010207191</v>
      </c>
      <c r="F13" s="48">
        <f>'NYCHA (Measure 5) Budget'!F57+'NYCPS (Measure 4) Budget'!F38+'NYPD (Measure 2) Budget'!F53+'NYPL (Measure 1) Budget'!F36+'Health Bldg (Measure 3) Budget'!F36+'HPD (Measure 6) Budget'!F39</f>
        <v>107436581.20515311</v>
      </c>
      <c r="G13" s="48">
        <f>'NYCHA (Measure 5) Budget'!G57+'NYCPS (Measure 4) Budget'!G38+'NYPD (Measure 2) Budget'!G53+'NYPL (Measure 1) Budget'!G36+'Health Bldg (Measure 3) Budget'!G36+'HPD (Measure 6) Budget'!G39</f>
        <v>107506879.14636931</v>
      </c>
      <c r="H13" s="48">
        <f>'NYCHA (Measure 5) Budget'!H57+'NYCPS (Measure 4) Budget'!H38+'NYPD (Measure 2) Budget'!H53+'NYPL (Measure 1) Budget'!H36+'Health Bldg (Measure 3) Budget'!H36+'HPD (Measure 6) Budget'!H39</f>
        <v>53539170.902705193</v>
      </c>
      <c r="I13" s="49"/>
      <c r="J13" s="48">
        <f t="shared" si="0"/>
        <v>370582851.72338092</v>
      </c>
      <c r="L13" s="81"/>
    </row>
    <row r="14" spans="2:39" ht="14.5" x14ac:dyDescent="0.35">
      <c r="B14" s="13"/>
      <c r="C14" s="7" t="s">
        <v>19</v>
      </c>
      <c r="D14" s="50">
        <f>D13+D12+D11+D10+D9+D8+D7</f>
        <v>31884189.864219919</v>
      </c>
      <c r="E14" s="50">
        <f>E13+E12+E11+E10+E9+E8+E7</f>
        <v>76393470.820754752</v>
      </c>
      <c r="F14" s="50">
        <f>F13+F12+F11+F10+F9+F8+F7</f>
        <v>155664609.8826198</v>
      </c>
      <c r="G14" s="50">
        <f>G13+G12+G11+G10+G9+G8+G7</f>
        <v>152822356.01739535</v>
      </c>
      <c r="H14" s="50">
        <f>H13+H12+H11+H10+H9+H8+H7</f>
        <v>81059861.81782423</v>
      </c>
      <c r="I14" s="51"/>
      <c r="J14" s="50">
        <f t="shared" si="0"/>
        <v>497824488.40281403</v>
      </c>
      <c r="L14" s="81"/>
    </row>
    <row r="15" spans="2:39" ht="14.5" x14ac:dyDescent="0.35">
      <c r="B15" s="37"/>
      <c r="D15"/>
      <c r="E15"/>
      <c r="H15"/>
      <c r="I15"/>
      <c r="J15" s="9" t="s">
        <v>20</v>
      </c>
    </row>
    <row r="16" spans="2:39" ht="20.149999999999999" customHeight="1" x14ac:dyDescent="0.35">
      <c r="B16" s="37"/>
      <c r="C16" s="7" t="s">
        <v>21</v>
      </c>
      <c r="D16" s="34">
        <f>'NYCHA (Measure 5) Budget'!D63+'NYCPS (Measure 4) Budget'!D44+'NYPD (Measure 2) Budget'!D58+'NYPL (Measure 1) Budget'!D41+'Health Bldg (Measure 3) Budget'!D42+'HPD (Measure 6) Budget'!D45</f>
        <v>0</v>
      </c>
      <c r="E16" s="34">
        <f>'NYCHA (Measure 5) Budget'!E63+'NYCPS (Measure 4) Budget'!E44+'NYPD (Measure 2) Budget'!E58+'NYPL (Measure 1) Budget'!E41+'Health Bldg (Measure 3) Budget'!E42+'HPD (Measure 6) Budget'!E45</f>
        <v>0</v>
      </c>
      <c r="F16" s="34">
        <f>'NYCHA (Measure 5) Budget'!F63+'NYCPS (Measure 4) Budget'!F44+'NYPD (Measure 2) Budget'!F58+'NYPL (Measure 1) Budget'!F41+'Health Bldg (Measure 3) Budget'!F42+'HPD (Measure 6) Budget'!F45</f>
        <v>0</v>
      </c>
      <c r="G16" s="34">
        <f>'NYCHA (Measure 5) Budget'!G63+'NYCPS (Measure 4) Budget'!G44+'NYPD (Measure 2) Budget'!G58+'NYPL (Measure 1) Budget'!G41+'Health Bldg (Measure 3) Budget'!G42+'HPD (Measure 6) Budget'!G45</f>
        <v>0</v>
      </c>
      <c r="H16" s="34">
        <f>'NYCHA (Measure 5) Budget'!H63+'NYCPS (Measure 4) Budget'!H44+'NYPD (Measure 2) Budget'!H58+'NYPL (Measure 1) Budget'!H41+'Health Bldg (Measure 3) Budget'!H42+'HPD (Measure 6) Budget'!H45</f>
        <v>0</v>
      </c>
      <c r="J16" s="7">
        <f>SUM(D16:H16)</f>
        <v>0</v>
      </c>
    </row>
    <row r="17" spans="2:10" thickBot="1" x14ac:dyDescent="0.4">
      <c r="B17" s="37"/>
      <c r="D17"/>
      <c r="E17"/>
      <c r="H17"/>
      <c r="I17"/>
      <c r="J17" s="9" t="s">
        <v>20</v>
      </c>
    </row>
    <row r="18" spans="2:10" ht="31.4" customHeight="1" thickBot="1" x14ac:dyDescent="0.4">
      <c r="B18" s="36" t="s">
        <v>22</v>
      </c>
      <c r="C18" s="10"/>
      <c r="D18" s="31">
        <f>D14+D16</f>
        <v>31884189.864219919</v>
      </c>
      <c r="E18" s="31">
        <f>E14+E16</f>
        <v>76393470.820754752</v>
      </c>
      <c r="F18" s="31">
        <f>F14+F16</f>
        <v>155664609.8826198</v>
      </c>
      <c r="G18" s="31">
        <f>G14+G16</f>
        <v>152822356.01739535</v>
      </c>
      <c r="H18" s="31">
        <f>H14+H16</f>
        <v>81059861.81782423</v>
      </c>
      <c r="I18" s="32"/>
      <c r="J18" s="40">
        <f>J14+J16</f>
        <v>497824488.40281403</v>
      </c>
    </row>
    <row r="19" spans="2:10" s="1" customFormat="1" ht="14.5" x14ac:dyDescent="0.35">
      <c r="B19" s="4"/>
      <c r="C19"/>
      <c r="D19" s="4"/>
      <c r="E19" s="2"/>
      <c r="F19"/>
      <c r="G19"/>
      <c r="H19" s="2"/>
      <c r="I19" s="5"/>
      <c r="J19"/>
    </row>
    <row r="20" spans="2:10" ht="15" customHeight="1" x14ac:dyDescent="0.35">
      <c r="B20" s="4"/>
    </row>
    <row r="21" spans="2:10" ht="15" customHeight="1" x14ac:dyDescent="0.45">
      <c r="B21" s="24" t="s">
        <v>23</v>
      </c>
      <c r="C21" s="25"/>
      <c r="D21" s="25"/>
      <c r="E21" s="89"/>
      <c r="F21" s="89"/>
      <c r="H21"/>
      <c r="I21"/>
    </row>
    <row r="22" spans="2:10" ht="29.15" customHeight="1" x14ac:dyDescent="0.35">
      <c r="B22" s="26" t="s">
        <v>24</v>
      </c>
      <c r="C22" s="26" t="s">
        <v>25</v>
      </c>
      <c r="D22" s="33" t="s">
        <v>26</v>
      </c>
      <c r="E22" s="90" t="s">
        <v>27</v>
      </c>
      <c r="F22" s="90"/>
      <c r="H22"/>
      <c r="I22"/>
    </row>
    <row r="23" spans="2:10" ht="15" customHeight="1" x14ac:dyDescent="0.35">
      <c r="B23" s="30">
        <v>1</v>
      </c>
      <c r="C23" s="45" t="s">
        <v>28</v>
      </c>
      <c r="D23" s="46">
        <f>'NYPL (Measure 1) Budget'!J43</f>
        <v>49925633.255166031</v>
      </c>
      <c r="E23" s="88">
        <f>D23/D$29</f>
        <v>0.10028762027224498</v>
      </c>
      <c r="F23" s="88"/>
      <c r="H23"/>
      <c r="I23"/>
    </row>
    <row r="24" spans="2:10" ht="15" customHeight="1" x14ac:dyDescent="0.35">
      <c r="B24" s="30">
        <v>2</v>
      </c>
      <c r="C24" s="45" t="s">
        <v>29</v>
      </c>
      <c r="D24" s="46">
        <f>'NYPD (Measure 2) Budget'!J60</f>
        <v>64188566.226396829</v>
      </c>
      <c r="E24" s="88">
        <f>D24/D$29</f>
        <v>0.12893814531369285</v>
      </c>
      <c r="F24" s="88"/>
      <c r="H24"/>
      <c r="I24"/>
    </row>
    <row r="25" spans="2:10" ht="15" customHeight="1" x14ac:dyDescent="0.35">
      <c r="B25" s="30">
        <v>3</v>
      </c>
      <c r="C25" s="45" t="s">
        <v>30</v>
      </c>
      <c r="D25" s="46">
        <f>'Health Bldg (Measure 3) Budget'!J44</f>
        <v>13127437.197870251</v>
      </c>
      <c r="E25" s="88">
        <f>D25/D$29</f>
        <v>2.6369609176895702E-2</v>
      </c>
      <c r="F25" s="88"/>
      <c r="H25"/>
      <c r="I25"/>
    </row>
    <row r="26" spans="2:10" ht="15" customHeight="1" x14ac:dyDescent="0.35">
      <c r="B26" s="30">
        <v>4</v>
      </c>
      <c r="C26" s="45" t="s">
        <v>31</v>
      </c>
      <c r="D26" s="46">
        <f>'NYCHA (Measure 5) Budget'!J65</f>
        <v>194543850.81285074</v>
      </c>
      <c r="E26" s="88">
        <f>D26/D$29</f>
        <v>0.39078802940572877</v>
      </c>
      <c r="F26" s="88"/>
      <c r="H26"/>
      <c r="I26"/>
    </row>
    <row r="27" spans="2:10" ht="15" customHeight="1" x14ac:dyDescent="0.35">
      <c r="B27" s="30">
        <v>5</v>
      </c>
      <c r="C27" s="45" t="s">
        <v>32</v>
      </c>
      <c r="D27" s="46">
        <f>'NYCPS (Measure 4) Budget'!J46</f>
        <v>166149757.99165136</v>
      </c>
      <c r="E27" s="88">
        <f>D27/D$29</f>
        <v>0.33375167727227495</v>
      </c>
      <c r="F27" s="88"/>
      <c r="H27"/>
      <c r="I27"/>
    </row>
    <row r="28" spans="2:10" ht="28.5" customHeight="1" x14ac:dyDescent="0.35">
      <c r="B28" s="30">
        <v>6</v>
      </c>
      <c r="C28" s="47" t="s">
        <v>33</v>
      </c>
      <c r="D28" s="46">
        <f>'HPD (Measure 6) Budget'!J47</f>
        <v>9889242.9188788086</v>
      </c>
      <c r="E28" s="88">
        <f t="shared" ref="E28" si="1">D28/D$29</f>
        <v>1.9864918559162847E-2</v>
      </c>
      <c r="F28" s="88"/>
      <c r="H28"/>
      <c r="I28"/>
    </row>
    <row r="29" spans="2:10" ht="15" customHeight="1" x14ac:dyDescent="0.35">
      <c r="B29" s="30" t="s">
        <v>34</v>
      </c>
      <c r="C29" s="47"/>
      <c r="D29" s="46">
        <f>SUM(D23:D28)</f>
        <v>497824488.40281397</v>
      </c>
      <c r="E29" s="88">
        <f>SUM(E26:E28)</f>
        <v>0.74440462523716655</v>
      </c>
      <c r="F29" s="88"/>
      <c r="H29"/>
      <c r="I29"/>
    </row>
    <row r="30" spans="2:10" ht="15" customHeight="1" x14ac:dyDescent="0.35">
      <c r="H30"/>
      <c r="I30"/>
    </row>
  </sheetData>
  <mergeCells count="12">
    <mergeCell ref="B1:J1"/>
    <mergeCell ref="B2:J2"/>
    <mergeCell ref="B3:J3"/>
    <mergeCell ref="E25:F25"/>
    <mergeCell ref="E28:F28"/>
    <mergeCell ref="E29:F29"/>
    <mergeCell ref="E21:F21"/>
    <mergeCell ref="E22:F22"/>
    <mergeCell ref="E26:F26"/>
    <mergeCell ref="E27:F27"/>
    <mergeCell ref="E24:F24"/>
    <mergeCell ref="E23:F23"/>
  </mergeCells>
  <pageMargins left="0.7" right="0.7" top="0.75" bottom="0.75" header="0.3" footer="0.3"/>
  <pageSetup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1:AM58"/>
  <sheetViews>
    <sheetView showGridLines="0" zoomScale="99" zoomScaleNormal="85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K46" sqref="A1:K46"/>
    </sheetView>
  </sheetViews>
  <sheetFormatPr defaultColWidth="9.453125" defaultRowHeight="14.5" x14ac:dyDescent="0.35"/>
  <cols>
    <col min="1" max="1" width="3.453125" customWidth="1"/>
    <col min="2" max="2" width="13.453125" customWidth="1"/>
    <col min="3" max="3" width="57.81640625" customWidth="1"/>
    <col min="4" max="4" width="12.54296875" style="4" customWidth="1"/>
    <col min="5" max="5" width="12.453125" style="2" customWidth="1"/>
    <col min="6" max="7" width="12.54296875" customWidth="1"/>
    <col min="8" max="8" width="13.453125" style="2" customWidth="1"/>
    <col min="9" max="9" width="11.453125" style="5" hidden="1" customWidth="1"/>
    <col min="10" max="10" width="18.26953125" customWidth="1"/>
    <col min="11" max="11" width="10.453125" customWidth="1"/>
    <col min="12" max="12" width="10.54296875" bestFit="1" customWidth="1"/>
  </cols>
  <sheetData>
    <row r="1" spans="2:39" ht="25.5" customHeight="1" x14ac:dyDescent="0.35">
      <c r="B1" s="94" t="s">
        <v>35</v>
      </c>
      <c r="C1" s="94"/>
    </row>
    <row r="2" spans="2:39" ht="23.25" customHeight="1" x14ac:dyDescent="0.35">
      <c r="B2" s="94"/>
      <c r="C2" s="94"/>
    </row>
    <row r="3" spans="2:39" ht="15" customHeight="1" x14ac:dyDescent="0.35">
      <c r="B3" s="94"/>
      <c r="C3" s="94"/>
    </row>
    <row r="4" spans="2:39" x14ac:dyDescent="0.35">
      <c r="B4" s="3"/>
    </row>
    <row r="5" spans="2:39" ht="18.5" x14ac:dyDescent="0.4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39" x14ac:dyDescent="0.3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39" s="3" customFormat="1" x14ac:dyDescent="0.35">
      <c r="B7" s="11" t="s">
        <v>11</v>
      </c>
      <c r="C7" s="14" t="s">
        <v>36</v>
      </c>
      <c r="D7" s="8" t="s">
        <v>37</v>
      </c>
      <c r="E7" s="8" t="s">
        <v>37</v>
      </c>
      <c r="F7" s="8" t="s">
        <v>37</v>
      </c>
      <c r="G7" s="8"/>
      <c r="H7" s="8" t="s">
        <v>37</v>
      </c>
      <c r="I7" s="5"/>
      <c r="J7" s="6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12"/>
      <c r="C8" s="52" t="s">
        <v>38</v>
      </c>
      <c r="D8" s="53">
        <v>75000</v>
      </c>
      <c r="E8" s="53">
        <v>75000</v>
      </c>
      <c r="F8" s="53">
        <v>75000</v>
      </c>
      <c r="G8" s="53">
        <v>75000</v>
      </c>
      <c r="H8" s="53">
        <v>75000</v>
      </c>
      <c r="I8" s="54">
        <v>450000</v>
      </c>
      <c r="J8" s="53">
        <f>SUM(D8:H8)</f>
        <v>375000</v>
      </c>
      <c r="K8" s="51"/>
    </row>
    <row r="9" spans="2:39" x14ac:dyDescent="0.35">
      <c r="B9" s="12"/>
      <c r="C9" s="52" t="s">
        <v>39</v>
      </c>
      <c r="D9" s="53">
        <v>75000</v>
      </c>
      <c r="E9" s="53">
        <v>75000</v>
      </c>
      <c r="F9" s="53">
        <v>75000</v>
      </c>
      <c r="G9" s="53">
        <v>75000</v>
      </c>
      <c r="H9" s="53">
        <v>75000</v>
      </c>
      <c r="I9" s="54">
        <v>450000</v>
      </c>
      <c r="J9" s="53">
        <f>SUM(D9:H9)</f>
        <v>375000</v>
      </c>
      <c r="K9" s="51"/>
    </row>
    <row r="10" spans="2:39" x14ac:dyDescent="0.35">
      <c r="B10" s="12"/>
      <c r="C10" s="52" t="s">
        <v>40</v>
      </c>
      <c r="D10" s="53">
        <v>75000</v>
      </c>
      <c r="E10" s="53">
        <v>75000</v>
      </c>
      <c r="F10" s="53">
        <v>75000</v>
      </c>
      <c r="G10" s="53">
        <v>75000</v>
      </c>
      <c r="H10" s="53">
        <v>75000</v>
      </c>
      <c r="I10" s="51"/>
      <c r="J10" s="53">
        <f>SUM(D10:H10)</f>
        <v>375000</v>
      </c>
      <c r="K10" s="51"/>
    </row>
    <row r="11" spans="2:39" x14ac:dyDescent="0.35">
      <c r="B11" s="12"/>
      <c r="C11" s="52" t="s">
        <v>41</v>
      </c>
      <c r="D11" s="53">
        <v>100000</v>
      </c>
      <c r="E11" s="53">
        <v>100000</v>
      </c>
      <c r="F11" s="53">
        <v>100000</v>
      </c>
      <c r="G11" s="53">
        <v>100000</v>
      </c>
      <c r="H11" s="53">
        <v>100000</v>
      </c>
      <c r="I11" s="51"/>
      <c r="J11" s="53">
        <f>SUM(D11:H11)</f>
        <v>500000</v>
      </c>
      <c r="K11" s="51"/>
    </row>
    <row r="12" spans="2:39" x14ac:dyDescent="0.35">
      <c r="B12" s="12"/>
      <c r="C12" s="57" t="s">
        <v>12</v>
      </c>
      <c r="D12" s="50">
        <f>SUM(D8:D11)</f>
        <v>325000</v>
      </c>
      <c r="E12" s="50">
        <f>SUM(E8:E11)</f>
        <v>325000</v>
      </c>
      <c r="F12" s="50">
        <f>SUM(F8:F11)</f>
        <v>325000</v>
      </c>
      <c r="G12" s="50">
        <f>SUM(G8:G11)</f>
        <v>325000</v>
      </c>
      <c r="H12" s="50">
        <f>SUM(H8:H11)</f>
        <v>325000</v>
      </c>
      <c r="I12" s="51">
        <f>SUM(I9:I11)</f>
        <v>450000</v>
      </c>
      <c r="J12" s="50">
        <f>SUM(J8:J11)</f>
        <v>1625000</v>
      </c>
      <c r="K12" s="51"/>
    </row>
    <row r="13" spans="2:39" x14ac:dyDescent="0.35">
      <c r="B13" s="12"/>
      <c r="C13" s="58" t="s">
        <v>42</v>
      </c>
      <c r="D13" s="59" t="s">
        <v>37</v>
      </c>
      <c r="E13" s="60"/>
      <c r="F13" s="60"/>
      <c r="G13" s="60"/>
      <c r="H13" s="60"/>
      <c r="I13" s="51"/>
      <c r="J13" s="61" t="s">
        <v>37</v>
      </c>
      <c r="K13" s="51"/>
    </row>
    <row r="14" spans="2:39" x14ac:dyDescent="0.35">
      <c r="B14" s="12"/>
      <c r="C14" s="52" t="s">
        <v>43</v>
      </c>
      <c r="D14" s="53">
        <f>D12*58.63%</f>
        <v>190547.5</v>
      </c>
      <c r="E14" s="53">
        <f t="shared" ref="E14:H14" si="0">E12*58.63%</f>
        <v>190547.5</v>
      </c>
      <c r="F14" s="53">
        <f t="shared" si="0"/>
        <v>190547.5</v>
      </c>
      <c r="G14" s="53">
        <f t="shared" si="0"/>
        <v>190547.5</v>
      </c>
      <c r="H14" s="53">
        <f t="shared" si="0"/>
        <v>190547.5</v>
      </c>
      <c r="I14" s="54">
        <v>450000</v>
      </c>
      <c r="J14" s="53">
        <f>SUM(D14:H14)</f>
        <v>952737.5</v>
      </c>
      <c r="K14" s="51"/>
    </row>
    <row r="15" spans="2:39" x14ac:dyDescent="0.35">
      <c r="B15" s="12"/>
      <c r="C15" s="60"/>
      <c r="D15" s="53"/>
      <c r="E15" s="56"/>
      <c r="F15" s="56"/>
      <c r="G15" s="56"/>
      <c r="H15" s="56"/>
      <c r="I15" s="51"/>
      <c r="J15" s="53"/>
      <c r="K15" s="51"/>
    </row>
    <row r="16" spans="2:39" x14ac:dyDescent="0.35">
      <c r="B16" s="12"/>
      <c r="C16" s="57" t="s">
        <v>13</v>
      </c>
      <c r="D16" s="50">
        <f>SUM(D14:D15)</f>
        <v>190547.5</v>
      </c>
      <c r="E16" s="50">
        <f t="shared" ref="E16:H16" si="1">SUM(E14:E15)</f>
        <v>190547.5</v>
      </c>
      <c r="F16" s="50">
        <f t="shared" si="1"/>
        <v>190547.5</v>
      </c>
      <c r="G16" s="50">
        <f t="shared" si="1"/>
        <v>190547.5</v>
      </c>
      <c r="H16" s="50">
        <f t="shared" si="1"/>
        <v>190547.5</v>
      </c>
      <c r="I16" s="51">
        <f t="shared" ref="I16" si="2">SUM(I15:I15)</f>
        <v>0</v>
      </c>
      <c r="J16" s="50">
        <f>SUM(J14:J15)</f>
        <v>952737.5</v>
      </c>
      <c r="K16" s="51"/>
    </row>
    <row r="17" spans="2:11" x14ac:dyDescent="0.35">
      <c r="B17" s="12"/>
      <c r="C17" s="58" t="s">
        <v>44</v>
      </c>
      <c r="D17" s="59" t="s">
        <v>37</v>
      </c>
      <c r="E17" s="60"/>
      <c r="F17" s="60"/>
      <c r="G17" s="60"/>
      <c r="H17" s="60"/>
      <c r="I17" s="51"/>
      <c r="J17" s="61" t="s">
        <v>37</v>
      </c>
      <c r="K17" s="51"/>
    </row>
    <row r="18" spans="2:11" x14ac:dyDescent="0.35">
      <c r="B18" s="12"/>
      <c r="C18" s="52"/>
      <c r="D18" s="53"/>
      <c r="E18" s="53"/>
      <c r="F18" s="53"/>
      <c r="G18" s="53"/>
      <c r="H18" s="53"/>
      <c r="I18" s="54">
        <v>1638</v>
      </c>
      <c r="J18" s="53">
        <f t="shared" ref="J18" si="3">SUM(D18:H18)</f>
        <v>0</v>
      </c>
      <c r="K18" s="51"/>
    </row>
    <row r="19" spans="2:11" x14ac:dyDescent="0.35">
      <c r="B19" s="12"/>
      <c r="C19" s="57" t="s">
        <v>14</v>
      </c>
      <c r="D19" s="50">
        <f>SUM(D18:D18)</f>
        <v>0</v>
      </c>
      <c r="E19" s="50">
        <f>SUM(E18:E18)</f>
        <v>0</v>
      </c>
      <c r="F19" s="50">
        <f>SUM(F18:F18)</f>
        <v>0</v>
      </c>
      <c r="G19" s="50">
        <f>SUM(G18:G18)</f>
        <v>0</v>
      </c>
      <c r="H19" s="50">
        <f>SUM(H18:H18)</f>
        <v>0</v>
      </c>
      <c r="I19" s="51"/>
      <c r="J19" s="50">
        <f>SUM(J18:J18)</f>
        <v>0</v>
      </c>
      <c r="K19" s="51"/>
    </row>
    <row r="20" spans="2:11" x14ac:dyDescent="0.35">
      <c r="B20" s="12"/>
      <c r="C20" s="58" t="s">
        <v>45</v>
      </c>
      <c r="D20" s="53"/>
      <c r="E20" s="60"/>
      <c r="F20" s="60"/>
      <c r="G20" s="60"/>
      <c r="H20" s="60"/>
      <c r="I20" s="51"/>
      <c r="J20" s="53" t="s">
        <v>20</v>
      </c>
      <c r="K20" s="51"/>
    </row>
    <row r="21" spans="2:11" x14ac:dyDescent="0.35">
      <c r="B21" s="12"/>
      <c r="C21" s="52"/>
      <c r="D21" s="53"/>
      <c r="E21" s="60"/>
      <c r="F21" s="60"/>
      <c r="G21" s="60"/>
      <c r="H21" s="60"/>
      <c r="I21" s="51"/>
      <c r="J21" s="53">
        <f>SUM(D21:H21)</f>
        <v>0</v>
      </c>
      <c r="K21" s="51"/>
    </row>
    <row r="22" spans="2:11" x14ac:dyDescent="0.35">
      <c r="B22" s="12"/>
      <c r="C22" s="57" t="s">
        <v>15</v>
      </c>
      <c r="D22" s="63">
        <f>SUM(D21:D21)</f>
        <v>0</v>
      </c>
      <c r="E22" s="63">
        <f>SUM(E21:E21)</f>
        <v>0</v>
      </c>
      <c r="F22" s="63">
        <f>SUM(F21:F21)</f>
        <v>0</v>
      </c>
      <c r="G22" s="63">
        <f>SUM(G21:G21)</f>
        <v>0</v>
      </c>
      <c r="H22" s="63">
        <f>SUM(H21:H21)</f>
        <v>0</v>
      </c>
      <c r="I22" s="51"/>
      <c r="J22" s="50">
        <f>SUM(J21:J21)</f>
        <v>0</v>
      </c>
      <c r="K22" s="51"/>
    </row>
    <row r="23" spans="2:11" x14ac:dyDescent="0.35">
      <c r="B23" s="12"/>
      <c r="C23" s="58" t="s">
        <v>46</v>
      </c>
      <c r="D23" s="59" t="s">
        <v>37</v>
      </c>
      <c r="E23" s="60"/>
      <c r="F23" s="60"/>
      <c r="G23" s="60"/>
      <c r="H23" s="60"/>
      <c r="I23" s="51"/>
      <c r="J23" s="53"/>
      <c r="K23" s="51"/>
    </row>
    <row r="24" spans="2:11" x14ac:dyDescent="0.35">
      <c r="B24" s="12"/>
      <c r="C24" s="52"/>
      <c r="D24" s="53"/>
      <c r="E24" s="53"/>
      <c r="F24" s="53"/>
      <c r="G24" s="53"/>
      <c r="H24" s="53"/>
      <c r="I24" s="54">
        <v>5000</v>
      </c>
      <c r="J24" s="53">
        <f t="shared" ref="J24:J35" si="4">SUM(D24:H24)</f>
        <v>0</v>
      </c>
      <c r="K24" s="51"/>
    </row>
    <row r="25" spans="2:11" x14ac:dyDescent="0.35">
      <c r="B25" s="12"/>
      <c r="C25" s="57" t="s">
        <v>16</v>
      </c>
      <c r="D25" s="50">
        <f>SUM(D24:D24)</f>
        <v>0</v>
      </c>
      <c r="E25" s="50">
        <f>SUM(E24:E24)</f>
        <v>0</v>
      </c>
      <c r="F25" s="50">
        <f>SUM(F24:F24)</f>
        <v>0</v>
      </c>
      <c r="G25" s="50">
        <f>SUM(G24:G24)</f>
        <v>0</v>
      </c>
      <c r="H25" s="50">
        <f>SUM(H24:H24)</f>
        <v>0</v>
      </c>
      <c r="I25" s="51"/>
      <c r="J25" s="50">
        <f>SUM(J24:J24)</f>
        <v>0</v>
      </c>
      <c r="K25" s="51"/>
    </row>
    <row r="26" spans="2:11" x14ac:dyDescent="0.35">
      <c r="B26" s="12"/>
      <c r="C26" s="58" t="s">
        <v>47</v>
      </c>
      <c r="D26" s="59" t="s">
        <v>37</v>
      </c>
      <c r="E26" s="60"/>
      <c r="F26" s="60"/>
      <c r="G26" s="60"/>
      <c r="H26" s="60"/>
      <c r="I26" s="51"/>
      <c r="J26" s="53"/>
      <c r="K26" s="51"/>
    </row>
    <row r="27" spans="2:11" x14ac:dyDescent="0.35">
      <c r="B27" s="12"/>
      <c r="C27" s="64" t="s">
        <v>48</v>
      </c>
      <c r="D27" s="53">
        <v>0</v>
      </c>
      <c r="E27" s="53">
        <v>0</v>
      </c>
      <c r="F27" s="53">
        <f>((27571318.34+4165881+2101876+2945907)/31)*9</f>
        <v>10679511.001935486</v>
      </c>
      <c r="G27" s="53">
        <f>((27571318.34+4165881+2101876+2945907)/31)*12</f>
        <v>14239348.002580646</v>
      </c>
      <c r="H27" s="53">
        <f>((27571318.34+4165881+2101876+2945907)/31)*10</f>
        <v>11866123.335483873</v>
      </c>
      <c r="I27" s="54"/>
      <c r="J27" s="53">
        <f t="shared" ref="J27:J31" si="5">SUM(D27:H27)</f>
        <v>36784982.340000004</v>
      </c>
      <c r="K27" s="51"/>
    </row>
    <row r="28" spans="2:11" x14ac:dyDescent="0.35">
      <c r="B28" s="12"/>
      <c r="C28" s="65" t="s">
        <v>49</v>
      </c>
      <c r="D28" s="53">
        <v>0</v>
      </c>
      <c r="E28" s="53">
        <v>0</v>
      </c>
      <c r="F28" s="53">
        <f>(2730873.43556352/31)*9</f>
        <v>792834.22322811873</v>
      </c>
      <c r="G28" s="53">
        <f>(2730873.43556352/31)*12</f>
        <v>1057112.2976374915</v>
      </c>
      <c r="H28" s="53">
        <f>(2730873.43556352/31)*10</f>
        <v>880926.91469790973</v>
      </c>
      <c r="I28" s="54">
        <v>22500000</v>
      </c>
      <c r="J28" s="53">
        <f t="shared" si="5"/>
        <v>2730873.4355635201</v>
      </c>
      <c r="K28" s="51"/>
    </row>
    <row r="29" spans="2:11" x14ac:dyDescent="0.35">
      <c r="B29" s="12"/>
      <c r="C29" s="65" t="s">
        <v>50</v>
      </c>
      <c r="D29" s="53">
        <v>0</v>
      </c>
      <c r="E29" s="53">
        <v>0</v>
      </c>
      <c r="F29" s="53">
        <f>(65645.9960472/31)*9</f>
        <v>19058.514981445162</v>
      </c>
      <c r="G29" s="53">
        <f>(65645.9960472/31)*12</f>
        <v>25411.353308593549</v>
      </c>
      <c r="H29" s="53">
        <f>(65645.9960472/31)*10</f>
        <v>21176.127757161288</v>
      </c>
      <c r="I29" s="54">
        <v>22500000</v>
      </c>
      <c r="J29" s="53">
        <f t="shared" si="5"/>
        <v>65645.996047199995</v>
      </c>
      <c r="K29" s="51"/>
    </row>
    <row r="30" spans="2:11" x14ac:dyDescent="0.35">
      <c r="B30" s="12"/>
      <c r="C30" s="65" t="s">
        <v>51</v>
      </c>
      <c r="D30" s="53">
        <v>0</v>
      </c>
      <c r="E30" s="53">
        <v>0</v>
      </c>
      <c r="F30" s="53">
        <f>(7503809.9993665/31)*9</f>
        <v>2178525.4836870483</v>
      </c>
      <c r="G30" s="53">
        <f>(7503809.9993665/31)*12</f>
        <v>2904700.6449160646</v>
      </c>
      <c r="H30" s="53">
        <f>(7503809.9993665/31)*10</f>
        <v>2420583.8707633871</v>
      </c>
      <c r="I30" s="54">
        <v>22500000</v>
      </c>
      <c r="J30" s="53">
        <f t="shared" si="5"/>
        <v>7503809.9993664995</v>
      </c>
      <c r="K30" s="51"/>
    </row>
    <row r="31" spans="2:11" x14ac:dyDescent="0.35">
      <c r="B31" s="12"/>
      <c r="C31" s="59" t="s">
        <v>52</v>
      </c>
      <c r="D31" s="53">
        <v>0</v>
      </c>
      <c r="E31" s="53">
        <v>0</v>
      </c>
      <c r="F31" s="53">
        <v>0</v>
      </c>
      <c r="G31" s="53">
        <v>0</v>
      </c>
      <c r="H31" s="53">
        <v>262583.98418879998</v>
      </c>
      <c r="I31" s="54"/>
      <c r="J31" s="53">
        <f t="shared" si="5"/>
        <v>262583.98418879998</v>
      </c>
      <c r="K31" s="51"/>
    </row>
    <row r="32" spans="2:11" x14ac:dyDescent="0.35">
      <c r="B32" s="12"/>
      <c r="C32" s="52"/>
      <c r="D32" s="53"/>
      <c r="E32" s="53"/>
      <c r="F32" s="53"/>
      <c r="G32" s="53"/>
      <c r="H32" s="53"/>
      <c r="I32" s="54"/>
      <c r="J32" s="53"/>
      <c r="K32" s="51"/>
    </row>
    <row r="33" spans="2:11" x14ac:dyDescent="0.35">
      <c r="B33" s="12"/>
      <c r="C33" s="57" t="s">
        <v>17</v>
      </c>
      <c r="D33" s="50">
        <f>SUM(D27:D32)</f>
        <v>0</v>
      </c>
      <c r="E33" s="50">
        <f>SUM(E27:E32)</f>
        <v>0</v>
      </c>
      <c r="F33" s="50">
        <f>SUM(F27:F32)</f>
        <v>13669929.223832099</v>
      </c>
      <c r="G33" s="50">
        <f>SUM(G27:G32)</f>
        <v>18226572.298442796</v>
      </c>
      <c r="H33" s="50">
        <f>SUM(H27:H32)</f>
        <v>15451394.232891133</v>
      </c>
      <c r="I33" s="51"/>
      <c r="J33" s="50">
        <f>SUM(J27:J32)</f>
        <v>47347895.755166024</v>
      </c>
      <c r="K33" s="51"/>
    </row>
    <row r="34" spans="2:11" x14ac:dyDescent="0.35">
      <c r="B34" s="12"/>
      <c r="C34" s="58" t="s">
        <v>53</v>
      </c>
      <c r="D34" s="59" t="s">
        <v>37</v>
      </c>
      <c r="E34" s="60"/>
      <c r="F34" s="60"/>
      <c r="G34" s="60"/>
      <c r="H34" s="60"/>
      <c r="I34" s="51"/>
      <c r="J34" s="53"/>
      <c r="K34" s="51"/>
    </row>
    <row r="35" spans="2:11" x14ac:dyDescent="0.35">
      <c r="B35" s="12"/>
      <c r="C35" s="60"/>
      <c r="D35" s="53"/>
      <c r="E35" s="56"/>
      <c r="F35" s="56"/>
      <c r="G35" s="56"/>
      <c r="H35" s="56"/>
      <c r="I35" s="51"/>
      <c r="J35" s="53">
        <f t="shared" si="4"/>
        <v>0</v>
      </c>
      <c r="K35" s="51"/>
    </row>
    <row r="36" spans="2:11" x14ac:dyDescent="0.35">
      <c r="B36" s="13"/>
      <c r="C36" s="57" t="s">
        <v>18</v>
      </c>
      <c r="D36" s="50">
        <f>SUM(D35:D35)</f>
        <v>0</v>
      </c>
      <c r="E36" s="50">
        <f>SUM(E35:E35)</f>
        <v>0</v>
      </c>
      <c r="F36" s="50">
        <f>SUM(F35:F35)</f>
        <v>0</v>
      </c>
      <c r="G36" s="50">
        <f>SUM(G35:G35)</f>
        <v>0</v>
      </c>
      <c r="H36" s="50">
        <f>SUM(H35:H35)</f>
        <v>0</v>
      </c>
      <c r="I36" s="51"/>
      <c r="J36" s="50">
        <f>SUM(J35:J35)</f>
        <v>0</v>
      </c>
      <c r="K36" s="51"/>
    </row>
    <row r="37" spans="2:11" x14ac:dyDescent="0.35">
      <c r="B37" s="13"/>
      <c r="C37" s="57" t="s">
        <v>19</v>
      </c>
      <c r="D37" s="50">
        <f>SUM(D36,D33,D25,D22,D19,D16,D12)</f>
        <v>515547.5</v>
      </c>
      <c r="E37" s="50">
        <f>SUM(E36,E33,E25,E22,E19,E16,E12)</f>
        <v>515547.5</v>
      </c>
      <c r="F37" s="50">
        <f>SUM(F36,F33,F25,F22,F19,F16,F12)</f>
        <v>14185476.723832099</v>
      </c>
      <c r="G37" s="50">
        <f>SUM(G36,G33,G25,G22,G19,G16,G12)</f>
        <v>18742119.798442796</v>
      </c>
      <c r="H37" s="50">
        <f>SUM(H36,H33,H25,H22,H19,H16,H12)</f>
        <v>15966941.732891133</v>
      </c>
      <c r="I37" s="51"/>
      <c r="J37" s="50">
        <f>SUM(D37:H37)</f>
        <v>49925633.255166031</v>
      </c>
      <c r="K37" s="51"/>
    </row>
    <row r="38" spans="2:11" x14ac:dyDescent="0.35">
      <c r="B38" s="4"/>
      <c r="C38" s="51"/>
      <c r="D38" s="51"/>
      <c r="E38" s="51"/>
      <c r="F38" s="51"/>
      <c r="G38" s="51"/>
      <c r="H38" s="51"/>
      <c r="I38" s="51"/>
      <c r="J38" s="51" t="s">
        <v>20</v>
      </c>
      <c r="K38" s="51"/>
    </row>
    <row r="39" spans="2:11" x14ac:dyDescent="0.35">
      <c r="B39" s="11" t="s">
        <v>54</v>
      </c>
      <c r="C39" s="66" t="s">
        <v>54</v>
      </c>
      <c r="D39" s="61"/>
      <c r="E39" s="61"/>
      <c r="F39" s="61"/>
      <c r="G39" s="61"/>
      <c r="H39" s="61"/>
      <c r="I39" s="51"/>
      <c r="J39" s="61" t="s">
        <v>20</v>
      </c>
      <c r="K39" s="51"/>
    </row>
    <row r="40" spans="2:11" x14ac:dyDescent="0.35">
      <c r="B40" s="12"/>
      <c r="C40" s="52"/>
      <c r="D40" s="59"/>
      <c r="E40" s="60"/>
      <c r="F40" s="60"/>
      <c r="G40" s="60"/>
      <c r="H40" s="60"/>
      <c r="I40" s="51"/>
      <c r="J40" s="53">
        <f>SUM(D40:H40)</f>
        <v>0</v>
      </c>
      <c r="K40" s="51"/>
    </row>
    <row r="41" spans="2:11" x14ac:dyDescent="0.35">
      <c r="B41" s="13"/>
      <c r="C41" s="57" t="s">
        <v>21</v>
      </c>
      <c r="D41" s="50">
        <f>SUM(D40:D40)</f>
        <v>0</v>
      </c>
      <c r="E41" s="50">
        <f>SUM(E40:E40)</f>
        <v>0</v>
      </c>
      <c r="F41" s="50">
        <f>SUM(F40:F40)</f>
        <v>0</v>
      </c>
      <c r="G41" s="50">
        <f>SUM(G40:G40)</f>
        <v>0</v>
      </c>
      <c r="H41" s="50">
        <f>SUM(H40:H40)</f>
        <v>0</v>
      </c>
      <c r="I41" s="51"/>
      <c r="J41" s="50">
        <f t="shared" ref="J41" si="6">SUM(D41:H41)</f>
        <v>0</v>
      </c>
      <c r="K41" s="51"/>
    </row>
    <row r="42" spans="2:11" ht="15" thickBot="1" x14ac:dyDescent="0.4">
      <c r="B42" s="4"/>
      <c r="C42" s="51"/>
      <c r="D42" s="51"/>
      <c r="E42" s="51"/>
      <c r="F42" s="51"/>
      <c r="G42" s="51"/>
      <c r="H42" s="51"/>
      <c r="I42" s="51"/>
      <c r="J42" s="51" t="s">
        <v>20</v>
      </c>
      <c r="K42" s="51"/>
    </row>
    <row r="43" spans="2:11" s="1" customFormat="1" ht="29.5" thickBot="1" x14ac:dyDescent="0.4">
      <c r="B43" s="10" t="s">
        <v>22</v>
      </c>
      <c r="C43" s="67"/>
      <c r="D43" s="68">
        <f t="shared" ref="D43:J43" si="7">SUM(D41,D37)</f>
        <v>515547.5</v>
      </c>
      <c r="E43" s="68">
        <f t="shared" si="7"/>
        <v>515547.5</v>
      </c>
      <c r="F43" s="68">
        <f t="shared" si="7"/>
        <v>14185476.723832099</v>
      </c>
      <c r="G43" s="68">
        <f t="shared" si="7"/>
        <v>18742119.798442796</v>
      </c>
      <c r="H43" s="68">
        <f t="shared" si="7"/>
        <v>15966941.732891133</v>
      </c>
      <c r="I43" s="51">
        <f t="shared" si="7"/>
        <v>0</v>
      </c>
      <c r="J43" s="68">
        <f t="shared" si="7"/>
        <v>49925633.255166031</v>
      </c>
      <c r="K43" s="69"/>
    </row>
    <row r="44" spans="2:11" x14ac:dyDescent="0.35">
      <c r="B44" s="4"/>
      <c r="C44" s="51"/>
      <c r="D44" s="70"/>
      <c r="E44" s="71"/>
      <c r="F44" s="51"/>
      <c r="G44" s="51"/>
      <c r="H44" s="71"/>
      <c r="I44" s="51"/>
      <c r="J44" s="72"/>
      <c r="K44" s="51"/>
    </row>
    <row r="45" spans="2:11" x14ac:dyDescent="0.35">
      <c r="B45" s="4"/>
      <c r="C45" s="51"/>
      <c r="D45" s="70"/>
      <c r="E45" s="71"/>
      <c r="F45" s="51"/>
      <c r="G45" s="51"/>
      <c r="H45" s="71"/>
      <c r="I45" s="51"/>
      <c r="J45" s="72"/>
      <c r="K45" s="51"/>
    </row>
    <row r="46" spans="2:11" x14ac:dyDescent="0.35">
      <c r="B46" s="4"/>
      <c r="C46" s="51"/>
      <c r="D46" s="70"/>
      <c r="E46" s="71"/>
      <c r="F46" s="51"/>
      <c r="G46" s="51"/>
      <c r="H46" s="71"/>
      <c r="I46" s="51"/>
      <c r="J46" s="72"/>
      <c r="K46" s="51"/>
    </row>
    <row r="47" spans="2:11" x14ac:dyDescent="0.35">
      <c r="B47" s="4"/>
      <c r="C47" s="51"/>
      <c r="D47" s="70"/>
      <c r="E47" s="71"/>
      <c r="F47" s="51"/>
      <c r="G47" s="51"/>
      <c r="H47" s="71"/>
      <c r="I47" s="51"/>
      <c r="J47" s="72"/>
      <c r="K47" s="51"/>
    </row>
    <row r="48" spans="2:11" x14ac:dyDescent="0.35">
      <c r="B48" s="4"/>
      <c r="C48" s="51"/>
      <c r="D48" s="70"/>
      <c r="E48" s="71"/>
      <c r="F48" s="51"/>
      <c r="G48" s="51"/>
      <c r="H48" s="71"/>
      <c r="I48" s="51"/>
      <c r="J48" s="51"/>
      <c r="K48" s="51"/>
    </row>
    <row r="49" spans="2:11" x14ac:dyDescent="0.35">
      <c r="B49" s="4"/>
      <c r="C49" s="51"/>
      <c r="D49" s="70"/>
      <c r="E49" s="71"/>
      <c r="F49" s="51"/>
      <c r="G49" s="51"/>
      <c r="H49" s="71"/>
      <c r="I49" s="51"/>
      <c r="J49" s="51"/>
      <c r="K49" s="51"/>
    </row>
    <row r="50" spans="2:11" x14ac:dyDescent="0.35">
      <c r="B50" s="4"/>
      <c r="C50" s="51"/>
      <c r="D50" s="70"/>
      <c r="E50" s="71"/>
      <c r="F50" s="51"/>
      <c r="G50" s="51"/>
      <c r="H50" s="71"/>
      <c r="I50" s="51"/>
      <c r="J50" s="51"/>
      <c r="K50" s="51"/>
    </row>
    <row r="51" spans="2:11" x14ac:dyDescent="0.35">
      <c r="B51" s="4"/>
    </row>
    <row r="52" spans="2:11" x14ac:dyDescent="0.35">
      <c r="B52" s="4"/>
    </row>
    <row r="53" spans="2:11" x14ac:dyDescent="0.35">
      <c r="B53" s="4"/>
    </row>
    <row r="54" spans="2:11" x14ac:dyDescent="0.35">
      <c r="B54" s="4"/>
    </row>
    <row r="55" spans="2:11" x14ac:dyDescent="0.35">
      <c r="B55" s="4"/>
    </row>
    <row r="56" spans="2:11" x14ac:dyDescent="0.35">
      <c r="B56" s="4"/>
    </row>
    <row r="57" spans="2:11" x14ac:dyDescent="0.35">
      <c r="B57" s="4"/>
    </row>
    <row r="58" spans="2:11" x14ac:dyDescent="0.35">
      <c r="B58" s="4"/>
    </row>
  </sheetData>
  <mergeCells count="1">
    <mergeCell ref="B1:C3"/>
  </mergeCells>
  <pageMargins left="0.7" right="0.7" top="0.75" bottom="0.75" header="0.3" footer="0.3"/>
  <pageSetup scale="54" fitToHeight="0" orientation="portrait" r:id="rId1"/>
  <ignoredErrors>
    <ignoredError sqref="J18 J24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1:AM77"/>
  <sheetViews>
    <sheetView showGridLines="0" zoomScale="94" zoomScaleNormal="9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K62" sqref="A1:K62"/>
    </sheetView>
  </sheetViews>
  <sheetFormatPr defaultColWidth="9.453125" defaultRowHeight="14.5" x14ac:dyDescent="0.35"/>
  <cols>
    <col min="1" max="1" width="3.453125" customWidth="1"/>
    <col min="2" max="2" width="10.54296875" customWidth="1"/>
    <col min="3" max="3" width="45.54296875" customWidth="1"/>
    <col min="4" max="4" width="12.81640625" style="4" customWidth="1"/>
    <col min="5" max="5" width="12.81640625" style="2" customWidth="1"/>
    <col min="6" max="7" width="12.81640625" customWidth="1"/>
    <col min="8" max="8" width="12.81640625" style="2" customWidth="1"/>
    <col min="9" max="9" width="12" style="5" hidden="1" customWidth="1"/>
    <col min="10" max="10" width="13.81640625" customWidth="1"/>
    <col min="11" max="11" width="12" bestFit="1" customWidth="1"/>
    <col min="12" max="12" width="13.54296875" bestFit="1" customWidth="1"/>
  </cols>
  <sheetData>
    <row r="1" spans="2:39" x14ac:dyDescent="0.35">
      <c r="B1" s="94" t="s">
        <v>55</v>
      </c>
      <c r="C1" s="94"/>
    </row>
    <row r="2" spans="2:39" x14ac:dyDescent="0.35">
      <c r="B2" s="94"/>
      <c r="C2" s="94"/>
    </row>
    <row r="3" spans="2:39" x14ac:dyDescent="0.35">
      <c r="B3" s="94"/>
      <c r="C3" s="94"/>
    </row>
    <row r="4" spans="2:39" x14ac:dyDescent="0.35">
      <c r="B4" s="95" t="s">
        <v>56</v>
      </c>
      <c r="C4" s="95"/>
      <c r="D4" s="95"/>
      <c r="E4" s="95"/>
      <c r="F4" s="95"/>
      <c r="G4" s="95"/>
      <c r="H4" s="95"/>
      <c r="I4" s="95"/>
      <c r="J4" s="95"/>
    </row>
    <row r="5" spans="2:39" ht="18.5" x14ac:dyDescent="0.4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39" x14ac:dyDescent="0.3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39" s="3" customFormat="1" x14ac:dyDescent="0.35">
      <c r="B7" s="11" t="s">
        <v>11</v>
      </c>
      <c r="C7" s="14" t="s">
        <v>36</v>
      </c>
      <c r="D7" s="8" t="s">
        <v>37</v>
      </c>
      <c r="E7" s="8" t="s">
        <v>37</v>
      </c>
      <c r="F7" s="8" t="s">
        <v>37</v>
      </c>
      <c r="G7" s="8"/>
      <c r="H7" s="8" t="s">
        <v>37</v>
      </c>
      <c r="I7" s="5"/>
      <c r="J7" s="6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73"/>
      <c r="C8" s="52" t="s">
        <v>57</v>
      </c>
      <c r="D8" s="53">
        <v>75000</v>
      </c>
      <c r="E8" s="53">
        <v>75000</v>
      </c>
      <c r="F8" s="53">
        <v>75000</v>
      </c>
      <c r="G8" s="53">
        <v>75000</v>
      </c>
      <c r="H8" s="53">
        <v>75000</v>
      </c>
      <c r="I8" s="54">
        <v>450000</v>
      </c>
      <c r="J8" s="53">
        <f>SUM(D8:H8)</f>
        <v>375000</v>
      </c>
    </row>
    <row r="9" spans="2:39" x14ac:dyDescent="0.35">
      <c r="B9" s="73"/>
      <c r="C9" s="52" t="s">
        <v>57</v>
      </c>
      <c r="D9" s="53">
        <v>75000</v>
      </c>
      <c r="E9" s="53">
        <v>75000</v>
      </c>
      <c r="F9" s="53">
        <v>75000</v>
      </c>
      <c r="G9" s="53">
        <v>75000</v>
      </c>
      <c r="H9" s="53">
        <v>75000</v>
      </c>
      <c r="I9" s="51"/>
      <c r="J9" s="53">
        <f>SUM(D9:H9)</f>
        <v>375000</v>
      </c>
    </row>
    <row r="10" spans="2:39" x14ac:dyDescent="0.35">
      <c r="B10" s="73"/>
      <c r="C10" s="52" t="s">
        <v>58</v>
      </c>
      <c r="D10" s="53">
        <v>100000</v>
      </c>
      <c r="E10" s="53">
        <v>100000</v>
      </c>
      <c r="F10" s="53">
        <v>100000</v>
      </c>
      <c r="G10" s="53">
        <v>100000</v>
      </c>
      <c r="H10" s="53">
        <v>100000</v>
      </c>
      <c r="I10" s="51"/>
      <c r="J10" s="53">
        <f>SUM(D10:H10)</f>
        <v>500000</v>
      </c>
    </row>
    <row r="11" spans="2:39" ht="16.5" x14ac:dyDescent="0.35">
      <c r="B11" s="73"/>
      <c r="C11" s="74" t="s">
        <v>59</v>
      </c>
      <c r="D11" s="53"/>
      <c r="E11" s="56"/>
      <c r="F11" s="56"/>
      <c r="G11" s="56"/>
      <c r="H11" s="56"/>
      <c r="I11" s="51"/>
      <c r="J11" s="53"/>
    </row>
    <row r="12" spans="2:39" x14ac:dyDescent="0.35">
      <c r="B12" s="73"/>
      <c r="C12" s="52" t="s">
        <v>60</v>
      </c>
      <c r="D12" s="53">
        <v>120000</v>
      </c>
      <c r="E12" s="53">
        <v>120000</v>
      </c>
      <c r="F12" s="53">
        <v>120000</v>
      </c>
      <c r="G12" s="53">
        <v>120000</v>
      </c>
      <c r="H12" s="53">
        <v>120000</v>
      </c>
      <c r="I12" s="54">
        <v>450000</v>
      </c>
      <c r="J12" s="53">
        <f>SUM(D12:H12)</f>
        <v>600000</v>
      </c>
    </row>
    <row r="13" spans="2:39" ht="44.5" customHeight="1" x14ac:dyDescent="0.35">
      <c r="B13" s="73"/>
      <c r="C13" s="52" t="s">
        <v>61</v>
      </c>
      <c r="D13" s="53">
        <v>120000</v>
      </c>
      <c r="E13" s="53">
        <v>120000</v>
      </c>
      <c r="F13" s="53">
        <v>120000</v>
      </c>
      <c r="G13" s="53">
        <v>120000</v>
      </c>
      <c r="H13" s="53">
        <v>120000</v>
      </c>
      <c r="I13" s="51"/>
      <c r="J13" s="53">
        <f>SUM(D13:H13)</f>
        <v>600000</v>
      </c>
    </row>
    <row r="14" spans="2:39" ht="42.65" customHeight="1" x14ac:dyDescent="0.35">
      <c r="B14" s="73"/>
      <c r="C14" s="52" t="s">
        <v>61</v>
      </c>
      <c r="D14" s="53">
        <v>120000</v>
      </c>
      <c r="E14" s="53">
        <v>120000</v>
      </c>
      <c r="F14" s="53">
        <v>120000</v>
      </c>
      <c r="G14" s="53">
        <v>120000</v>
      </c>
      <c r="H14" s="53">
        <v>120000</v>
      </c>
      <c r="I14" s="51"/>
      <c r="J14" s="53">
        <f>SUM(D14:H14)</f>
        <v>600000</v>
      </c>
    </row>
    <row r="15" spans="2:39" ht="16.5" x14ac:dyDescent="0.35">
      <c r="B15" s="73"/>
      <c r="C15" s="74" t="s">
        <v>62</v>
      </c>
      <c r="D15" s="53"/>
      <c r="E15" s="53"/>
      <c r="F15" s="53"/>
      <c r="G15" s="53"/>
      <c r="H15" s="53"/>
      <c r="I15" s="51"/>
      <c r="J15" s="53"/>
    </row>
    <row r="16" spans="2:39" x14ac:dyDescent="0.35">
      <c r="B16" s="73"/>
      <c r="C16" s="52" t="s">
        <v>63</v>
      </c>
      <c r="D16" s="53">
        <v>120000</v>
      </c>
      <c r="E16" s="53">
        <v>120000</v>
      </c>
      <c r="F16" s="53">
        <v>120000</v>
      </c>
      <c r="G16" s="53">
        <v>120000</v>
      </c>
      <c r="H16" s="53">
        <v>120000</v>
      </c>
      <c r="I16" s="54">
        <v>450000</v>
      </c>
      <c r="J16" s="53">
        <f t="shared" ref="J16:J23" si="0">SUM(D16:H16)</f>
        <v>600000</v>
      </c>
    </row>
    <row r="17" spans="2:11" ht="14.5" customHeight="1" x14ac:dyDescent="0.35">
      <c r="B17" s="73"/>
      <c r="C17" s="52" t="s">
        <v>64</v>
      </c>
      <c r="D17" s="53">
        <v>75000</v>
      </c>
      <c r="E17" s="53">
        <v>75000</v>
      </c>
      <c r="F17" s="53">
        <v>75000</v>
      </c>
      <c r="G17" s="53">
        <v>75000</v>
      </c>
      <c r="H17" s="53">
        <v>75000</v>
      </c>
      <c r="I17" s="51"/>
      <c r="J17" s="53">
        <f t="shared" si="0"/>
        <v>375000</v>
      </c>
    </row>
    <row r="18" spans="2:11" ht="59.5" customHeight="1" x14ac:dyDescent="0.35">
      <c r="B18" s="73"/>
      <c r="C18" s="52" t="s">
        <v>65</v>
      </c>
      <c r="D18" s="53">
        <v>120000</v>
      </c>
      <c r="E18" s="53">
        <v>120000</v>
      </c>
      <c r="F18" s="53">
        <v>120000</v>
      </c>
      <c r="G18" s="53">
        <v>120000</v>
      </c>
      <c r="H18" s="53">
        <v>120000</v>
      </c>
      <c r="I18" s="54">
        <v>450000</v>
      </c>
      <c r="J18" s="53">
        <f t="shared" si="0"/>
        <v>600000</v>
      </c>
    </row>
    <row r="19" spans="2:11" ht="29.5" customHeight="1" x14ac:dyDescent="0.35">
      <c r="B19" s="73"/>
      <c r="C19" s="52" t="s">
        <v>66</v>
      </c>
      <c r="D19" s="53">
        <v>75000</v>
      </c>
      <c r="E19" s="53">
        <v>75000</v>
      </c>
      <c r="F19" s="53">
        <v>75000</v>
      </c>
      <c r="G19" s="53">
        <v>75000</v>
      </c>
      <c r="H19" s="53">
        <v>75000</v>
      </c>
      <c r="I19" s="51"/>
      <c r="J19" s="53">
        <f t="shared" si="0"/>
        <v>375000</v>
      </c>
    </row>
    <row r="20" spans="2:11" ht="29.5" customHeight="1" x14ac:dyDescent="0.35">
      <c r="B20" s="73"/>
      <c r="C20" s="52" t="s">
        <v>67</v>
      </c>
      <c r="D20" s="53">
        <v>120000</v>
      </c>
      <c r="E20" s="53">
        <v>120000</v>
      </c>
      <c r="F20" s="53">
        <v>120000</v>
      </c>
      <c r="G20" s="53">
        <v>120000</v>
      </c>
      <c r="H20" s="53">
        <v>120000</v>
      </c>
      <c r="I20" s="51"/>
      <c r="J20" s="53">
        <f t="shared" si="0"/>
        <v>600000</v>
      </c>
    </row>
    <row r="21" spans="2:11" ht="29" x14ac:dyDescent="0.35">
      <c r="B21" s="73"/>
      <c r="C21" s="52" t="s">
        <v>68</v>
      </c>
      <c r="D21" s="53">
        <v>75000</v>
      </c>
      <c r="E21" s="53">
        <v>75000</v>
      </c>
      <c r="F21" s="53">
        <v>75000</v>
      </c>
      <c r="G21" s="53">
        <v>75000</v>
      </c>
      <c r="H21" s="53">
        <v>75000</v>
      </c>
      <c r="I21" s="54">
        <v>450000</v>
      </c>
      <c r="J21" s="53">
        <f t="shared" si="0"/>
        <v>375000</v>
      </c>
    </row>
    <row r="22" spans="2:11" ht="29.5" customHeight="1" x14ac:dyDescent="0.35">
      <c r="B22" s="73"/>
      <c r="C22" s="52" t="s">
        <v>69</v>
      </c>
      <c r="D22" s="53">
        <v>100000</v>
      </c>
      <c r="E22" s="53">
        <v>100000</v>
      </c>
      <c r="F22" s="53">
        <v>100000</v>
      </c>
      <c r="G22" s="53">
        <v>100000</v>
      </c>
      <c r="H22" s="53">
        <v>100000</v>
      </c>
      <c r="I22" s="51"/>
      <c r="J22" s="53">
        <f t="shared" si="0"/>
        <v>500000</v>
      </c>
    </row>
    <row r="23" spans="2:11" ht="29" x14ac:dyDescent="0.35">
      <c r="B23" s="73"/>
      <c r="C23" s="52" t="s">
        <v>69</v>
      </c>
      <c r="D23" s="53">
        <v>100000</v>
      </c>
      <c r="E23" s="53">
        <v>100000</v>
      </c>
      <c r="F23" s="53">
        <v>100000</v>
      </c>
      <c r="G23" s="53">
        <v>100000</v>
      </c>
      <c r="H23" s="53">
        <v>100000</v>
      </c>
      <c r="I23" s="54">
        <v>450000</v>
      </c>
      <c r="J23" s="53">
        <f t="shared" si="0"/>
        <v>500000</v>
      </c>
    </row>
    <row r="24" spans="2:11" x14ac:dyDescent="0.35">
      <c r="B24" s="73"/>
      <c r="C24" s="52"/>
      <c r="D24" s="53"/>
      <c r="E24" s="56"/>
      <c r="F24" s="56"/>
      <c r="G24" s="56"/>
      <c r="H24" s="56"/>
      <c r="I24" s="51"/>
      <c r="J24" s="53"/>
    </row>
    <row r="25" spans="2:11" x14ac:dyDescent="0.35">
      <c r="B25" s="73"/>
      <c r="C25" s="57" t="s">
        <v>12</v>
      </c>
      <c r="D25" s="50">
        <f>SUM(D8:D24)</f>
        <v>1395000</v>
      </c>
      <c r="E25" s="50">
        <f t="shared" ref="E25:I25" si="1">SUM(E8:E24)</f>
        <v>1395000</v>
      </c>
      <c r="F25" s="50">
        <f t="shared" si="1"/>
        <v>1395000</v>
      </c>
      <c r="G25" s="50">
        <f t="shared" si="1"/>
        <v>1395000</v>
      </c>
      <c r="H25" s="50">
        <f t="shared" si="1"/>
        <v>1395000</v>
      </c>
      <c r="I25" s="51">
        <f t="shared" si="1"/>
        <v>2700000</v>
      </c>
      <c r="J25" s="50">
        <f>SUM(J8:J24)</f>
        <v>6975000</v>
      </c>
      <c r="K25" s="15"/>
    </row>
    <row r="26" spans="2:11" x14ac:dyDescent="0.35">
      <c r="B26" s="73"/>
      <c r="C26" s="58" t="s">
        <v>42</v>
      </c>
      <c r="D26" s="59" t="s">
        <v>37</v>
      </c>
      <c r="E26" s="60"/>
      <c r="F26" s="60"/>
      <c r="G26" s="60"/>
      <c r="H26" s="60"/>
      <c r="I26" s="51"/>
      <c r="J26" s="61" t="s">
        <v>37</v>
      </c>
    </row>
    <row r="27" spans="2:11" x14ac:dyDescent="0.35">
      <c r="B27" s="73"/>
      <c r="C27" s="52" t="s">
        <v>70</v>
      </c>
      <c r="D27" s="53">
        <f>D25*58.63%</f>
        <v>817888.50000000012</v>
      </c>
      <c r="E27" s="53">
        <f t="shared" ref="E27:H27" si="2">E25*58.63%</f>
        <v>817888.50000000012</v>
      </c>
      <c r="F27" s="53">
        <f t="shared" si="2"/>
        <v>817888.50000000012</v>
      </c>
      <c r="G27" s="53">
        <f t="shared" si="2"/>
        <v>817888.50000000012</v>
      </c>
      <c r="H27" s="53">
        <f t="shared" si="2"/>
        <v>817888.50000000012</v>
      </c>
      <c r="I27" s="54">
        <v>450000</v>
      </c>
      <c r="J27" s="53">
        <f>SUM(D27:H27)</f>
        <v>4089442.5000000005</v>
      </c>
    </row>
    <row r="28" spans="2:11" x14ac:dyDescent="0.35">
      <c r="B28" s="73"/>
      <c r="C28" s="60"/>
      <c r="D28" s="53"/>
      <c r="E28" s="56"/>
      <c r="F28" s="56"/>
      <c r="G28" s="56"/>
      <c r="H28" s="56"/>
      <c r="I28" s="51"/>
      <c r="J28" s="53"/>
    </row>
    <row r="29" spans="2:11" x14ac:dyDescent="0.35">
      <c r="B29" s="73"/>
      <c r="C29" s="57" t="s">
        <v>13</v>
      </c>
      <c r="D29" s="50">
        <f>SUM(D27:D28)</f>
        <v>817888.50000000012</v>
      </c>
      <c r="E29" s="50">
        <f t="shared" ref="E29:I29" si="3">SUM(E27:E28)</f>
        <v>817888.50000000012</v>
      </c>
      <c r="F29" s="50">
        <f t="shared" si="3"/>
        <v>817888.50000000012</v>
      </c>
      <c r="G29" s="50">
        <f t="shared" si="3"/>
        <v>817888.50000000012</v>
      </c>
      <c r="H29" s="50">
        <f t="shared" si="3"/>
        <v>817888.50000000012</v>
      </c>
      <c r="I29" s="51">
        <f t="shared" si="3"/>
        <v>450000</v>
      </c>
      <c r="J29" s="50">
        <f>SUM(J27:J28)</f>
        <v>4089442.5000000005</v>
      </c>
    </row>
    <row r="30" spans="2:11" x14ac:dyDescent="0.35">
      <c r="B30" s="73"/>
      <c r="C30" s="58" t="s">
        <v>44</v>
      </c>
      <c r="D30" s="59" t="s">
        <v>37</v>
      </c>
      <c r="E30" s="60"/>
      <c r="F30" s="60"/>
      <c r="G30" s="60"/>
      <c r="H30" s="60"/>
      <c r="I30" s="51"/>
      <c r="J30" s="61" t="s">
        <v>37</v>
      </c>
    </row>
    <row r="31" spans="2:11" x14ac:dyDescent="0.35">
      <c r="B31" s="73"/>
      <c r="C31" s="52"/>
      <c r="D31" s="59"/>
      <c r="E31" s="60"/>
      <c r="F31" s="60"/>
      <c r="G31" s="60"/>
      <c r="H31" s="60"/>
      <c r="I31" s="51"/>
      <c r="J31" s="53">
        <f t="shared" ref="J31" si="4">SUM(D31:H31)</f>
        <v>0</v>
      </c>
    </row>
    <row r="32" spans="2:11" x14ac:dyDescent="0.35">
      <c r="B32" s="73"/>
      <c r="C32" s="52"/>
      <c r="D32" s="53"/>
      <c r="E32" s="53"/>
      <c r="F32" s="53"/>
      <c r="G32" s="53"/>
      <c r="H32" s="53"/>
      <c r="I32" s="54">
        <v>1638</v>
      </c>
      <c r="J32" s="53">
        <f t="shared" ref="J32" si="5">SUM(D32:H32)</f>
        <v>0</v>
      </c>
    </row>
    <row r="33" spans="2:12" x14ac:dyDescent="0.35">
      <c r="B33" s="73"/>
      <c r="C33" s="57" t="s">
        <v>14</v>
      </c>
      <c r="D33" s="50">
        <f>SUM(D32:D32)</f>
        <v>0</v>
      </c>
      <c r="E33" s="50">
        <f>SUM(E32:E32)</f>
        <v>0</v>
      </c>
      <c r="F33" s="50">
        <f>SUM(F32:F32)</f>
        <v>0</v>
      </c>
      <c r="G33" s="50">
        <f>SUM(G32:G32)</f>
        <v>0</v>
      </c>
      <c r="H33" s="50">
        <f>SUM(H32:H32)</f>
        <v>0</v>
      </c>
      <c r="I33" s="51"/>
      <c r="J33" s="50">
        <f>SUM(D33:H33)</f>
        <v>0</v>
      </c>
    </row>
    <row r="34" spans="2:12" x14ac:dyDescent="0.35">
      <c r="B34" s="73"/>
      <c r="C34" s="58" t="s">
        <v>45</v>
      </c>
      <c r="D34" s="53"/>
      <c r="E34" s="60"/>
      <c r="F34" s="60"/>
      <c r="G34" s="60"/>
      <c r="H34" s="60"/>
      <c r="I34" s="51"/>
      <c r="J34" s="53" t="s">
        <v>20</v>
      </c>
    </row>
    <row r="35" spans="2:12" x14ac:dyDescent="0.35">
      <c r="B35" s="73"/>
      <c r="C35" s="52"/>
      <c r="D35" s="53"/>
      <c r="E35" s="60"/>
      <c r="F35" s="60"/>
      <c r="G35" s="60"/>
      <c r="H35" s="60"/>
      <c r="I35" s="51"/>
      <c r="J35" s="53">
        <f>SUM(D35:H35)</f>
        <v>0</v>
      </c>
    </row>
    <row r="36" spans="2:12" x14ac:dyDescent="0.35">
      <c r="B36" s="73" t="s">
        <v>71</v>
      </c>
      <c r="C36" s="59" t="s">
        <v>71</v>
      </c>
      <c r="D36" s="59" t="s">
        <v>37</v>
      </c>
      <c r="E36" s="60"/>
      <c r="F36" s="60"/>
      <c r="G36" s="60"/>
      <c r="H36" s="60"/>
      <c r="I36" s="51"/>
      <c r="J36" s="53">
        <f t="shared" ref="J36:J54" si="6">SUM(D36:H36)</f>
        <v>0</v>
      </c>
    </row>
    <row r="37" spans="2:12" x14ac:dyDescent="0.35">
      <c r="B37" s="73"/>
      <c r="C37" s="57" t="s">
        <v>15</v>
      </c>
      <c r="D37" s="63">
        <f>SUM(D35:D36)</f>
        <v>0</v>
      </c>
      <c r="E37" s="63">
        <f t="shared" ref="E37:H37" si="7">SUM(E35:E36)</f>
        <v>0</v>
      </c>
      <c r="F37" s="63">
        <f t="shared" si="7"/>
        <v>0</v>
      </c>
      <c r="G37" s="63">
        <f t="shared" si="7"/>
        <v>0</v>
      </c>
      <c r="H37" s="63">
        <f t="shared" si="7"/>
        <v>0</v>
      </c>
      <c r="I37" s="51"/>
      <c r="J37" s="50">
        <f t="shared" si="6"/>
        <v>0</v>
      </c>
    </row>
    <row r="38" spans="2:12" x14ac:dyDescent="0.35">
      <c r="B38" s="73"/>
      <c r="C38" s="58" t="s">
        <v>46</v>
      </c>
      <c r="D38" s="59" t="s">
        <v>37</v>
      </c>
      <c r="E38" s="60"/>
      <c r="F38" s="60"/>
      <c r="G38" s="60"/>
      <c r="H38" s="60"/>
      <c r="I38" s="51"/>
      <c r="J38" s="53"/>
    </row>
    <row r="39" spans="2:12" x14ac:dyDescent="0.35">
      <c r="B39" s="73"/>
      <c r="C39" s="52"/>
      <c r="D39" s="53"/>
      <c r="E39" s="53"/>
      <c r="F39" s="53"/>
      <c r="G39" s="53"/>
      <c r="H39" s="53"/>
      <c r="I39" s="54">
        <v>5000</v>
      </c>
      <c r="J39" s="53">
        <f t="shared" si="6"/>
        <v>0</v>
      </c>
    </row>
    <row r="40" spans="2:12" x14ac:dyDescent="0.35">
      <c r="B40" s="73"/>
      <c r="C40" s="52"/>
      <c r="D40" s="53"/>
      <c r="E40" s="56"/>
      <c r="F40" s="56"/>
      <c r="G40" s="56"/>
      <c r="H40" s="56"/>
      <c r="I40" s="51"/>
      <c r="J40" s="53">
        <f t="shared" si="6"/>
        <v>0</v>
      </c>
    </row>
    <row r="41" spans="2:12" x14ac:dyDescent="0.35">
      <c r="B41" s="73"/>
      <c r="C41" s="57" t="s">
        <v>16</v>
      </c>
      <c r="D41" s="50">
        <f>SUM(D39:D40)</f>
        <v>0</v>
      </c>
      <c r="E41" s="50">
        <f t="shared" ref="E41:H41" si="8">SUM(E39:E40)</f>
        <v>0</v>
      </c>
      <c r="F41" s="50">
        <f t="shared" si="8"/>
        <v>0</v>
      </c>
      <c r="G41" s="50">
        <f t="shared" si="8"/>
        <v>0</v>
      </c>
      <c r="H41" s="50">
        <f t="shared" si="8"/>
        <v>0</v>
      </c>
      <c r="I41" s="51"/>
      <c r="J41" s="50">
        <f t="shared" si="6"/>
        <v>0</v>
      </c>
    </row>
    <row r="42" spans="2:12" x14ac:dyDescent="0.35">
      <c r="B42" s="73"/>
      <c r="C42" s="58" t="s">
        <v>47</v>
      </c>
      <c r="D42" s="59" t="s">
        <v>37</v>
      </c>
      <c r="E42" s="60"/>
      <c r="F42" s="60"/>
      <c r="G42" s="60"/>
      <c r="H42" s="60"/>
      <c r="I42" s="51"/>
      <c r="J42" s="53"/>
    </row>
    <row r="43" spans="2:12" x14ac:dyDescent="0.35">
      <c r="B43" s="73"/>
      <c r="C43" s="64" t="s">
        <v>48</v>
      </c>
      <c r="D43" s="53">
        <v>0</v>
      </c>
      <c r="E43" s="53">
        <v>0</v>
      </c>
      <c r="F43" s="53">
        <f>((30925546+4672687+2372310+3305621)/37)*12+4462288</f>
        <v>17849152</v>
      </c>
      <c r="G43" s="53">
        <f>((30925546+4672687+2372310+3305621)/37)*12+4462288</f>
        <v>17849152</v>
      </c>
      <c r="H43" s="53">
        <f>((30925546+4672687+2372310+3305621)/37)*1+4462288</f>
        <v>5577860</v>
      </c>
      <c r="I43" s="54"/>
      <c r="J43" s="53">
        <f t="shared" si="6"/>
        <v>41276164</v>
      </c>
      <c r="L43" s="15"/>
    </row>
    <row r="44" spans="2:12" x14ac:dyDescent="0.35">
      <c r="B44" s="73"/>
      <c r="C44" s="65" t="s">
        <v>49</v>
      </c>
      <c r="D44" s="53">
        <v>0</v>
      </c>
      <c r="E44" s="53">
        <v>0</v>
      </c>
      <c r="F44" s="53">
        <f>(3063101.7456/37)*12+331146.13</f>
        <v>1324584.5339783784</v>
      </c>
      <c r="G44" s="53">
        <f>(3063101.7456/37)*12+331146.13</f>
        <v>1324584.5339783784</v>
      </c>
      <c r="H44" s="53">
        <f>(3063101.7456/37)*1+331146.13</f>
        <v>413932.66366486484</v>
      </c>
      <c r="I44" s="54">
        <v>22500000</v>
      </c>
      <c r="J44" s="53">
        <f t="shared" si="6"/>
        <v>3063101.7316216216</v>
      </c>
    </row>
    <row r="45" spans="2:12" x14ac:dyDescent="0.35">
      <c r="B45" s="73"/>
      <c r="C45" s="65" t="s">
        <v>50</v>
      </c>
      <c r="D45" s="53">
        <v>0</v>
      </c>
      <c r="E45" s="53">
        <v>0</v>
      </c>
      <c r="F45" s="53">
        <f>(73632.2535/31)*9</f>
        <v>21377.105854838712</v>
      </c>
      <c r="G45" s="53">
        <f>(73632.2535/31)*12</f>
        <v>28502.807806451616</v>
      </c>
      <c r="H45" s="53">
        <f>(73632.2535/31)*10</f>
        <v>23752.339838709682</v>
      </c>
      <c r="I45" s="54">
        <v>22500000</v>
      </c>
      <c r="J45" s="53">
        <f t="shared" ref="J45" si="9">SUM(D45:H45)</f>
        <v>73632.253500000006</v>
      </c>
      <c r="K45" s="44"/>
    </row>
    <row r="46" spans="2:12" x14ac:dyDescent="0.35">
      <c r="B46" s="73"/>
      <c r="C46" s="65" t="s">
        <v>51</v>
      </c>
      <c r="D46" s="53">
        <v>0</v>
      </c>
      <c r="E46" s="53">
        <v>0</v>
      </c>
      <c r="F46" s="53">
        <f>(8416696.7272752/31)*9</f>
        <v>2443557.1143702194</v>
      </c>
      <c r="G46" s="53">
        <f>(8416696.7272752/31)*12</f>
        <v>3258076.1524936259</v>
      </c>
      <c r="H46" s="53">
        <f>(8416696.7272752/31)*10</f>
        <v>2715063.4604113549</v>
      </c>
      <c r="I46" s="54">
        <v>22500000</v>
      </c>
      <c r="J46" s="53">
        <f>SUM(D46:H46)</f>
        <v>8416696.7272752002</v>
      </c>
    </row>
    <row r="47" spans="2:12" x14ac:dyDescent="0.35">
      <c r="B47" s="73"/>
      <c r="C47" s="59" t="s">
        <v>52</v>
      </c>
      <c r="D47" s="53">
        <v>0</v>
      </c>
      <c r="E47" s="53">
        <v>0</v>
      </c>
      <c r="F47" s="53">
        <v>0</v>
      </c>
      <c r="G47" s="53">
        <v>0</v>
      </c>
      <c r="H47" s="53">
        <v>294529.01400000002</v>
      </c>
      <c r="I47" s="54"/>
      <c r="J47" s="53">
        <f t="shared" si="6"/>
        <v>294529.01400000002</v>
      </c>
    </row>
    <row r="48" spans="2:12" x14ac:dyDescent="0.35">
      <c r="B48" s="73"/>
      <c r="C48" s="52"/>
      <c r="D48" s="53"/>
      <c r="E48" s="53"/>
      <c r="F48" s="53"/>
      <c r="G48" s="53"/>
      <c r="H48" s="53"/>
      <c r="I48" s="51"/>
      <c r="J48" s="53"/>
    </row>
    <row r="49" spans="2:10" x14ac:dyDescent="0.35">
      <c r="B49" s="73"/>
      <c r="C49" s="57" t="s">
        <v>17</v>
      </c>
      <c r="D49" s="50">
        <f>SUM(D43:D48)</f>
        <v>0</v>
      </c>
      <c r="E49" s="50">
        <f>SUM(E43:E48)</f>
        <v>0</v>
      </c>
      <c r="F49" s="50">
        <f>SUM(F43:F48)</f>
        <v>21638670.754203439</v>
      </c>
      <c r="G49" s="50">
        <f>SUM(G43:G48)</f>
        <v>22460315.494278457</v>
      </c>
      <c r="H49" s="50">
        <f>SUM(H43:H48)</f>
        <v>9025137.4779149294</v>
      </c>
      <c r="I49" s="51"/>
      <c r="J49" s="50">
        <f t="shared" si="6"/>
        <v>53124123.726396829</v>
      </c>
    </row>
    <row r="50" spans="2:10" x14ac:dyDescent="0.35">
      <c r="B50" s="73"/>
      <c r="C50" s="58" t="s">
        <v>53</v>
      </c>
      <c r="D50" s="59" t="s">
        <v>37</v>
      </c>
      <c r="E50" s="60"/>
      <c r="F50" s="60"/>
      <c r="G50" s="60"/>
      <c r="H50" s="60"/>
      <c r="I50" s="51"/>
      <c r="J50" s="53"/>
    </row>
    <row r="51" spans="2:10" x14ac:dyDescent="0.35">
      <c r="B51" s="73"/>
      <c r="C51" s="52"/>
      <c r="D51" s="53"/>
      <c r="E51" s="53"/>
      <c r="F51" s="53"/>
      <c r="G51" s="53"/>
      <c r="H51" s="53"/>
      <c r="I51" s="54">
        <v>375000</v>
      </c>
      <c r="J51" s="53">
        <f t="shared" si="6"/>
        <v>0</v>
      </c>
    </row>
    <row r="52" spans="2:10" x14ac:dyDescent="0.35">
      <c r="B52" s="73"/>
      <c r="C52" s="60"/>
      <c r="D52" s="53"/>
      <c r="E52" s="56"/>
      <c r="F52" s="56"/>
      <c r="G52" s="56"/>
      <c r="H52" s="56"/>
      <c r="I52" s="51"/>
      <c r="J52" s="53">
        <f t="shared" si="6"/>
        <v>0</v>
      </c>
    </row>
    <row r="53" spans="2:10" x14ac:dyDescent="0.35">
      <c r="B53" s="75"/>
      <c r="C53" s="57" t="s">
        <v>18</v>
      </c>
      <c r="D53" s="50">
        <f>SUM(D51:D52)</f>
        <v>0</v>
      </c>
      <c r="E53" s="50">
        <f>SUM(E51:E52)</f>
        <v>0</v>
      </c>
      <c r="F53" s="50">
        <f>SUM(F51:F52)</f>
        <v>0</v>
      </c>
      <c r="G53" s="50">
        <f>SUM(G51:G52)</f>
        <v>0</v>
      </c>
      <c r="H53" s="50">
        <f>SUM(H51:H52)</f>
        <v>0</v>
      </c>
      <c r="I53" s="51"/>
      <c r="J53" s="50">
        <f t="shared" si="6"/>
        <v>0</v>
      </c>
    </row>
    <row r="54" spans="2:10" x14ac:dyDescent="0.35">
      <c r="B54" s="75"/>
      <c r="C54" s="57" t="s">
        <v>19</v>
      </c>
      <c r="D54" s="50">
        <f>SUM(D53,D49,D41,D37,D33,D29,D25)</f>
        <v>2212888.5</v>
      </c>
      <c r="E54" s="50">
        <f>SUM(E53,E49,E41,E37,E33,E29,E25)</f>
        <v>2212888.5</v>
      </c>
      <c r="F54" s="50">
        <f>SUM(F53,F49,F41,F37,F33,F29,F25)</f>
        <v>23851559.254203439</v>
      </c>
      <c r="G54" s="50">
        <f>SUM(G53,G49,G41,G37,G33,G29,G25)</f>
        <v>24673203.994278457</v>
      </c>
      <c r="H54" s="50">
        <f>SUM(H53,H49,H41,H37,H33,H29,H25)</f>
        <v>11238025.977914929</v>
      </c>
      <c r="I54" s="51"/>
      <c r="J54" s="50">
        <f t="shared" si="6"/>
        <v>64188566.226396829</v>
      </c>
    </row>
    <row r="55" spans="2:10" x14ac:dyDescent="0.35">
      <c r="B55" s="70"/>
      <c r="C55" s="51"/>
      <c r="D55" s="51"/>
      <c r="E55" s="51"/>
      <c r="F55" s="51"/>
      <c r="G55" s="51"/>
      <c r="H55" s="51"/>
      <c r="I55" s="51"/>
      <c r="J55" s="51" t="s">
        <v>20</v>
      </c>
    </row>
    <row r="56" spans="2:10" ht="29" x14ac:dyDescent="0.35">
      <c r="B56" s="76" t="s">
        <v>54</v>
      </c>
      <c r="C56" s="66" t="s">
        <v>54</v>
      </c>
      <c r="D56" s="61"/>
      <c r="E56" s="61"/>
      <c r="F56" s="61"/>
      <c r="G56" s="61"/>
      <c r="H56" s="61"/>
      <c r="I56" s="51"/>
      <c r="J56" s="61" t="s">
        <v>20</v>
      </c>
    </row>
    <row r="57" spans="2:10" x14ac:dyDescent="0.35">
      <c r="B57" s="73"/>
      <c r="C57" s="52"/>
      <c r="D57" s="59"/>
      <c r="E57" s="60"/>
      <c r="F57" s="60"/>
      <c r="G57" s="60"/>
      <c r="H57" s="60"/>
      <c r="I57" s="51"/>
      <c r="J57" s="53">
        <f>SUM(D57:H57)</f>
        <v>0</v>
      </c>
    </row>
    <row r="58" spans="2:10" x14ac:dyDescent="0.35">
      <c r="B58" s="75"/>
      <c r="C58" s="57" t="s">
        <v>21</v>
      </c>
      <c r="D58" s="50">
        <f>SUM(D57:D57)</f>
        <v>0</v>
      </c>
      <c r="E58" s="50">
        <f>SUM(E57:E57)</f>
        <v>0</v>
      </c>
      <c r="F58" s="50">
        <f>SUM(F57:F57)</f>
        <v>0</v>
      </c>
      <c r="G58" s="50">
        <f>SUM(G57:G57)</f>
        <v>0</v>
      </c>
      <c r="H58" s="50">
        <f>SUM(H57:H57)</f>
        <v>0</v>
      </c>
      <c r="I58" s="51"/>
      <c r="J58" s="50">
        <f t="shared" ref="J58" si="10">SUM(D58:H58)</f>
        <v>0</v>
      </c>
    </row>
    <row r="59" spans="2:10" ht="15" thickBot="1" x14ac:dyDescent="0.4">
      <c r="B59" s="70"/>
      <c r="C59" s="51"/>
      <c r="D59" s="51"/>
      <c r="E59" s="51"/>
      <c r="F59" s="51"/>
      <c r="G59" s="51"/>
      <c r="H59" s="51"/>
      <c r="I59" s="51"/>
      <c r="J59" s="51" t="s">
        <v>20</v>
      </c>
    </row>
    <row r="60" spans="2:10" s="1" customFormat="1" ht="29.5" thickBot="1" x14ac:dyDescent="0.4">
      <c r="B60" s="67" t="s">
        <v>22</v>
      </c>
      <c r="C60" s="67"/>
      <c r="D60" s="68">
        <f t="shared" ref="D60:J60" si="11">SUM(D58,D54)</f>
        <v>2212888.5</v>
      </c>
      <c r="E60" s="68">
        <f t="shared" si="11"/>
        <v>2212888.5</v>
      </c>
      <c r="F60" s="68">
        <f t="shared" si="11"/>
        <v>23851559.254203439</v>
      </c>
      <c r="G60" s="68">
        <f t="shared" si="11"/>
        <v>24673203.994278457</v>
      </c>
      <c r="H60" s="68">
        <f t="shared" si="11"/>
        <v>11238025.977914929</v>
      </c>
      <c r="I60" s="51">
        <f t="shared" si="11"/>
        <v>0</v>
      </c>
      <c r="J60" s="68">
        <f t="shared" si="11"/>
        <v>64188566.226396829</v>
      </c>
    </row>
    <row r="61" spans="2:10" x14ac:dyDescent="0.35">
      <c r="B61" s="70"/>
      <c r="C61" s="51"/>
      <c r="D61" s="70"/>
      <c r="E61" s="71"/>
      <c r="F61" s="51"/>
      <c r="G61" s="51"/>
      <c r="H61" s="71"/>
      <c r="I61" s="51"/>
      <c r="J61" s="51"/>
    </row>
    <row r="62" spans="2:10" x14ac:dyDescent="0.35">
      <c r="B62" s="70" t="s">
        <v>72</v>
      </c>
      <c r="C62" s="51"/>
      <c r="D62" s="70"/>
      <c r="E62" s="71"/>
      <c r="F62" s="51"/>
      <c r="G62" s="51"/>
      <c r="H62" s="71"/>
      <c r="I62" s="51"/>
      <c r="J62" s="51"/>
    </row>
    <row r="63" spans="2:10" ht="33" customHeight="1" x14ac:dyDescent="0.35"/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  <row r="74" spans="2:2" x14ac:dyDescent="0.35">
      <c r="B74" s="4"/>
    </row>
    <row r="75" spans="2:2" x14ac:dyDescent="0.35">
      <c r="B75" s="4"/>
    </row>
    <row r="76" spans="2:2" x14ac:dyDescent="0.35">
      <c r="B76" s="4"/>
    </row>
    <row r="77" spans="2:2" x14ac:dyDescent="0.35">
      <c r="B77" s="4"/>
    </row>
  </sheetData>
  <mergeCells count="2">
    <mergeCell ref="B4:J4"/>
    <mergeCell ref="B1:C3"/>
  </mergeCells>
  <pageMargins left="0.7" right="0.7" top="0.75" bottom="0.75" header="0.3" footer="0.3"/>
  <pageSetup scale="60" fitToHeight="0" orientation="portrait" r:id="rId1"/>
  <ignoredErrors>
    <ignoredError sqref="J51 J39 J32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1:AM57"/>
  <sheetViews>
    <sheetView showGridLines="0" topLeftCell="A27" zoomScale="85" zoomScaleNormal="85" workbookViewId="0">
      <selection activeCell="K48" sqref="A1:K48"/>
    </sheetView>
  </sheetViews>
  <sheetFormatPr defaultColWidth="9.453125" defaultRowHeight="14.5" x14ac:dyDescent="0.35"/>
  <cols>
    <col min="1" max="1" width="3.453125" customWidth="1"/>
    <col min="2" max="2" width="11.453125" customWidth="1"/>
    <col min="3" max="3" width="47.54296875" customWidth="1"/>
    <col min="4" max="4" width="13.453125" style="4" customWidth="1"/>
    <col min="5" max="5" width="13.453125" style="2" customWidth="1"/>
    <col min="6" max="7" width="13.453125" customWidth="1"/>
    <col min="8" max="8" width="12.54296875" style="2" customWidth="1"/>
    <col min="9" max="9" width="12.26953125" style="5" hidden="1" customWidth="1"/>
    <col min="10" max="10" width="14.54296875" customWidth="1"/>
    <col min="11" max="11" width="10.453125" customWidth="1"/>
  </cols>
  <sheetData>
    <row r="1" spans="2:39" x14ac:dyDescent="0.35">
      <c r="B1" s="94" t="s">
        <v>73</v>
      </c>
      <c r="C1" s="94"/>
    </row>
    <row r="2" spans="2:39" x14ac:dyDescent="0.35">
      <c r="B2" s="94"/>
      <c r="C2" s="94"/>
    </row>
    <row r="3" spans="2:39" x14ac:dyDescent="0.35">
      <c r="B3" s="94"/>
      <c r="C3" s="94"/>
    </row>
    <row r="4" spans="2:39" x14ac:dyDescent="0.35">
      <c r="B4" s="3"/>
    </row>
    <row r="5" spans="2:39" ht="18.5" x14ac:dyDescent="0.4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39" x14ac:dyDescent="0.3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39" s="3" customFormat="1" x14ac:dyDescent="0.35">
      <c r="B7" s="77" t="s">
        <v>11</v>
      </c>
      <c r="C7" s="74" t="s">
        <v>36</v>
      </c>
      <c r="D7" s="60" t="s">
        <v>37</v>
      </c>
      <c r="E7" s="60" t="s">
        <v>37</v>
      </c>
      <c r="F7" s="60" t="s">
        <v>37</v>
      </c>
      <c r="G7" s="60"/>
      <c r="H7" s="60" t="s">
        <v>37</v>
      </c>
      <c r="I7" s="51"/>
      <c r="J7" s="61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73"/>
      <c r="C8" s="55"/>
      <c r="D8" s="53"/>
      <c r="E8" s="56"/>
      <c r="F8" s="56"/>
      <c r="G8" s="56"/>
      <c r="H8" s="56"/>
      <c r="I8" s="51"/>
      <c r="J8" s="53"/>
    </row>
    <row r="9" spans="2:39" x14ac:dyDescent="0.35">
      <c r="B9" s="73"/>
      <c r="C9" s="57" t="s">
        <v>12</v>
      </c>
      <c r="D9" s="50">
        <f t="shared" ref="D9:J9" si="0">SUM(D8:D8)</f>
        <v>0</v>
      </c>
      <c r="E9" s="50">
        <f t="shared" si="0"/>
        <v>0</v>
      </c>
      <c r="F9" s="50">
        <f t="shared" si="0"/>
        <v>0</v>
      </c>
      <c r="G9" s="50">
        <f t="shared" si="0"/>
        <v>0</v>
      </c>
      <c r="H9" s="50">
        <f t="shared" si="0"/>
        <v>0</v>
      </c>
      <c r="I9" s="51">
        <f t="shared" si="0"/>
        <v>0</v>
      </c>
      <c r="J9" s="50">
        <f t="shared" si="0"/>
        <v>0</v>
      </c>
    </row>
    <row r="10" spans="2:39" x14ac:dyDescent="0.35">
      <c r="B10" s="73"/>
      <c r="C10" s="58" t="s">
        <v>42</v>
      </c>
      <c r="D10" s="59" t="s">
        <v>37</v>
      </c>
      <c r="E10" s="60"/>
      <c r="F10" s="60"/>
      <c r="G10" s="60"/>
      <c r="H10" s="60"/>
      <c r="I10" s="51"/>
      <c r="J10" s="61" t="s">
        <v>37</v>
      </c>
    </row>
    <row r="11" spans="2:39" x14ac:dyDescent="0.35">
      <c r="B11" s="73"/>
      <c r="C11" s="52"/>
      <c r="D11" s="53"/>
      <c r="E11" s="53"/>
      <c r="F11" s="53"/>
      <c r="G11" s="53"/>
      <c r="H11" s="53"/>
      <c r="I11" s="54">
        <v>450000</v>
      </c>
      <c r="J11" s="53">
        <f>SUM(D11:H11)</f>
        <v>0</v>
      </c>
    </row>
    <row r="12" spans="2:39" x14ac:dyDescent="0.35">
      <c r="B12" s="73"/>
      <c r="C12" s="60"/>
      <c r="D12" s="53"/>
      <c r="E12" s="56"/>
      <c r="F12" s="56"/>
      <c r="G12" s="56"/>
      <c r="H12" s="56"/>
      <c r="I12" s="51"/>
      <c r="J12" s="53"/>
    </row>
    <row r="13" spans="2:39" x14ac:dyDescent="0.35">
      <c r="B13" s="73"/>
      <c r="C13" s="57" t="s">
        <v>13</v>
      </c>
      <c r="D13" s="50">
        <f>SUM(D11:D12)</f>
        <v>0</v>
      </c>
      <c r="E13" s="50">
        <f t="shared" ref="E13:J13" si="1">SUM(E11:E12)</f>
        <v>0</v>
      </c>
      <c r="F13" s="50">
        <f t="shared" si="1"/>
        <v>0</v>
      </c>
      <c r="G13" s="50">
        <f t="shared" si="1"/>
        <v>0</v>
      </c>
      <c r="H13" s="50">
        <f t="shared" si="1"/>
        <v>0</v>
      </c>
      <c r="I13" s="51">
        <f t="shared" si="1"/>
        <v>450000</v>
      </c>
      <c r="J13" s="50">
        <f t="shared" si="1"/>
        <v>0</v>
      </c>
    </row>
    <row r="14" spans="2:39" x14ac:dyDescent="0.35">
      <c r="B14" s="73"/>
      <c r="C14" s="58" t="s">
        <v>44</v>
      </c>
      <c r="D14" s="59" t="s">
        <v>37</v>
      </c>
      <c r="E14" s="60"/>
      <c r="F14" s="60"/>
      <c r="G14" s="60"/>
      <c r="H14" s="60"/>
      <c r="I14" s="51"/>
      <c r="J14" s="61" t="s">
        <v>37</v>
      </c>
    </row>
    <row r="15" spans="2:39" x14ac:dyDescent="0.35">
      <c r="B15" s="73"/>
      <c r="C15" s="62"/>
      <c r="D15" s="53"/>
      <c r="E15" s="53"/>
      <c r="F15" s="53"/>
      <c r="G15" s="53"/>
      <c r="H15" s="53"/>
      <c r="I15" s="54">
        <v>400</v>
      </c>
      <c r="J15" s="53">
        <f t="shared" ref="J15:J16" si="2">SUM(D15:H15)</f>
        <v>0</v>
      </c>
    </row>
    <row r="16" spans="2:39" x14ac:dyDescent="0.35">
      <c r="B16" s="73"/>
      <c r="C16" s="52"/>
      <c r="D16" s="53"/>
      <c r="E16" s="53"/>
      <c r="F16" s="53"/>
      <c r="G16" s="53"/>
      <c r="H16" s="53"/>
      <c r="I16" s="54">
        <v>1638</v>
      </c>
      <c r="J16" s="53">
        <f t="shared" si="2"/>
        <v>0</v>
      </c>
    </row>
    <row r="17" spans="2:10" x14ac:dyDescent="0.35">
      <c r="B17" s="73"/>
      <c r="C17" s="57" t="s">
        <v>14</v>
      </c>
      <c r="D17" s="50">
        <f>SUM(D15:D16)</f>
        <v>0</v>
      </c>
      <c r="E17" s="50">
        <f>SUM(E15:E16)</f>
        <v>0</v>
      </c>
      <c r="F17" s="50">
        <f>SUM(F15:F16)</f>
        <v>0</v>
      </c>
      <c r="G17" s="50">
        <f>SUM(G15:G16)</f>
        <v>0</v>
      </c>
      <c r="H17" s="50">
        <f>SUM(H15:H16)</f>
        <v>0</v>
      </c>
      <c r="I17" s="51"/>
      <c r="J17" s="50">
        <f>SUM(D17:H17)</f>
        <v>0</v>
      </c>
    </row>
    <row r="18" spans="2:10" x14ac:dyDescent="0.35">
      <c r="B18" s="73"/>
      <c r="C18" s="58" t="s">
        <v>45</v>
      </c>
      <c r="D18" s="53"/>
      <c r="E18" s="60"/>
      <c r="F18" s="60"/>
      <c r="G18" s="60"/>
      <c r="H18" s="60"/>
      <c r="I18" s="51"/>
      <c r="J18" s="53" t="s">
        <v>20</v>
      </c>
    </row>
    <row r="19" spans="2:10" x14ac:dyDescent="0.35">
      <c r="B19" s="73"/>
      <c r="C19" s="52"/>
      <c r="D19" s="53"/>
      <c r="E19" s="60"/>
      <c r="F19" s="60"/>
      <c r="G19" s="60"/>
      <c r="H19" s="60"/>
      <c r="I19" s="51"/>
      <c r="J19" s="53">
        <f>SUM(D19:H19)</f>
        <v>0</v>
      </c>
    </row>
    <row r="20" spans="2:10" x14ac:dyDescent="0.35">
      <c r="B20" s="73" t="s">
        <v>71</v>
      </c>
      <c r="C20" s="59" t="s">
        <v>71</v>
      </c>
      <c r="D20" s="59" t="s">
        <v>37</v>
      </c>
      <c r="E20" s="60"/>
      <c r="F20" s="60"/>
      <c r="G20" s="60"/>
      <c r="H20" s="60"/>
      <c r="I20" s="51"/>
      <c r="J20" s="53">
        <f t="shared" ref="J20:J37" si="3">SUM(D20:H20)</f>
        <v>0</v>
      </c>
    </row>
    <row r="21" spans="2:10" x14ac:dyDescent="0.35">
      <c r="B21" s="73"/>
      <c r="C21" s="57" t="s">
        <v>15</v>
      </c>
      <c r="D21" s="63">
        <f>SUM(D19:D20)</f>
        <v>0</v>
      </c>
      <c r="E21" s="63">
        <f t="shared" ref="E21:H21" si="4">SUM(E19:E20)</f>
        <v>0</v>
      </c>
      <c r="F21" s="63">
        <f t="shared" si="4"/>
        <v>0</v>
      </c>
      <c r="G21" s="63">
        <f t="shared" si="4"/>
        <v>0</v>
      </c>
      <c r="H21" s="63">
        <f t="shared" si="4"/>
        <v>0</v>
      </c>
      <c r="I21" s="51"/>
      <c r="J21" s="50">
        <f t="shared" si="3"/>
        <v>0</v>
      </c>
    </row>
    <row r="22" spans="2:10" x14ac:dyDescent="0.35">
      <c r="B22" s="73"/>
      <c r="C22" s="58" t="s">
        <v>46</v>
      </c>
      <c r="D22" s="59" t="s">
        <v>37</v>
      </c>
      <c r="E22" s="60"/>
      <c r="F22" s="60"/>
      <c r="G22" s="60"/>
      <c r="H22" s="60"/>
      <c r="I22" s="51"/>
      <c r="J22" s="53"/>
    </row>
    <row r="23" spans="2:10" x14ac:dyDescent="0.35">
      <c r="B23" s="73"/>
      <c r="C23" s="52"/>
      <c r="D23" s="53"/>
      <c r="E23" s="53"/>
      <c r="F23" s="53"/>
      <c r="G23" s="53"/>
      <c r="H23" s="53"/>
      <c r="I23" s="54">
        <v>5000</v>
      </c>
      <c r="J23" s="53">
        <f t="shared" si="3"/>
        <v>0</v>
      </c>
    </row>
    <row r="24" spans="2:10" x14ac:dyDescent="0.35">
      <c r="B24" s="73"/>
      <c r="C24" s="52"/>
      <c r="D24" s="53"/>
      <c r="E24" s="56"/>
      <c r="F24" s="56"/>
      <c r="G24" s="56"/>
      <c r="H24" s="56"/>
      <c r="I24" s="51"/>
      <c r="J24" s="53">
        <f t="shared" si="3"/>
        <v>0</v>
      </c>
    </row>
    <row r="25" spans="2:10" x14ac:dyDescent="0.35">
      <c r="B25" s="73"/>
      <c r="C25" s="57" t="s">
        <v>16</v>
      </c>
      <c r="D25" s="50">
        <f>SUM(D23:D24)</f>
        <v>0</v>
      </c>
      <c r="E25" s="50">
        <f t="shared" ref="E25:H25" si="5">SUM(E23:E24)</f>
        <v>0</v>
      </c>
      <c r="F25" s="50">
        <f t="shared" si="5"/>
        <v>0</v>
      </c>
      <c r="G25" s="50">
        <f t="shared" si="5"/>
        <v>0</v>
      </c>
      <c r="H25" s="50">
        <f t="shared" si="5"/>
        <v>0</v>
      </c>
      <c r="I25" s="51"/>
      <c r="J25" s="50">
        <f t="shared" si="3"/>
        <v>0</v>
      </c>
    </row>
    <row r="26" spans="2:10" x14ac:dyDescent="0.35">
      <c r="B26" s="73"/>
      <c r="C26" s="58" t="s">
        <v>47</v>
      </c>
      <c r="D26" s="59" t="s">
        <v>37</v>
      </c>
      <c r="E26" s="60"/>
      <c r="F26" s="60"/>
      <c r="G26" s="60"/>
      <c r="H26" s="60"/>
      <c r="I26" s="51"/>
      <c r="J26" s="53"/>
    </row>
    <row r="27" spans="2:10" x14ac:dyDescent="0.35">
      <c r="B27" s="73"/>
      <c r="C27" s="64" t="s">
        <v>48</v>
      </c>
      <c r="D27" s="53">
        <v>0</v>
      </c>
      <c r="E27" s="53">
        <v>0</v>
      </c>
      <c r="F27" s="53">
        <f>((7825283.53+1154395.9+582445.2+828042)/8)*7</f>
        <v>9091395.8012499996</v>
      </c>
      <c r="G27" s="53">
        <f>((7825283.53+1154395.9+582445.2+828042)/8)*1</f>
        <v>1298770.8287499999</v>
      </c>
      <c r="H27" s="53">
        <v>0</v>
      </c>
      <c r="I27" s="54"/>
      <c r="J27" s="53">
        <f t="shared" ref="J27:J30" si="6">SUM(D27:H27)</f>
        <v>10390166.629999999</v>
      </c>
    </row>
    <row r="28" spans="2:10" x14ac:dyDescent="0.35">
      <c r="B28" s="73"/>
      <c r="C28" s="65" t="s">
        <v>49</v>
      </c>
      <c r="D28" s="53">
        <v>0</v>
      </c>
      <c r="E28" s="53">
        <v>0</v>
      </c>
      <c r="F28" s="53">
        <f>(707677.8144384/8)*7</f>
        <v>619218.08763359999</v>
      </c>
      <c r="G28" s="53">
        <f>(707677.8144384/8)*1</f>
        <v>88459.726804799997</v>
      </c>
      <c r="H28" s="53">
        <v>0</v>
      </c>
      <c r="I28" s="54">
        <v>22500000</v>
      </c>
      <c r="J28" s="53">
        <f t="shared" si="6"/>
        <v>707677.81443839998</v>
      </c>
    </row>
    <row r="29" spans="2:10" x14ac:dyDescent="0.35">
      <c r="B29" s="73"/>
      <c r="C29" s="65" t="s">
        <v>50</v>
      </c>
      <c r="D29" s="53">
        <f>(17011.485924/49)*6</f>
        <v>2083.0390927346939</v>
      </c>
      <c r="E29" s="53">
        <f>(17011.485924/49)*12</f>
        <v>4166.0781854693878</v>
      </c>
      <c r="F29" s="53">
        <f t="shared" ref="F29:G29" si="7">(17011.485924/49)*12</f>
        <v>4166.0781854693878</v>
      </c>
      <c r="G29" s="53">
        <f t="shared" si="7"/>
        <v>4166.0781854693878</v>
      </c>
      <c r="H29" s="53">
        <f>(17011.485924/49)*7</f>
        <v>2430.2122748571428</v>
      </c>
      <c r="I29" s="54">
        <v>22500000</v>
      </c>
      <c r="J29" s="53">
        <f t="shared" si="6"/>
        <v>17011.485924000001</v>
      </c>
    </row>
    <row r="30" spans="2:10" x14ac:dyDescent="0.35">
      <c r="B30" s="73"/>
      <c r="C30" s="65" t="s">
        <v>51</v>
      </c>
      <c r="D30" s="53">
        <f>(1944535.32381185/49)*6</f>
        <v>238106.36618104286</v>
      </c>
      <c r="E30" s="53">
        <f>(1944535.32381185/49)*12</f>
        <v>476212.73236208572</v>
      </c>
      <c r="F30" s="53">
        <f t="shared" ref="F30:G30" si="8">(1944535.32381185/49)*12</f>
        <v>476212.73236208572</v>
      </c>
      <c r="G30" s="53">
        <f t="shared" si="8"/>
        <v>476212.73236208572</v>
      </c>
      <c r="H30" s="53">
        <f>(1944535.32381185/49)*7</f>
        <v>277790.76054454996</v>
      </c>
      <c r="I30" s="54">
        <v>22500000</v>
      </c>
      <c r="J30" s="53">
        <f t="shared" si="6"/>
        <v>1944535.32381185</v>
      </c>
    </row>
    <row r="31" spans="2:10" x14ac:dyDescent="0.35">
      <c r="B31" s="73"/>
      <c r="C31" s="59" t="s">
        <v>52</v>
      </c>
      <c r="D31" s="53">
        <v>0</v>
      </c>
      <c r="E31" s="53">
        <v>0</v>
      </c>
      <c r="F31" s="53">
        <v>0</v>
      </c>
      <c r="G31" s="53">
        <f>(68045.943696/23)*11</f>
        <v>32543.712202434785</v>
      </c>
      <c r="H31" s="53">
        <f>(68045.943696/23)*12</f>
        <v>35502.231493565218</v>
      </c>
      <c r="I31" s="54"/>
      <c r="J31" s="53">
        <f t="shared" ref="J31" si="9">SUM(D31:H31)</f>
        <v>68045.943696000002</v>
      </c>
    </row>
    <row r="32" spans="2:10" x14ac:dyDescent="0.35">
      <c r="B32" s="73"/>
      <c r="C32" s="52"/>
      <c r="D32" s="53"/>
      <c r="E32" s="56"/>
      <c r="F32" s="56"/>
      <c r="G32" s="56"/>
      <c r="H32" s="56"/>
      <c r="I32" s="51"/>
      <c r="J32" s="53"/>
    </row>
    <row r="33" spans="2:10" x14ac:dyDescent="0.35">
      <c r="B33" s="73"/>
      <c r="C33" s="57" t="s">
        <v>17</v>
      </c>
      <c r="D33" s="50">
        <f t="shared" ref="D33:J33" si="10">SUM(D27:D32)</f>
        <v>240189.40527377755</v>
      </c>
      <c r="E33" s="50">
        <f t="shared" si="10"/>
        <v>480378.8105475551</v>
      </c>
      <c r="F33" s="50">
        <f t="shared" si="10"/>
        <v>10190992.699431155</v>
      </c>
      <c r="G33" s="50">
        <f t="shared" si="10"/>
        <v>1900153.07830479</v>
      </c>
      <c r="H33" s="50">
        <f t="shared" si="10"/>
        <v>315723.20431297232</v>
      </c>
      <c r="I33" s="51">
        <f t="shared" si="10"/>
        <v>67500000</v>
      </c>
      <c r="J33" s="50">
        <f t="shared" si="10"/>
        <v>13127437.197870249</v>
      </c>
    </row>
    <row r="34" spans="2:10" x14ac:dyDescent="0.35">
      <c r="B34" s="73"/>
      <c r="C34" s="58" t="s">
        <v>53</v>
      </c>
      <c r="D34" s="59" t="s">
        <v>37</v>
      </c>
      <c r="E34" s="60"/>
      <c r="F34" s="60"/>
      <c r="G34" s="60"/>
      <c r="H34" s="60"/>
      <c r="I34" s="51"/>
      <c r="J34" s="53"/>
    </row>
    <row r="35" spans="2:10" x14ac:dyDescent="0.35">
      <c r="B35" s="73"/>
      <c r="C35" s="60"/>
      <c r="D35" s="53"/>
      <c r="E35" s="56"/>
      <c r="F35" s="56"/>
      <c r="G35" s="56"/>
      <c r="H35" s="56"/>
      <c r="I35" s="51"/>
      <c r="J35" s="53">
        <f t="shared" si="3"/>
        <v>0</v>
      </c>
    </row>
    <row r="36" spans="2:10" x14ac:dyDescent="0.35">
      <c r="B36" s="75"/>
      <c r="C36" s="57" t="s">
        <v>18</v>
      </c>
      <c r="D36" s="50">
        <f>SUM(D35:D35)</f>
        <v>0</v>
      </c>
      <c r="E36" s="50">
        <f>SUM(E35:E35)</f>
        <v>0</v>
      </c>
      <c r="F36" s="50">
        <f>SUM(F35:F35)</f>
        <v>0</v>
      </c>
      <c r="G36" s="50">
        <f>SUM(G35:G35)</f>
        <v>0</v>
      </c>
      <c r="H36" s="50">
        <f>SUM(H35:H35)</f>
        <v>0</v>
      </c>
      <c r="I36" s="51"/>
      <c r="J36" s="50">
        <f t="shared" si="3"/>
        <v>0</v>
      </c>
    </row>
    <row r="37" spans="2:10" x14ac:dyDescent="0.35">
      <c r="B37" s="75"/>
      <c r="C37" s="57" t="s">
        <v>19</v>
      </c>
      <c r="D37" s="50">
        <f>SUM(D36,D33,D25,D21,D17,D13,D9)</f>
        <v>240189.40527377755</v>
      </c>
      <c r="E37" s="50">
        <f>SUM(E36,E33,E25,E21,E17,E13,E9)</f>
        <v>480378.8105475551</v>
      </c>
      <c r="F37" s="50">
        <f>SUM(F36,F33,F25,F21,F17,F13,F9)</f>
        <v>10190992.699431155</v>
      </c>
      <c r="G37" s="50">
        <f>SUM(G36,G33,G25,G21,G17,G13,G9)</f>
        <v>1900153.07830479</v>
      </c>
      <c r="H37" s="50">
        <f>SUM(H36,H33,H25,H21,H17,H13,H9)</f>
        <v>315723.20431297232</v>
      </c>
      <c r="I37" s="51"/>
      <c r="J37" s="50">
        <f t="shared" si="3"/>
        <v>13127437.197870251</v>
      </c>
    </row>
    <row r="38" spans="2:10" x14ac:dyDescent="0.35">
      <c r="B38" s="70"/>
      <c r="C38" s="51"/>
      <c r="D38" s="51"/>
      <c r="E38" s="51"/>
      <c r="F38" s="51"/>
      <c r="G38" s="51"/>
      <c r="H38" s="51"/>
      <c r="I38" s="51"/>
      <c r="J38" s="51" t="s">
        <v>20</v>
      </c>
    </row>
    <row r="39" spans="2:10" ht="29" x14ac:dyDescent="0.35">
      <c r="B39" s="76" t="s">
        <v>54</v>
      </c>
      <c r="C39" s="66" t="s">
        <v>54</v>
      </c>
      <c r="D39" s="61"/>
      <c r="E39" s="61"/>
      <c r="F39" s="61"/>
      <c r="G39" s="61"/>
      <c r="H39" s="61"/>
      <c r="I39" s="51"/>
      <c r="J39" s="61" t="s">
        <v>20</v>
      </c>
    </row>
    <row r="40" spans="2:10" x14ac:dyDescent="0.35">
      <c r="B40" s="73"/>
      <c r="C40" s="52"/>
      <c r="D40" s="59"/>
      <c r="E40" s="60"/>
      <c r="F40" s="60"/>
      <c r="G40" s="60"/>
      <c r="H40" s="60"/>
      <c r="I40" s="51"/>
      <c r="J40" s="53">
        <f>SUM(D40:H40)</f>
        <v>0</v>
      </c>
    </row>
    <row r="41" spans="2:10" x14ac:dyDescent="0.35">
      <c r="B41" s="73"/>
      <c r="C41" s="52"/>
      <c r="D41" s="59"/>
      <c r="E41" s="60"/>
      <c r="F41" s="60"/>
      <c r="G41" s="60"/>
      <c r="H41" s="60"/>
      <c r="I41" s="51"/>
      <c r="J41" s="53">
        <f t="shared" ref="J41:J42" si="11">SUM(D41:H41)</f>
        <v>0</v>
      </c>
    </row>
    <row r="42" spans="2:10" x14ac:dyDescent="0.35">
      <c r="B42" s="75"/>
      <c r="C42" s="57" t="s">
        <v>21</v>
      </c>
      <c r="D42" s="50">
        <f>SUM(D40:D41)</f>
        <v>0</v>
      </c>
      <c r="E42" s="50">
        <f t="shared" ref="E42:H42" si="12">SUM(E40:E41)</f>
        <v>0</v>
      </c>
      <c r="F42" s="50">
        <f t="shared" si="12"/>
        <v>0</v>
      </c>
      <c r="G42" s="50">
        <f t="shared" si="12"/>
        <v>0</v>
      </c>
      <c r="H42" s="50">
        <f t="shared" si="12"/>
        <v>0</v>
      </c>
      <c r="I42" s="51"/>
      <c r="J42" s="50">
        <f t="shared" si="11"/>
        <v>0</v>
      </c>
    </row>
    <row r="43" spans="2:10" ht="15" thickBot="1" x14ac:dyDescent="0.4">
      <c r="B43" s="70"/>
      <c r="C43" s="51"/>
      <c r="D43" s="51"/>
      <c r="E43" s="51"/>
      <c r="F43" s="51"/>
      <c r="G43" s="51"/>
      <c r="H43" s="51"/>
      <c r="I43" s="51"/>
      <c r="J43" s="51" t="s">
        <v>20</v>
      </c>
    </row>
    <row r="44" spans="2:10" s="1" customFormat="1" ht="29.5" thickBot="1" x14ac:dyDescent="0.4">
      <c r="B44" s="67" t="s">
        <v>22</v>
      </c>
      <c r="C44" s="67"/>
      <c r="D44" s="68">
        <f>SUM(D42,D37)</f>
        <v>240189.40527377755</v>
      </c>
      <c r="E44" s="68">
        <f t="shared" ref="E44:J44" si="13">SUM(E42,E37)</f>
        <v>480378.8105475551</v>
      </c>
      <c r="F44" s="68">
        <f t="shared" si="13"/>
        <v>10190992.699431155</v>
      </c>
      <c r="G44" s="68">
        <f t="shared" si="13"/>
        <v>1900153.07830479</v>
      </c>
      <c r="H44" s="68">
        <f t="shared" si="13"/>
        <v>315723.20431297232</v>
      </c>
      <c r="I44" s="51">
        <f>SUM(I42,I37)</f>
        <v>0</v>
      </c>
      <c r="J44" s="68">
        <f t="shared" si="13"/>
        <v>13127437.197870251</v>
      </c>
    </row>
    <row r="45" spans="2:10" x14ac:dyDescent="0.35">
      <c r="B45" s="4"/>
    </row>
    <row r="46" spans="2:10" x14ac:dyDescent="0.35">
      <c r="B46" s="4"/>
    </row>
    <row r="47" spans="2:10" x14ac:dyDescent="0.35">
      <c r="B47" s="4"/>
    </row>
    <row r="48" spans="2:10" x14ac:dyDescent="0.35">
      <c r="B48" s="4"/>
    </row>
    <row r="49" spans="2:2" x14ac:dyDescent="0.35">
      <c r="B49" s="4"/>
    </row>
    <row r="50" spans="2:2" x14ac:dyDescent="0.35">
      <c r="B50" s="4"/>
    </row>
    <row r="51" spans="2:2" x14ac:dyDescent="0.35">
      <c r="B51" s="4"/>
    </row>
    <row r="52" spans="2:2" x14ac:dyDescent="0.35">
      <c r="B52" s="4"/>
    </row>
    <row r="53" spans="2:2" x14ac:dyDescent="0.35">
      <c r="B53" s="4"/>
    </row>
    <row r="54" spans="2:2" x14ac:dyDescent="0.35">
      <c r="B54" s="4"/>
    </row>
    <row r="55" spans="2:2" x14ac:dyDescent="0.35">
      <c r="B55" s="4"/>
    </row>
    <row r="56" spans="2:2" x14ac:dyDescent="0.35">
      <c r="B56" s="4"/>
    </row>
    <row r="57" spans="2:2" x14ac:dyDescent="0.35">
      <c r="B57" s="4"/>
    </row>
  </sheetData>
  <mergeCells count="1">
    <mergeCell ref="B1:C3"/>
  </mergeCells>
  <pageMargins left="0.7" right="0.7" top="0.75" bottom="0.75" header="0.3" footer="0.3"/>
  <pageSetup scale="58" fitToHeight="0" orientation="portrait" r:id="rId1"/>
  <ignoredErrors>
    <ignoredError sqref="J23 J15:J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1:AM61"/>
  <sheetViews>
    <sheetView showGridLines="0" zoomScale="81" zoomScaleNormal="81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D34" sqref="D34"/>
    </sheetView>
  </sheetViews>
  <sheetFormatPr defaultColWidth="9.453125" defaultRowHeight="14.5" x14ac:dyDescent="0.35"/>
  <cols>
    <col min="1" max="1" width="3.453125" customWidth="1"/>
    <col min="2" max="2" width="12.453125" customWidth="1"/>
    <col min="3" max="3" width="46.54296875" customWidth="1"/>
    <col min="4" max="4" width="12.54296875" style="4" customWidth="1"/>
    <col min="5" max="5" width="12.453125" style="2" customWidth="1"/>
    <col min="6" max="6" width="12.54296875" customWidth="1"/>
    <col min="7" max="7" width="12.453125" customWidth="1"/>
    <col min="8" max="8" width="12.54296875" style="2" customWidth="1"/>
    <col min="9" max="9" width="0.54296875" style="5" customWidth="1"/>
    <col min="10" max="10" width="13.54296875" bestFit="1" customWidth="1"/>
    <col min="11" max="11" width="10.453125" customWidth="1"/>
    <col min="18" max="18" width="13.453125" customWidth="1"/>
    <col min="19" max="19" width="25.54296875" customWidth="1"/>
  </cols>
  <sheetData>
    <row r="1" spans="2:39" x14ac:dyDescent="0.35">
      <c r="B1" s="94" t="s">
        <v>74</v>
      </c>
      <c r="C1" s="94"/>
    </row>
    <row r="2" spans="2:39" x14ac:dyDescent="0.35">
      <c r="B2" s="94"/>
      <c r="C2" s="94"/>
    </row>
    <row r="3" spans="2:39" x14ac:dyDescent="0.35">
      <c r="B3" s="94"/>
      <c r="C3" s="94"/>
    </row>
    <row r="4" spans="2:39" x14ac:dyDescent="0.35">
      <c r="B4" s="3"/>
    </row>
    <row r="5" spans="2:39" ht="18.5" x14ac:dyDescent="0.4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2:39" x14ac:dyDescent="0.3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2:39" s="3" customFormat="1" x14ac:dyDescent="0.35">
      <c r="B7" s="11" t="s">
        <v>11</v>
      </c>
      <c r="C7" s="14" t="s">
        <v>36</v>
      </c>
      <c r="D7" s="8" t="s">
        <v>37</v>
      </c>
      <c r="E7" s="8" t="s">
        <v>37</v>
      </c>
      <c r="F7" s="8" t="s">
        <v>37</v>
      </c>
      <c r="G7" s="8"/>
      <c r="H7" s="8" t="s">
        <v>37</v>
      </c>
      <c r="I7" s="5"/>
      <c r="J7" s="6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2"/>
      <c r="C8" s="52"/>
      <c r="D8" s="53"/>
      <c r="E8" s="53"/>
      <c r="F8" s="53"/>
      <c r="G8" s="53"/>
      <c r="H8" s="53"/>
      <c r="I8" s="54"/>
      <c r="J8" s="53"/>
    </row>
    <row r="9" spans="2:39" x14ac:dyDescent="0.35">
      <c r="B9" s="12"/>
      <c r="C9" s="55"/>
      <c r="D9" s="53"/>
      <c r="E9" s="56"/>
      <c r="F9" s="56"/>
      <c r="G9" s="56"/>
      <c r="H9" s="56"/>
      <c r="I9" s="51"/>
      <c r="J9" s="53"/>
    </row>
    <row r="10" spans="2:39" x14ac:dyDescent="0.35">
      <c r="B10" s="12"/>
      <c r="C10" s="57" t="s">
        <v>12</v>
      </c>
      <c r="D10" s="50">
        <f t="shared" ref="D10:J10" si="0">SUM(D8:D9)</f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1">
        <f t="shared" si="0"/>
        <v>0</v>
      </c>
      <c r="J10" s="50">
        <f t="shared" si="0"/>
        <v>0</v>
      </c>
      <c r="K10" s="15"/>
    </row>
    <row r="11" spans="2:39" x14ac:dyDescent="0.35">
      <c r="B11" s="12"/>
      <c r="C11" s="58"/>
      <c r="D11" s="59"/>
      <c r="E11" s="60"/>
      <c r="F11" s="60"/>
      <c r="G11" s="60"/>
      <c r="H11" s="60"/>
      <c r="I11" s="51"/>
      <c r="J11" s="61"/>
    </row>
    <row r="12" spans="2:39" x14ac:dyDescent="0.35">
      <c r="B12" s="12"/>
      <c r="C12" s="60"/>
      <c r="D12" s="53"/>
      <c r="E12" s="56"/>
      <c r="F12" s="56"/>
      <c r="G12" s="56"/>
      <c r="H12" s="56"/>
      <c r="I12" s="51"/>
      <c r="J12" s="53">
        <f t="shared" ref="J12" si="1">SUM(D12:H12)</f>
        <v>0</v>
      </c>
    </row>
    <row r="13" spans="2:39" x14ac:dyDescent="0.35">
      <c r="B13" s="12"/>
      <c r="C13" s="57" t="s">
        <v>13</v>
      </c>
      <c r="D13" s="50">
        <f t="shared" ref="D13:J13" si="2">SUM(D12:D12)</f>
        <v>0</v>
      </c>
      <c r="E13" s="50">
        <f t="shared" si="2"/>
        <v>0</v>
      </c>
      <c r="F13" s="50">
        <f t="shared" si="2"/>
        <v>0</v>
      </c>
      <c r="G13" s="50">
        <f t="shared" si="2"/>
        <v>0</v>
      </c>
      <c r="H13" s="50">
        <f t="shared" si="2"/>
        <v>0</v>
      </c>
      <c r="I13" s="51">
        <f t="shared" si="2"/>
        <v>0</v>
      </c>
      <c r="J13" s="50">
        <f t="shared" si="2"/>
        <v>0</v>
      </c>
    </row>
    <row r="14" spans="2:39" x14ac:dyDescent="0.35">
      <c r="B14" s="12"/>
      <c r="C14" s="58" t="s">
        <v>44</v>
      </c>
      <c r="D14" s="59" t="s">
        <v>37</v>
      </c>
      <c r="E14" s="60"/>
      <c r="F14" s="60"/>
      <c r="G14" s="60"/>
      <c r="H14" s="60"/>
      <c r="I14" s="51"/>
      <c r="J14" s="61" t="s">
        <v>37</v>
      </c>
    </row>
    <row r="15" spans="2:39" x14ac:dyDescent="0.35">
      <c r="B15" s="12"/>
      <c r="C15" s="52"/>
      <c r="D15" s="53"/>
      <c r="E15" s="53"/>
      <c r="F15" s="53"/>
      <c r="G15" s="53"/>
      <c r="H15" s="53"/>
      <c r="I15" s="54">
        <v>1638</v>
      </c>
      <c r="J15" s="53">
        <f t="shared" ref="J15" si="3">SUM(D15:H15)</f>
        <v>0</v>
      </c>
      <c r="S15" s="42"/>
    </row>
    <row r="16" spans="2:39" x14ac:dyDescent="0.35">
      <c r="B16" s="12"/>
      <c r="C16" s="57" t="s">
        <v>14</v>
      </c>
      <c r="D16" s="50">
        <f>SUM(D15:D15)</f>
        <v>0</v>
      </c>
      <c r="E16" s="50">
        <f>SUM(E15:E15)</f>
        <v>0</v>
      </c>
      <c r="F16" s="50">
        <f>SUM(F15:F15)</f>
        <v>0</v>
      </c>
      <c r="G16" s="50">
        <f>SUM(G15:G15)</f>
        <v>0</v>
      </c>
      <c r="H16" s="50">
        <f>SUM(H15:H15)</f>
        <v>0</v>
      </c>
      <c r="I16" s="51"/>
      <c r="J16" s="50">
        <f>SUM(D16:H16)</f>
        <v>0</v>
      </c>
    </row>
    <row r="17" spans="2:19" x14ac:dyDescent="0.35">
      <c r="B17" s="12"/>
      <c r="C17" s="58" t="s">
        <v>45</v>
      </c>
      <c r="D17" s="53"/>
      <c r="E17" s="60"/>
      <c r="F17" s="60"/>
      <c r="G17" s="60"/>
      <c r="H17" s="60"/>
      <c r="I17" s="51"/>
      <c r="J17" s="53" t="s">
        <v>20</v>
      </c>
    </row>
    <row r="18" spans="2:19" x14ac:dyDescent="0.35">
      <c r="B18" s="12"/>
      <c r="C18" s="52"/>
      <c r="D18" s="53"/>
      <c r="E18" s="60"/>
      <c r="F18" s="60"/>
      <c r="G18" s="60"/>
      <c r="H18" s="60"/>
      <c r="I18" s="51"/>
      <c r="J18" s="53">
        <f>SUM(D18:H18)</f>
        <v>0</v>
      </c>
      <c r="S18" s="43"/>
    </row>
    <row r="19" spans="2:19" x14ac:dyDescent="0.35">
      <c r="B19" s="12" t="s">
        <v>71</v>
      </c>
      <c r="C19" s="59" t="s">
        <v>71</v>
      </c>
      <c r="D19" s="59" t="s">
        <v>37</v>
      </c>
      <c r="E19" s="60"/>
      <c r="F19" s="60"/>
      <c r="G19" s="60"/>
      <c r="H19" s="60"/>
      <c r="I19" s="51"/>
      <c r="J19" s="53">
        <f t="shared" ref="J19:J39" si="4">SUM(D19:H19)</f>
        <v>0</v>
      </c>
    </row>
    <row r="20" spans="2:19" x14ac:dyDescent="0.35">
      <c r="B20" s="12"/>
      <c r="C20" s="57" t="s">
        <v>15</v>
      </c>
      <c r="D20" s="63">
        <f>SUM(D18:D19)</f>
        <v>0</v>
      </c>
      <c r="E20" s="63">
        <f t="shared" ref="E20:H20" si="5">SUM(E18:E19)</f>
        <v>0</v>
      </c>
      <c r="F20" s="63">
        <f t="shared" si="5"/>
        <v>0</v>
      </c>
      <c r="G20" s="63">
        <f t="shared" si="5"/>
        <v>0</v>
      </c>
      <c r="H20" s="63">
        <f t="shared" si="5"/>
        <v>0</v>
      </c>
      <c r="I20" s="51"/>
      <c r="J20" s="50">
        <f t="shared" si="4"/>
        <v>0</v>
      </c>
      <c r="S20" s="43"/>
    </row>
    <row r="21" spans="2:19" x14ac:dyDescent="0.35">
      <c r="B21" s="12"/>
      <c r="C21" s="58" t="s">
        <v>46</v>
      </c>
      <c r="D21" s="59" t="s">
        <v>37</v>
      </c>
      <c r="E21" s="60"/>
      <c r="F21" s="60"/>
      <c r="G21" s="60"/>
      <c r="H21" s="60"/>
      <c r="I21" s="51"/>
      <c r="J21" s="53"/>
      <c r="S21" s="42"/>
    </row>
    <row r="22" spans="2:19" x14ac:dyDescent="0.35">
      <c r="B22" s="12"/>
      <c r="C22" s="52"/>
      <c r="D22" s="53"/>
      <c r="E22" s="53"/>
      <c r="F22" s="53"/>
      <c r="G22" s="53"/>
      <c r="H22" s="53"/>
      <c r="I22" s="54">
        <v>5000</v>
      </c>
      <c r="J22" s="53">
        <f t="shared" si="4"/>
        <v>0</v>
      </c>
    </row>
    <row r="23" spans="2:19" x14ac:dyDescent="0.35">
      <c r="B23" s="12"/>
      <c r="C23" s="52"/>
      <c r="D23" s="53"/>
      <c r="E23" s="56"/>
      <c r="F23" s="56"/>
      <c r="G23" s="56"/>
      <c r="H23" s="56"/>
      <c r="I23" s="51"/>
      <c r="J23" s="53">
        <f t="shared" si="4"/>
        <v>0</v>
      </c>
    </row>
    <row r="24" spans="2:19" x14ac:dyDescent="0.35">
      <c r="B24" s="12"/>
      <c r="C24" s="57" t="s">
        <v>16</v>
      </c>
      <c r="D24" s="50">
        <f>SUM(D22:D23)</f>
        <v>0</v>
      </c>
      <c r="E24" s="50">
        <f t="shared" ref="E24:H24" si="6">SUM(E22:E23)</f>
        <v>0</v>
      </c>
      <c r="F24" s="50">
        <f t="shared" si="6"/>
        <v>0</v>
      </c>
      <c r="G24" s="50">
        <f t="shared" si="6"/>
        <v>0</v>
      </c>
      <c r="H24" s="50">
        <f t="shared" si="6"/>
        <v>0</v>
      </c>
      <c r="I24" s="51"/>
      <c r="J24" s="50">
        <f t="shared" si="4"/>
        <v>0</v>
      </c>
    </row>
    <row r="25" spans="2:19" x14ac:dyDescent="0.35">
      <c r="B25" s="12"/>
      <c r="C25" s="58" t="s">
        <v>47</v>
      </c>
      <c r="D25" s="59" t="s">
        <v>37</v>
      </c>
      <c r="E25" s="60"/>
      <c r="F25" s="60"/>
      <c r="G25" s="60"/>
      <c r="H25" s="60"/>
      <c r="I25" s="51"/>
      <c r="J25" s="53"/>
    </row>
    <row r="26" spans="2:19" x14ac:dyDescent="0.35">
      <c r="B26" s="12"/>
      <c r="C26" s="52"/>
      <c r="D26" s="53"/>
      <c r="E26" s="56"/>
      <c r="F26" s="56"/>
      <c r="G26" s="56"/>
      <c r="H26" s="56"/>
      <c r="I26" s="51"/>
      <c r="J26" s="53"/>
    </row>
    <row r="27" spans="2:19" x14ac:dyDescent="0.35">
      <c r="B27" s="12"/>
      <c r="C27" s="57" t="s">
        <v>75</v>
      </c>
      <c r="D27" s="50">
        <f>SUM(D26:D26)</f>
        <v>0</v>
      </c>
      <c r="E27" s="50">
        <f>SUM(E26:E26)</f>
        <v>0</v>
      </c>
      <c r="F27" s="50">
        <f>SUM(F26:F26)</f>
        <v>0</v>
      </c>
      <c r="G27" s="50">
        <f>SUM(G26:G26)</f>
        <v>0</v>
      </c>
      <c r="H27" s="50">
        <f>SUM(H26:H26)</f>
        <v>0</v>
      </c>
      <c r="I27" s="51"/>
      <c r="J27" s="50">
        <f t="shared" si="4"/>
        <v>0</v>
      </c>
    </row>
    <row r="28" spans="2:19" x14ac:dyDescent="0.35">
      <c r="B28" s="12"/>
      <c r="C28" s="58" t="s">
        <v>76</v>
      </c>
      <c r="D28" s="59" t="s">
        <v>37</v>
      </c>
      <c r="E28" s="60"/>
      <c r="F28" s="60"/>
      <c r="G28" s="60"/>
      <c r="H28" s="60"/>
      <c r="I28" s="51"/>
      <c r="J28" s="53"/>
    </row>
    <row r="29" spans="2:19" x14ac:dyDescent="0.35">
      <c r="B29" s="12"/>
      <c r="C29" s="79" t="s">
        <v>77</v>
      </c>
      <c r="D29" s="59"/>
      <c r="E29" s="60"/>
      <c r="F29" s="60"/>
      <c r="G29" s="60"/>
      <c r="H29" s="60"/>
      <c r="I29" s="51"/>
      <c r="J29" s="53"/>
    </row>
    <row r="30" spans="2:19" x14ac:dyDescent="0.35">
      <c r="B30" s="12"/>
      <c r="C30" s="52" t="s">
        <v>78</v>
      </c>
      <c r="D30" s="53">
        <v>1120000</v>
      </c>
      <c r="E30" s="53">
        <v>1153600</v>
      </c>
      <c r="F30" s="53">
        <v>1188208</v>
      </c>
      <c r="G30" s="53">
        <v>1223854.24</v>
      </c>
      <c r="H30" s="53">
        <v>1260569.8672</v>
      </c>
      <c r="I30" s="54">
        <v>450000</v>
      </c>
      <c r="J30" s="53">
        <f>SUM(D30:H30)</f>
        <v>5946232.1072000004</v>
      </c>
    </row>
    <row r="31" spans="2:19" x14ac:dyDescent="0.35">
      <c r="B31" s="12"/>
      <c r="C31" s="52" t="s">
        <v>79</v>
      </c>
      <c r="D31" s="53">
        <f>D30*58.63%</f>
        <v>656656</v>
      </c>
      <c r="E31" s="53">
        <f>E30*58.63%</f>
        <v>676355.68</v>
      </c>
      <c r="F31" s="53">
        <f>F30*58.63%</f>
        <v>696646.3504</v>
      </c>
      <c r="G31" s="53">
        <f>G30*58.63%</f>
        <v>717545.74091200007</v>
      </c>
      <c r="H31" s="53">
        <f>H30*58.63%</f>
        <v>739072.1131393601</v>
      </c>
      <c r="I31" s="51"/>
      <c r="J31" s="53">
        <f>SUM(D31:H31)</f>
        <v>3486275.8844513604</v>
      </c>
    </row>
    <row r="32" spans="2:19" x14ac:dyDescent="0.35">
      <c r="B32" s="12"/>
      <c r="C32" s="52" t="s">
        <v>80</v>
      </c>
      <c r="D32" s="53">
        <f>(39164400/55)*9</f>
        <v>6408720</v>
      </c>
      <c r="E32" s="53">
        <f>(39164400/55)*12</f>
        <v>8544960</v>
      </c>
      <c r="F32" s="53">
        <f t="shared" ref="F32:G32" si="7">(39164400/55)*12</f>
        <v>8544960</v>
      </c>
      <c r="G32" s="53">
        <f t="shared" si="7"/>
        <v>8544960</v>
      </c>
      <c r="H32" s="53">
        <f>(39164400/55)*10</f>
        <v>7120800</v>
      </c>
      <c r="I32" s="54">
        <v>5106000</v>
      </c>
      <c r="J32" s="53">
        <f>SUM(D32:H32)</f>
        <v>39164400</v>
      </c>
    </row>
    <row r="33" spans="2:11" x14ac:dyDescent="0.35">
      <c r="B33" s="12"/>
      <c r="C33" s="52" t="s">
        <v>81</v>
      </c>
      <c r="D33" s="53">
        <f>(82338850/55)*9</f>
        <v>13473630</v>
      </c>
      <c r="E33" s="53">
        <f>(82338850/55)*12</f>
        <v>17964840</v>
      </c>
      <c r="F33" s="53">
        <f t="shared" ref="F33:G33" si="8">(82338850/55)*12</f>
        <v>17964840</v>
      </c>
      <c r="G33" s="53">
        <f t="shared" si="8"/>
        <v>17964840</v>
      </c>
      <c r="H33" s="53">
        <f>(82338850/55)*10</f>
        <v>14970700</v>
      </c>
      <c r="I33" s="54">
        <v>22500000</v>
      </c>
      <c r="J33" s="53">
        <f t="shared" ref="J33:J34" si="9">SUM(D33:H33)</f>
        <v>82338850</v>
      </c>
    </row>
    <row r="34" spans="2:11" x14ac:dyDescent="0.35">
      <c r="B34" s="12"/>
      <c r="C34" s="52" t="s">
        <v>82</v>
      </c>
      <c r="D34" s="53">
        <f>(15939000/55)*9</f>
        <v>2608200</v>
      </c>
      <c r="E34" s="53">
        <f>(15939000/55)*12</f>
        <v>3477600</v>
      </c>
      <c r="F34" s="53">
        <f t="shared" ref="F34:G34" si="10">(15939000/55)*12</f>
        <v>3477600</v>
      </c>
      <c r="G34" s="53">
        <f t="shared" si="10"/>
        <v>3477600</v>
      </c>
      <c r="H34" s="53">
        <f>(15939000/55)*10</f>
        <v>2898000</v>
      </c>
      <c r="I34" s="54">
        <v>75000000</v>
      </c>
      <c r="J34" s="53">
        <f t="shared" si="9"/>
        <v>15939000</v>
      </c>
    </row>
    <row r="35" spans="2:11" ht="29" x14ac:dyDescent="0.35">
      <c r="B35" s="12"/>
      <c r="C35" s="52" t="s">
        <v>83</v>
      </c>
      <c r="D35" s="53">
        <v>0</v>
      </c>
      <c r="E35" s="53">
        <v>0</v>
      </c>
      <c r="F35" s="53">
        <v>0</v>
      </c>
      <c r="G35" s="53">
        <v>0</v>
      </c>
      <c r="H35" s="53">
        <v>18975000</v>
      </c>
      <c r="I35" s="54">
        <v>375000</v>
      </c>
      <c r="J35" s="53">
        <f>SUM(D35:H35)</f>
        <v>18975000</v>
      </c>
    </row>
    <row r="36" spans="2:11" x14ac:dyDescent="0.35">
      <c r="B36" s="12"/>
      <c r="C36" s="52" t="s">
        <v>84</v>
      </c>
      <c r="D36" s="53">
        <v>0</v>
      </c>
      <c r="E36" s="53">
        <v>0</v>
      </c>
      <c r="F36" s="53">
        <v>100000</v>
      </c>
      <c r="G36" s="53">
        <v>100000</v>
      </c>
      <c r="H36" s="53">
        <v>100000</v>
      </c>
      <c r="I36" s="54">
        <v>781250</v>
      </c>
      <c r="J36" s="53">
        <f>SUM(D36:H36)</f>
        <v>300000</v>
      </c>
      <c r="K36" s="15"/>
    </row>
    <row r="37" spans="2:11" x14ac:dyDescent="0.35">
      <c r="B37" s="12"/>
      <c r="C37" s="60"/>
      <c r="D37" s="53"/>
      <c r="E37" s="56"/>
      <c r="F37" s="56"/>
      <c r="G37" s="56"/>
      <c r="H37" s="56"/>
      <c r="I37" s="51"/>
      <c r="J37" s="53"/>
    </row>
    <row r="38" spans="2:11" x14ac:dyDescent="0.35">
      <c r="B38" s="13"/>
      <c r="C38" s="57" t="s">
        <v>18</v>
      </c>
      <c r="D38" s="50">
        <f>SUM(D30:D37)</f>
        <v>24267206</v>
      </c>
      <c r="E38" s="50">
        <f t="shared" ref="E38:H38" si="11">SUM(E30:E37)</f>
        <v>31817355.68</v>
      </c>
      <c r="F38" s="50">
        <f t="shared" si="11"/>
        <v>31972254.350400001</v>
      </c>
      <c r="G38" s="50">
        <f t="shared" si="11"/>
        <v>32028799.980912</v>
      </c>
      <c r="H38" s="50">
        <f t="shared" si="11"/>
        <v>46064141.980339363</v>
      </c>
      <c r="I38" s="51"/>
      <c r="J38" s="50">
        <f>SUM(D38:H38)</f>
        <v>166149757.99165136</v>
      </c>
    </row>
    <row r="39" spans="2:11" x14ac:dyDescent="0.35">
      <c r="B39" s="13"/>
      <c r="C39" s="57" t="s">
        <v>19</v>
      </c>
      <c r="D39" s="50">
        <f>SUM(D38,D27,D24,D20,D16,D13,D10)</f>
        <v>24267206</v>
      </c>
      <c r="E39" s="50">
        <f>SUM(E38,E27,E24,E20,E16,E13,E10)</f>
        <v>31817355.68</v>
      </c>
      <c r="F39" s="50">
        <f>SUM(F38,F27,F24,F20,F16,F13,F10)</f>
        <v>31972254.350400001</v>
      </c>
      <c r="G39" s="50">
        <f>SUM(G38,G27,G24,G20,G16,G13,G10)</f>
        <v>32028799.980912</v>
      </c>
      <c r="H39" s="50">
        <f>SUM(H38,H27,H24,H20,H16,H13,H10)</f>
        <v>46064141.980339363</v>
      </c>
      <c r="I39" s="51"/>
      <c r="J39" s="50">
        <f t="shared" si="4"/>
        <v>166149757.99165136</v>
      </c>
    </row>
    <row r="40" spans="2:11" x14ac:dyDescent="0.35">
      <c r="B40" s="4"/>
      <c r="C40" s="51"/>
      <c r="D40" s="51"/>
      <c r="E40" s="51"/>
      <c r="F40" s="51"/>
      <c r="G40" s="51"/>
      <c r="H40" s="51"/>
      <c r="I40" s="51"/>
      <c r="J40" s="51" t="s">
        <v>20</v>
      </c>
    </row>
    <row r="41" spans="2:11" x14ac:dyDescent="0.35">
      <c r="B41" s="41" t="s">
        <v>54</v>
      </c>
      <c r="C41" s="66" t="s">
        <v>54</v>
      </c>
      <c r="D41" s="61"/>
      <c r="E41" s="61"/>
      <c r="F41" s="61"/>
      <c r="G41" s="61"/>
      <c r="H41" s="61"/>
      <c r="I41" s="51"/>
      <c r="J41" s="61" t="s">
        <v>20</v>
      </c>
    </row>
    <row r="42" spans="2:11" x14ac:dyDescent="0.35">
      <c r="B42" s="12"/>
      <c r="C42" s="52"/>
      <c r="D42" s="59"/>
      <c r="E42" s="60"/>
      <c r="F42" s="60"/>
      <c r="G42" s="60"/>
      <c r="H42" s="60"/>
      <c r="I42" s="51"/>
      <c r="J42" s="53">
        <f>SUM(D42:H42)</f>
        <v>0</v>
      </c>
    </row>
    <row r="43" spans="2:11" x14ac:dyDescent="0.35">
      <c r="B43" s="12"/>
      <c r="C43" s="52"/>
      <c r="D43" s="59"/>
      <c r="E43" s="60"/>
      <c r="F43" s="60"/>
      <c r="G43" s="60"/>
      <c r="H43" s="60"/>
      <c r="I43" s="51"/>
      <c r="J43" s="53">
        <f t="shared" ref="J43:J44" si="12">SUM(D43:H43)</f>
        <v>0</v>
      </c>
    </row>
    <row r="44" spans="2:11" x14ac:dyDescent="0.35">
      <c r="B44" s="13"/>
      <c r="C44" s="57" t="s">
        <v>21</v>
      </c>
      <c r="D44" s="50">
        <f>SUM(D42:D43)</f>
        <v>0</v>
      </c>
      <c r="E44" s="50">
        <f t="shared" ref="E44:H44" si="13">SUM(E42:E43)</f>
        <v>0</v>
      </c>
      <c r="F44" s="50">
        <f t="shared" si="13"/>
        <v>0</v>
      </c>
      <c r="G44" s="50">
        <f t="shared" si="13"/>
        <v>0</v>
      </c>
      <c r="H44" s="50">
        <f t="shared" si="13"/>
        <v>0</v>
      </c>
      <c r="I44" s="51"/>
      <c r="J44" s="50">
        <f t="shared" si="12"/>
        <v>0</v>
      </c>
    </row>
    <row r="45" spans="2:11" ht="15" thickBot="1" x14ac:dyDescent="0.4">
      <c r="B45" s="4"/>
      <c r="D45"/>
      <c r="E45"/>
      <c r="H45"/>
      <c r="I45"/>
      <c r="J45" t="s">
        <v>20</v>
      </c>
    </row>
    <row r="46" spans="2:11" s="1" customFormat="1" ht="29.5" thickBot="1" x14ac:dyDescent="0.4">
      <c r="B46" s="10" t="s">
        <v>22</v>
      </c>
      <c r="C46" s="10"/>
      <c r="D46" s="68">
        <f>SUM(D44,D39)</f>
        <v>24267206</v>
      </c>
      <c r="E46" s="68">
        <f t="shared" ref="E46:H46" si="14">SUM(E44,E39)</f>
        <v>31817355.68</v>
      </c>
      <c r="F46" s="68">
        <f t="shared" si="14"/>
        <v>31972254.350400001</v>
      </c>
      <c r="G46" s="68">
        <f t="shared" si="14"/>
        <v>32028799.980912</v>
      </c>
      <c r="H46" s="68">
        <f t="shared" si="14"/>
        <v>46064141.980339363</v>
      </c>
      <c r="I46" s="51">
        <f>SUM(I44,I39)</f>
        <v>0</v>
      </c>
      <c r="J46" s="68">
        <f t="shared" ref="J46" si="15">SUM(J44,J39)</f>
        <v>166149757.99165136</v>
      </c>
    </row>
    <row r="47" spans="2:11" x14ac:dyDescent="0.35">
      <c r="B47" s="4"/>
    </row>
    <row r="48" spans="2:11" x14ac:dyDescent="0.35">
      <c r="B48" s="4"/>
    </row>
    <row r="49" spans="2:2" x14ac:dyDescent="0.35">
      <c r="B49" s="4"/>
    </row>
    <row r="50" spans="2:2" x14ac:dyDescent="0.35">
      <c r="B50" s="4"/>
    </row>
    <row r="51" spans="2:2" x14ac:dyDescent="0.35">
      <c r="B51" s="4"/>
    </row>
    <row r="52" spans="2:2" x14ac:dyDescent="0.35">
      <c r="B52" s="4"/>
    </row>
    <row r="53" spans="2:2" x14ac:dyDescent="0.35">
      <c r="B53" s="4"/>
    </row>
    <row r="54" spans="2:2" x14ac:dyDescent="0.35">
      <c r="B54" s="4"/>
    </row>
    <row r="55" spans="2:2" x14ac:dyDescent="0.35">
      <c r="B55" s="4"/>
    </row>
    <row r="56" spans="2:2" x14ac:dyDescent="0.35">
      <c r="B56" s="4"/>
    </row>
    <row r="57" spans="2:2" x14ac:dyDescent="0.35">
      <c r="B57" s="4"/>
    </row>
    <row r="58" spans="2:2" x14ac:dyDescent="0.35">
      <c r="B58" s="4"/>
    </row>
    <row r="59" spans="2:2" x14ac:dyDescent="0.35">
      <c r="B59" s="4"/>
    </row>
    <row r="60" spans="2:2" x14ac:dyDescent="0.35">
      <c r="B60" s="4"/>
    </row>
    <row r="61" spans="2:2" x14ac:dyDescent="0.35">
      <c r="B61" s="4"/>
    </row>
  </sheetData>
  <mergeCells count="1">
    <mergeCell ref="B1:C3"/>
  </mergeCells>
  <pageMargins left="0.7" right="0.7" top="0.75" bottom="0.75" header="0.3" footer="0.3"/>
  <pageSetup scale="60" orientation="portrait" r:id="rId1"/>
  <ignoredErrors>
    <ignoredError sqref="J15 J22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A1:AM80"/>
  <sheetViews>
    <sheetView showGridLines="0" topLeftCell="A46" zoomScale="85" zoomScaleNormal="85" workbookViewId="0">
      <selection activeCell="Q90" sqref="Q90"/>
    </sheetView>
  </sheetViews>
  <sheetFormatPr defaultColWidth="9.453125" defaultRowHeight="14.5" x14ac:dyDescent="0.35"/>
  <cols>
    <col min="1" max="1" width="3.453125" customWidth="1"/>
    <col min="2" max="2" width="10.453125" customWidth="1"/>
    <col min="3" max="3" width="37.54296875" customWidth="1"/>
    <col min="4" max="4" width="13.54296875" style="4" customWidth="1"/>
    <col min="5" max="5" width="13.54296875" style="2" customWidth="1"/>
    <col min="6" max="6" width="13.54296875" customWidth="1"/>
    <col min="7" max="7" width="13" customWidth="1"/>
    <col min="8" max="8" width="12.453125" style="2" customWidth="1"/>
    <col min="9" max="9" width="1.54296875" style="5" customWidth="1"/>
    <col min="10" max="10" width="19.54296875" customWidth="1"/>
    <col min="11" max="11" width="14.1796875" customWidth="1"/>
  </cols>
  <sheetData>
    <row r="1" spans="1:39" x14ac:dyDescent="0.35">
      <c r="B1" s="94" t="s">
        <v>85</v>
      </c>
      <c r="C1" s="94"/>
    </row>
    <row r="2" spans="1:39" x14ac:dyDescent="0.35">
      <c r="B2" s="94"/>
      <c r="C2" s="94"/>
    </row>
    <row r="3" spans="1:39" x14ac:dyDescent="0.35">
      <c r="B3" s="94"/>
      <c r="C3" s="94"/>
    </row>
    <row r="4" spans="1:39" x14ac:dyDescent="0.35">
      <c r="B4" s="3"/>
    </row>
    <row r="5" spans="1:39" ht="18.5" x14ac:dyDescent="0.4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1:39" x14ac:dyDescent="0.3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1:39" s="3" customFormat="1" ht="29" x14ac:dyDescent="0.35">
      <c r="A7" s="35"/>
      <c r="B7" s="76" t="s">
        <v>11</v>
      </c>
      <c r="C7" s="74" t="s">
        <v>36</v>
      </c>
      <c r="D7" s="60" t="s">
        <v>37</v>
      </c>
      <c r="E7" s="60" t="s">
        <v>37</v>
      </c>
      <c r="F7" s="60" t="s">
        <v>37</v>
      </c>
      <c r="G7" s="60"/>
      <c r="H7" s="60" t="s">
        <v>37</v>
      </c>
      <c r="I7" s="51"/>
      <c r="J7" s="61" t="s">
        <v>37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x14ac:dyDescent="0.35">
      <c r="A8" s="51"/>
      <c r="B8" s="73"/>
      <c r="C8" s="55"/>
      <c r="D8" s="53"/>
      <c r="E8" s="53"/>
      <c r="F8" s="53"/>
      <c r="G8" s="53"/>
      <c r="H8" s="53"/>
      <c r="I8" s="51"/>
      <c r="J8" s="53"/>
    </row>
    <row r="9" spans="1:39" x14ac:dyDescent="0.35">
      <c r="A9" s="51"/>
      <c r="B9" s="73"/>
      <c r="C9" s="55"/>
      <c r="D9" s="53"/>
      <c r="E9" s="56"/>
      <c r="F9" s="56"/>
      <c r="G9" s="56"/>
      <c r="H9" s="56"/>
      <c r="I9" s="51"/>
      <c r="J9" s="53"/>
    </row>
    <row r="10" spans="1:39" x14ac:dyDescent="0.35">
      <c r="A10" s="51"/>
      <c r="B10" s="73"/>
      <c r="C10" s="57" t="s">
        <v>12</v>
      </c>
      <c r="D10" s="50">
        <f>SUM(D8:D9)</f>
        <v>0</v>
      </c>
      <c r="E10" s="50">
        <f>SUM(E8:E9)</f>
        <v>0</v>
      </c>
      <c r="F10" s="50">
        <f>SUM(F8:F9)</f>
        <v>0</v>
      </c>
      <c r="G10" s="50">
        <f>SUM(G8:G9)</f>
        <v>0</v>
      </c>
      <c r="H10" s="50">
        <f>SUM(H8:H9)</f>
        <v>0</v>
      </c>
      <c r="I10" s="51"/>
      <c r="J10" s="50">
        <f>SUM(J8:J9)</f>
        <v>0</v>
      </c>
    </row>
    <row r="11" spans="1:39" x14ac:dyDescent="0.35">
      <c r="A11" s="51"/>
      <c r="B11" s="73"/>
      <c r="C11" s="58" t="s">
        <v>42</v>
      </c>
      <c r="D11" s="59" t="s">
        <v>37</v>
      </c>
      <c r="E11" s="60"/>
      <c r="F11" s="60"/>
      <c r="G11" s="60"/>
      <c r="H11" s="60"/>
      <c r="I11" s="51"/>
      <c r="J11" s="61" t="s">
        <v>37</v>
      </c>
    </row>
    <row r="12" spans="1:39" x14ac:dyDescent="0.35">
      <c r="A12" s="51"/>
      <c r="B12" s="73"/>
      <c r="C12" s="52"/>
      <c r="D12" s="53"/>
      <c r="E12" s="53"/>
      <c r="F12" s="53"/>
      <c r="G12" s="53"/>
      <c r="H12" s="53"/>
      <c r="I12" s="51"/>
      <c r="J12" s="53"/>
    </row>
    <row r="13" spans="1:39" x14ac:dyDescent="0.35">
      <c r="A13" s="51"/>
      <c r="B13" s="73"/>
      <c r="C13" s="60"/>
      <c r="D13" s="53"/>
      <c r="E13" s="56"/>
      <c r="F13" s="56"/>
      <c r="G13" s="56"/>
      <c r="H13" s="56"/>
      <c r="I13" s="51"/>
      <c r="J13" s="53"/>
    </row>
    <row r="14" spans="1:39" x14ac:dyDescent="0.35">
      <c r="A14" s="51"/>
      <c r="B14" s="73"/>
      <c r="C14" s="57" t="s">
        <v>13</v>
      </c>
      <c r="D14" s="50">
        <f>SUM(D12:D13)</f>
        <v>0</v>
      </c>
      <c r="E14" s="50">
        <f>SUM(E12:E13)</f>
        <v>0</v>
      </c>
      <c r="F14" s="50">
        <f>SUM(F12:F13)</f>
        <v>0</v>
      </c>
      <c r="G14" s="50">
        <f>SUM(G12:G13)</f>
        <v>0</v>
      </c>
      <c r="H14" s="50">
        <f>SUM(H12:H13)</f>
        <v>0</v>
      </c>
      <c r="I14" s="51"/>
      <c r="J14" s="50">
        <f>SUM(J12:J13)</f>
        <v>0</v>
      </c>
      <c r="K14" s="44"/>
    </row>
    <row r="15" spans="1:39" x14ac:dyDescent="0.35">
      <c r="A15" s="51"/>
      <c r="B15" s="73"/>
      <c r="C15" s="58" t="s">
        <v>44</v>
      </c>
      <c r="D15" s="59" t="s">
        <v>37</v>
      </c>
      <c r="E15" s="60"/>
      <c r="F15" s="60"/>
      <c r="G15" s="60"/>
      <c r="H15" s="60"/>
      <c r="I15" s="51"/>
      <c r="J15" s="61" t="s">
        <v>37</v>
      </c>
    </row>
    <row r="16" spans="1:39" x14ac:dyDescent="0.35">
      <c r="A16" s="51"/>
      <c r="B16" s="73"/>
      <c r="C16" s="52"/>
      <c r="D16" s="53"/>
      <c r="E16" s="53"/>
      <c r="F16" s="53"/>
      <c r="G16" s="53"/>
      <c r="H16" s="53"/>
      <c r="I16" s="54"/>
      <c r="J16" s="53">
        <f t="shared" ref="J16" si="0">SUM(D16:H16)</f>
        <v>0</v>
      </c>
    </row>
    <row r="17" spans="1:10" x14ac:dyDescent="0.35">
      <c r="A17" s="51"/>
      <c r="B17" s="73"/>
      <c r="C17" s="57" t="s">
        <v>14</v>
      </c>
      <c r="D17" s="50">
        <f>SUM(D16:D16)</f>
        <v>0</v>
      </c>
      <c r="E17" s="50">
        <f>SUM(E16:E16)</f>
        <v>0</v>
      </c>
      <c r="F17" s="50">
        <f>SUM(F16:F16)</f>
        <v>0</v>
      </c>
      <c r="G17" s="50">
        <f>SUM(G16:G16)</f>
        <v>0</v>
      </c>
      <c r="H17" s="50">
        <f>SUM(H16:H16)</f>
        <v>0</v>
      </c>
      <c r="I17" s="51"/>
      <c r="J17" s="50">
        <f>SUM(J16:J16)</f>
        <v>0</v>
      </c>
    </row>
    <row r="18" spans="1:10" x14ac:dyDescent="0.35">
      <c r="A18" s="51"/>
      <c r="B18" s="73"/>
      <c r="C18" s="58" t="s">
        <v>45</v>
      </c>
      <c r="D18" s="53"/>
      <c r="E18" s="60"/>
      <c r="F18" s="60"/>
      <c r="G18" s="60"/>
      <c r="H18" s="60"/>
      <c r="I18" s="51"/>
      <c r="J18" s="53" t="s">
        <v>20</v>
      </c>
    </row>
    <row r="19" spans="1:10" x14ac:dyDescent="0.35">
      <c r="A19" s="51"/>
      <c r="B19" s="73"/>
      <c r="C19" s="52"/>
      <c r="D19" s="53"/>
      <c r="E19" s="60"/>
      <c r="F19" s="60"/>
      <c r="G19" s="60"/>
      <c r="H19" s="60"/>
      <c r="I19" s="51"/>
      <c r="J19" s="53">
        <f>SUM(D19:H19)</f>
        <v>0</v>
      </c>
    </row>
    <row r="20" spans="1:10" x14ac:dyDescent="0.35">
      <c r="A20" s="51"/>
      <c r="B20" s="73" t="s">
        <v>71</v>
      </c>
      <c r="C20" s="59" t="s">
        <v>71</v>
      </c>
      <c r="D20" s="59" t="s">
        <v>37</v>
      </c>
      <c r="E20" s="60"/>
      <c r="F20" s="60"/>
      <c r="G20" s="60"/>
      <c r="H20" s="60"/>
      <c r="I20" s="51"/>
      <c r="J20" s="53">
        <f t="shared" ref="J20:J58" si="1">SUM(D20:H20)</f>
        <v>0</v>
      </c>
    </row>
    <row r="21" spans="1:10" x14ac:dyDescent="0.35">
      <c r="A21" s="51"/>
      <c r="B21" s="73"/>
      <c r="C21" s="57" t="s">
        <v>15</v>
      </c>
      <c r="D21" s="63">
        <f>SUM(D19:D20)</f>
        <v>0</v>
      </c>
      <c r="E21" s="63">
        <f t="shared" ref="E21:H21" si="2">SUM(E19:E20)</f>
        <v>0</v>
      </c>
      <c r="F21" s="63">
        <f t="shared" si="2"/>
        <v>0</v>
      </c>
      <c r="G21" s="63">
        <f t="shared" si="2"/>
        <v>0</v>
      </c>
      <c r="H21" s="63">
        <f t="shared" si="2"/>
        <v>0</v>
      </c>
      <c r="I21" s="51"/>
      <c r="J21" s="50">
        <f>SUM(J19:J20)</f>
        <v>0</v>
      </c>
    </row>
    <row r="22" spans="1:10" x14ac:dyDescent="0.35">
      <c r="A22" s="51"/>
      <c r="B22" s="73"/>
      <c r="C22" s="58" t="s">
        <v>46</v>
      </c>
      <c r="D22" s="59" t="s">
        <v>37</v>
      </c>
      <c r="E22" s="60"/>
      <c r="F22" s="60"/>
      <c r="G22" s="60"/>
      <c r="H22" s="60"/>
      <c r="I22" s="51"/>
      <c r="J22" s="53"/>
    </row>
    <row r="23" spans="1:10" x14ac:dyDescent="0.35">
      <c r="A23" s="51"/>
      <c r="B23" s="73"/>
      <c r="C23" s="52"/>
      <c r="D23" s="53"/>
      <c r="E23" s="53"/>
      <c r="F23" s="53"/>
      <c r="G23" s="53"/>
      <c r="H23" s="53"/>
      <c r="I23" s="54"/>
      <c r="J23" s="53">
        <f t="shared" si="1"/>
        <v>0</v>
      </c>
    </row>
    <row r="24" spans="1:10" x14ac:dyDescent="0.35">
      <c r="A24" s="51"/>
      <c r="B24" s="73"/>
      <c r="C24" s="52"/>
      <c r="D24" s="53"/>
      <c r="E24" s="56"/>
      <c r="F24" s="56"/>
      <c r="G24" s="56"/>
      <c r="H24" s="56"/>
      <c r="I24" s="51"/>
      <c r="J24" s="53">
        <f t="shared" si="1"/>
        <v>0</v>
      </c>
    </row>
    <row r="25" spans="1:10" x14ac:dyDescent="0.35">
      <c r="A25" s="51"/>
      <c r="B25" s="73"/>
      <c r="C25" s="57" t="s">
        <v>16</v>
      </c>
      <c r="D25" s="50">
        <f>SUM(D23:D24)</f>
        <v>0</v>
      </c>
      <c r="E25" s="50">
        <f t="shared" ref="E25:H25" si="3">SUM(E23:E24)</f>
        <v>0</v>
      </c>
      <c r="F25" s="50">
        <f t="shared" si="3"/>
        <v>0</v>
      </c>
      <c r="G25" s="50">
        <f t="shared" si="3"/>
        <v>0</v>
      </c>
      <c r="H25" s="50">
        <f t="shared" si="3"/>
        <v>0</v>
      </c>
      <c r="I25" s="51"/>
      <c r="J25" s="50">
        <f>SUM(J23:J24)</f>
        <v>0</v>
      </c>
    </row>
    <row r="26" spans="1:10" x14ac:dyDescent="0.35">
      <c r="A26" s="51"/>
      <c r="B26" s="73"/>
      <c r="C26" s="58" t="s">
        <v>47</v>
      </c>
      <c r="D26" s="59" t="s">
        <v>37</v>
      </c>
      <c r="E26" s="60"/>
      <c r="F26" s="60"/>
      <c r="G26" s="60"/>
      <c r="H26" s="60"/>
      <c r="I26" s="51"/>
      <c r="J26" s="53"/>
    </row>
    <row r="27" spans="1:10" x14ac:dyDescent="0.35">
      <c r="A27" s="51"/>
      <c r="B27" s="73"/>
      <c r="C27" s="52"/>
      <c r="D27" s="53"/>
      <c r="E27" s="53"/>
      <c r="F27" s="53"/>
      <c r="G27" s="53"/>
      <c r="H27" s="56"/>
      <c r="I27" s="51"/>
      <c r="J27" s="53"/>
    </row>
    <row r="28" spans="1:10" x14ac:dyDescent="0.35">
      <c r="A28" s="51"/>
      <c r="B28" s="73"/>
      <c r="C28" s="52"/>
      <c r="D28" s="53"/>
      <c r="E28" s="56"/>
      <c r="F28" s="56"/>
      <c r="G28" s="56"/>
      <c r="H28" s="56"/>
      <c r="I28" s="51"/>
      <c r="J28" s="53"/>
    </row>
    <row r="29" spans="1:10" x14ac:dyDescent="0.35">
      <c r="A29" s="51"/>
      <c r="B29" s="73"/>
      <c r="C29" s="57" t="s">
        <v>17</v>
      </c>
      <c r="D29" s="50">
        <f>SUM(D27:D28)</f>
        <v>0</v>
      </c>
      <c r="E29" s="50">
        <f>SUM(E27:E28)</f>
        <v>0</v>
      </c>
      <c r="F29" s="50">
        <f>SUM(F27:F28)</f>
        <v>0</v>
      </c>
      <c r="G29" s="50">
        <f>SUM(G27:G28)</f>
        <v>0</v>
      </c>
      <c r="H29" s="50">
        <f>SUM(H27:H28)</f>
        <v>0</v>
      </c>
      <c r="I29" s="51"/>
      <c r="J29" s="50">
        <f>SUM(J27:J28)</f>
        <v>0</v>
      </c>
    </row>
    <row r="30" spans="1:10" x14ac:dyDescent="0.35">
      <c r="A30" s="51"/>
      <c r="B30" s="73"/>
      <c r="C30" s="58" t="s">
        <v>53</v>
      </c>
      <c r="D30" s="59" t="s">
        <v>37</v>
      </c>
      <c r="E30" s="60"/>
      <c r="F30" s="60"/>
      <c r="G30" s="60"/>
      <c r="H30" s="60"/>
      <c r="I30" s="51"/>
      <c r="J30" s="53"/>
    </row>
    <row r="31" spans="1:10" x14ac:dyDescent="0.35">
      <c r="A31" s="51"/>
      <c r="B31" s="73"/>
      <c r="C31" s="79" t="s">
        <v>86</v>
      </c>
      <c r="D31" s="59"/>
      <c r="E31" s="60"/>
      <c r="F31" s="60"/>
      <c r="G31" s="60"/>
      <c r="H31" s="60"/>
      <c r="I31" s="51"/>
      <c r="J31" s="53"/>
    </row>
    <row r="32" spans="1:10" x14ac:dyDescent="0.35">
      <c r="A32" s="51"/>
      <c r="B32" s="73"/>
      <c r="C32" s="55" t="s">
        <v>87</v>
      </c>
      <c r="D32" s="53">
        <v>169892.1875</v>
      </c>
      <c r="E32" s="53">
        <v>174988.953125</v>
      </c>
      <c r="F32" s="53">
        <v>180238.62171875002</v>
      </c>
      <c r="G32" s="53">
        <v>185645.78037031248</v>
      </c>
      <c r="H32" s="53">
        <v>191215.15378142186</v>
      </c>
      <c r="I32" s="51"/>
      <c r="J32" s="53">
        <f t="shared" ref="J32" si="4">SUM(D32:H32)</f>
        <v>901980.69649548433</v>
      </c>
    </row>
    <row r="33" spans="1:10" ht="29" x14ac:dyDescent="0.35">
      <c r="A33" s="51"/>
      <c r="B33" s="73"/>
      <c r="C33" s="52" t="s">
        <v>88</v>
      </c>
      <c r="D33" s="53">
        <v>99607.789531250004</v>
      </c>
      <c r="E33" s="53">
        <v>102596.02321718751</v>
      </c>
      <c r="F33" s="53">
        <v>105673.90391370314</v>
      </c>
      <c r="G33" s="53">
        <v>108844.12103111422</v>
      </c>
      <c r="H33" s="53">
        <v>112109.44466204765</v>
      </c>
      <c r="I33" s="51"/>
      <c r="J33" s="53">
        <v>528831.2823553026</v>
      </c>
    </row>
    <row r="34" spans="1:10" x14ac:dyDescent="0.35">
      <c r="A34" s="51"/>
      <c r="B34" s="73"/>
      <c r="C34" s="78" t="s">
        <v>89</v>
      </c>
      <c r="D34" s="53"/>
      <c r="E34" s="56"/>
      <c r="F34" s="56"/>
      <c r="G34" s="56"/>
      <c r="H34" s="56"/>
      <c r="I34" s="51"/>
      <c r="J34" s="53"/>
    </row>
    <row r="35" spans="1:10" x14ac:dyDescent="0.35">
      <c r="A35" s="51"/>
      <c r="B35" s="73"/>
      <c r="C35" s="52" t="s">
        <v>48</v>
      </c>
      <c r="D35" s="53">
        <v>0</v>
      </c>
      <c r="E35" s="53">
        <f>(12604717.554/31)*6</f>
        <v>2439622.7523870966</v>
      </c>
      <c r="F35" s="53">
        <f>(12604717.554/31)*12</f>
        <v>4879245.5047741933</v>
      </c>
      <c r="G35" s="53">
        <f>(12604717.554/31)*12</f>
        <v>4879245.5047741933</v>
      </c>
      <c r="H35" s="53">
        <f>(12604717.554/31)*1</f>
        <v>406603.79206451611</v>
      </c>
      <c r="I35" s="51"/>
      <c r="J35" s="53">
        <f>SUM(D35:H35)</f>
        <v>12604717.554</v>
      </c>
    </row>
    <row r="36" spans="1:10" x14ac:dyDescent="0.35">
      <c r="A36" s="51"/>
      <c r="B36" s="73"/>
      <c r="C36" s="52" t="s">
        <v>51</v>
      </c>
      <c r="D36" s="53">
        <f>(1135560.14/47)*10</f>
        <v>241608.54042553192</v>
      </c>
      <c r="E36" s="53">
        <f>(1135560.14/47)*12</f>
        <v>289930.24851063825</v>
      </c>
      <c r="F36" s="53">
        <f>(1135560.14/47)*12</f>
        <v>289930.24851063825</v>
      </c>
      <c r="G36" s="53">
        <f>(1135560.14/47)*12</f>
        <v>289930.24851063825</v>
      </c>
      <c r="H36" s="53">
        <f>(1135560.14/47)*1</f>
        <v>24160.85404255319</v>
      </c>
      <c r="I36" s="51"/>
      <c r="J36" s="53">
        <f t="shared" ref="J36" si="5">SUM(D36:H36)</f>
        <v>1135560.1399999999</v>
      </c>
    </row>
    <row r="37" spans="1:10" x14ac:dyDescent="0.35">
      <c r="A37" s="51"/>
      <c r="B37" s="73"/>
      <c r="C37" s="52" t="s">
        <v>52</v>
      </c>
      <c r="D37" s="53">
        <v>0</v>
      </c>
      <c r="E37" s="53">
        <v>0</v>
      </c>
      <c r="F37" s="53">
        <v>0</v>
      </c>
      <c r="G37" s="53">
        <v>0</v>
      </c>
      <c r="H37" s="56">
        <v>200000</v>
      </c>
      <c r="I37" s="51"/>
      <c r="J37" s="53">
        <f t="shared" ref="J37" si="6">SUM(D37:H37)</f>
        <v>200000</v>
      </c>
    </row>
    <row r="38" spans="1:10" x14ac:dyDescent="0.35">
      <c r="A38" s="51"/>
      <c r="B38" s="73"/>
      <c r="C38" s="78" t="s">
        <v>90</v>
      </c>
      <c r="D38" s="53"/>
      <c r="E38" s="56"/>
      <c r="F38" s="56"/>
      <c r="G38" s="56"/>
      <c r="H38" s="56"/>
      <c r="I38" s="51"/>
      <c r="J38" s="53"/>
    </row>
    <row r="39" spans="1:10" x14ac:dyDescent="0.35">
      <c r="A39" s="51"/>
      <c r="B39" s="73"/>
      <c r="C39" s="52" t="s">
        <v>48</v>
      </c>
      <c r="D39" s="53">
        <v>0</v>
      </c>
      <c r="E39" s="53">
        <f>(97220068.836/31)*6</f>
        <v>18816787.51664516</v>
      </c>
      <c r="F39" s="53">
        <f>(97220068.836/31)*12</f>
        <v>37633575.033290319</v>
      </c>
      <c r="G39" s="53">
        <f>(97220068.836/31)*12</f>
        <v>37633575.033290319</v>
      </c>
      <c r="H39" s="53">
        <f>(97220068.836/31)*1</f>
        <v>3136131.2527741934</v>
      </c>
      <c r="I39" s="51"/>
      <c r="J39" s="53">
        <f t="shared" ref="J39:J41" si="7">SUM(D39:H39)</f>
        <v>97220068.835999981</v>
      </c>
    </row>
    <row r="40" spans="1:10" x14ac:dyDescent="0.35">
      <c r="A40" s="51"/>
      <c r="B40" s="73"/>
      <c r="C40" s="52" t="s">
        <v>51</v>
      </c>
      <c r="D40" s="53">
        <f>(8758564.76/47)*10</f>
        <v>1863524.4170212767</v>
      </c>
      <c r="E40" s="53">
        <f>(8758564.76/47)*12</f>
        <v>2236229.3004255318</v>
      </c>
      <c r="F40" s="53">
        <f t="shared" ref="F40:G40" si="8">(8758564.76/47)*12</f>
        <v>2236229.3004255318</v>
      </c>
      <c r="G40" s="53">
        <f t="shared" si="8"/>
        <v>2236229.3004255318</v>
      </c>
      <c r="H40" s="53">
        <f>(8758564.76/47)*1</f>
        <v>186352.44170212766</v>
      </c>
      <c r="I40" s="51"/>
      <c r="J40" s="53">
        <f t="shared" si="7"/>
        <v>8758564.7599999998</v>
      </c>
    </row>
    <row r="41" spans="1:10" x14ac:dyDescent="0.35">
      <c r="A41" s="51"/>
      <c r="B41" s="73"/>
      <c r="C41" s="52" t="s">
        <v>52</v>
      </c>
      <c r="D41" s="53">
        <v>0</v>
      </c>
      <c r="E41" s="53">
        <v>0</v>
      </c>
      <c r="F41" s="53">
        <v>0</v>
      </c>
      <c r="G41" s="53">
        <v>0</v>
      </c>
      <c r="H41" s="56">
        <v>200000</v>
      </c>
      <c r="I41" s="51"/>
      <c r="J41" s="53">
        <f t="shared" si="7"/>
        <v>200000</v>
      </c>
    </row>
    <row r="42" spans="1:10" x14ac:dyDescent="0.35">
      <c r="A42" s="51"/>
      <c r="B42" s="73"/>
      <c r="C42" s="78" t="s">
        <v>91</v>
      </c>
      <c r="D42" s="53"/>
      <c r="E42" s="56"/>
      <c r="F42" s="56"/>
      <c r="G42" s="56"/>
      <c r="H42" s="56"/>
      <c r="I42" s="51"/>
      <c r="J42" s="53"/>
    </row>
    <row r="43" spans="1:10" x14ac:dyDescent="0.35">
      <c r="A43" s="51"/>
      <c r="B43" s="73"/>
      <c r="C43" s="52" t="s">
        <v>48</v>
      </c>
      <c r="D43" s="53">
        <v>0</v>
      </c>
      <c r="E43" s="53">
        <f>(66274199.904/31)*6</f>
        <v>12827264.497548386</v>
      </c>
      <c r="F43" s="53">
        <f>(66274199.904/31)*12</f>
        <v>25654528.995096773</v>
      </c>
      <c r="G43" s="53">
        <f>(66274199.904/31)*12</f>
        <v>25654528.995096773</v>
      </c>
      <c r="H43" s="53">
        <f>(66274199.904/31)*1</f>
        <v>2137877.4162580646</v>
      </c>
      <c r="I43" s="51"/>
      <c r="J43" s="53">
        <f t="shared" ref="J43:J45" si="9">SUM(D43:H43)</f>
        <v>66274199.903999999</v>
      </c>
    </row>
    <row r="44" spans="1:10" x14ac:dyDescent="0.35">
      <c r="A44" s="51"/>
      <c r="B44" s="73"/>
      <c r="C44" s="52" t="s">
        <v>51</v>
      </c>
      <c r="D44" s="53">
        <f>(5970648.64/47)*10</f>
        <v>1270350.774468085</v>
      </c>
      <c r="E44" s="53">
        <f>(5970648.64/47)*12</f>
        <v>1524420.9293617019</v>
      </c>
      <c r="F44" s="53">
        <f t="shared" ref="F44:G44" si="10">(5970648.64/47)*12</f>
        <v>1524420.9293617019</v>
      </c>
      <c r="G44" s="53">
        <f t="shared" si="10"/>
        <v>1524420.9293617019</v>
      </c>
      <c r="H44" s="53">
        <f>(5970648.64/47)*1</f>
        <v>127035.0774468085</v>
      </c>
      <c r="I44" s="51"/>
      <c r="J44" s="53">
        <f t="shared" si="9"/>
        <v>5970648.6399999987</v>
      </c>
    </row>
    <row r="45" spans="1:10" x14ac:dyDescent="0.35">
      <c r="A45" s="51"/>
      <c r="B45" s="73"/>
      <c r="C45" s="52" t="s">
        <v>52</v>
      </c>
      <c r="D45" s="53">
        <v>0</v>
      </c>
      <c r="E45" s="53">
        <v>0</v>
      </c>
      <c r="F45" s="53">
        <v>0</v>
      </c>
      <c r="G45" s="53">
        <v>0</v>
      </c>
      <c r="H45" s="56">
        <v>200000</v>
      </c>
      <c r="I45" s="51"/>
      <c r="J45" s="53">
        <f t="shared" si="9"/>
        <v>200000</v>
      </c>
    </row>
    <row r="46" spans="1:10" x14ac:dyDescent="0.35">
      <c r="A46" s="51"/>
      <c r="B46" s="73"/>
      <c r="C46" s="58"/>
      <c r="D46" s="59"/>
      <c r="E46" s="60"/>
      <c r="F46" s="60"/>
      <c r="G46" s="60"/>
      <c r="H46" s="60"/>
      <c r="I46" s="51"/>
      <c r="J46" s="53"/>
    </row>
    <row r="47" spans="1:10" x14ac:dyDescent="0.35">
      <c r="A47" s="51"/>
      <c r="B47" s="73"/>
      <c r="C47" s="78" t="s">
        <v>89</v>
      </c>
      <c r="D47" s="53"/>
      <c r="E47" s="56"/>
      <c r="F47" s="56"/>
      <c r="G47" s="56"/>
      <c r="H47" s="56"/>
      <c r="I47" s="51"/>
      <c r="J47" s="53"/>
    </row>
    <row r="48" spans="1:10" x14ac:dyDescent="0.35">
      <c r="A48" s="51"/>
      <c r="B48" s="73"/>
      <c r="C48" s="52" t="s">
        <v>92</v>
      </c>
      <c r="D48" s="53">
        <v>0</v>
      </c>
      <c r="E48" s="53">
        <v>0</v>
      </c>
      <c r="F48" s="53">
        <v>0</v>
      </c>
      <c r="G48" s="53">
        <v>0</v>
      </c>
      <c r="H48" s="53">
        <v>0</v>
      </c>
      <c r="I48" s="51"/>
      <c r="J48" s="53">
        <f>SUM(D48:H48)</f>
        <v>0</v>
      </c>
    </row>
    <row r="49" spans="1:10" x14ac:dyDescent="0.35">
      <c r="A49" s="51"/>
      <c r="B49" s="73"/>
      <c r="C49" s="52" t="s">
        <v>93</v>
      </c>
      <c r="D49" s="56">
        <v>18870</v>
      </c>
      <c r="E49" s="53">
        <v>0</v>
      </c>
      <c r="F49" s="53">
        <v>0</v>
      </c>
      <c r="G49" s="53">
        <v>0</v>
      </c>
      <c r="H49" s="53">
        <v>0</v>
      </c>
      <c r="I49" s="51"/>
      <c r="J49" s="53">
        <f t="shared" si="1"/>
        <v>18870</v>
      </c>
    </row>
    <row r="50" spans="1:10" x14ac:dyDescent="0.35">
      <c r="A50" s="51"/>
      <c r="B50" s="73"/>
      <c r="C50" s="78" t="s">
        <v>90</v>
      </c>
      <c r="D50" s="53"/>
      <c r="E50" s="56"/>
      <c r="F50" s="56"/>
      <c r="G50" s="56"/>
      <c r="H50" s="56"/>
      <c r="I50" s="51"/>
      <c r="J50" s="53"/>
    </row>
    <row r="51" spans="1:10" x14ac:dyDescent="0.35">
      <c r="A51" s="51"/>
      <c r="B51" s="73"/>
      <c r="C51" s="52" t="s">
        <v>92</v>
      </c>
      <c r="D51" s="53">
        <v>0</v>
      </c>
      <c r="E51" s="53">
        <v>0</v>
      </c>
      <c r="F51" s="53">
        <v>0</v>
      </c>
      <c r="G51" s="53">
        <v>0</v>
      </c>
      <c r="H51" s="53">
        <v>0</v>
      </c>
      <c r="I51" s="51"/>
      <c r="J51" s="53">
        <f t="shared" ref="J51:J52" si="11">SUM(D51:H51)</f>
        <v>0</v>
      </c>
    </row>
    <row r="52" spans="1:10" x14ac:dyDescent="0.35">
      <c r="A52" s="51"/>
      <c r="B52" s="73"/>
      <c r="C52" s="52" t="s">
        <v>93</v>
      </c>
      <c r="D52" s="56">
        <v>220150</v>
      </c>
      <c r="E52" s="53">
        <v>0</v>
      </c>
      <c r="F52" s="53">
        <v>0</v>
      </c>
      <c r="G52" s="53">
        <v>0</v>
      </c>
      <c r="H52" s="53">
        <v>0</v>
      </c>
      <c r="I52" s="51"/>
      <c r="J52" s="53">
        <f t="shared" si="11"/>
        <v>220150</v>
      </c>
    </row>
    <row r="53" spans="1:10" x14ac:dyDescent="0.35">
      <c r="A53" s="51"/>
      <c r="B53" s="73"/>
      <c r="C53" s="78" t="s">
        <v>91</v>
      </c>
      <c r="D53" s="53"/>
      <c r="E53" s="56"/>
      <c r="F53" s="56"/>
      <c r="G53" s="56"/>
      <c r="H53" s="56"/>
      <c r="I53" s="51"/>
      <c r="J53" s="53"/>
    </row>
    <row r="54" spans="1:10" x14ac:dyDescent="0.35">
      <c r="A54" s="51"/>
      <c r="B54" s="73"/>
      <c r="C54" s="52" t="s">
        <v>92</v>
      </c>
      <c r="D54" s="56">
        <v>165589</v>
      </c>
      <c r="E54" s="53">
        <v>0</v>
      </c>
      <c r="F54" s="53">
        <v>0</v>
      </c>
      <c r="G54" s="53">
        <v>0</v>
      </c>
      <c r="H54" s="53">
        <v>0</v>
      </c>
      <c r="I54" s="51"/>
      <c r="J54" s="53">
        <f t="shared" ref="J54:J55" si="12">SUM(D54:H54)</f>
        <v>165589</v>
      </c>
    </row>
    <row r="55" spans="1:10" x14ac:dyDescent="0.35">
      <c r="A55" s="51"/>
      <c r="B55" s="73"/>
      <c r="C55" s="52" t="s">
        <v>93</v>
      </c>
      <c r="D55" s="56">
        <v>144670</v>
      </c>
      <c r="E55" s="53">
        <v>0</v>
      </c>
      <c r="F55" s="53">
        <v>0</v>
      </c>
      <c r="G55" s="53">
        <v>0</v>
      </c>
      <c r="H55" s="53">
        <v>0</v>
      </c>
      <c r="I55" s="51"/>
      <c r="J55" s="53">
        <f t="shared" si="12"/>
        <v>144670</v>
      </c>
    </row>
    <row r="56" spans="1:10" x14ac:dyDescent="0.35">
      <c r="A56" s="51"/>
      <c r="B56" s="73"/>
      <c r="C56" s="60"/>
      <c r="D56" s="53"/>
      <c r="E56" s="56"/>
      <c r="F56" s="56"/>
      <c r="G56" s="56"/>
      <c r="H56" s="56"/>
      <c r="I56" s="51"/>
      <c r="J56" s="53"/>
    </row>
    <row r="57" spans="1:10" x14ac:dyDescent="0.35">
      <c r="A57" s="51"/>
      <c r="B57" s="75"/>
      <c r="C57" s="57" t="s">
        <v>18</v>
      </c>
      <c r="D57" s="50">
        <f>SUM(D32:D55)</f>
        <v>4194262.7089461433</v>
      </c>
      <c r="E57" s="50">
        <f t="shared" ref="E57:H57" si="13">SUM(E32:E55)</f>
        <v>38411840.221220702</v>
      </c>
      <c r="F57" s="50">
        <f t="shared" si="13"/>
        <v>72503842.537091613</v>
      </c>
      <c r="G57" s="50">
        <f t="shared" si="13"/>
        <v>72512419.912860572</v>
      </c>
      <c r="H57" s="50">
        <f t="shared" si="13"/>
        <v>6921485.4327317318</v>
      </c>
      <c r="I57" s="51"/>
      <c r="J57" s="50">
        <f>SUM(J32:J56)</f>
        <v>194543850.81285077</v>
      </c>
    </row>
    <row r="58" spans="1:10" x14ac:dyDescent="0.35">
      <c r="A58" s="51"/>
      <c r="B58" s="75"/>
      <c r="C58" s="57" t="s">
        <v>19</v>
      </c>
      <c r="D58" s="50">
        <f>SUM(D57,D29,D25,D21,D17,D14,D10)</f>
        <v>4194262.7089461433</v>
      </c>
      <c r="E58" s="50">
        <f>SUM(E57,E29,E25,E21,E17,E14,E10)</f>
        <v>38411840.221220702</v>
      </c>
      <c r="F58" s="50">
        <f>SUM(F57,F29,F25,F21,F17,F14,F10)</f>
        <v>72503842.537091613</v>
      </c>
      <c r="G58" s="50">
        <f>SUM(G57,G29,G25,G21,G17,G14,G10)</f>
        <v>72512419.912860572</v>
      </c>
      <c r="H58" s="50">
        <f>SUM(H57,H29,H25,H21,H17,H14,H10)</f>
        <v>6921485.4327317318</v>
      </c>
      <c r="I58" s="51"/>
      <c r="J58" s="50">
        <f t="shared" si="1"/>
        <v>194543850.81285074</v>
      </c>
    </row>
    <row r="59" spans="1:10" x14ac:dyDescent="0.35">
      <c r="A59" s="51"/>
      <c r="B59" s="70"/>
      <c r="C59" s="51"/>
      <c r="D59" s="51"/>
      <c r="E59" s="51"/>
      <c r="F59" s="51"/>
      <c r="G59" s="51"/>
      <c r="H59" s="51"/>
      <c r="I59" s="51"/>
      <c r="J59" s="51" t="s">
        <v>20</v>
      </c>
    </row>
    <row r="60" spans="1:10" ht="29" x14ac:dyDescent="0.35">
      <c r="A60" s="51"/>
      <c r="B60" s="76" t="s">
        <v>54</v>
      </c>
      <c r="C60" s="66" t="s">
        <v>54</v>
      </c>
      <c r="D60" s="61"/>
      <c r="E60" s="61"/>
      <c r="F60" s="61"/>
      <c r="G60" s="61"/>
      <c r="H60" s="61"/>
      <c r="I60" s="51"/>
      <c r="J60" s="61" t="s">
        <v>20</v>
      </c>
    </row>
    <row r="61" spans="1:10" x14ac:dyDescent="0.35">
      <c r="A61" s="51"/>
      <c r="B61" s="73"/>
      <c r="C61" s="52" t="s">
        <v>94</v>
      </c>
      <c r="D61" s="59"/>
      <c r="E61" s="60"/>
      <c r="F61" s="60"/>
      <c r="G61" s="60"/>
      <c r="H61" s="60"/>
      <c r="I61" s="51"/>
      <c r="J61" s="53">
        <f>SUM(D61:H61)</f>
        <v>0</v>
      </c>
    </row>
    <row r="62" spans="1:10" x14ac:dyDescent="0.35">
      <c r="A62" s="51"/>
      <c r="B62" s="73"/>
      <c r="C62" s="52"/>
      <c r="D62" s="59"/>
      <c r="E62" s="60"/>
      <c r="F62" s="60"/>
      <c r="G62" s="60"/>
      <c r="H62" s="60"/>
      <c r="I62" s="51"/>
      <c r="J62" s="53">
        <f t="shared" ref="J62" si="14">SUM(D62:H62)</f>
        <v>0</v>
      </c>
    </row>
    <row r="63" spans="1:10" x14ac:dyDescent="0.35">
      <c r="A63" s="51"/>
      <c r="B63" s="75"/>
      <c r="C63" s="57" t="s">
        <v>21</v>
      </c>
      <c r="D63" s="50">
        <f>SUM(D61:D62)</f>
        <v>0</v>
      </c>
      <c r="E63" s="50">
        <f t="shared" ref="E63:H63" si="15">SUM(E61:E62)</f>
        <v>0</v>
      </c>
      <c r="F63" s="50">
        <f t="shared" si="15"/>
        <v>0</v>
      </c>
      <c r="G63" s="50">
        <f t="shared" si="15"/>
        <v>0</v>
      </c>
      <c r="H63" s="50">
        <f t="shared" si="15"/>
        <v>0</v>
      </c>
      <c r="I63" s="51"/>
      <c r="J63" s="50">
        <f>SUM(J61:J62)</f>
        <v>0</v>
      </c>
    </row>
    <row r="64" spans="1:10" ht="15" thickBot="1" x14ac:dyDescent="0.4">
      <c r="A64" s="51"/>
      <c r="B64" s="70"/>
      <c r="C64" s="51"/>
      <c r="D64" s="51"/>
      <c r="E64" s="51"/>
      <c r="F64" s="51"/>
      <c r="G64" s="51"/>
      <c r="H64" s="51"/>
      <c r="I64" s="51"/>
      <c r="J64" s="51" t="s">
        <v>20</v>
      </c>
    </row>
    <row r="65" spans="1:10" s="1" customFormat="1" ht="29" x14ac:dyDescent="0.35">
      <c r="A65" s="69"/>
      <c r="B65" s="67" t="s">
        <v>22</v>
      </c>
      <c r="C65" s="67"/>
      <c r="D65" s="68">
        <f>SUM(D63,D58)</f>
        <v>4194262.7089461433</v>
      </c>
      <c r="E65" s="68">
        <f t="shared" ref="E65:H65" si="16">SUM(E63,E58)</f>
        <v>38411840.221220702</v>
      </c>
      <c r="F65" s="68">
        <f t="shared" si="16"/>
        <v>72503842.537091613</v>
      </c>
      <c r="G65" s="68">
        <f t="shared" si="16"/>
        <v>72512419.912860572</v>
      </c>
      <c r="H65" s="68">
        <f t="shared" si="16"/>
        <v>6921485.4327317318</v>
      </c>
      <c r="I65" s="51"/>
      <c r="J65" s="68">
        <f>SUM(J63,J58)</f>
        <v>194543850.81285074</v>
      </c>
    </row>
    <row r="66" spans="1:10" x14ac:dyDescent="0.35">
      <c r="A66" s="51"/>
      <c r="B66" s="70"/>
      <c r="C66" s="51"/>
      <c r="D66" s="70"/>
      <c r="E66" s="71"/>
      <c r="F66" s="51"/>
      <c r="G66" s="51"/>
      <c r="H66" s="71"/>
      <c r="I66" s="51"/>
      <c r="J66" s="51"/>
    </row>
    <row r="67" spans="1:10" x14ac:dyDescent="0.35">
      <c r="B67" s="4"/>
    </row>
    <row r="68" spans="1:10" x14ac:dyDescent="0.35">
      <c r="B68" s="4"/>
    </row>
    <row r="69" spans="1:10" x14ac:dyDescent="0.35">
      <c r="B69" s="4"/>
    </row>
    <row r="70" spans="1:10" x14ac:dyDescent="0.35">
      <c r="B70" s="4"/>
    </row>
    <row r="71" spans="1:10" x14ac:dyDescent="0.35">
      <c r="B71" s="4"/>
    </row>
    <row r="72" spans="1:10" x14ac:dyDescent="0.35">
      <c r="B72" s="4"/>
    </row>
    <row r="73" spans="1:10" x14ac:dyDescent="0.35">
      <c r="B73" s="4"/>
    </row>
    <row r="74" spans="1:10" x14ac:dyDescent="0.35">
      <c r="B74" s="4"/>
    </row>
    <row r="75" spans="1:10" x14ac:dyDescent="0.35">
      <c r="B75" s="4"/>
    </row>
    <row r="76" spans="1:10" x14ac:dyDescent="0.35">
      <c r="B76" s="4"/>
    </row>
    <row r="77" spans="1:10" x14ac:dyDescent="0.35">
      <c r="B77" s="4"/>
    </row>
    <row r="78" spans="1:10" x14ac:dyDescent="0.35">
      <c r="B78" s="4"/>
    </row>
    <row r="79" spans="1:10" x14ac:dyDescent="0.35">
      <c r="B79" s="4"/>
    </row>
    <row r="80" spans="1:10" x14ac:dyDescent="0.35">
      <c r="B80" s="4"/>
    </row>
  </sheetData>
  <mergeCells count="1">
    <mergeCell ref="B1:C3"/>
  </mergeCells>
  <pageMargins left="0.7" right="0.7" top="0.75" bottom="0.75" header="0.3" footer="0.3"/>
  <pageSetup scale="59" orientation="portrait" r:id="rId1"/>
  <ignoredErrors>
    <ignoredError sqref="J16 J2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E21E9-CA3F-40C6-9073-DE3E485DC1E5}">
  <sheetPr>
    <tabColor theme="9" tint="0.39997558519241921"/>
    <pageSetUpPr fitToPage="1"/>
  </sheetPr>
  <dimension ref="A1:AM60"/>
  <sheetViews>
    <sheetView showGridLines="0" tabSelected="1" topLeftCell="A33" zoomScale="92" zoomScaleNormal="92" workbookViewId="0">
      <selection activeCell="J52" sqref="J52"/>
    </sheetView>
  </sheetViews>
  <sheetFormatPr defaultColWidth="9.453125" defaultRowHeight="14.5" x14ac:dyDescent="0.35"/>
  <cols>
    <col min="1" max="1" width="3.453125" customWidth="1"/>
    <col min="2" max="2" width="13.81640625" customWidth="1"/>
    <col min="3" max="3" width="47.54296875" customWidth="1"/>
    <col min="4" max="4" width="13.453125" style="4" customWidth="1"/>
    <col min="5" max="5" width="13.453125" style="2" customWidth="1"/>
    <col min="6" max="7" width="13.453125" customWidth="1"/>
    <col min="8" max="8" width="12.54296875" style="2" customWidth="1"/>
    <col min="9" max="9" width="11.1796875" style="5" hidden="1" customWidth="1"/>
    <col min="10" max="10" width="14.54296875" customWidth="1"/>
    <col min="11" max="11" width="10.453125" customWidth="1"/>
  </cols>
  <sheetData>
    <row r="1" spans="1:39" x14ac:dyDescent="0.35">
      <c r="B1" s="94" t="s">
        <v>95</v>
      </c>
      <c r="C1" s="94"/>
    </row>
    <row r="2" spans="1:39" x14ac:dyDescent="0.35">
      <c r="B2" s="94"/>
      <c r="C2" s="94"/>
    </row>
    <row r="3" spans="1:39" x14ac:dyDescent="0.35">
      <c r="B3" s="94"/>
      <c r="C3" s="94"/>
    </row>
    <row r="4" spans="1:39" x14ac:dyDescent="0.35">
      <c r="B4" s="3"/>
    </row>
    <row r="5" spans="1:39" ht="18.5" x14ac:dyDescent="0.45">
      <c r="B5" s="16" t="s">
        <v>2</v>
      </c>
      <c r="C5" s="17"/>
      <c r="D5" s="17"/>
      <c r="E5" s="17"/>
      <c r="F5" s="17"/>
      <c r="G5" s="17"/>
      <c r="H5" s="17"/>
      <c r="I5" s="17"/>
      <c r="J5" s="18"/>
    </row>
    <row r="6" spans="1:39" x14ac:dyDescent="0.35">
      <c r="B6" s="19" t="s">
        <v>3</v>
      </c>
      <c r="C6" s="19" t="s">
        <v>4</v>
      </c>
      <c r="D6" s="19" t="s">
        <v>5</v>
      </c>
      <c r="E6" s="20" t="s">
        <v>6</v>
      </c>
      <c r="F6" s="20" t="s">
        <v>7</v>
      </c>
      <c r="G6" s="20" t="s">
        <v>8</v>
      </c>
      <c r="H6" s="21" t="s">
        <v>9</v>
      </c>
      <c r="I6" s="22"/>
      <c r="J6" s="23" t="s">
        <v>10</v>
      </c>
    </row>
    <row r="7" spans="1:39" s="3" customFormat="1" x14ac:dyDescent="0.35">
      <c r="A7" s="35"/>
      <c r="B7" s="77" t="s">
        <v>11</v>
      </c>
      <c r="C7" s="74" t="s">
        <v>36</v>
      </c>
      <c r="D7" s="60" t="s">
        <v>37</v>
      </c>
      <c r="E7" s="60" t="s">
        <v>37</v>
      </c>
      <c r="F7" s="60" t="s">
        <v>37</v>
      </c>
      <c r="G7" s="60"/>
      <c r="H7" s="60" t="s">
        <v>37</v>
      </c>
      <c r="I7" s="51"/>
      <c r="J7" s="61" t="s">
        <v>37</v>
      </c>
      <c r="K7" s="51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x14ac:dyDescent="0.35">
      <c r="A8" s="51"/>
      <c r="B8" s="73"/>
      <c r="C8" s="52"/>
      <c r="D8" s="53"/>
      <c r="E8" s="53"/>
      <c r="F8" s="53"/>
      <c r="G8" s="53"/>
      <c r="H8" s="53"/>
      <c r="I8" s="51"/>
      <c r="J8" s="53"/>
      <c r="K8" s="51"/>
    </row>
    <row r="9" spans="1:39" x14ac:dyDescent="0.35">
      <c r="A9" s="51"/>
      <c r="B9" s="73"/>
      <c r="C9" s="55"/>
      <c r="D9" s="53"/>
      <c r="E9" s="56"/>
      <c r="F9" s="56"/>
      <c r="G9" s="56"/>
      <c r="H9" s="56"/>
      <c r="I9" s="51"/>
      <c r="J9" s="53"/>
      <c r="K9" s="51"/>
    </row>
    <row r="10" spans="1:39" x14ac:dyDescent="0.35">
      <c r="A10" s="51"/>
      <c r="B10" s="73"/>
      <c r="C10" s="57" t="s">
        <v>12</v>
      </c>
      <c r="D10" s="50">
        <f>SUM(D8:D9)</f>
        <v>0</v>
      </c>
      <c r="E10" s="50">
        <f>SUM(E8:E9)</f>
        <v>0</v>
      </c>
      <c r="F10" s="50">
        <f>SUM(F8:F9)</f>
        <v>0</v>
      </c>
      <c r="G10" s="50">
        <f>SUM(G8:G9)</f>
        <v>0</v>
      </c>
      <c r="H10" s="50">
        <f>SUM(H8:H9)</f>
        <v>0</v>
      </c>
      <c r="I10" s="51">
        <f t="shared" ref="I10" si="0">SUM(I9:I9)</f>
        <v>0</v>
      </c>
      <c r="J10" s="50">
        <f>SUM(J8:J9)</f>
        <v>0</v>
      </c>
      <c r="K10" s="51"/>
    </row>
    <row r="11" spans="1:39" x14ac:dyDescent="0.35">
      <c r="A11" s="51"/>
      <c r="B11" s="73"/>
      <c r="C11" s="58"/>
      <c r="D11" s="59"/>
      <c r="E11" s="60"/>
      <c r="F11" s="60"/>
      <c r="G11" s="60"/>
      <c r="H11" s="60"/>
      <c r="I11" s="51"/>
      <c r="J11" s="61"/>
      <c r="K11" s="51"/>
    </row>
    <row r="12" spans="1:39" x14ac:dyDescent="0.35">
      <c r="A12" s="51"/>
      <c r="B12" s="73"/>
      <c r="C12" s="52"/>
      <c r="D12" s="53"/>
      <c r="E12" s="53"/>
      <c r="F12" s="53"/>
      <c r="G12" s="53"/>
      <c r="H12" s="53"/>
      <c r="I12" s="54"/>
      <c r="J12" s="53"/>
      <c r="K12" s="51"/>
    </row>
    <row r="13" spans="1:39" x14ac:dyDescent="0.35">
      <c r="A13" s="51"/>
      <c r="B13" s="73"/>
      <c r="C13" s="60"/>
      <c r="D13" s="53"/>
      <c r="E13" s="56"/>
      <c r="F13" s="56"/>
      <c r="G13" s="56"/>
      <c r="H13" s="56"/>
      <c r="I13" s="51"/>
      <c r="J13" s="53"/>
      <c r="K13" s="51"/>
    </row>
    <row r="14" spans="1:39" x14ac:dyDescent="0.35">
      <c r="A14" s="51"/>
      <c r="B14" s="73"/>
      <c r="C14" s="57" t="s">
        <v>13</v>
      </c>
      <c r="D14" s="50">
        <f>SUM(D12:D13)</f>
        <v>0</v>
      </c>
      <c r="E14" s="50">
        <f t="shared" ref="E14:J14" si="1">SUM(E12:E13)</f>
        <v>0</v>
      </c>
      <c r="F14" s="50">
        <f t="shared" si="1"/>
        <v>0</v>
      </c>
      <c r="G14" s="50">
        <f t="shared" si="1"/>
        <v>0</v>
      </c>
      <c r="H14" s="50">
        <f t="shared" si="1"/>
        <v>0</v>
      </c>
      <c r="I14" s="51">
        <f t="shared" si="1"/>
        <v>0</v>
      </c>
      <c r="J14" s="50">
        <f t="shared" si="1"/>
        <v>0</v>
      </c>
      <c r="K14" s="51"/>
    </row>
    <row r="15" spans="1:39" x14ac:dyDescent="0.35">
      <c r="A15" s="51"/>
      <c r="B15" s="73"/>
      <c r="C15" s="58" t="s">
        <v>44</v>
      </c>
      <c r="D15" s="59" t="s">
        <v>37</v>
      </c>
      <c r="E15" s="60"/>
      <c r="F15" s="60"/>
      <c r="G15" s="60"/>
      <c r="H15" s="60"/>
      <c r="I15" s="51"/>
      <c r="J15" s="61" t="s">
        <v>37</v>
      </c>
      <c r="K15" s="51"/>
    </row>
    <row r="16" spans="1:39" x14ac:dyDescent="0.35">
      <c r="A16" s="51"/>
      <c r="B16" s="73"/>
      <c r="C16" s="52"/>
      <c r="D16" s="53"/>
      <c r="E16" s="53"/>
      <c r="F16" s="53"/>
      <c r="G16" s="53"/>
      <c r="H16" s="53"/>
      <c r="I16" s="54">
        <v>1638</v>
      </c>
      <c r="J16" s="53">
        <f t="shared" ref="J16" si="2">SUM(D16:H16)</f>
        <v>0</v>
      </c>
      <c r="K16" s="51"/>
    </row>
    <row r="17" spans="1:11" x14ac:dyDescent="0.35">
      <c r="A17" s="51"/>
      <c r="B17" s="73"/>
      <c r="C17" s="57" t="s">
        <v>14</v>
      </c>
      <c r="D17" s="50">
        <f>SUM(D16:D16)</f>
        <v>0</v>
      </c>
      <c r="E17" s="50">
        <f>SUM(E16:E16)</f>
        <v>0</v>
      </c>
      <c r="F17" s="50">
        <f>SUM(F16:F16)</f>
        <v>0</v>
      </c>
      <c r="G17" s="50">
        <f>SUM(G16:G16)</f>
        <v>0</v>
      </c>
      <c r="H17" s="50">
        <f>SUM(H16:H16)</f>
        <v>0</v>
      </c>
      <c r="I17" s="51"/>
      <c r="J17" s="50">
        <f>SUM(D17:H17)</f>
        <v>0</v>
      </c>
      <c r="K17" s="51"/>
    </row>
    <row r="18" spans="1:11" x14ac:dyDescent="0.35">
      <c r="A18" s="51"/>
      <c r="B18" s="73"/>
      <c r="C18" s="58" t="s">
        <v>45</v>
      </c>
      <c r="D18" s="53"/>
      <c r="E18" s="60"/>
      <c r="F18" s="60"/>
      <c r="G18" s="60"/>
      <c r="H18" s="60"/>
      <c r="I18" s="51"/>
      <c r="J18" s="53" t="s">
        <v>20</v>
      </c>
      <c r="K18" s="51"/>
    </row>
    <row r="19" spans="1:11" x14ac:dyDescent="0.35">
      <c r="A19" s="51"/>
      <c r="B19" s="73"/>
      <c r="C19" s="52"/>
      <c r="D19" s="53"/>
      <c r="E19" s="60"/>
      <c r="F19" s="60"/>
      <c r="G19" s="60"/>
      <c r="H19" s="60"/>
      <c r="I19" s="51"/>
      <c r="J19" s="53">
        <f>SUM(D19:H19)</f>
        <v>0</v>
      </c>
      <c r="K19" s="51"/>
    </row>
    <row r="20" spans="1:11" x14ac:dyDescent="0.35">
      <c r="A20" s="51"/>
      <c r="B20" s="73" t="s">
        <v>71</v>
      </c>
      <c r="C20" s="59" t="s">
        <v>71</v>
      </c>
      <c r="D20" s="59" t="s">
        <v>37</v>
      </c>
      <c r="E20" s="60"/>
      <c r="F20" s="60"/>
      <c r="G20" s="60"/>
      <c r="H20" s="60"/>
      <c r="I20" s="51"/>
      <c r="J20" s="53">
        <f t="shared" ref="J20:J40" si="3">SUM(D20:H20)</f>
        <v>0</v>
      </c>
      <c r="K20" s="51"/>
    </row>
    <row r="21" spans="1:11" x14ac:dyDescent="0.35">
      <c r="A21" s="51"/>
      <c r="B21" s="73"/>
      <c r="C21" s="57" t="s">
        <v>15</v>
      </c>
      <c r="D21" s="63">
        <f>SUM(D19:D20)</f>
        <v>0</v>
      </c>
      <c r="E21" s="63">
        <f t="shared" ref="E21:H21" si="4">SUM(E19:E20)</f>
        <v>0</v>
      </c>
      <c r="F21" s="63">
        <f t="shared" si="4"/>
        <v>0</v>
      </c>
      <c r="G21" s="63">
        <f t="shared" si="4"/>
        <v>0</v>
      </c>
      <c r="H21" s="63">
        <f t="shared" si="4"/>
        <v>0</v>
      </c>
      <c r="I21" s="51"/>
      <c r="J21" s="50">
        <f t="shared" si="3"/>
        <v>0</v>
      </c>
      <c r="K21" s="51"/>
    </row>
    <row r="22" spans="1:11" x14ac:dyDescent="0.35">
      <c r="A22" s="51"/>
      <c r="B22" s="73"/>
      <c r="C22" s="58" t="s">
        <v>46</v>
      </c>
      <c r="D22" s="59" t="s">
        <v>37</v>
      </c>
      <c r="E22" s="60"/>
      <c r="F22" s="60"/>
      <c r="G22" s="60"/>
      <c r="H22" s="60"/>
      <c r="I22" s="51"/>
      <c r="J22" s="53"/>
      <c r="K22" s="51"/>
    </row>
    <row r="23" spans="1:11" x14ac:dyDescent="0.35">
      <c r="A23" s="51"/>
      <c r="B23" s="73"/>
      <c r="C23" s="52"/>
      <c r="D23" s="53"/>
      <c r="E23" s="53"/>
      <c r="F23" s="53"/>
      <c r="G23" s="53"/>
      <c r="H23" s="53"/>
      <c r="I23" s="54">
        <v>5000</v>
      </c>
      <c r="J23" s="53">
        <f t="shared" si="3"/>
        <v>0</v>
      </c>
      <c r="K23" s="51"/>
    </row>
    <row r="24" spans="1:11" x14ac:dyDescent="0.35">
      <c r="A24" s="51"/>
      <c r="B24" s="73"/>
      <c r="C24" s="52"/>
      <c r="D24" s="53"/>
      <c r="E24" s="56"/>
      <c r="F24" s="56"/>
      <c r="G24" s="56"/>
      <c r="H24" s="56"/>
      <c r="I24" s="51"/>
      <c r="J24" s="53">
        <f t="shared" si="3"/>
        <v>0</v>
      </c>
      <c r="K24" s="51"/>
    </row>
    <row r="25" spans="1:11" x14ac:dyDescent="0.35">
      <c r="A25" s="51"/>
      <c r="B25" s="73"/>
      <c r="C25" s="57" t="s">
        <v>16</v>
      </c>
      <c r="D25" s="50">
        <f>SUM(D23:D24)</f>
        <v>0</v>
      </c>
      <c r="E25" s="50">
        <f t="shared" ref="E25:H25" si="5">SUM(E23:E24)</f>
        <v>0</v>
      </c>
      <c r="F25" s="50">
        <f t="shared" si="5"/>
        <v>0</v>
      </c>
      <c r="G25" s="50">
        <f t="shared" si="5"/>
        <v>0</v>
      </c>
      <c r="H25" s="50">
        <f t="shared" si="5"/>
        <v>0</v>
      </c>
      <c r="I25" s="51"/>
      <c r="J25" s="50">
        <f t="shared" si="3"/>
        <v>0</v>
      </c>
      <c r="K25" s="51"/>
    </row>
    <row r="26" spans="1:11" x14ac:dyDescent="0.35">
      <c r="A26" s="51"/>
      <c r="B26" s="73"/>
      <c r="C26" s="58" t="s">
        <v>47</v>
      </c>
      <c r="D26" s="59" t="s">
        <v>37</v>
      </c>
      <c r="E26" s="60"/>
      <c r="F26" s="60"/>
      <c r="G26" s="60"/>
      <c r="H26" s="60"/>
      <c r="I26" s="51"/>
      <c r="J26" s="53"/>
      <c r="K26" s="51"/>
    </row>
    <row r="27" spans="1:11" x14ac:dyDescent="0.35">
      <c r="A27" s="51"/>
      <c r="B27" s="73"/>
      <c r="C27" s="52"/>
      <c r="D27" s="53"/>
      <c r="E27" s="56"/>
      <c r="F27" s="56"/>
      <c r="G27" s="56"/>
      <c r="H27" s="56"/>
      <c r="I27" s="51"/>
      <c r="J27" s="53"/>
      <c r="K27" s="51"/>
    </row>
    <row r="28" spans="1:11" x14ac:dyDescent="0.35">
      <c r="A28" s="51"/>
      <c r="B28" s="73"/>
      <c r="C28" s="57" t="s">
        <v>17</v>
      </c>
      <c r="D28" s="50">
        <f t="shared" ref="D28:J28" si="6">SUM(D27:D27)</f>
        <v>0</v>
      </c>
      <c r="E28" s="50">
        <f t="shared" si="6"/>
        <v>0</v>
      </c>
      <c r="F28" s="50">
        <f t="shared" si="6"/>
        <v>0</v>
      </c>
      <c r="G28" s="50">
        <f t="shared" si="6"/>
        <v>0</v>
      </c>
      <c r="H28" s="50">
        <f t="shared" si="6"/>
        <v>0</v>
      </c>
      <c r="I28" s="51">
        <f t="shared" si="6"/>
        <v>0</v>
      </c>
      <c r="J28" s="50">
        <f t="shared" si="6"/>
        <v>0</v>
      </c>
      <c r="K28" s="51"/>
    </row>
    <row r="29" spans="1:11" x14ac:dyDescent="0.35">
      <c r="A29" s="51"/>
      <c r="B29" s="73"/>
      <c r="C29" s="58" t="s">
        <v>53</v>
      </c>
      <c r="D29" s="59" t="s">
        <v>37</v>
      </c>
      <c r="E29" s="60"/>
      <c r="F29" s="60"/>
      <c r="G29" s="60"/>
      <c r="H29" s="60"/>
      <c r="I29" s="51"/>
      <c r="J29" s="53"/>
      <c r="K29" s="51"/>
    </row>
    <row r="30" spans="1:11" ht="29" x14ac:dyDescent="0.35">
      <c r="A30" s="51"/>
      <c r="B30" s="73"/>
      <c r="C30" s="87" t="s">
        <v>96</v>
      </c>
      <c r="D30" s="82">
        <v>7500</v>
      </c>
      <c r="E30" s="82">
        <v>7725</v>
      </c>
      <c r="F30" s="82">
        <v>7956.75</v>
      </c>
      <c r="G30" s="82">
        <v>8195.4524999999994</v>
      </c>
      <c r="H30" s="82">
        <v>8441.3160749999988</v>
      </c>
      <c r="I30" s="83"/>
      <c r="J30" s="82">
        <v>39818.518574999995</v>
      </c>
      <c r="K30" s="51"/>
    </row>
    <row r="31" spans="1:11" ht="29" x14ac:dyDescent="0.35">
      <c r="A31" s="51"/>
      <c r="B31" s="73"/>
      <c r="C31" s="87" t="s">
        <v>97</v>
      </c>
      <c r="D31" s="82">
        <v>95000</v>
      </c>
      <c r="E31" s="82">
        <v>97850</v>
      </c>
      <c r="F31" s="82">
        <v>100785.5</v>
      </c>
      <c r="G31" s="82">
        <v>103809.065</v>
      </c>
      <c r="H31" s="82">
        <v>106923.33695000001</v>
      </c>
      <c r="I31" s="83"/>
      <c r="J31" s="82">
        <v>504367.90195000003</v>
      </c>
      <c r="K31" s="51"/>
    </row>
    <row r="32" spans="1:11" x14ac:dyDescent="0.35">
      <c r="A32" s="51"/>
      <c r="B32" s="73"/>
      <c r="C32" s="87" t="s">
        <v>98</v>
      </c>
      <c r="D32" s="84">
        <v>60095.750000000007</v>
      </c>
      <c r="E32" s="85">
        <v>61898.622500000005</v>
      </c>
      <c r="F32" s="85">
        <v>63755.581175000007</v>
      </c>
      <c r="G32" s="85">
        <v>65668.248610250012</v>
      </c>
      <c r="H32" s="85">
        <v>67638.296068557509</v>
      </c>
      <c r="I32" s="86">
        <v>450000</v>
      </c>
      <c r="J32" s="84">
        <v>319056.49835380755</v>
      </c>
      <c r="K32" s="51"/>
    </row>
    <row r="33" spans="1:11" ht="43.5" x14ac:dyDescent="0.35">
      <c r="A33" s="51"/>
      <c r="B33" s="73"/>
      <c r="C33" s="52" t="s">
        <v>99</v>
      </c>
      <c r="D33" s="53">
        <v>60000</v>
      </c>
      <c r="E33" s="53">
        <v>60000</v>
      </c>
      <c r="F33" s="53">
        <v>60000</v>
      </c>
      <c r="G33" s="53">
        <v>60000</v>
      </c>
      <c r="H33" s="53">
        <v>60000</v>
      </c>
      <c r="I33" s="54">
        <v>375000</v>
      </c>
      <c r="J33" s="53">
        <f t="shared" ref="J33:J38" si="7">SUM(D33:H33)</f>
        <v>300000</v>
      </c>
      <c r="K33" s="51"/>
    </row>
    <row r="34" spans="1:11" ht="58" x14ac:dyDescent="0.35">
      <c r="A34" s="51"/>
      <c r="B34" s="73"/>
      <c r="C34" s="52" t="s">
        <v>100</v>
      </c>
      <c r="D34" s="53">
        <v>80000</v>
      </c>
      <c r="E34" s="53">
        <v>80000</v>
      </c>
      <c r="F34" s="53">
        <v>80000</v>
      </c>
      <c r="G34" s="53">
        <v>80000</v>
      </c>
      <c r="H34" s="53">
        <v>80000</v>
      </c>
      <c r="I34" s="54">
        <v>781250</v>
      </c>
      <c r="J34" s="53">
        <f t="shared" si="7"/>
        <v>400000</v>
      </c>
      <c r="K34" s="51"/>
    </row>
    <row r="35" spans="1:11" ht="58" x14ac:dyDescent="0.35">
      <c r="A35" s="51"/>
      <c r="B35" s="73"/>
      <c r="C35" s="52" t="s">
        <v>101</v>
      </c>
      <c r="D35" s="53">
        <f>100*100*15</f>
        <v>150000</v>
      </c>
      <c r="E35" s="53">
        <v>0</v>
      </c>
      <c r="F35" s="53">
        <v>0</v>
      </c>
      <c r="G35" s="53">
        <v>0</v>
      </c>
      <c r="H35" s="53">
        <v>0</v>
      </c>
      <c r="I35" s="54">
        <v>2083335</v>
      </c>
      <c r="J35" s="53">
        <f t="shared" si="7"/>
        <v>150000</v>
      </c>
      <c r="K35" s="51"/>
    </row>
    <row r="36" spans="1:11" ht="43.5" x14ac:dyDescent="0.35">
      <c r="A36" s="51"/>
      <c r="B36" s="73"/>
      <c r="C36" s="52" t="s">
        <v>102</v>
      </c>
      <c r="D36" s="53">
        <v>0</v>
      </c>
      <c r="E36" s="53">
        <f>E37*0.02</f>
        <v>51891.891891891893</v>
      </c>
      <c r="F36" s="53">
        <f>F37*0.02</f>
        <v>51891.891891891893</v>
      </c>
      <c r="G36" s="53">
        <f>G37*0.02</f>
        <v>51891.891891891893</v>
      </c>
      <c r="H36" s="53">
        <f>H37*0.02</f>
        <v>4324.3243243243242</v>
      </c>
      <c r="I36" s="51"/>
      <c r="J36" s="53">
        <f t="shared" si="7"/>
        <v>160000</v>
      </c>
      <c r="K36" s="51"/>
    </row>
    <row r="37" spans="1:11" ht="58" x14ac:dyDescent="0.35">
      <c r="A37" s="51"/>
      <c r="B37" s="73"/>
      <c r="C37" s="52" t="s">
        <v>103</v>
      </c>
      <c r="D37" s="53">
        <v>0</v>
      </c>
      <c r="E37" s="53">
        <f>(8000000/37)*12</f>
        <v>2594594.5945945946</v>
      </c>
      <c r="F37" s="53">
        <f t="shared" ref="F37:G37" si="8">(8000000/37)*12</f>
        <v>2594594.5945945946</v>
      </c>
      <c r="G37" s="53">
        <f t="shared" si="8"/>
        <v>2594594.5945945946</v>
      </c>
      <c r="H37" s="53">
        <f>(8000000/37)*1</f>
        <v>216216.21621621621</v>
      </c>
      <c r="I37" s="51"/>
      <c r="J37" s="53">
        <f t="shared" si="7"/>
        <v>8000000</v>
      </c>
      <c r="K37" s="51"/>
    </row>
    <row r="38" spans="1:11" ht="29" x14ac:dyDescent="0.35">
      <c r="A38" s="51"/>
      <c r="B38" s="73"/>
      <c r="C38" s="52" t="s">
        <v>104</v>
      </c>
      <c r="D38" s="53">
        <v>1500</v>
      </c>
      <c r="E38" s="53">
        <v>1500</v>
      </c>
      <c r="F38" s="53">
        <v>1500</v>
      </c>
      <c r="G38" s="53">
        <v>1500</v>
      </c>
      <c r="H38" s="53">
        <v>10000</v>
      </c>
      <c r="I38" s="51"/>
      <c r="J38" s="53">
        <f t="shared" si="7"/>
        <v>16000</v>
      </c>
      <c r="K38" s="51"/>
    </row>
    <row r="39" spans="1:11" x14ac:dyDescent="0.35">
      <c r="A39" s="51"/>
      <c r="B39" s="75"/>
      <c r="C39" s="57" t="s">
        <v>18</v>
      </c>
      <c r="D39" s="50">
        <f>SUM(D30:D38)</f>
        <v>454095.75</v>
      </c>
      <c r="E39" s="50">
        <f t="shared" ref="E39:H39" si="9">SUM(E30:E38)</f>
        <v>2955460.1089864867</v>
      </c>
      <c r="F39" s="50">
        <f t="shared" si="9"/>
        <v>2960484.3176614866</v>
      </c>
      <c r="G39" s="50">
        <f t="shared" si="9"/>
        <v>2965659.2525967364</v>
      </c>
      <c r="H39" s="50">
        <f t="shared" si="9"/>
        <v>553543.48963409802</v>
      </c>
      <c r="I39" s="51"/>
      <c r="J39" s="50">
        <f>SUM(D39:H39)</f>
        <v>9889242.9188788086</v>
      </c>
      <c r="K39" s="51"/>
    </row>
    <row r="40" spans="1:11" x14ac:dyDescent="0.35">
      <c r="A40" s="51"/>
      <c r="B40" s="75"/>
      <c r="C40" s="57" t="s">
        <v>19</v>
      </c>
      <c r="D40" s="50">
        <f>SUM(D39,D28,D25,D21,D17,D14,D10)</f>
        <v>454095.75</v>
      </c>
      <c r="E40" s="50">
        <f>SUM(E39,E28,E25,E21,E17,E14,E10)</f>
        <v>2955460.1089864867</v>
      </c>
      <c r="F40" s="50">
        <f>SUM(F39,F28,F25,F21,F17,F14,F10)</f>
        <v>2960484.3176614866</v>
      </c>
      <c r="G40" s="50">
        <f>SUM(G39,G28,G25,G21,G17,G14,G10)</f>
        <v>2965659.2525967364</v>
      </c>
      <c r="H40" s="50">
        <f>SUM(H39,H28,H25,H21,H17,H14,H10)</f>
        <v>553543.48963409802</v>
      </c>
      <c r="I40" s="51"/>
      <c r="J40" s="50">
        <f t="shared" si="3"/>
        <v>9889242.9188788086</v>
      </c>
      <c r="K40" s="51"/>
    </row>
    <row r="41" spans="1:11" x14ac:dyDescent="0.35">
      <c r="A41" s="51"/>
      <c r="B41" s="70"/>
      <c r="C41" s="51"/>
      <c r="D41" s="51"/>
      <c r="E41" s="51"/>
      <c r="F41" s="51"/>
      <c r="G41" s="51"/>
      <c r="H41" s="51"/>
      <c r="I41" s="51"/>
      <c r="J41" s="51" t="s">
        <v>20</v>
      </c>
      <c r="K41" s="51"/>
    </row>
    <row r="42" spans="1:11" x14ac:dyDescent="0.35">
      <c r="A42" s="51"/>
      <c r="B42" s="76" t="s">
        <v>54</v>
      </c>
      <c r="C42" s="66" t="s">
        <v>54</v>
      </c>
      <c r="D42" s="61"/>
      <c r="E42" s="61"/>
      <c r="F42" s="61"/>
      <c r="G42" s="61"/>
      <c r="H42" s="61"/>
      <c r="I42" s="51"/>
      <c r="J42" s="61" t="s">
        <v>20</v>
      </c>
      <c r="K42" s="51"/>
    </row>
    <row r="43" spans="1:11" x14ac:dyDescent="0.35">
      <c r="A43" s="51"/>
      <c r="B43" s="73"/>
      <c r="C43" s="52"/>
      <c r="D43" s="59"/>
      <c r="E43" s="60"/>
      <c r="F43" s="60"/>
      <c r="G43" s="60"/>
      <c r="H43" s="60"/>
      <c r="I43" s="51"/>
      <c r="J43" s="53">
        <f>SUM(D43:H43)</f>
        <v>0</v>
      </c>
      <c r="K43" s="51"/>
    </row>
    <row r="44" spans="1:11" x14ac:dyDescent="0.35">
      <c r="A44" s="51"/>
      <c r="B44" s="73"/>
      <c r="C44" s="52"/>
      <c r="D44" s="59"/>
      <c r="E44" s="60"/>
      <c r="F44" s="60"/>
      <c r="G44" s="60"/>
      <c r="H44" s="60"/>
      <c r="I44" s="51"/>
      <c r="J44" s="53">
        <f t="shared" ref="J44:J45" si="10">SUM(D44:H44)</f>
        <v>0</v>
      </c>
      <c r="K44" s="51"/>
    </row>
    <row r="45" spans="1:11" x14ac:dyDescent="0.35">
      <c r="A45" s="51"/>
      <c r="B45" s="75"/>
      <c r="C45" s="57" t="s">
        <v>21</v>
      </c>
      <c r="D45" s="50">
        <f>SUM(D43:D44)</f>
        <v>0</v>
      </c>
      <c r="E45" s="50">
        <f t="shared" ref="E45:H45" si="11">SUM(E43:E44)</f>
        <v>0</v>
      </c>
      <c r="F45" s="50">
        <f t="shared" si="11"/>
        <v>0</v>
      </c>
      <c r="G45" s="50">
        <f t="shared" si="11"/>
        <v>0</v>
      </c>
      <c r="H45" s="50">
        <f t="shared" si="11"/>
        <v>0</v>
      </c>
      <c r="I45" s="51"/>
      <c r="J45" s="50">
        <f t="shared" si="10"/>
        <v>0</v>
      </c>
      <c r="K45" s="51"/>
    </row>
    <row r="46" spans="1:11" ht="15" thickBot="1" x14ac:dyDescent="0.4">
      <c r="A46" s="51"/>
      <c r="B46" s="70"/>
      <c r="C46" s="51"/>
      <c r="D46" s="51"/>
      <c r="E46" s="51"/>
      <c r="F46" s="51"/>
      <c r="G46" s="51"/>
      <c r="H46" s="51"/>
      <c r="I46" s="51"/>
      <c r="J46" s="51" t="s">
        <v>20</v>
      </c>
      <c r="K46" s="51"/>
    </row>
    <row r="47" spans="1:11" s="1" customFormat="1" ht="29.5" thickBot="1" x14ac:dyDescent="0.4">
      <c r="A47" s="69"/>
      <c r="B47" s="67" t="s">
        <v>22</v>
      </c>
      <c r="C47" s="67"/>
      <c r="D47" s="68">
        <f>SUM(D45,D40)</f>
        <v>454095.75</v>
      </c>
      <c r="E47" s="68">
        <f t="shared" ref="E47:J47" si="12">SUM(E45,E40)</f>
        <v>2955460.1089864867</v>
      </c>
      <c r="F47" s="68">
        <f t="shared" si="12"/>
        <v>2960484.3176614866</v>
      </c>
      <c r="G47" s="68">
        <f t="shared" si="12"/>
        <v>2965659.2525967364</v>
      </c>
      <c r="H47" s="68">
        <f t="shared" si="12"/>
        <v>553543.48963409802</v>
      </c>
      <c r="I47" s="51">
        <f>SUM(I45,I40)</f>
        <v>0</v>
      </c>
      <c r="J47" s="68">
        <f t="shared" si="12"/>
        <v>9889242.9188788086</v>
      </c>
      <c r="K47" s="69"/>
    </row>
    <row r="48" spans="1:11" x14ac:dyDescent="0.35">
      <c r="A48" s="51"/>
      <c r="B48" s="70"/>
      <c r="C48" s="51"/>
      <c r="D48" s="70"/>
      <c r="E48" s="71"/>
      <c r="F48" s="51"/>
      <c r="G48" s="51"/>
      <c r="H48" s="71"/>
      <c r="I48" s="51"/>
      <c r="J48" s="51"/>
      <c r="K48" s="51"/>
    </row>
    <row r="49" spans="1:11" x14ac:dyDescent="0.35">
      <c r="A49" s="51"/>
      <c r="B49" s="70"/>
      <c r="C49" s="51"/>
      <c r="D49" s="70"/>
      <c r="E49" s="71"/>
      <c r="F49" s="51"/>
      <c r="G49" s="51"/>
      <c r="H49" s="71"/>
      <c r="I49" s="51"/>
      <c r="J49" s="51"/>
      <c r="K49" s="51"/>
    </row>
    <row r="50" spans="1:11" x14ac:dyDescent="0.35">
      <c r="A50" s="51"/>
      <c r="B50" s="70"/>
      <c r="C50" s="51"/>
      <c r="D50" s="70"/>
      <c r="E50" s="71"/>
      <c r="F50" s="51"/>
      <c r="G50" s="51"/>
      <c r="H50" s="71"/>
      <c r="I50" s="51"/>
      <c r="J50" s="51"/>
      <c r="K50" s="51"/>
    </row>
    <row r="51" spans="1:11" x14ac:dyDescent="0.35">
      <c r="B51" s="4"/>
    </row>
    <row r="52" spans="1:11" x14ac:dyDescent="0.35">
      <c r="B52" s="4"/>
    </row>
    <row r="53" spans="1:11" x14ac:dyDescent="0.35">
      <c r="B53" s="4"/>
    </row>
    <row r="54" spans="1:11" x14ac:dyDescent="0.35">
      <c r="B54" s="4"/>
    </row>
    <row r="55" spans="1:11" x14ac:dyDescent="0.35">
      <c r="B55" s="4"/>
    </row>
    <row r="56" spans="1:11" x14ac:dyDescent="0.35">
      <c r="B56" s="4"/>
    </row>
    <row r="57" spans="1:11" x14ac:dyDescent="0.35">
      <c r="B57" s="4"/>
    </row>
    <row r="58" spans="1:11" x14ac:dyDescent="0.35">
      <c r="B58" s="4"/>
    </row>
    <row r="59" spans="1:11" x14ac:dyDescent="0.35">
      <c r="B59" s="4"/>
    </row>
    <row r="60" spans="1:11" x14ac:dyDescent="0.35">
      <c r="B60" s="4"/>
    </row>
  </sheetData>
  <mergeCells count="1">
    <mergeCell ref="B1:C3"/>
  </mergeCells>
  <pageMargins left="0.7" right="0.7" top="0.75" bottom="0.75" header="0.3" footer="0.3"/>
  <pageSetup scale="5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B8C78FC3AAEC24EA1DDA286E27A2C18" ma:contentTypeVersion="15" ma:contentTypeDescription="Create a new document." ma:contentTypeScope="" ma:versionID="6d82ba5d32b6dfec21bfd22126d08581">
  <xsd:schema xmlns:xsd="http://www.w3.org/2001/XMLSchema" xmlns:xs="http://www.w3.org/2001/XMLSchema" xmlns:p="http://schemas.microsoft.com/office/2006/metadata/properties" xmlns:ns2="d1f42e46-fe38-485b-84ca-15e2e4992553" xmlns:ns3="298d7bf1-b930-4a4c-a63f-5ff795a48fa3" targetNamespace="http://schemas.microsoft.com/office/2006/metadata/properties" ma:root="true" ma:fieldsID="0d2edbb43691e14adb5f4f6f0268583b" ns2:_="" ns3:_="">
    <xsd:import namespace="d1f42e46-fe38-485b-84ca-15e2e4992553"/>
    <xsd:import namespace="298d7bf1-b930-4a4c-a63f-5ff795a48fa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f42e46-fe38-485b-84ca-15e2e4992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35aeea7-e848-442f-a6c3-04e7a31ee3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8d7bf1-b930-4a4c-a63f-5ff795a48fa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76084a4-3931-45d9-9f01-2b4b1fc88215}" ma:internalName="TaxCatchAll" ma:showField="CatchAllData" ma:web="298d7bf1-b930-4a4c-a63f-5ff795a48f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98d7bf1-b930-4a4c-a63f-5ff795a48fa3">
      <UserInfo>
        <DisplayName>Burgio, Katy</DisplayName>
        <AccountId>204</AccountId>
        <AccountType/>
      </UserInfo>
      <UserInfo>
        <DisplayName>SharingLinks.f4ce8aaf-ad7c-4094-ae79-3b7c53b52f11.Flexible.3bf39f7e-9709-45b7-887c-b2869c8877a9</DisplayName>
        <AccountId>313</AccountId>
        <AccountType/>
      </UserInfo>
      <UserInfo>
        <DisplayName>SharingLinks.bfcb8cbd-ee2b-4c09-8ae5-a61d1221e25b.OrganizationEdit.b1e92459-8c7c-42d0-ad4d-bdf1bab92165</DisplayName>
        <AccountId>223</AccountId>
        <AccountType/>
      </UserInfo>
      <UserInfo>
        <DisplayName>SharingLinks.f7e729a2-9a21-47ba-9486-f269db76fdab.Flexible.eb6c1a33-130a-4050-8434-73bf217f34d9</DisplayName>
        <AccountId>314</AccountId>
        <AccountType/>
      </UserInfo>
      <UserInfo>
        <DisplayName>Mitchell, Elizabeth</DisplayName>
        <AccountId>222</AccountId>
        <AccountType/>
      </UserInfo>
      <UserInfo>
        <DisplayName>SharingLinks.2a1511cd-a29f-4139-9858-7047eb5e30c8.Flexible.3f64986c-a867-46df-bb2c-8710735b5239</DisplayName>
        <AccountId>804</AccountId>
        <AccountType/>
      </UserInfo>
      <UserInfo>
        <DisplayName>SharingLinks.3510d548-d34c-461a-bc10-ce3a4dc2b1f1.Flexible.d9355eae-581a-4115-bae9-873c8fd06d8e</DisplayName>
        <AccountId>50</AccountId>
        <AccountType/>
      </UserInfo>
      <UserInfo>
        <DisplayName>amadi.jackman@nycha.nyc.gov</DisplayName>
        <AccountId>248</AccountId>
        <AccountType/>
      </UserInfo>
      <UserInfo>
        <DisplayName>SharingLinks.87fed7d7-e350-47a3-a588-2159f57a86e3.Flexible.b1340aa4-5ac8-42c8-a5c2-107ee51f42d7</DisplayName>
        <AccountId>221</AccountId>
        <AccountType/>
      </UserInfo>
      <UserInfo>
        <DisplayName>Sprague, Heather</DisplayName>
        <AccountId>62</AccountId>
        <AccountType/>
      </UserInfo>
      <UserInfo>
        <DisplayName>SharingLinks.98cd4fa1-e990-4b94-9b76-f760e930136c.Flexible.ad7c70b7-4b9b-4d71-9122-e5e65c61af6d</DisplayName>
        <AccountId>16</AccountId>
        <AccountType/>
      </UserInfo>
      <UserInfo>
        <DisplayName>Limited Access System Group For List 73f4d984-4cc8-4d0d-90be-b80327b6274a</DisplayName>
        <AccountId>17</AccountId>
        <AccountType/>
      </UserInfo>
      <UserInfo>
        <DisplayName>Adams, Danica</DisplayName>
        <AccountId>14</AccountId>
        <AccountType/>
      </UserInfo>
      <UserInfo>
        <DisplayName>SharingLinks.c478cdca-3478-4eac-b42f-8776e6d1a9f0.Flexible.3c60c47e-5f43-403d-88e5-00b1874356d9</DisplayName>
        <AccountId>202</AccountId>
        <AccountType/>
      </UserInfo>
      <UserInfo>
        <DisplayName>Naumick, Meghan</DisplayName>
        <AccountId>531</AccountId>
        <AccountType/>
      </UserInfo>
      <UserInfo>
        <DisplayName>Winer-Chan, Rose</DisplayName>
        <AccountId>430</AccountId>
        <AccountType/>
      </UserInfo>
      <UserInfo>
        <DisplayName>NYCGrants Members</DisplayName>
        <AccountId>19</AccountId>
        <AccountType/>
      </UserInfo>
      <UserInfo>
        <DisplayName>Coleman, Katie</DisplayName>
        <AccountId>9</AccountId>
        <AccountType/>
      </UserInfo>
    </SharedWithUsers>
    <lcf76f155ced4ddcb4097134ff3c332f xmlns="d1f42e46-fe38-485b-84ca-15e2e4992553">
      <Terms xmlns="http://schemas.microsoft.com/office/infopath/2007/PartnerControls"/>
    </lcf76f155ced4ddcb4097134ff3c332f>
    <TaxCatchAll xmlns="298d7bf1-b930-4a4c-a63f-5ff795a48fa3" xsi:nil="true"/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Props1.xml><?xml version="1.0" encoding="utf-8"?>
<ds:datastoreItem xmlns:ds="http://schemas.openxmlformats.org/officeDocument/2006/customXml" ds:itemID="{A0E606E8-5B0E-44B9-99F1-040490787A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f42e46-fe38-485b-84ca-15e2e4992553"/>
    <ds:schemaRef ds:uri="298d7bf1-b930-4a4c-a63f-5ff795a48fa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222176-22B4-47AB-AB9E-BB248AC3A7F3}">
  <ds:schemaRefs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298d7bf1-b930-4a4c-a63f-5ff795a48fa3"/>
    <ds:schemaRef ds:uri="d1f42e46-fe38-485b-84ca-15e2e4992553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Consolidated Budget</vt:lpstr>
      <vt:lpstr>NYPL (Measure 1) Budget</vt:lpstr>
      <vt:lpstr>NYPD (Measure 2) Budget</vt:lpstr>
      <vt:lpstr>Health Bldg (Measure 3) Budget</vt:lpstr>
      <vt:lpstr>NYCPS (Measure 4) Budget</vt:lpstr>
      <vt:lpstr>NYCHA (Measure 5) Budget</vt:lpstr>
      <vt:lpstr>HPD (Measure 6) Budget</vt:lpstr>
      <vt:lpstr>'Consolidated Budget'!Print_Area</vt:lpstr>
      <vt:lpstr>'Health Bldg (Measure 3) Budget'!Print_Area</vt:lpstr>
      <vt:lpstr>'HPD (Measure 6) Budget'!Print_Area</vt:lpstr>
      <vt:lpstr>'NYCHA (Measure 5) Budget'!Print_Area</vt:lpstr>
      <vt:lpstr>'NYCPS (Measure 4) Budget'!Print_Area</vt:lpstr>
      <vt:lpstr>'NYPD (Measure 2) Budget'!Print_Area</vt:lpstr>
      <vt:lpstr>'NYPL (Measure 1) Budget'!Print_Area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2024-04-01T18:13:22Z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0x010100AB8C78FC3AAEC24EA1DDA286E27A2C18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