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2423" documentId="8_{8C794FCC-600B-4574-80D7-A95DE8243E6C}" xr6:coauthVersionLast="47" xr6:coauthVersionMax="47" xr10:uidLastSave="{1F380884-D4C4-4056-B47F-C33FDF3342AE}"/>
  <bookViews>
    <workbookView xWindow="-19310" yWindow="-110" windowWidth="19420" windowHeight="10300" tabRatio="979" firstSheet="1" activeTab="1" xr2:uid="{AAC398A2-E95D-4231-A920-55B8B1C73F3F}"/>
  </bookViews>
  <sheets>
    <sheet name="Overview" sheetId="26" r:id="rId1"/>
    <sheet name="Budget Spreadsheet" sheetId="30" r:id="rId2"/>
    <sheet name="Measure 1 Budget - Cargo Bikes" sheetId="16" r:id="rId3"/>
    <sheet name="Measure 2 Budget - Microhubs" sheetId="28" r:id="rId4"/>
    <sheet name="Measure 3 Budget - Blue Highway" sheetId="27" r:id="rId5"/>
    <sheet name="Measure 4 Budget - Truck Elec" sheetId="29" r:id="rId6"/>
    <sheet name="Measure 5 Budget - Program Mgmt" sheetId="31" r:id="rId7"/>
  </sheets>
  <definedNames>
    <definedName name="_xlnm._FilterDatabase" localSheetId="1" hidden="1">'Budget Spreadsheet'!#REF!</definedName>
    <definedName name="_xlnm._FilterDatabase" localSheetId="2" hidden="1">'Measure 1 Budget - Cargo Bikes'!#REF!</definedName>
    <definedName name="_xlnm._FilterDatabase" localSheetId="3" hidden="1">'Measure 2 Budget - Microhubs'!#REF!</definedName>
    <definedName name="_xlnm._FilterDatabase" localSheetId="4" hidden="1">'Measure 3 Budget - Blue Highway'!#REF!</definedName>
    <definedName name="_xlnm._FilterDatabase" localSheetId="5" hidden="1">'Measure 4 Budget - Truck Elec'!#REF!</definedName>
    <definedName name="_xlnm._FilterDatabase" localSheetId="6" hidden="1">'Measure 5 Budget - Program Mgmt'!#REF!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27" l="1"/>
  <c r="J13" i="30"/>
  <c r="D44" i="27"/>
  <c r="H44" i="27"/>
  <c r="G44" i="27"/>
  <c r="F44" i="27"/>
  <c r="E44" i="27"/>
  <c r="J39" i="27"/>
  <c r="D45" i="27"/>
  <c r="J18" i="31" l="1"/>
  <c r="J20" i="27" l="1"/>
  <c r="J21" i="27"/>
  <c r="J12" i="27"/>
  <c r="J37" i="27"/>
  <c r="J35" i="27"/>
  <c r="J36" i="27"/>
  <c r="J30" i="28"/>
  <c r="J29" i="28"/>
  <c r="J28" i="28"/>
  <c r="J33" i="28"/>
  <c r="J26" i="28"/>
  <c r="J15" i="28"/>
  <c r="J13" i="28"/>
  <c r="J8" i="28"/>
  <c r="J9" i="28"/>
  <c r="J11" i="28"/>
  <c r="E13" i="29"/>
  <c r="F13" i="29"/>
  <c r="G13" i="29"/>
  <c r="H13" i="29"/>
  <c r="D13" i="29"/>
  <c r="E13" i="28"/>
  <c r="F13" i="28"/>
  <c r="G13" i="28"/>
  <c r="H13" i="28"/>
  <c r="D13" i="28"/>
  <c r="E13" i="16"/>
  <c r="F13" i="16"/>
  <c r="G13" i="16"/>
  <c r="H13" i="16"/>
  <c r="D13" i="16"/>
  <c r="J36" i="16"/>
  <c r="J41" i="27" l="1"/>
  <c r="J40" i="27"/>
  <c r="J38" i="27"/>
  <c r="F8" i="29"/>
  <c r="G8" i="29" s="1"/>
  <c r="H8" i="29" s="1"/>
  <c r="F9" i="29"/>
  <c r="G9" i="29" s="1"/>
  <c r="H9" i="29" s="1"/>
  <c r="F10" i="29"/>
  <c r="G10" i="29" s="1"/>
  <c r="H10" i="29" s="1"/>
  <c r="E9" i="29"/>
  <c r="E10" i="29"/>
  <c r="E8" i="29"/>
  <c r="F8" i="28"/>
  <c r="G8" i="28" s="1"/>
  <c r="H8" i="28" s="1"/>
  <c r="F9" i="28"/>
  <c r="G9" i="28" s="1"/>
  <c r="H9" i="28" s="1"/>
  <c r="E8" i="28"/>
  <c r="F8" i="16"/>
  <c r="G8" i="16" s="1"/>
  <c r="H8" i="16" s="1"/>
  <c r="F9" i="16"/>
  <c r="G9" i="16" s="1"/>
  <c r="H9" i="16" s="1"/>
  <c r="F10" i="16"/>
  <c r="G10" i="16"/>
  <c r="H10" i="16" s="1"/>
  <c r="E9" i="16"/>
  <c r="E10" i="16"/>
  <c r="E44" i="29"/>
  <c r="F44" i="29"/>
  <c r="G44" i="29"/>
  <c r="H44" i="29"/>
  <c r="D44" i="29"/>
  <c r="J43" i="29"/>
  <c r="J31" i="28"/>
  <c r="J32" i="28"/>
  <c r="D41" i="31"/>
  <c r="H26" i="16"/>
  <c r="G26" i="16"/>
  <c r="F26" i="16"/>
  <c r="E26" i="16"/>
  <c r="D26" i="16"/>
  <c r="D25" i="16"/>
  <c r="J25" i="16" s="1"/>
  <c r="H24" i="16"/>
  <c r="G24" i="16"/>
  <c r="F24" i="16"/>
  <c r="E24" i="16"/>
  <c r="D24" i="16"/>
  <c r="H25" i="28"/>
  <c r="G25" i="28"/>
  <c r="F25" i="28"/>
  <c r="E25" i="28"/>
  <c r="D25" i="28"/>
  <c r="D24" i="28"/>
  <c r="J24" i="28" s="1"/>
  <c r="H23" i="28"/>
  <c r="G23" i="28"/>
  <c r="F23" i="28"/>
  <c r="E23" i="28"/>
  <c r="D23" i="28"/>
  <c r="D26" i="28" s="1"/>
  <c r="H29" i="29"/>
  <c r="G29" i="29"/>
  <c r="F29" i="29"/>
  <c r="E29" i="29"/>
  <c r="D29" i="29"/>
  <c r="D28" i="29"/>
  <c r="J28" i="29" s="1"/>
  <c r="H27" i="29"/>
  <c r="G27" i="29"/>
  <c r="F27" i="29"/>
  <c r="E27" i="29"/>
  <c r="D27" i="29"/>
  <c r="H28" i="31"/>
  <c r="G28" i="31"/>
  <c r="F28" i="31"/>
  <c r="E28" i="31"/>
  <c r="D28" i="31"/>
  <c r="D27" i="31"/>
  <c r="J27" i="31" s="1"/>
  <c r="H26" i="31"/>
  <c r="G26" i="31"/>
  <c r="F26" i="31"/>
  <c r="E26" i="31"/>
  <c r="D26" i="31"/>
  <c r="C13" i="31"/>
  <c r="E10" i="31"/>
  <c r="E9" i="31"/>
  <c r="E8" i="31"/>
  <c r="E9" i="28"/>
  <c r="D10" i="16"/>
  <c r="F8" i="31" l="1"/>
  <c r="G8" i="31" s="1"/>
  <c r="H8" i="31" s="1"/>
  <c r="J8" i="31"/>
  <c r="F9" i="31"/>
  <c r="G9" i="31" s="1"/>
  <c r="H9" i="31" s="1"/>
  <c r="J9" i="31"/>
  <c r="F10" i="31"/>
  <c r="G10" i="31" s="1"/>
  <c r="H10" i="31" s="1"/>
  <c r="J10" i="31"/>
  <c r="F27" i="16"/>
  <c r="G27" i="16"/>
  <c r="D26" i="27"/>
  <c r="H27" i="16"/>
  <c r="E27" i="16"/>
  <c r="E31" i="31"/>
  <c r="F31" i="31"/>
  <c r="G31" i="31"/>
  <c r="H31" i="31"/>
  <c r="D31" i="31"/>
  <c r="J26" i="31"/>
  <c r="J28" i="31"/>
  <c r="J24" i="16"/>
  <c r="D27" i="16"/>
  <c r="J8" i="27"/>
  <c r="F33" i="16"/>
  <c r="E33" i="16"/>
  <c r="D33" i="16"/>
  <c r="H30" i="27"/>
  <c r="J27" i="16" l="1"/>
  <c r="D41" i="29"/>
  <c r="F41" i="29" l="1"/>
  <c r="G41" i="29"/>
  <c r="E41" i="29"/>
  <c r="E30" i="27"/>
  <c r="D30" i="27" l="1"/>
  <c r="F30" i="27"/>
  <c r="G30" i="27" l="1"/>
  <c r="J30" i="27" s="1"/>
  <c r="J24" i="29" l="1"/>
  <c r="J30" i="16"/>
  <c r="E25" i="29"/>
  <c r="F25" i="29"/>
  <c r="G25" i="29"/>
  <c r="J21" i="16"/>
  <c r="C13" i="29"/>
  <c r="C13" i="28"/>
  <c r="D11" i="28"/>
  <c r="E8" i="16"/>
  <c r="G21" i="28" l="1"/>
  <c r="F21" i="28"/>
  <c r="E23" i="27"/>
  <c r="H25" i="29"/>
  <c r="H21" i="28"/>
  <c r="E21" i="28"/>
  <c r="D21" i="28"/>
  <c r="J20" i="28"/>
  <c r="J22" i="27"/>
  <c r="H23" i="27"/>
  <c r="F23" i="27"/>
  <c r="G23" i="27"/>
  <c r="D23" i="27"/>
  <c r="D25" i="29"/>
  <c r="D22" i="16"/>
  <c r="J21" i="28" l="1"/>
  <c r="G37" i="28" l="1"/>
  <c r="J33" i="29" l="1"/>
  <c r="E20" i="29"/>
  <c r="F20" i="29"/>
  <c r="G20" i="29"/>
  <c r="H20" i="29"/>
  <c r="D20" i="29"/>
  <c r="J35" i="29"/>
  <c r="J34" i="29"/>
  <c r="J10" i="16"/>
  <c r="J8" i="16"/>
  <c r="J18" i="29"/>
  <c r="J19" i="29"/>
  <c r="E43" i="28"/>
  <c r="F43" i="28"/>
  <c r="J8" i="29"/>
  <c r="I49" i="31"/>
  <c r="H47" i="31"/>
  <c r="G47" i="31"/>
  <c r="F47" i="31"/>
  <c r="E47" i="31"/>
  <c r="D47" i="31"/>
  <c r="J46" i="31"/>
  <c r="H41" i="31"/>
  <c r="G41" i="31"/>
  <c r="F41" i="31"/>
  <c r="E41" i="31"/>
  <c r="J40" i="31"/>
  <c r="J39" i="31"/>
  <c r="J38" i="31"/>
  <c r="J37" i="31"/>
  <c r="H35" i="31"/>
  <c r="G35" i="31"/>
  <c r="F35" i="31"/>
  <c r="E35" i="31"/>
  <c r="D35" i="31"/>
  <c r="J34" i="31"/>
  <c r="J33" i="31"/>
  <c r="J30" i="31"/>
  <c r="J29" i="31"/>
  <c r="H24" i="31"/>
  <c r="H10" i="30" s="1"/>
  <c r="G24" i="31"/>
  <c r="G10" i="30" s="1"/>
  <c r="F24" i="31"/>
  <c r="F10" i="30" s="1"/>
  <c r="E24" i="31"/>
  <c r="E10" i="30" s="1"/>
  <c r="D24" i="31"/>
  <c r="J23" i="31"/>
  <c r="J22" i="31"/>
  <c r="H20" i="31"/>
  <c r="G20" i="31"/>
  <c r="F20" i="31"/>
  <c r="E20" i="31"/>
  <c r="D20" i="31"/>
  <c r="J19" i="31"/>
  <c r="I16" i="31"/>
  <c r="J15" i="31"/>
  <c r="J14" i="31"/>
  <c r="I11" i="31"/>
  <c r="H11" i="31"/>
  <c r="G11" i="31"/>
  <c r="F11" i="31"/>
  <c r="E11" i="31"/>
  <c r="D11" i="31"/>
  <c r="D13" i="31" s="1"/>
  <c r="I52" i="29"/>
  <c r="H50" i="29"/>
  <c r="G50" i="29"/>
  <c r="F50" i="29"/>
  <c r="E50" i="29"/>
  <c r="D50" i="29"/>
  <c r="J49" i="29"/>
  <c r="J48" i="29"/>
  <c r="J40" i="29"/>
  <c r="J39" i="29"/>
  <c r="J38" i="29"/>
  <c r="J32" i="29"/>
  <c r="H30" i="29"/>
  <c r="G30" i="29"/>
  <c r="F30" i="29"/>
  <c r="E30" i="29"/>
  <c r="D30" i="29"/>
  <c r="J29" i="29"/>
  <c r="J27" i="29"/>
  <c r="J23" i="29"/>
  <c r="J22" i="29"/>
  <c r="I16" i="29"/>
  <c r="J15" i="29"/>
  <c r="J14" i="29"/>
  <c r="I11" i="29"/>
  <c r="H11" i="29"/>
  <c r="G11" i="29"/>
  <c r="F11" i="29"/>
  <c r="E11" i="29"/>
  <c r="D11" i="29"/>
  <c r="J10" i="29"/>
  <c r="J9" i="29"/>
  <c r="I45" i="28"/>
  <c r="H43" i="28"/>
  <c r="G43" i="28"/>
  <c r="D43" i="28"/>
  <c r="J42" i="28"/>
  <c r="H37" i="28"/>
  <c r="F37" i="28"/>
  <c r="E37" i="28"/>
  <c r="D37" i="28"/>
  <c r="J36" i="28"/>
  <c r="J35" i="28"/>
  <c r="H26" i="28"/>
  <c r="G26" i="28"/>
  <c r="F26" i="28"/>
  <c r="E26" i="28"/>
  <c r="J25" i="28"/>
  <c r="J23" i="28"/>
  <c r="H18" i="28"/>
  <c r="G18" i="28"/>
  <c r="F18" i="28"/>
  <c r="E18" i="28"/>
  <c r="D18" i="28"/>
  <c r="J17" i="28"/>
  <c r="I15" i="28"/>
  <c r="J14" i="28"/>
  <c r="I11" i="28"/>
  <c r="H11" i="28"/>
  <c r="G11" i="28"/>
  <c r="F11" i="28"/>
  <c r="E11" i="28"/>
  <c r="E15" i="28" s="1"/>
  <c r="J10" i="28"/>
  <c r="I52" i="27"/>
  <c r="H50" i="27"/>
  <c r="G50" i="27"/>
  <c r="F50" i="27"/>
  <c r="E50" i="27"/>
  <c r="D50" i="27"/>
  <c r="J49" i="27"/>
  <c r="J48" i="27"/>
  <c r="J43" i="27"/>
  <c r="J42" i="27"/>
  <c r="H26" i="27"/>
  <c r="G26" i="27"/>
  <c r="F26" i="27"/>
  <c r="E26" i="27"/>
  <c r="H18" i="27"/>
  <c r="H9" i="30" s="1"/>
  <c r="G18" i="27"/>
  <c r="G9" i="30" s="1"/>
  <c r="F18" i="27"/>
  <c r="F9" i="30" s="1"/>
  <c r="E18" i="27"/>
  <c r="E9" i="30" s="1"/>
  <c r="D18" i="27"/>
  <c r="J17" i="27"/>
  <c r="J16" i="27"/>
  <c r="I14" i="27"/>
  <c r="J13" i="27"/>
  <c r="I10" i="27"/>
  <c r="H10" i="27"/>
  <c r="G10" i="27"/>
  <c r="F10" i="27"/>
  <c r="E10" i="27"/>
  <c r="D10" i="27"/>
  <c r="D7" i="30" s="1"/>
  <c r="J9" i="27"/>
  <c r="E44" i="16"/>
  <c r="F44" i="16"/>
  <c r="G44" i="16"/>
  <c r="H44" i="16"/>
  <c r="D44" i="16"/>
  <c r="J43" i="16"/>
  <c r="J42" i="16"/>
  <c r="E38" i="16"/>
  <c r="F38" i="16"/>
  <c r="G38" i="16"/>
  <c r="H38" i="16"/>
  <c r="D38" i="16"/>
  <c r="G33" i="16"/>
  <c r="H33" i="16"/>
  <c r="J32" i="16"/>
  <c r="J26" i="16"/>
  <c r="J31" i="16"/>
  <c r="J35" i="16"/>
  <c r="J37" i="16"/>
  <c r="E22" i="16"/>
  <c r="F22" i="16"/>
  <c r="G22" i="16"/>
  <c r="H22" i="16"/>
  <c r="E19" i="16"/>
  <c r="F19" i="16"/>
  <c r="G19" i="16"/>
  <c r="H19" i="16"/>
  <c r="D19" i="16"/>
  <c r="J18" i="16"/>
  <c r="J14" i="16"/>
  <c r="J15" i="16"/>
  <c r="E13" i="31" l="1"/>
  <c r="E16" i="31" s="1"/>
  <c r="E42" i="31" s="1"/>
  <c r="E49" i="31" s="1"/>
  <c r="F13" i="31"/>
  <c r="F16" i="31" s="1"/>
  <c r="F42" i="31" s="1"/>
  <c r="F49" i="31" s="1"/>
  <c r="G13" i="31"/>
  <c r="G16" i="31" s="1"/>
  <c r="G42" i="31" s="1"/>
  <c r="G49" i="31" s="1"/>
  <c r="H13" i="31"/>
  <c r="H16" i="31" s="1"/>
  <c r="H42" i="31" s="1"/>
  <c r="H49" i="31" s="1"/>
  <c r="H11" i="30"/>
  <c r="J34" i="27"/>
  <c r="D9" i="30"/>
  <c r="G7" i="30"/>
  <c r="H7" i="30"/>
  <c r="J26" i="27"/>
  <c r="J18" i="27"/>
  <c r="J33" i="16"/>
  <c r="E11" i="30"/>
  <c r="F11" i="30"/>
  <c r="G11" i="30"/>
  <c r="J10" i="27"/>
  <c r="J38" i="16"/>
  <c r="J22" i="16"/>
  <c r="J13" i="31"/>
  <c r="J16" i="31" s="1"/>
  <c r="J47" i="31"/>
  <c r="D16" i="31"/>
  <c r="D42" i="31" s="1"/>
  <c r="J31" i="31"/>
  <c r="J20" i="31"/>
  <c r="J24" i="31"/>
  <c r="J11" i="31"/>
  <c r="J11" i="29"/>
  <c r="J23" i="27"/>
  <c r="J44" i="16"/>
  <c r="J19" i="16"/>
  <c r="J36" i="29"/>
  <c r="J37" i="29"/>
  <c r="H41" i="29"/>
  <c r="J41" i="29" s="1"/>
  <c r="J30" i="29"/>
  <c r="D16" i="30"/>
  <c r="J25" i="29"/>
  <c r="J29" i="16"/>
  <c r="G11" i="16"/>
  <c r="H11" i="16"/>
  <c r="F11" i="16"/>
  <c r="E11" i="16"/>
  <c r="J9" i="16"/>
  <c r="D11" i="16"/>
  <c r="F16" i="30"/>
  <c r="G16" i="30"/>
  <c r="E16" i="30"/>
  <c r="H16" i="30"/>
  <c r="D10" i="30"/>
  <c r="J43" i="28"/>
  <c r="J41" i="28"/>
  <c r="J18" i="28"/>
  <c r="J35" i="31"/>
  <c r="D11" i="30"/>
  <c r="J20" i="29"/>
  <c r="J41" i="31"/>
  <c r="J50" i="29"/>
  <c r="J44" i="29"/>
  <c r="J37" i="28"/>
  <c r="J50" i="27"/>
  <c r="J32" i="27" l="1"/>
  <c r="J11" i="30"/>
  <c r="J11" i="16"/>
  <c r="D49" i="31"/>
  <c r="J45" i="31"/>
  <c r="F7" i="30"/>
  <c r="G16" i="16"/>
  <c r="G16" i="29"/>
  <c r="G14" i="27"/>
  <c r="G15" i="28"/>
  <c r="E7" i="30"/>
  <c r="J16" i="30"/>
  <c r="J10" i="30"/>
  <c r="J9" i="30"/>
  <c r="J42" i="31"/>
  <c r="G13" i="30" l="1"/>
  <c r="J49" i="31"/>
  <c r="D27" i="30" s="1"/>
  <c r="G8" i="30"/>
  <c r="F16" i="16"/>
  <c r="F16" i="29"/>
  <c r="F45" i="29" s="1"/>
  <c r="F52" i="29" s="1"/>
  <c r="F14" i="27"/>
  <c r="F15" i="28"/>
  <c r="E16" i="16"/>
  <c r="E14" i="27"/>
  <c r="E16" i="29"/>
  <c r="E45" i="29" s="1"/>
  <c r="E52" i="29" s="1"/>
  <c r="H16" i="16"/>
  <c r="H14" i="27"/>
  <c r="H16" i="29"/>
  <c r="H45" i="29" s="1"/>
  <c r="H52" i="29" s="1"/>
  <c r="H15" i="28"/>
  <c r="G39" i="16"/>
  <c r="G46" i="16" s="1"/>
  <c r="G45" i="29"/>
  <c r="G52" i="29" s="1"/>
  <c r="J7" i="30"/>
  <c r="D16" i="16"/>
  <c r="J13" i="16"/>
  <c r="H33" i="28"/>
  <c r="F13" i="30" l="1"/>
  <c r="H13" i="30"/>
  <c r="G45" i="27"/>
  <c r="G52" i="27" s="1"/>
  <c r="E8" i="30"/>
  <c r="F39" i="16"/>
  <c r="F46" i="16" s="1"/>
  <c r="F8" i="30"/>
  <c r="H39" i="16"/>
  <c r="H46" i="16" s="1"/>
  <c r="H8" i="30"/>
  <c r="J16" i="16"/>
  <c r="D15" i="28"/>
  <c r="J13" i="29"/>
  <c r="D16" i="29"/>
  <c r="D14" i="27"/>
  <c r="E39" i="16"/>
  <c r="E46" i="16" s="1"/>
  <c r="D39" i="16"/>
  <c r="H38" i="28"/>
  <c r="H12" i="30"/>
  <c r="E13" i="30" l="1"/>
  <c r="J44" i="27"/>
  <c r="J14" i="27"/>
  <c r="F45" i="27"/>
  <c r="F52" i="27" s="1"/>
  <c r="H45" i="27"/>
  <c r="H52" i="27" s="1"/>
  <c r="E45" i="27"/>
  <c r="E52" i="27" s="1"/>
  <c r="H14" i="30"/>
  <c r="H18" i="30" s="1"/>
  <c r="D45" i="29"/>
  <c r="J45" i="29" s="1"/>
  <c r="J52" i="29" s="1"/>
  <c r="D26" i="30" s="1"/>
  <c r="J16" i="29"/>
  <c r="D8" i="30"/>
  <c r="J8" i="30" s="1"/>
  <c r="D46" i="16"/>
  <c r="J39" i="16"/>
  <c r="J46" i="16" s="1"/>
  <c r="D23" i="30" s="1"/>
  <c r="H45" i="28"/>
  <c r="J33" i="27" l="1"/>
  <c r="D52" i="29"/>
  <c r="D13" i="30" l="1"/>
  <c r="E33" i="28"/>
  <c r="G33" i="28"/>
  <c r="F33" i="28"/>
  <c r="D52" i="27" l="1"/>
  <c r="J45" i="27"/>
  <c r="F12" i="30"/>
  <c r="F14" i="30" s="1"/>
  <c r="F18" i="30" s="1"/>
  <c r="F38" i="28"/>
  <c r="F45" i="28" s="1"/>
  <c r="D33" i="28"/>
  <c r="D12" i="30" s="1"/>
  <c r="D14" i="30" s="1"/>
  <c r="G38" i="28"/>
  <c r="G45" i="28" s="1"/>
  <c r="G12" i="30"/>
  <c r="G14" i="30" s="1"/>
  <c r="G18" i="30" s="1"/>
  <c r="E12" i="30"/>
  <c r="E14" i="30" s="1"/>
  <c r="E18" i="30" s="1"/>
  <c r="E38" i="28"/>
  <c r="E45" i="28" s="1"/>
  <c r="D25" i="30" l="1"/>
  <c r="D29" i="30" s="1"/>
  <c r="D18" i="30"/>
  <c r="J14" i="30"/>
  <c r="D38" i="28"/>
  <c r="D45" i="28" l="1"/>
  <c r="J38" i="28"/>
  <c r="J45" i="28" s="1"/>
  <c r="D24" i="30" s="1"/>
  <c r="J12" i="30"/>
  <c r="E24" i="30" l="1"/>
  <c r="J18" i="30"/>
  <c r="E23" i="30" l="1"/>
  <c r="E27" i="30"/>
  <c r="E26" i="30"/>
  <c r="E25" i="30"/>
  <c r="E29" i="30" l="1"/>
</calcChain>
</file>

<file path=xl/sharedStrings.xml><?xml version="1.0" encoding="utf-8"?>
<sst xmlns="http://schemas.openxmlformats.org/spreadsheetml/2006/main" count="331" uniqueCount="90">
  <si>
    <t>Budget Spreadsheet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</si>
  <si>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</si>
  <si>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</si>
  <si>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</si>
  <si>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</si>
  <si>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</si>
  <si>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</si>
  <si>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</si>
  <si>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</si>
  <si>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</si>
  <si>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</si>
  <si>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</si>
  <si>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</si>
  <si>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</si>
  <si>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</si>
  <si>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</si>
  <si>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</si>
  <si>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</si>
  <si>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</si>
  <si>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</si>
  <si>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</si>
  <si>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</si>
  <si>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</si>
  <si>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</si>
  <si>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</si>
  <si>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</si>
  <si>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</si>
  <si>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</si>
  <si>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Cargo Bike Incentive Program</t>
  </si>
  <si>
    <t>Microhubs</t>
  </si>
  <si>
    <t>Blue Highways</t>
  </si>
  <si>
    <t>Truck Electrification and Parking</t>
  </si>
  <si>
    <t>Overall Program Management</t>
  </si>
  <si>
    <t>Total</t>
  </si>
  <si>
    <t xml:space="preserve">This Excel Workbook is provided to aid applicants in developing the required budget table(s) within the budget narrative.  </t>
  </si>
  <si>
    <t>Personnel</t>
  </si>
  <si>
    <t> </t>
  </si>
  <si>
    <t>Cargo Bikes: Project Manager (NYC DOT)</t>
  </si>
  <si>
    <t>Cargo Bikes: Project Coordinator (NYC DOT)</t>
  </si>
  <si>
    <t xml:space="preserve"> Fringe Benefits </t>
  </si>
  <si>
    <t>NYC 58.63% Fringe Benefits</t>
  </si>
  <si>
    <t xml:space="preserve"> Travel </t>
  </si>
  <si>
    <t xml:space="preserve"> Equipment </t>
  </si>
  <si>
    <t xml:space="preserve"> </t>
  </si>
  <si>
    <t xml:space="preserve"> Supplies </t>
  </si>
  <si>
    <t>Computer/Laptop/Printer Maintenance</t>
  </si>
  <si>
    <t>Cellular Phone</t>
  </si>
  <si>
    <t>General Supplies/Equipment</t>
  </si>
  <si>
    <t xml:space="preserve"> Contractual </t>
  </si>
  <si>
    <t>Subsidy for 2000 bikes total, disbursed over the first three years</t>
  </si>
  <si>
    <t>Consultant administration of grant funds and program management (10%)</t>
  </si>
  <si>
    <t>OTHER</t>
  </si>
  <si>
    <t>Marketing and Collateral</t>
  </si>
  <si>
    <t>Community Engagement</t>
  </si>
  <si>
    <t>Indirect Costs</t>
  </si>
  <si>
    <t>Microhubs: Project Manager (NYC DOT)</t>
  </si>
  <si>
    <t>Microhubs: Project Coordinator (NYC DOT)</t>
  </si>
  <si>
    <t xml:space="preserve">Total Construction Costs for Microhub Installation (5 locations, labor, equip, material, markups)  </t>
  </si>
  <si>
    <t>Design Costs (8% of Construction)</t>
  </si>
  <si>
    <t>Truck Electrification: Project Manager (NYC DOT)</t>
  </si>
  <si>
    <t>Truck Electrification: Project Coordinator (NYC DOT)</t>
  </si>
  <si>
    <t>General Supplies/Maintenance</t>
  </si>
  <si>
    <t>Parametric Design Cost</t>
  </si>
  <si>
    <t>Concept 1 Charger Installations (Includes Construction Markups)</t>
  </si>
  <si>
    <t>Concept 2 Charger Installations (Includes Construction Markups)</t>
  </si>
  <si>
    <t>Concept 3 Charger Installations (Includes Construction Markups)</t>
  </si>
  <si>
    <t>Design Costs (8% Construction)</t>
  </si>
  <si>
    <t>Regional Fleet Advisory Services</t>
  </si>
  <si>
    <t>TOTAL CONTRACTUAL</t>
  </si>
  <si>
    <t>Other</t>
  </si>
  <si>
    <t>FREIGHT 2030 Program Lead</t>
  </si>
  <si>
    <t>FREIGHT 2030 Project Manager</t>
  </si>
  <si>
    <t>FREIGHT 2030 Project Coorinator</t>
  </si>
  <si>
    <t>Conference Attendance</t>
  </si>
  <si>
    <t>Community Partners Funding (10 partners, 5k/year)</t>
  </si>
  <si>
    <t>NYCEDC Subaward: Pier 92 Site Upgrades</t>
  </si>
  <si>
    <t>NYCEDC Subaward: South Brooklyn Site Upgrades</t>
  </si>
  <si>
    <t>NYCEDC Subaward: Lower Manhattan Site Upgrades</t>
  </si>
  <si>
    <t>PANYNJ Subaward: Cargo Handling Equipment and Infrastructure</t>
  </si>
  <si>
    <t>PANYNJ Subaward: Electrification Initiatives at NYNJR</t>
  </si>
  <si>
    <t>NYCEDC Subaward: Personnel funding</t>
  </si>
  <si>
    <t>NYCEDC Subaward: Fringe benefits for personnel at 58.63% NYC rate</t>
  </si>
  <si>
    <t>NYCEDC Subaward: Personnel supplies</t>
  </si>
  <si>
    <t>NYCEDC Subaward: Midtown Manhattan Site Upgrades</t>
  </si>
  <si>
    <t>NYCEDC Subaward: Environmental Reviews and Approvals</t>
  </si>
  <si>
    <t>Commercial Cargo Bike Incentive Program - Detailed Budget Table</t>
  </si>
  <si>
    <t>Microhubs Expansion - Detailed Budget Table</t>
  </si>
  <si>
    <t>Blue Highways - Detailed Budget Table</t>
  </si>
  <si>
    <t>Truck Electrification and Parking - Detailed Budget Table</t>
  </si>
  <si>
    <t>Program Management - Detailed Budget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</si>
</sst>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165" fontId="9" fillId="0" borderId="1" xfId="0" applyNumberFormat="1" applyFont="1" applyBorder="1" applyAlignment="1">
      <alignment wrapText="1"/>
    </xf>
    <xf numFmtId="165" fontId="9" fillId="0" borderId="1" xfId="0" applyNumberFormat="1" applyFont="1" applyBorder="1" applyAlignment="1">
      <alignment horizontal="left" wrapText="1" indent="2"/>
    </xf>
    <xf numFmtId="165" fontId="9" fillId="0" borderId="1" xfId="1" applyNumberFormat="1" applyFont="1" applyBorder="1" applyAlignment="1">
      <alignment wrapText="1"/>
    </xf>
    <xf numFmtId="8" fontId="0" fillId="0" borderId="0" xfId="0" applyNumberFormat="1"/>
    <xf numFmtId="0" fontId="0" fillId="0" borderId="0" xfId="1" applyNumberFormat="1" applyFont="1" applyBorder="1"/>
    <xf numFmtId="0" fontId="0" fillId="0" borderId="0" xfId="0" applyAlignment="1">
      <alignment vertical="top" wrapText="1"/>
    </xf>
    <xf numFmtId="164" fontId="0" fillId="0" borderId="0" xfId="1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1" xfId="0" applyFont="1" applyBorder="1" applyAlignment="1">
      <alignment wrapText="1"/>
    </xf>
    <xf numFmtId="0" fontId="17" fillId="0" borderId="2" xfId="0" applyFont="1" applyBorder="1" applyAlignment="1">
      <alignment vertical="top"/>
    </xf>
    <xf numFmtId="0" fontId="17" fillId="0" borderId="1" xfId="0" applyFont="1" applyBorder="1" applyAlignment="1">
      <alignment vertical="top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18" fillId="0" borderId="1" xfId="0" applyFont="1" applyBorder="1"/>
    <xf numFmtId="0" fontId="19" fillId="0" borderId="5" xfId="0" applyFont="1" applyBorder="1" applyAlignment="1">
      <alignment vertical="top"/>
    </xf>
    <xf numFmtId="0" fontId="20" fillId="0" borderId="1" xfId="0" applyFont="1" applyBorder="1" applyAlignment="1">
      <alignment horizontal="left" wrapText="1" indent="2"/>
    </xf>
    <xf numFmtId="6" fontId="20" fillId="0" borderId="1" xfId="0" applyNumberFormat="1" applyFont="1" applyBorder="1" applyAlignment="1">
      <alignment wrapText="1"/>
    </xf>
    <xf numFmtId="6" fontId="18" fillId="0" borderId="0" xfId="0" applyNumberFormat="1" applyFont="1"/>
    <xf numFmtId="0" fontId="18" fillId="4" borderId="1" xfId="0" applyFont="1" applyFill="1" applyBorder="1" applyAlignment="1">
      <alignment wrapText="1"/>
    </xf>
    <xf numFmtId="6" fontId="20" fillId="4" borderId="1" xfId="0" applyNumberFormat="1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165" fontId="20" fillId="0" borderId="1" xfId="0" applyNumberFormat="1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left" wrapText="1" indent="4"/>
    </xf>
    <xf numFmtId="165" fontId="20" fillId="0" borderId="1" xfId="0" applyNumberFormat="1" applyFont="1" applyBorder="1" applyAlignment="1">
      <alignment wrapText="1"/>
    </xf>
    <xf numFmtId="6" fontId="20" fillId="4" borderId="4" xfId="0" applyNumberFormat="1" applyFont="1" applyFill="1" applyBorder="1" applyAlignment="1">
      <alignment wrapText="1"/>
    </xf>
    <xf numFmtId="165" fontId="20" fillId="0" borderId="1" xfId="1" applyNumberFormat="1" applyFont="1" applyBorder="1" applyAlignment="1">
      <alignment wrapText="1"/>
    </xf>
    <xf numFmtId="0" fontId="19" fillId="0" borderId="3" xfId="0" applyFont="1" applyBorder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/>
    <xf numFmtId="0" fontId="17" fillId="0" borderId="2" xfId="0" applyFont="1" applyBorder="1" applyAlignment="1">
      <alignment vertical="top" wrapText="1"/>
    </xf>
    <xf numFmtId="0" fontId="17" fillId="0" borderId="1" xfId="0" applyFont="1" applyBorder="1"/>
    <xf numFmtId="0" fontId="19" fillId="0" borderId="1" xfId="0" applyFont="1" applyBorder="1"/>
    <xf numFmtId="0" fontId="21" fillId="0" borderId="11" xfId="0" applyFont="1" applyBorder="1" applyAlignment="1">
      <alignment wrapText="1"/>
    </xf>
    <xf numFmtId="6" fontId="22" fillId="0" borderId="12" xfId="0" applyNumberFormat="1" applyFont="1" applyBorder="1" applyAlignment="1">
      <alignment wrapText="1"/>
    </xf>
    <xf numFmtId="0" fontId="23" fillId="7" borderId="1" xfId="0" applyFont="1" applyFill="1" applyBorder="1" applyAlignment="1">
      <alignment wrapText="1"/>
    </xf>
    <xf numFmtId="6" fontId="16" fillId="7" borderId="1" xfId="0" applyNumberFormat="1" applyFont="1" applyFill="1" applyBorder="1" applyAlignment="1">
      <alignment wrapText="1"/>
    </xf>
    <xf numFmtId="0" fontId="23" fillId="8" borderId="0" xfId="0" applyFont="1" applyFill="1"/>
    <xf numFmtId="0" fontId="23" fillId="4" borderId="1" xfId="0" applyFont="1" applyFill="1" applyBorder="1" applyAlignment="1">
      <alignment wrapText="1"/>
    </xf>
    <xf numFmtId="6" fontId="16" fillId="4" borderId="1" xfId="0" applyNumberFormat="1" applyFont="1" applyFill="1" applyBorder="1" applyAlignment="1">
      <alignment wrapText="1"/>
    </xf>
    <xf numFmtId="0" fontId="23" fillId="0" borderId="0" xfId="0" applyFont="1"/>
    <xf numFmtId="6" fontId="0" fillId="0" borderId="0" xfId="0" applyNumberFormat="1" applyAlignment="1">
      <alignment vertical="top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6" zoomScale="90" zoomScaleNormal="90" workbookViewId="0">
      <selection activeCell="E43" sqref="E43"/>
    </sheetView>
  </sheetViews>
  <sheetFormatPr defaultRowHeight="14.5" x14ac:dyDescent="0.35"/>
  <cols>
    <col min="1" max="1" width="1.6328125" customWidth="1"/>
    <col min="5" max="5" width="13.453125" bestFit="1" customWidth="1"/>
    <col min="6" max="6" width="14.453125" bestFit="1" customWidth="1"/>
    <col min="7" max="9" width="14.453125" customWidth="1"/>
    <col min="10" max="10" width="10.63281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58"/>
      <c r="R28" s="5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2"/>
  <sheetViews>
    <sheetView showGridLines="0" tabSelected="1" topLeftCell="A10" zoomScale="83" zoomScaleNormal="85" workbookViewId="0">
      <selection activeCell="H24" sqref="H24"/>
    </sheetView>
  </sheetViews>
  <sheetFormatPr defaultColWidth="9.36328125" defaultRowHeight="15" customHeight="1" x14ac:dyDescent="0.35"/>
  <cols>
    <col min="1" max="1" width="3.36328125" customWidth="1"/>
    <col min="2" max="2" width="12.36328125" customWidth="1"/>
    <col min="3" max="3" width="29.36328125" customWidth="1"/>
    <col min="4" max="4" width="13.90625" style="6" customWidth="1"/>
    <col min="5" max="5" width="14.90625" style="2" customWidth="1"/>
    <col min="6" max="6" width="16.453125" customWidth="1"/>
    <col min="7" max="7" width="13.453125" customWidth="1"/>
    <col min="8" max="8" width="14.54296875" style="2" customWidth="1"/>
    <col min="9" max="9" width="3.54296875" style="7" customWidth="1"/>
    <col min="10" max="10" width="14.54296875" customWidth="1"/>
    <col min="11" max="11" width="11.6328125" customWidth="1"/>
  </cols>
  <sheetData>
    <row r="2" spans="2:39" ht="23.5" x14ac:dyDescent="0.55000000000000004">
      <c r="B2" s="30" t="s">
        <v>0</v>
      </c>
    </row>
    <row r="3" spans="2:39" ht="26.75" customHeight="1" x14ac:dyDescent="0.35">
      <c r="B3" s="110" t="s">
        <v>1</v>
      </c>
      <c r="C3" s="110"/>
      <c r="D3" s="110"/>
      <c r="E3" s="110"/>
      <c r="F3" s="110"/>
      <c r="G3" s="110"/>
      <c r="H3" s="110"/>
      <c r="I3" s="110"/>
      <c r="J3" s="110"/>
    </row>
    <row r="4" spans="2:39" ht="15" customHeight="1" x14ac:dyDescent="0.35">
      <c r="B4" s="5"/>
    </row>
    <row r="5" spans="2:39" ht="18.5" x14ac:dyDescent="0.45">
      <c r="B5" s="44" t="s">
        <v>2</v>
      </c>
      <c r="C5" s="45"/>
      <c r="D5" s="45"/>
      <c r="E5" s="45"/>
      <c r="F5" s="45"/>
      <c r="G5" s="45"/>
      <c r="H5" s="45"/>
      <c r="I5" s="45"/>
      <c r="J5" s="63"/>
    </row>
    <row r="6" spans="2:39" ht="17.149999999999999" customHeight="1" x14ac:dyDescent="0.35">
      <c r="B6" s="46" t="s">
        <v>3</v>
      </c>
      <c r="C6" s="46" t="s">
        <v>4</v>
      </c>
      <c r="D6" s="46" t="s">
        <v>5</v>
      </c>
      <c r="E6" s="47" t="s">
        <v>6</v>
      </c>
      <c r="F6" s="47" t="s">
        <v>7</v>
      </c>
      <c r="G6" s="47" t="s">
        <v>8</v>
      </c>
      <c r="H6" s="48" t="s">
        <v>9</v>
      </c>
      <c r="I6" s="49"/>
      <c r="J6" s="64" t="s">
        <v>10</v>
      </c>
    </row>
    <row r="7" spans="2:39" s="5" customFormat="1" ht="14.5" x14ac:dyDescent="0.35">
      <c r="B7" s="22" t="s">
        <v>11</v>
      </c>
      <c r="C7" s="103" t="s">
        <v>12</v>
      </c>
      <c r="D7" s="104">
        <f>'Measure 1 Budget - Cargo Bikes'!D11+'Measure 3 Budget - Blue Highway'!D10+'Measure 2 Budget - Microhubs'!D11+'Measure 4 Budget - Truck Elec'!D11+'Measure 5 Budget - Program Mgmt'!D11</f>
        <v>919317</v>
      </c>
      <c r="E7" s="104">
        <f>'Measure 1 Budget - Cargo Bikes'!E11+'Measure 3 Budget - Blue Highway'!E10+'Measure 2 Budget - Microhubs'!E11+'Measure 4 Budget - Truck Elec'!E11+'Measure 5 Budget - Program Mgmt'!E11</f>
        <v>946896.51</v>
      </c>
      <c r="F7" s="104">
        <f>'Measure 1 Budget - Cargo Bikes'!F11+'Measure 3 Budget - Blue Highway'!F10+'Measure 2 Budget - Microhubs'!F11+'Measure 4 Budget - Truck Elec'!F11+'Measure 5 Budget - Program Mgmt'!F11</f>
        <v>975303.40529999998</v>
      </c>
      <c r="G7" s="104">
        <f>'Measure 1 Budget - Cargo Bikes'!G11+'Measure 3 Budget - Blue Highway'!G10+'Measure 2 Budget - Microhubs'!G11+'Measure 4 Budget - Truck Elec'!G11+'Measure 5 Budget - Program Mgmt'!G11</f>
        <v>1004562.5074590001</v>
      </c>
      <c r="H7" s="104">
        <f>'Measure 1 Budget - Cargo Bikes'!H11+'Measure 3 Budget - Blue Highway'!H10+'Measure 2 Budget - Microhubs'!H11+'Measure 4 Budget - Truck Elec'!H11+'Measure 5 Budget - Program Mgmt'!H11</f>
        <v>1034699.38268277</v>
      </c>
      <c r="I7" s="105"/>
      <c r="J7" s="104">
        <f>SUM(D7:I7)</f>
        <v>4880778.8054417707</v>
      </c>
      <c r="K7" s="70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103" t="s">
        <v>13</v>
      </c>
      <c r="D8" s="104">
        <f>'Measure 1 Budget - Cargo Bikes'!D16+'Measure 3 Budget - Blue Highway'!D14+'Measure 2 Budget - Microhubs'!D15+'Measure 4 Budget - Truck Elec'!D16+'Measure 5 Budget - Program Mgmt'!D16</f>
        <v>538995.55710000009</v>
      </c>
      <c r="E8" s="104">
        <f>'Measure 1 Budget - Cargo Bikes'!E16+'Measure 3 Budget - Blue Highway'!E14+'Measure 2 Budget - Microhubs'!E15+'Measure 4 Budget - Truck Elec'!E16+'Measure 5 Budget - Program Mgmt'!E16</f>
        <v>555165.42381300009</v>
      </c>
      <c r="F8" s="104">
        <f>'Measure 1 Budget - Cargo Bikes'!F16+'Measure 3 Budget - Blue Highway'!F14+'Measure 2 Budget - Microhubs'!F15+'Measure 4 Budget - Truck Elec'!F16+'Measure 5 Budget - Program Mgmt'!F16</f>
        <v>571820.38652738999</v>
      </c>
      <c r="G8" s="104">
        <f>'Measure 1 Budget - Cargo Bikes'!G16+'Measure 3 Budget - Blue Highway'!G14+'Measure 2 Budget - Microhubs'!G15+'Measure 4 Budget - Truck Elec'!G16+'Measure 5 Budget - Program Mgmt'!G16</f>
        <v>588974.99812321179</v>
      </c>
      <c r="H8" s="104">
        <f>'Measure 1 Budget - Cargo Bikes'!H16+'Measure 3 Budget - Blue Highway'!H14+'Measure 2 Budget - Microhubs'!H15+'Measure 4 Budget - Truck Elec'!H16+'Measure 5 Budget - Program Mgmt'!H16</f>
        <v>606644.24806690798</v>
      </c>
      <c r="I8" s="105"/>
      <c r="J8" s="104">
        <f t="shared" ref="J8:J13" si="0">SUM(D8:I8)</f>
        <v>2861600.6136305099</v>
      </c>
    </row>
    <row r="9" spans="2:39" ht="14.5" x14ac:dyDescent="0.35">
      <c r="B9" s="23"/>
      <c r="C9" s="103" t="s">
        <v>14</v>
      </c>
      <c r="D9" s="104">
        <f>'Measure 1 Budget - Cargo Bikes'!D19+'Measure 3 Budget - Blue Highway'!D18+'Measure 2 Budget - Microhubs'!D18+'Measure 4 Budget - Truck Elec'!D20+'Measure 5 Budget - Program Mgmt'!D20</f>
        <v>27851</v>
      </c>
      <c r="E9" s="104">
        <f>'Measure 1 Budget - Cargo Bikes'!E19+'Measure 3 Budget - Blue Highway'!E18+'Measure 2 Budget - Microhubs'!E18+'Measure 4 Budget - Truck Elec'!E20+'Measure 5 Budget - Program Mgmt'!E18</f>
        <v>30000</v>
      </c>
      <c r="F9" s="104">
        <f>'Measure 1 Budget - Cargo Bikes'!F19+'Measure 3 Budget - Blue Highway'!F18+'Measure 2 Budget - Microhubs'!F18+'Measure 4 Budget - Truck Elec'!F20+'Measure 5 Budget - Program Mgmt'!F18</f>
        <v>30000</v>
      </c>
      <c r="G9" s="104">
        <f>'Measure 1 Budget - Cargo Bikes'!G19+'Measure 3 Budget - Blue Highway'!G18+'Measure 2 Budget - Microhubs'!G18+'Measure 4 Budget - Truck Elec'!G20+'Measure 5 Budget - Program Mgmt'!G18</f>
        <v>30000</v>
      </c>
      <c r="H9" s="104">
        <f>'Measure 1 Budget - Cargo Bikes'!H19+'Measure 3 Budget - Blue Highway'!H18+'Measure 2 Budget - Microhubs'!H18+'Measure 4 Budget - Truck Elec'!H20+'Measure 5 Budget - Program Mgmt'!H18</f>
        <v>30000</v>
      </c>
      <c r="I9" s="105"/>
      <c r="J9" s="104">
        <f t="shared" si="0"/>
        <v>147851</v>
      </c>
    </row>
    <row r="10" spans="2:39" ht="14.5" x14ac:dyDescent="0.35">
      <c r="B10" s="23"/>
      <c r="C10" s="103" t="s">
        <v>15</v>
      </c>
      <c r="D10" s="104">
        <f>'Measure 1 Budget - Cargo Bikes'!D22+'Measure 3 Budget - Blue Highway'!D23+'Measure 2 Budget - Microhubs'!D21+'Measure 4 Budget - Truck Elec'!D25+'Measure 5 Budget - Program Mgmt'!D24</f>
        <v>0</v>
      </c>
      <c r="E10" s="104">
        <f>'Measure 1 Budget - Cargo Bikes'!E22+'Measure 3 Budget - Blue Highway'!E23+'Measure 2 Budget - Microhubs'!E21+'Measure 4 Budget - Truck Elec'!E25+'Measure 5 Budget - Program Mgmt'!E24</f>
        <v>0</v>
      </c>
      <c r="F10" s="104">
        <f>'Measure 1 Budget - Cargo Bikes'!F22+'Measure 3 Budget - Blue Highway'!F23+'Measure 2 Budget - Microhubs'!F21+'Measure 4 Budget - Truck Elec'!F25+'Measure 5 Budget - Program Mgmt'!F24</f>
        <v>0</v>
      </c>
      <c r="G10" s="104">
        <f>'Measure 1 Budget - Cargo Bikes'!G22+'Measure 3 Budget - Blue Highway'!G23+'Measure 2 Budget - Microhubs'!G21+'Measure 4 Budget - Truck Elec'!G25+'Measure 5 Budget - Program Mgmt'!G24</f>
        <v>0</v>
      </c>
      <c r="H10" s="104">
        <f>'Measure 1 Budget - Cargo Bikes'!H22+'Measure 3 Budget - Blue Highway'!H23+'Measure 2 Budget - Microhubs'!H21+'Measure 4 Budget - Truck Elec'!H25+'Measure 5 Budget - Program Mgmt'!H24</f>
        <v>0</v>
      </c>
      <c r="I10" s="105"/>
      <c r="J10" s="104">
        <f t="shared" si="0"/>
        <v>0</v>
      </c>
    </row>
    <row r="11" spans="2:39" ht="14.5" x14ac:dyDescent="0.35">
      <c r="B11" s="23"/>
      <c r="C11" s="103" t="s">
        <v>16</v>
      </c>
      <c r="D11" s="104">
        <f>'Measure 1 Budget - Cargo Bikes'!D27+'Measure 3 Budget - Blue Highway'!D26+'Measure 2 Budget - Microhubs'!D26+'Measure 4 Budget - Truck Elec'!D30+'Measure 5 Budget - Program Mgmt'!D31</f>
        <v>59400</v>
      </c>
      <c r="E11" s="104">
        <f>'Measure 1 Budget - Cargo Bikes'!E27+'Measure 3 Budget - Blue Highway'!E26+'Measure 2 Budget - Microhubs'!E26+'Measure 4 Budget - Truck Elec'!E30+'Measure 5 Budget - Program Mgmt'!E31</f>
        <v>18700</v>
      </c>
      <c r="F11" s="104">
        <f>'Measure 1 Budget - Cargo Bikes'!F27+'Measure 3 Budget - Blue Highway'!F26+'Measure 2 Budget - Microhubs'!F26+'Measure 4 Budget - Truck Elec'!F30+'Measure 5 Budget - Program Mgmt'!F31</f>
        <v>18700</v>
      </c>
      <c r="G11" s="104">
        <f>'Measure 1 Budget - Cargo Bikes'!G27+'Measure 3 Budget - Blue Highway'!G26+'Measure 2 Budget - Microhubs'!G26+'Measure 4 Budget - Truck Elec'!G30+'Measure 5 Budget - Program Mgmt'!G31</f>
        <v>18700</v>
      </c>
      <c r="H11" s="104">
        <f>'Measure 1 Budget - Cargo Bikes'!H27+'Measure 3 Budget - Blue Highway'!H26+'Measure 2 Budget - Microhubs'!H26+'Measure 4 Budget - Truck Elec'!H30+'Measure 5 Budget - Program Mgmt'!H31</f>
        <v>18700</v>
      </c>
      <c r="I11" s="105"/>
      <c r="J11" s="104">
        <f>SUM(D11:I11)</f>
        <v>134200</v>
      </c>
    </row>
    <row r="12" spans="2:39" ht="14.5" x14ac:dyDescent="0.35">
      <c r="B12" s="23"/>
      <c r="C12" s="103" t="s">
        <v>17</v>
      </c>
      <c r="D12" s="104">
        <f>'Measure 1 Budget - Cargo Bikes'!D33+'Measure 3 Budget - Blue Highway'!D30+'Measure 2 Budget - Microhubs'!D33+'Measure 4 Budget - Truck Elec'!D41+'Measure 5 Budget - Program Mgmt'!D35</f>
        <v>9204773.2913711108</v>
      </c>
      <c r="E12" s="104">
        <f>'Measure 1 Budget - Cargo Bikes'!E33+'Measure 3 Budget - Blue Highway'!E30+'Measure 2 Budget - Microhubs'!E33+'Measure 4 Budget - Truck Elec'!E41</f>
        <v>39768254.933724716</v>
      </c>
      <c r="F12" s="104">
        <f>'Measure 1 Budget - Cargo Bikes'!F33+'Measure 3 Budget - Blue Highway'!F30+'Measure 2 Budget - Microhubs'!F33+'Measure 4 Budget - Truck Elec'!F41</f>
        <v>46834688.175500043</v>
      </c>
      <c r="G12" s="104">
        <f>'Measure 1 Budget - Cargo Bikes'!G33+'Measure 3 Budget - Blue Highway'!G30+'Measure 2 Budget - Microhubs'!G33+'Measure 4 Budget - Truck Elec'!G41</f>
        <v>25589719.864866134</v>
      </c>
      <c r="H12" s="104">
        <f>'Measure 1 Budget - Cargo Bikes'!H33+'Measure 3 Budget - Blue Highway'!H30+'Measure 2 Budget - Microhubs'!H33+'Measure 4 Budget - Truck Elec'!H41</f>
        <v>700000</v>
      </c>
      <c r="I12" s="105"/>
      <c r="J12" s="104">
        <f t="shared" si="0"/>
        <v>122097436.26546201</v>
      </c>
    </row>
    <row r="13" spans="2:39" ht="14.5" x14ac:dyDescent="0.35">
      <c r="B13" s="23"/>
      <c r="C13" s="103" t="s">
        <v>18</v>
      </c>
      <c r="D13" s="104">
        <f>'Measure 1 Budget - Cargo Bikes'!D38+'Measure 3 Budget - Blue Highway'!D44+'Measure 2 Budget - Microhubs'!D37+'Measure 4 Budget - Truck Elec'!D44+'Measure 5 Budget - Program Mgmt'!D41</f>
        <v>7623554.7881395333</v>
      </c>
      <c r="E13" s="104">
        <f>'Measure 1 Budget - Cargo Bikes'!E38+'Measure 3 Budget - Blue Highway'!E44+'Measure 2 Budget - Microhubs'!E37+'Measure 4 Budget - Truck Elec'!E44+'Measure 5 Budget - Program Mgmt'!E41</f>
        <v>84948218.034569755</v>
      </c>
      <c r="F13" s="104">
        <f>'Measure 1 Budget - Cargo Bikes'!F38+'Measure 3 Budget - Blue Highway'!F44+'Measure 2 Budget - Microhubs'!F37+'Measure 4 Budget - Truck Elec'!F44+'Measure 5 Budget - Program Mgmt'!F41</f>
        <v>87944316.213970214</v>
      </c>
      <c r="G13" s="104">
        <f>'Measure 1 Budget - Cargo Bikes'!G38+'Measure 3 Budget - Blue Highway'!G44+'Measure 2 Budget - Microhubs'!G37+'Measure 4 Budget - Truck Elec'!G44+'Measure 5 Budget - Program Mgmt'!G41</f>
        <v>178719170.78096664</v>
      </c>
      <c r="H13" s="104">
        <f>'Measure 1 Budget - Cargo Bikes'!H38+'Measure 3 Budget - Blue Highway'!H44+'Measure 2 Budget - Microhubs'!H37+'Measure 4 Budget - Truck Elec'!H44+'Measure 5 Budget - Program Mgmt'!H41</f>
        <v>10642873.391829386</v>
      </c>
      <c r="I13" s="105"/>
      <c r="J13" s="104">
        <f>SUM(D13:I13)</f>
        <v>369878133.20947552</v>
      </c>
    </row>
    <row r="14" spans="2:39" ht="14.5" x14ac:dyDescent="0.35">
      <c r="B14" s="24"/>
      <c r="C14" s="106" t="s">
        <v>19</v>
      </c>
      <c r="D14" s="107">
        <f>D13+D12+D11+D10+D9+D8+D7</f>
        <v>18373891.636610646</v>
      </c>
      <c r="E14" s="107">
        <f>E13+E12+E11+E10+E9+E8+E7</f>
        <v>126267234.90210748</v>
      </c>
      <c r="F14" s="107">
        <f>F13+F12+F11+F10+F9+F8+F7</f>
        <v>136374828.18129763</v>
      </c>
      <c r="G14" s="107">
        <f>G13+G12+G11+G10+G9+G8+G7</f>
        <v>205951128.15141499</v>
      </c>
      <c r="H14" s="107">
        <f>H13+H12+H11+H10+H9+H8+H7</f>
        <v>13032917.022579065</v>
      </c>
      <c r="I14" s="108"/>
      <c r="J14" s="107">
        <f>SUM(D14:I14)</f>
        <v>499999999.89400983</v>
      </c>
    </row>
    <row r="15" spans="2:39" ht="14.5" x14ac:dyDescent="0.35">
      <c r="B15" s="62"/>
      <c r="D15"/>
      <c r="E15"/>
      <c r="H15"/>
      <c r="I15"/>
      <c r="J15" s="18" t="s">
        <v>20</v>
      </c>
    </row>
    <row r="16" spans="2:39" ht="20.149999999999999" customHeight="1" x14ac:dyDescent="0.35">
      <c r="B16" s="62"/>
      <c r="C16" s="9" t="s">
        <v>21</v>
      </c>
      <c r="D16" s="57">
        <f>'Measure 1 Budget - Cargo Bikes'!D44+'Measure 3 Budget - Blue Highway'!D50+'Measure 2 Budget - Microhubs'!D43+'Measure 4 Budget - Truck Elec'!D50+'Measure 5 Budget - Program Mgmt'!D47</f>
        <v>0</v>
      </c>
      <c r="E16" s="57">
        <f>'Measure 1 Budget - Cargo Bikes'!E44+'Measure 3 Budget - Blue Highway'!E50+'Measure 2 Budget - Microhubs'!E43+'Measure 4 Budget - Truck Elec'!E50</f>
        <v>0</v>
      </c>
      <c r="F16" s="57">
        <f>'Measure 1 Budget - Cargo Bikes'!F44+'Measure 3 Budget - Blue Highway'!F50+'Measure 2 Budget - Microhubs'!F43+'Measure 4 Budget - Truck Elec'!F50</f>
        <v>0</v>
      </c>
      <c r="G16" s="57">
        <f>'Measure 1 Budget - Cargo Bikes'!G44+'Measure 3 Budget - Blue Highway'!G50+'Measure 2 Budget - Microhubs'!G43+'Measure 4 Budget - Truck Elec'!G50</f>
        <v>0</v>
      </c>
      <c r="H16" s="57">
        <f>'Measure 1 Budget - Cargo Bikes'!H44+'Measure 3 Budget - Blue Highway'!H50+'Measure 2 Budget - Microhubs'!H43+'Measure 4 Budget - Truck Elec'!H50</f>
        <v>0</v>
      </c>
      <c r="J16" s="9">
        <f>SUM(D16:H16)</f>
        <v>0</v>
      </c>
    </row>
    <row r="17" spans="2:10" thickBot="1" x14ac:dyDescent="0.4">
      <c r="B17" s="62"/>
      <c r="D17"/>
      <c r="E17"/>
      <c r="H17"/>
      <c r="I17"/>
      <c r="J17" s="18" t="s">
        <v>20</v>
      </c>
    </row>
    <row r="18" spans="2:10" ht="31.25" customHeight="1" thickBot="1" x14ac:dyDescent="0.4">
      <c r="B18" s="61" t="s">
        <v>22</v>
      </c>
      <c r="C18" s="19"/>
      <c r="D18" s="52">
        <f>D14+D16</f>
        <v>18373891.636610646</v>
      </c>
      <c r="E18" s="52">
        <f>E14+E16</f>
        <v>126267234.90210748</v>
      </c>
      <c r="F18" s="52">
        <f>F14+F16</f>
        <v>136374828.18129763</v>
      </c>
      <c r="G18" s="52">
        <f>G14+G16</f>
        <v>205951128.15141499</v>
      </c>
      <c r="H18" s="52">
        <f>H14+H16</f>
        <v>13032917.022579065</v>
      </c>
      <c r="I18" s="53"/>
      <c r="J18" s="65">
        <f>J14+J16</f>
        <v>499999999.89400983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44" t="s">
        <v>23</v>
      </c>
      <c r="C21" s="45"/>
      <c r="D21" s="45"/>
      <c r="E21" s="112"/>
      <c r="F21" s="112"/>
      <c r="H21"/>
      <c r="I21"/>
    </row>
    <row r="22" spans="2:10" ht="29.15" customHeight="1" x14ac:dyDescent="0.35">
      <c r="B22" s="46" t="s">
        <v>24</v>
      </c>
      <c r="C22" s="46" t="s">
        <v>25</v>
      </c>
      <c r="D22" s="54" t="s">
        <v>26</v>
      </c>
      <c r="E22" s="113" t="s">
        <v>27</v>
      </c>
      <c r="F22" s="113"/>
      <c r="H22"/>
      <c r="I22"/>
    </row>
    <row r="23" spans="2:10" ht="15" customHeight="1" x14ac:dyDescent="0.35">
      <c r="B23" s="50">
        <v>1</v>
      </c>
      <c r="C23" s="55" t="s">
        <v>28</v>
      </c>
      <c r="D23" s="56">
        <f>'Measure 1 Budget - Cargo Bikes'!J46</f>
        <v>24382393.077039283</v>
      </c>
      <c r="E23" s="111">
        <f>D23/D$29</f>
        <v>4.8764786164415742E-2</v>
      </c>
      <c r="F23" s="111"/>
      <c r="H23"/>
      <c r="I23"/>
    </row>
    <row r="24" spans="2:10" ht="15" customHeight="1" x14ac:dyDescent="0.35">
      <c r="B24" s="50">
        <v>2</v>
      </c>
      <c r="C24" s="51" t="s">
        <v>29</v>
      </c>
      <c r="D24" s="56">
        <f>'Measure 2 Budget - Microhubs'!J45</f>
        <v>19099479.515122741</v>
      </c>
      <c r="E24" s="111">
        <f>D24/D$29</f>
        <v>3.819895903834291E-2</v>
      </c>
      <c r="F24" s="111"/>
      <c r="H24"/>
      <c r="I24"/>
    </row>
    <row r="25" spans="2:10" ht="15" customHeight="1" x14ac:dyDescent="0.35">
      <c r="B25" s="50">
        <v>3</v>
      </c>
      <c r="C25" s="51" t="s">
        <v>30</v>
      </c>
      <c r="D25" s="56">
        <f>'Measure 3 Budget - Blue Highway'!J52</f>
        <v>369128133.20947552</v>
      </c>
      <c r="E25" s="111">
        <f>D25/D$29</f>
        <v>0.73825626657544685</v>
      </c>
      <c r="F25" s="111"/>
      <c r="H25"/>
      <c r="I25"/>
    </row>
    <row r="26" spans="2:10" ht="15" customHeight="1" x14ac:dyDescent="0.35">
      <c r="B26" s="50">
        <v>4</v>
      </c>
      <c r="C26" s="51" t="s">
        <v>31</v>
      </c>
      <c r="D26" s="56">
        <f>'Measure 4 Budget - Truck Elec'!J52</f>
        <v>84715179.27235876</v>
      </c>
      <c r="E26" s="111">
        <f>D26/D$29</f>
        <v>0.16943035858063343</v>
      </c>
      <c r="F26" s="111"/>
      <c r="H26"/>
      <c r="I26"/>
    </row>
    <row r="27" spans="2:10" ht="14.5" x14ac:dyDescent="0.35">
      <c r="B27" s="50">
        <v>5</v>
      </c>
      <c r="C27" s="51" t="s">
        <v>32</v>
      </c>
      <c r="D27" s="56">
        <f>'Measure 5 Budget - Program Mgmt'!J49</f>
        <v>2674814.8200134998</v>
      </c>
      <c r="E27" s="111">
        <f>D27/D$29</f>
        <v>5.3496296411610156E-3</v>
      </c>
      <c r="F27" s="111"/>
      <c r="H27"/>
      <c r="I27"/>
    </row>
    <row r="28" spans="2:10" ht="15" customHeight="1" x14ac:dyDescent="0.35">
      <c r="B28" s="50"/>
      <c r="C28" s="51"/>
      <c r="D28" s="56"/>
      <c r="E28" s="111"/>
      <c r="F28" s="111"/>
      <c r="H28"/>
      <c r="I28"/>
    </row>
    <row r="29" spans="2:10" ht="15" customHeight="1" x14ac:dyDescent="0.35">
      <c r="B29" s="50" t="s">
        <v>33</v>
      </c>
      <c r="C29" s="51"/>
      <c r="D29" s="56">
        <f>SUM(D23:D28)</f>
        <v>499999999.89400983</v>
      </c>
      <c r="E29" s="111">
        <f t="shared" ref="E29" si="1">SUM(E23:E28)</f>
        <v>1</v>
      </c>
      <c r="F29" s="111"/>
      <c r="H29"/>
      <c r="I29"/>
    </row>
    <row r="30" spans="2:10" ht="15" customHeight="1" x14ac:dyDescent="0.35">
      <c r="H30"/>
      <c r="I30"/>
    </row>
    <row r="32" spans="2:10" ht="15" customHeight="1" x14ac:dyDescent="0.35">
      <c r="D32" s="109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6:F26"/>
    <mergeCell ref="E25:F2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1"/>
  <sheetViews>
    <sheetView showGridLines="0" zoomScale="86" zoomScaleNormal="85" workbookViewId="0">
      <selection activeCell="J30" sqref="J30"/>
    </sheetView>
  </sheetViews>
  <sheetFormatPr defaultColWidth="9.36328125" defaultRowHeight="14.5" x14ac:dyDescent="0.35"/>
  <cols>
    <col min="1" max="1" width="3.36328125" customWidth="1"/>
    <col min="2" max="2" width="10.36328125" customWidth="1"/>
    <col min="3" max="3" width="41.36328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6328125" style="7" customWidth="1"/>
    <col min="10" max="10" width="15.54296875" customWidth="1"/>
    <col min="11" max="11" width="10.36328125" customWidth="1"/>
  </cols>
  <sheetData>
    <row r="2" spans="2:39" ht="23.5" x14ac:dyDescent="0.55000000000000004">
      <c r="B2" s="30" t="s">
        <v>85</v>
      </c>
    </row>
    <row r="3" spans="2:39" x14ac:dyDescent="0.35">
      <c r="B3" s="5" t="s">
        <v>34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9" x14ac:dyDescent="0.35">
      <c r="B7" s="66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7.75" customHeight="1" x14ac:dyDescent="0.35">
      <c r="B8" s="23"/>
      <c r="C8" s="25" t="s">
        <v>37</v>
      </c>
      <c r="D8" s="15">
        <v>92030</v>
      </c>
      <c r="E8" s="15">
        <f t="shared" ref="E8:E10" si="0">D8*1.03</f>
        <v>94790.900000000009</v>
      </c>
      <c r="F8" s="15">
        <f t="shared" ref="F8:F10" si="1">E8*1.03</f>
        <v>97634.627000000008</v>
      </c>
      <c r="G8" s="15">
        <f t="shared" ref="G8:G10" si="2">F8*1.03</f>
        <v>100563.66581000001</v>
      </c>
      <c r="H8" s="15">
        <f t="shared" ref="H8:H10" si="3">G8*1.03</f>
        <v>103580.5757843</v>
      </c>
      <c r="I8" s="35"/>
      <c r="J8" s="15">
        <f>SUM(D8:H8)</f>
        <v>488599.76859430003</v>
      </c>
    </row>
    <row r="9" spans="2:39" x14ac:dyDescent="0.35">
      <c r="B9" s="23"/>
      <c r="C9" s="25" t="s">
        <v>38</v>
      </c>
      <c r="D9" s="15">
        <v>75442</v>
      </c>
      <c r="E9" s="15">
        <f t="shared" si="0"/>
        <v>77705.259999999995</v>
      </c>
      <c r="F9" s="15">
        <f t="shared" si="1"/>
        <v>80036.417799999996</v>
      </c>
      <c r="G9" s="15">
        <f t="shared" si="2"/>
        <v>82437.510333999991</v>
      </c>
      <c r="H9" s="15">
        <f t="shared" si="3"/>
        <v>84910.635644019989</v>
      </c>
      <c r="J9" s="15">
        <f>SUM(D9:H9)</f>
        <v>400531.82377801999</v>
      </c>
    </row>
    <row r="10" spans="2:39" x14ac:dyDescent="0.35">
      <c r="B10" s="23"/>
      <c r="C10" s="25" t="s">
        <v>38</v>
      </c>
      <c r="D10" s="15">
        <f>D9</f>
        <v>75442</v>
      </c>
      <c r="E10" s="15">
        <f t="shared" si="0"/>
        <v>77705.259999999995</v>
      </c>
      <c r="F10" s="15">
        <f t="shared" si="1"/>
        <v>80036.417799999996</v>
      </c>
      <c r="G10" s="15">
        <f t="shared" si="2"/>
        <v>82437.510333999991</v>
      </c>
      <c r="H10" s="15">
        <f t="shared" si="3"/>
        <v>84910.635644019989</v>
      </c>
      <c r="J10" s="15">
        <f>SUM(D10:H10)</f>
        <v>400531.82377801999</v>
      </c>
    </row>
    <row r="11" spans="2:39" x14ac:dyDescent="0.35">
      <c r="B11" s="23"/>
      <c r="C11" s="9" t="s">
        <v>12</v>
      </c>
      <c r="D11" s="16">
        <f>SUM(D8:D10)</f>
        <v>242914</v>
      </c>
      <c r="E11" s="16">
        <f t="shared" ref="E11:H11" si="4">SUM(E8:E10)</f>
        <v>250201.41999999998</v>
      </c>
      <c r="F11" s="16">
        <f t="shared" si="4"/>
        <v>257707.4626</v>
      </c>
      <c r="G11" s="16">
        <f t="shared" si="4"/>
        <v>265438.68647800002</v>
      </c>
      <c r="H11" s="16">
        <f t="shared" si="4"/>
        <v>273401.84707233997</v>
      </c>
      <c r="J11" s="16">
        <f>SUM(D11:H11)</f>
        <v>1289663.4161503399</v>
      </c>
    </row>
    <row r="12" spans="2:39" x14ac:dyDescent="0.35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">
        <v>40</v>
      </c>
      <c r="D13" s="15">
        <f>0.5863*D11</f>
        <v>142420.47820000001</v>
      </c>
      <c r="E13" s="15">
        <f t="shared" ref="E13:H13" si="5">0.5863*E11</f>
        <v>146693.092546</v>
      </c>
      <c r="F13" s="15">
        <f t="shared" si="5"/>
        <v>151093.88532238</v>
      </c>
      <c r="G13" s="15">
        <f t="shared" si="5"/>
        <v>155626.70188205142</v>
      </c>
      <c r="H13" s="15">
        <f t="shared" si="5"/>
        <v>160295.50293851295</v>
      </c>
      <c r="J13" s="15">
        <f>SUM(D13:H13)</f>
        <v>756129.6608889444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6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6"/>
        <v>0</v>
      </c>
    </row>
    <row r="16" spans="2:39" x14ac:dyDescent="0.35">
      <c r="B16" s="23"/>
      <c r="C16" s="9" t="s">
        <v>13</v>
      </c>
      <c r="D16" s="16">
        <f>SUM(D13:D15)</f>
        <v>142420.47820000001</v>
      </c>
      <c r="E16" s="16">
        <f t="shared" ref="E16:H16" si="7">SUM(E13:E15)</f>
        <v>146693.092546</v>
      </c>
      <c r="F16" s="16">
        <f t="shared" si="7"/>
        <v>151093.88532238</v>
      </c>
      <c r="G16" s="16">
        <f t="shared" si="7"/>
        <v>155626.70188205142</v>
      </c>
      <c r="H16" s="16">
        <f t="shared" si="7"/>
        <v>160295.50293851295</v>
      </c>
      <c r="J16" s="16">
        <f>SUM(D16:H16)</f>
        <v>756129.6608889444</v>
      </c>
    </row>
    <row r="17" spans="2:10" x14ac:dyDescent="0.35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/>
      <c r="D18" s="15"/>
      <c r="E18" s="15"/>
      <c r="F18" s="15"/>
      <c r="G18" s="15"/>
      <c r="H18" s="15"/>
      <c r="I18" s="35"/>
      <c r="J18" s="15">
        <f t="shared" ref="J18" si="8">SUM(D18:H18)</f>
        <v>0</v>
      </c>
    </row>
    <row r="19" spans="2:10" x14ac:dyDescent="0.35">
      <c r="B19" s="23"/>
      <c r="C19" s="9" t="s">
        <v>14</v>
      </c>
      <c r="D19" s="16">
        <f>SUM(D18:D18)</f>
        <v>0</v>
      </c>
      <c r="E19" s="16">
        <f>SUM(E18:E18)</f>
        <v>0</v>
      </c>
      <c r="F19" s="16">
        <f>SUM(F18:F18)</f>
        <v>0</v>
      </c>
      <c r="G19" s="16">
        <f>SUM(G18:G18)</f>
        <v>0</v>
      </c>
      <c r="H19" s="16">
        <f>SUM(H18:H18)</f>
        <v>0</v>
      </c>
      <c r="J19" s="16">
        <f>SUM(J18:J18)</f>
        <v>0</v>
      </c>
    </row>
    <row r="20" spans="2:10" x14ac:dyDescent="0.35">
      <c r="B20" s="23"/>
      <c r="C20" s="14" t="s">
        <v>42</v>
      </c>
      <c r="D20" s="15"/>
      <c r="E20" s="10"/>
      <c r="F20" s="10"/>
      <c r="G20" s="10"/>
      <c r="H20" s="10"/>
      <c r="J20" s="15" t="s">
        <v>20</v>
      </c>
    </row>
    <row r="21" spans="2:10" x14ac:dyDescent="0.35">
      <c r="B21" s="23" t="s">
        <v>43</v>
      </c>
      <c r="C21" s="25"/>
      <c r="D21" s="13" t="s">
        <v>36</v>
      </c>
      <c r="E21" s="10"/>
      <c r="F21" s="10"/>
      <c r="G21" s="10"/>
      <c r="H21" s="10"/>
      <c r="J21" s="15">
        <f t="shared" ref="J21" si="9">SUM(D21:H21)</f>
        <v>0</v>
      </c>
    </row>
    <row r="22" spans="2:10" x14ac:dyDescent="0.35">
      <c r="B22" s="23"/>
      <c r="C22" s="9" t="s">
        <v>15</v>
      </c>
      <c r="D22" s="12">
        <f>SUM(D21:D21)</f>
        <v>0</v>
      </c>
      <c r="E22" s="12">
        <f>SUM(E21:E21)</f>
        <v>0</v>
      </c>
      <c r="F22" s="12">
        <f>SUM(F21:F21)</f>
        <v>0</v>
      </c>
      <c r="G22" s="12">
        <f>SUM(G21:G21)</f>
        <v>0</v>
      </c>
      <c r="H22" s="12">
        <f>SUM(H21:H21)</f>
        <v>0</v>
      </c>
      <c r="J22" s="16">
        <f>SUM(D22:H22)</f>
        <v>0</v>
      </c>
    </row>
    <row r="23" spans="2:10" x14ac:dyDescent="0.35">
      <c r="B23" s="23"/>
      <c r="C23" s="14" t="s">
        <v>44</v>
      </c>
      <c r="D23" s="13" t="s">
        <v>36</v>
      </c>
      <c r="E23" s="10"/>
      <c r="F23" s="10"/>
      <c r="G23" s="10"/>
      <c r="H23" s="10"/>
      <c r="J23" s="15"/>
    </row>
    <row r="24" spans="2:10" x14ac:dyDescent="0.35">
      <c r="B24" s="23"/>
      <c r="C24" s="25" t="s">
        <v>45</v>
      </c>
      <c r="D24" s="67">
        <f>(COUNTA($C$8:$C$10))*3000+(COUNTA($C$8:$C$10))*1500</f>
        <v>13500</v>
      </c>
      <c r="E24" s="67">
        <f>(COUNTA($C$8:$C$10))*1500</f>
        <v>4500</v>
      </c>
      <c r="F24" s="67">
        <f>(COUNTA($C$8:$C$10))*1500</f>
        <v>4500</v>
      </c>
      <c r="G24" s="67">
        <f>(COUNTA($C$8:$C$10))*1500</f>
        <v>4500</v>
      </c>
      <c r="H24" s="67">
        <f>(COUNTA($C$8:$C$10))*1500</f>
        <v>4500</v>
      </c>
      <c r="J24" s="15">
        <f t="shared" ref="J24:J39" si="10">SUM(D24:H24)</f>
        <v>31500</v>
      </c>
    </row>
    <row r="25" spans="2:10" x14ac:dyDescent="0.35">
      <c r="B25" s="23"/>
      <c r="C25" s="25" t="s">
        <v>46</v>
      </c>
      <c r="D25" s="67">
        <f>(COUNTA($C$8:$C$10))*200</f>
        <v>600</v>
      </c>
      <c r="E25" s="67">
        <v>0</v>
      </c>
      <c r="F25" s="67">
        <v>0</v>
      </c>
      <c r="G25" s="67">
        <v>0</v>
      </c>
      <c r="H25" s="67">
        <v>0</v>
      </c>
      <c r="J25" s="15">
        <f t="shared" si="10"/>
        <v>600</v>
      </c>
    </row>
    <row r="26" spans="2:10" x14ac:dyDescent="0.35">
      <c r="B26" s="23"/>
      <c r="C26" s="25" t="s">
        <v>47</v>
      </c>
      <c r="D26" s="67">
        <f>(COUNTA($C$8:$C$10))*500+(COUNTA($C$8:$C$10))*200</f>
        <v>2100</v>
      </c>
      <c r="E26" s="67">
        <f>(COUNTA($C$8:$C$10))*200</f>
        <v>600</v>
      </c>
      <c r="F26" s="67">
        <f t="shared" ref="F26:H26" si="11">(COUNTA($C$8:$C$10))*200</f>
        <v>600</v>
      </c>
      <c r="G26" s="67">
        <f t="shared" si="11"/>
        <v>600</v>
      </c>
      <c r="H26" s="67">
        <f t="shared" si="11"/>
        <v>600</v>
      </c>
      <c r="J26" s="15">
        <f t="shared" si="10"/>
        <v>4500</v>
      </c>
    </row>
    <row r="27" spans="2:10" x14ac:dyDescent="0.35">
      <c r="B27" s="23"/>
      <c r="C27" s="9" t="s">
        <v>16</v>
      </c>
      <c r="D27" s="16">
        <f>SUM(D24:D26)</f>
        <v>16200</v>
      </c>
      <c r="E27" s="16">
        <f t="shared" ref="E27:H27" si="12">SUM(E24:E26)</f>
        <v>5100</v>
      </c>
      <c r="F27" s="16">
        <f t="shared" si="12"/>
        <v>5100</v>
      </c>
      <c r="G27" s="16">
        <f t="shared" si="12"/>
        <v>5100</v>
      </c>
      <c r="H27" s="16">
        <f t="shared" si="12"/>
        <v>5100</v>
      </c>
      <c r="J27" s="16">
        <f>SUM(D27:H27)</f>
        <v>36600</v>
      </c>
    </row>
    <row r="28" spans="2:10" x14ac:dyDescent="0.35">
      <c r="B28" s="23"/>
      <c r="C28" s="14" t="s">
        <v>48</v>
      </c>
      <c r="D28" s="13" t="s">
        <v>36</v>
      </c>
      <c r="E28" s="10"/>
      <c r="F28" s="10"/>
      <c r="G28" s="10"/>
      <c r="H28" s="10"/>
      <c r="J28" s="15"/>
    </row>
    <row r="29" spans="2:10" ht="29" x14ac:dyDescent="0.35">
      <c r="B29" s="23"/>
      <c r="C29" s="25" t="s">
        <v>49</v>
      </c>
      <c r="D29" s="15">
        <v>6600000</v>
      </c>
      <c r="E29" s="15">
        <v>6600000</v>
      </c>
      <c r="F29" s="15">
        <v>6800000</v>
      </c>
      <c r="G29" s="15"/>
      <c r="H29" s="15"/>
      <c r="I29" s="35"/>
      <c r="J29" s="15">
        <f t="shared" si="10"/>
        <v>20000000</v>
      </c>
    </row>
    <row r="30" spans="2:10" ht="29" x14ac:dyDescent="0.35">
      <c r="B30" s="23"/>
      <c r="C30" s="25" t="s">
        <v>50</v>
      </c>
      <c r="D30" s="15">
        <v>400000</v>
      </c>
      <c r="E30" s="15">
        <v>400000</v>
      </c>
      <c r="F30" s="15">
        <v>400000</v>
      </c>
      <c r="G30" s="15">
        <v>400000</v>
      </c>
      <c r="H30" s="15">
        <v>400000</v>
      </c>
      <c r="I30" s="35"/>
      <c r="J30" s="15">
        <f t="shared" si="10"/>
        <v>2000000</v>
      </c>
    </row>
    <row r="31" spans="2:10" x14ac:dyDescent="0.35">
      <c r="B31" s="23"/>
      <c r="C31" s="25"/>
      <c r="D31" s="15"/>
      <c r="E31" s="15"/>
      <c r="F31" s="15"/>
      <c r="G31" s="15"/>
      <c r="H31" s="15"/>
      <c r="I31" s="35"/>
      <c r="J31" s="15">
        <f t="shared" si="10"/>
        <v>0</v>
      </c>
    </row>
    <row r="32" spans="2:10" x14ac:dyDescent="0.35">
      <c r="B32" s="23"/>
      <c r="C32" s="25"/>
      <c r="D32" s="15"/>
      <c r="E32" s="11"/>
      <c r="F32" s="11"/>
      <c r="G32" s="11"/>
      <c r="H32" s="11"/>
      <c r="J32" s="15">
        <f t="shared" si="10"/>
        <v>0</v>
      </c>
    </row>
    <row r="33" spans="2:10" x14ac:dyDescent="0.35">
      <c r="B33" s="23"/>
      <c r="C33" s="9" t="s">
        <v>17</v>
      </c>
      <c r="D33" s="16">
        <f>SUM(D29:D32)</f>
        <v>7000000</v>
      </c>
      <c r="E33" s="16">
        <f>SUM(E29:E32)</f>
        <v>7000000</v>
      </c>
      <c r="F33" s="16">
        <f>SUM(F29:F32)</f>
        <v>7200000</v>
      </c>
      <c r="G33" s="16">
        <f t="shared" ref="G33:H33" si="13">SUM(G29:G32)</f>
        <v>400000</v>
      </c>
      <c r="H33" s="16">
        <f t="shared" si="13"/>
        <v>400000</v>
      </c>
      <c r="J33" s="16">
        <f>SUM(D33:H33)</f>
        <v>22000000</v>
      </c>
    </row>
    <row r="34" spans="2:10" x14ac:dyDescent="0.35">
      <c r="B34" s="23"/>
      <c r="C34" s="14" t="s">
        <v>51</v>
      </c>
      <c r="D34" s="13" t="s">
        <v>36</v>
      </c>
      <c r="E34" s="10"/>
      <c r="F34" s="10"/>
      <c r="G34" s="10"/>
      <c r="H34" s="10"/>
      <c r="J34" s="15"/>
    </row>
    <row r="35" spans="2:10" x14ac:dyDescent="0.35">
      <c r="B35" s="23"/>
      <c r="C35" s="25" t="s">
        <v>52</v>
      </c>
      <c r="D35" s="15">
        <v>40000</v>
      </c>
      <c r="E35" s="15">
        <v>40000</v>
      </c>
      <c r="F35" s="15">
        <v>40000</v>
      </c>
      <c r="G35" s="15">
        <v>40000</v>
      </c>
      <c r="H35" s="15">
        <v>40000</v>
      </c>
      <c r="J35" s="15">
        <f t="shared" si="10"/>
        <v>200000</v>
      </c>
    </row>
    <row r="36" spans="2:10" x14ac:dyDescent="0.35">
      <c r="B36" s="23"/>
      <c r="C36" s="25" t="s">
        <v>53</v>
      </c>
      <c r="D36" s="69">
        <v>20000</v>
      </c>
      <c r="E36" s="69">
        <v>20000</v>
      </c>
      <c r="F36" s="69">
        <v>20000</v>
      </c>
      <c r="G36" s="69">
        <v>20000</v>
      </c>
      <c r="H36" s="69">
        <v>20000</v>
      </c>
      <c r="J36" s="15">
        <f>SUM(D36:H36)</f>
        <v>100000</v>
      </c>
    </row>
    <row r="37" spans="2:10" x14ac:dyDescent="0.35">
      <c r="B37" s="23"/>
      <c r="C37" s="10"/>
      <c r="D37" s="15"/>
      <c r="E37" s="11"/>
      <c r="F37" s="11"/>
      <c r="G37" s="11"/>
      <c r="H37" s="11"/>
      <c r="J37" s="15">
        <f t="shared" si="10"/>
        <v>0</v>
      </c>
    </row>
    <row r="38" spans="2:10" x14ac:dyDescent="0.35">
      <c r="B38" s="24"/>
      <c r="C38" s="9" t="s">
        <v>18</v>
      </c>
      <c r="D38" s="16">
        <f>SUM(D35:D37)</f>
        <v>60000</v>
      </c>
      <c r="E38" s="16">
        <f>SUM(E35:E37)</f>
        <v>60000</v>
      </c>
      <c r="F38" s="16">
        <f>SUM(F35:F37)</f>
        <v>60000</v>
      </c>
      <c r="G38" s="16">
        <f>SUM(G35:G37)</f>
        <v>60000</v>
      </c>
      <c r="H38" s="16">
        <f>SUM(H35:H37)</f>
        <v>60000</v>
      </c>
      <c r="J38" s="16">
        <f>SUM(D38:H38)</f>
        <v>300000</v>
      </c>
    </row>
    <row r="39" spans="2:10" x14ac:dyDescent="0.35">
      <c r="B39" s="24"/>
      <c r="C39" s="9" t="s">
        <v>19</v>
      </c>
      <c r="D39" s="16">
        <f>SUM(D38,D33,D27,D22,D19,D16,D11)</f>
        <v>7461534.4781999998</v>
      </c>
      <c r="E39" s="16">
        <f>SUM(E38,E33,E27,E22,E19,E16,E11)</f>
        <v>7461994.5125460001</v>
      </c>
      <c r="F39" s="16">
        <f>SUM(F38,F33,F27,F22,F19,F16,F11)</f>
        <v>7673901.3479223801</v>
      </c>
      <c r="G39" s="16">
        <f>SUM(G38,G33,G27,G22,G19,G16,G11)</f>
        <v>886165.38836005144</v>
      </c>
      <c r="H39" s="16">
        <f>SUM(H38,H33,H27,H22,H19,H16,H11)</f>
        <v>898797.35001085291</v>
      </c>
      <c r="J39" s="16">
        <f t="shared" si="10"/>
        <v>24382393.077039283</v>
      </c>
    </row>
    <row r="40" spans="2:10" x14ac:dyDescent="0.35">
      <c r="B40" s="6"/>
      <c r="D40"/>
      <c r="E40"/>
      <c r="H40"/>
      <c r="I40"/>
      <c r="J40" t="s">
        <v>20</v>
      </c>
    </row>
    <row r="41" spans="2:10" ht="29" x14ac:dyDescent="0.35">
      <c r="B41" s="66" t="s">
        <v>54</v>
      </c>
      <c r="C41" s="17" t="s">
        <v>54</v>
      </c>
      <c r="D41" s="18"/>
      <c r="E41" s="18"/>
      <c r="F41" s="18"/>
      <c r="G41" s="18"/>
      <c r="H41" s="18"/>
      <c r="I41"/>
      <c r="J41" s="18" t="s">
        <v>20</v>
      </c>
    </row>
    <row r="42" spans="2:10" x14ac:dyDescent="0.35">
      <c r="B42" s="23"/>
      <c r="C42" s="25"/>
      <c r="D42" s="13"/>
      <c r="E42" s="10"/>
      <c r="F42" s="10"/>
      <c r="G42" s="10"/>
      <c r="H42" s="10"/>
      <c r="J42" s="15">
        <f>SUM(D42:H42)</f>
        <v>0</v>
      </c>
    </row>
    <row r="43" spans="2:10" x14ac:dyDescent="0.35">
      <c r="B43" s="23"/>
      <c r="C43" s="25"/>
      <c r="D43" s="13"/>
      <c r="E43" s="10"/>
      <c r="F43" s="10"/>
      <c r="G43" s="10"/>
      <c r="H43" s="10"/>
      <c r="J43" s="15">
        <f t="shared" ref="J43" si="14">SUM(D43:H43)</f>
        <v>0</v>
      </c>
    </row>
    <row r="44" spans="2:10" x14ac:dyDescent="0.35">
      <c r="B44" s="24"/>
      <c r="C44" s="9" t="s">
        <v>21</v>
      </c>
      <c r="D44" s="16">
        <f>SUM(D42:D43)</f>
        <v>0</v>
      </c>
      <c r="E44" s="16">
        <f t="shared" ref="E44:H44" si="15">SUM(E42:E43)</f>
        <v>0</v>
      </c>
      <c r="F44" s="16">
        <f t="shared" si="15"/>
        <v>0</v>
      </c>
      <c r="G44" s="16">
        <f t="shared" si="15"/>
        <v>0</v>
      </c>
      <c r="H44" s="16">
        <f t="shared" si="15"/>
        <v>0</v>
      </c>
      <c r="J44" s="16">
        <f>SUM(J42:J43)</f>
        <v>0</v>
      </c>
    </row>
    <row r="45" spans="2:10" ht="15" thickBot="1" x14ac:dyDescent="0.4">
      <c r="B45" s="6"/>
      <c r="D45"/>
      <c r="E45"/>
      <c r="H45"/>
      <c r="I45"/>
      <c r="J45" t="s">
        <v>20</v>
      </c>
    </row>
    <row r="46" spans="2:10" s="1" customFormat="1" ht="29.5" thickBot="1" x14ac:dyDescent="0.4">
      <c r="B46" s="19" t="s">
        <v>22</v>
      </c>
      <c r="C46" s="19"/>
      <c r="D46" s="20">
        <f>SUM(D44,D39)</f>
        <v>7461534.4781999998</v>
      </c>
      <c r="E46" s="20">
        <f t="shared" ref="E46:J46" si="16">SUM(E44,E39)</f>
        <v>7461994.5125460001</v>
      </c>
      <c r="F46" s="20">
        <f t="shared" si="16"/>
        <v>7673901.3479223801</v>
      </c>
      <c r="G46" s="20">
        <f t="shared" si="16"/>
        <v>886165.38836005144</v>
      </c>
      <c r="H46" s="20">
        <f t="shared" si="16"/>
        <v>898797.35001085291</v>
      </c>
      <c r="I46" s="7"/>
      <c r="J46" s="20">
        <f t="shared" si="16"/>
        <v>24382393.077039283</v>
      </c>
    </row>
    <row r="47" spans="2:10" x14ac:dyDescent="0.35">
      <c r="B47" s="6"/>
    </row>
    <row r="48" spans="2:10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  <row r="52" spans="2:2" x14ac:dyDescent="0.35">
      <c r="B52" s="6"/>
    </row>
    <row r="53" spans="2:2" x14ac:dyDescent="0.35">
      <c r="B53" s="6"/>
    </row>
    <row r="54" spans="2:2" x14ac:dyDescent="0.35">
      <c r="B54" s="6"/>
    </row>
    <row r="55" spans="2:2" x14ac:dyDescent="0.35">
      <c r="B55" s="6"/>
    </row>
    <row r="56" spans="2:2" x14ac:dyDescent="0.35">
      <c r="B56" s="6"/>
    </row>
    <row r="57" spans="2:2" x14ac:dyDescent="0.35">
      <c r="B57" s="6"/>
    </row>
    <row r="58" spans="2:2" x14ac:dyDescent="0.35">
      <c r="B58" s="6"/>
    </row>
    <row r="59" spans="2:2" x14ac:dyDescent="0.35">
      <c r="B59" s="6"/>
    </row>
    <row r="60" spans="2:2" x14ac:dyDescent="0.35">
      <c r="B60" s="6"/>
    </row>
    <row r="61" spans="2:2" x14ac:dyDescent="0.35">
      <c r="B61" s="6"/>
    </row>
  </sheetData>
  <pageMargins left="0.7" right="0.7" top="0.75" bottom="0.75" header="0.3" footer="0.3"/>
  <pageSetup scale="97" fitToHeight="0" orientation="landscape" r:id="rId1"/>
  <ignoredErrors>
    <ignoredError sqref="J18 J29 J8 J3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0"/>
  <sheetViews>
    <sheetView showGridLines="0" zoomScale="76" zoomScaleNormal="85" workbookViewId="0">
      <pane xSplit="3" ySplit="6" topLeftCell="D29" activePane="bottomRight" state="frozen"/>
      <selection pane="topRight" activeCell="R20" sqref="R20:W20"/>
      <selection pane="bottomLeft" activeCell="R20" sqref="R20:W20"/>
      <selection pane="bottomRight" activeCell="M33" sqref="M33"/>
    </sheetView>
  </sheetViews>
  <sheetFormatPr defaultColWidth="9.36328125" defaultRowHeight="14.5" x14ac:dyDescent="0.35"/>
  <cols>
    <col min="1" max="1" width="3.36328125" customWidth="1"/>
    <col min="2" max="2" width="10.6328125" customWidth="1"/>
    <col min="3" max="3" width="41.54296875" customWidth="1"/>
    <col min="4" max="4" width="16" style="6" customWidth="1"/>
    <col min="5" max="5" width="15" style="2" customWidth="1"/>
    <col min="6" max="6" width="16.6328125" customWidth="1"/>
    <col min="7" max="7" width="13.36328125" bestFit="1" customWidth="1"/>
    <col min="8" max="8" width="12.54296875" style="2" customWidth="1"/>
    <col min="9" max="9" width="0.6328125" style="7" customWidth="1"/>
    <col min="10" max="10" width="18.54296875" bestFit="1" customWidth="1"/>
    <col min="11" max="11" width="10.36328125" customWidth="1"/>
  </cols>
  <sheetData>
    <row r="2" spans="2:39" ht="23.5" x14ac:dyDescent="0.55000000000000004">
      <c r="B2" s="30" t="s">
        <v>86</v>
      </c>
    </row>
    <row r="3" spans="2:39" x14ac:dyDescent="0.35">
      <c r="B3" s="60" t="s">
        <v>34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 t="s">
        <v>55</v>
      </c>
      <c r="D8" s="15">
        <v>92030</v>
      </c>
      <c r="E8" s="15">
        <f>D8*1.03</f>
        <v>94790.900000000009</v>
      </c>
      <c r="F8" s="15">
        <f t="shared" ref="F8:H8" si="0">E8*1.03</f>
        <v>97634.627000000008</v>
      </c>
      <c r="G8" s="15">
        <f t="shared" si="0"/>
        <v>100563.66581000001</v>
      </c>
      <c r="H8" s="15">
        <f t="shared" si="0"/>
        <v>103580.5757843</v>
      </c>
      <c r="I8" s="35">
        <v>450000</v>
      </c>
      <c r="J8" s="15">
        <f>SUM(D8:H8)</f>
        <v>488599.76859430003</v>
      </c>
    </row>
    <row r="9" spans="2:39" ht="32.25" customHeight="1" x14ac:dyDescent="0.35">
      <c r="B9" s="23"/>
      <c r="C9" s="25" t="s">
        <v>56</v>
      </c>
      <c r="D9" s="15">
        <v>75442</v>
      </c>
      <c r="E9" s="15">
        <f>D9*1.03</f>
        <v>77705.259999999995</v>
      </c>
      <c r="F9" s="15">
        <f t="shared" ref="F9:H9" si="1">E9*1.03</f>
        <v>80036.417799999996</v>
      </c>
      <c r="G9" s="15">
        <f t="shared" si="1"/>
        <v>82437.510333999991</v>
      </c>
      <c r="H9" s="15">
        <f t="shared" si="1"/>
        <v>84910.635644019989</v>
      </c>
      <c r="J9" s="15">
        <f>SUM(D9:H9)</f>
        <v>400531.82377801999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167472</v>
      </c>
      <c r="E11" s="16">
        <f t="shared" ref="E11:I11" si="2">SUM(E8:E10)</f>
        <v>172496.16</v>
      </c>
      <c r="F11" s="16">
        <f t="shared" si="2"/>
        <v>177671.0448</v>
      </c>
      <c r="G11" s="16">
        <f t="shared" si="2"/>
        <v>183001.176144</v>
      </c>
      <c r="H11" s="16">
        <f t="shared" si="2"/>
        <v>188491.21142831998</v>
      </c>
      <c r="I11" s="7">
        <f t="shared" si="2"/>
        <v>450000</v>
      </c>
      <c r="J11" s="16">
        <f>SUM(D11:H11)</f>
        <v>889131.59237232013</v>
      </c>
    </row>
    <row r="12" spans="2:39" x14ac:dyDescent="0.35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tr">
        <f>'Measure 1 Budget - Cargo Bikes'!C13</f>
        <v>NYC 58.63% Fringe Benefits</v>
      </c>
      <c r="D13" s="68">
        <f>0.5863*D11</f>
        <v>98188.833600000013</v>
      </c>
      <c r="E13" s="68">
        <f t="shared" ref="E13:H13" si="3">0.5863*E11</f>
        <v>101134.49860800001</v>
      </c>
      <c r="F13" s="68">
        <f t="shared" si="3"/>
        <v>104168.53356624</v>
      </c>
      <c r="G13" s="68">
        <f t="shared" si="3"/>
        <v>107293.5895732272</v>
      </c>
      <c r="H13" s="68">
        <f t="shared" si="3"/>
        <v>110512.39726042401</v>
      </c>
      <c r="J13" s="15">
        <f>SUM(D13:H13)</f>
        <v>521297.8526078912</v>
      </c>
    </row>
    <row r="14" spans="2:39" x14ac:dyDescent="0.35">
      <c r="B14" s="23"/>
      <c r="C14" s="10"/>
      <c r="D14" s="15"/>
      <c r="E14" s="11"/>
      <c r="F14" s="11"/>
      <c r="G14" s="11"/>
      <c r="H14" s="11"/>
      <c r="J14" s="15">
        <f t="shared" ref="J14" si="4">SUM(D14:H14)</f>
        <v>0</v>
      </c>
    </row>
    <row r="15" spans="2:39" x14ac:dyDescent="0.35">
      <c r="B15" s="23"/>
      <c r="C15" s="9" t="s">
        <v>13</v>
      </c>
      <c r="D15" s="16">
        <f t="shared" ref="D15:I15" si="5">SUM(D13:D14)</f>
        <v>98188.833600000013</v>
      </c>
      <c r="E15" s="16">
        <f t="shared" si="5"/>
        <v>101134.49860800001</v>
      </c>
      <c r="F15" s="16">
        <f t="shared" si="5"/>
        <v>104168.53356624</v>
      </c>
      <c r="G15" s="16">
        <f t="shared" si="5"/>
        <v>107293.5895732272</v>
      </c>
      <c r="H15" s="16">
        <f t="shared" si="5"/>
        <v>110512.39726042401</v>
      </c>
      <c r="I15" s="7">
        <f t="shared" si="5"/>
        <v>0</v>
      </c>
      <c r="J15" s="16">
        <f>SUM(D15:H15)</f>
        <v>521297.8526078912</v>
      </c>
    </row>
    <row r="16" spans="2:39" x14ac:dyDescent="0.35">
      <c r="B16" s="23"/>
      <c r="C16" s="14" t="s">
        <v>41</v>
      </c>
      <c r="D16" s="13" t="s">
        <v>36</v>
      </c>
      <c r="E16" s="10"/>
      <c r="F16" s="10"/>
      <c r="G16" s="10"/>
      <c r="H16" s="10"/>
      <c r="J16" s="8" t="s">
        <v>36</v>
      </c>
    </row>
    <row r="17" spans="2:10" x14ac:dyDescent="0.35">
      <c r="B17" s="23"/>
      <c r="C17" s="25"/>
      <c r="D17" s="15"/>
      <c r="E17" s="15"/>
      <c r="F17" s="15"/>
      <c r="G17" s="15"/>
      <c r="H17" s="15"/>
      <c r="I17" s="35">
        <v>1638</v>
      </c>
      <c r="J17" s="15">
        <f t="shared" ref="J17" si="6">SUM(D17:H17)</f>
        <v>0</v>
      </c>
    </row>
    <row r="18" spans="2:10" x14ac:dyDescent="0.35">
      <c r="B18" s="23"/>
      <c r="C18" s="9" t="s">
        <v>14</v>
      </c>
      <c r="D18" s="16">
        <f>SUM(D17:D17)</f>
        <v>0</v>
      </c>
      <c r="E18" s="16">
        <f>SUM(E17:E17)</f>
        <v>0</v>
      </c>
      <c r="F18" s="16">
        <f>SUM(F17:F17)</f>
        <v>0</v>
      </c>
      <c r="G18" s="16">
        <f>SUM(G17:G17)</f>
        <v>0</v>
      </c>
      <c r="H18" s="16">
        <f>SUM(H17:H17)</f>
        <v>0</v>
      </c>
      <c r="J18" s="16">
        <f>SUM(D18:H18)</f>
        <v>0</v>
      </c>
    </row>
    <row r="19" spans="2:10" x14ac:dyDescent="0.35">
      <c r="B19" s="23"/>
      <c r="C19" s="14" t="s">
        <v>42</v>
      </c>
      <c r="D19" s="15"/>
      <c r="E19" s="10"/>
      <c r="F19" s="10"/>
      <c r="G19" s="10"/>
      <c r="H19" s="10"/>
      <c r="J19" s="15" t="s">
        <v>20</v>
      </c>
    </row>
    <row r="20" spans="2:10" x14ac:dyDescent="0.35">
      <c r="B20" s="23"/>
      <c r="C20" s="25"/>
      <c r="D20" s="67"/>
      <c r="E20" s="67"/>
      <c r="F20" s="67"/>
      <c r="G20" s="67"/>
      <c r="H20" s="67"/>
      <c r="J20" s="15">
        <f>SUM(D20:H20)</f>
        <v>0</v>
      </c>
    </row>
    <row r="21" spans="2:10" x14ac:dyDescent="0.35">
      <c r="B21" s="23"/>
      <c r="C21" s="9" t="s">
        <v>15</v>
      </c>
      <c r="D21" s="12">
        <f>SUM(D20:D20)</f>
        <v>0</v>
      </c>
      <c r="E21" s="12">
        <f>SUM(E20:E20)</f>
        <v>0</v>
      </c>
      <c r="F21" s="12">
        <f>SUM(F20:F20)</f>
        <v>0</v>
      </c>
      <c r="G21" s="12">
        <f>SUM(G20:G20)</f>
        <v>0</v>
      </c>
      <c r="H21" s="12">
        <f>SUM(H20:H20)</f>
        <v>0</v>
      </c>
      <c r="J21" s="16">
        <f>SUM(D21:H21)</f>
        <v>0</v>
      </c>
    </row>
    <row r="22" spans="2:10" x14ac:dyDescent="0.35">
      <c r="B22" s="23"/>
      <c r="C22" s="14" t="s">
        <v>44</v>
      </c>
      <c r="D22" s="13" t="s">
        <v>36</v>
      </c>
      <c r="E22" s="10"/>
      <c r="F22" s="10"/>
      <c r="G22" s="10"/>
      <c r="H22" s="10"/>
      <c r="J22" s="15"/>
    </row>
    <row r="23" spans="2:10" x14ac:dyDescent="0.35">
      <c r="B23" s="23"/>
      <c r="C23" s="25" t="s">
        <v>45</v>
      </c>
      <c r="D23" s="67">
        <f>(COUNTA($C$8:$C$10))*3000+(COUNTA($C$8:$C$10))*1500</f>
        <v>9000</v>
      </c>
      <c r="E23" s="67">
        <f>(COUNTA($C$8:$C$10))*1500</f>
        <v>3000</v>
      </c>
      <c r="F23" s="67">
        <f>(COUNTA($C$8:$C$10))*1500</f>
        <v>3000</v>
      </c>
      <c r="G23" s="67">
        <f>(COUNTA($C$8:$C$10))*1500</f>
        <v>3000</v>
      </c>
      <c r="H23" s="67">
        <f>(COUNTA($C$8:$C$10))*1500</f>
        <v>3000</v>
      </c>
      <c r="I23" s="35">
        <v>5000</v>
      </c>
      <c r="J23" s="15">
        <f t="shared" ref="J23:J38" si="7">SUM(D23:H23)</f>
        <v>21000</v>
      </c>
    </row>
    <row r="24" spans="2:10" x14ac:dyDescent="0.35">
      <c r="B24" s="23"/>
      <c r="C24" s="25" t="s">
        <v>46</v>
      </c>
      <c r="D24" s="67">
        <f>(COUNTA($C$8:$C$10))*200</f>
        <v>400</v>
      </c>
      <c r="E24" s="67">
        <v>0</v>
      </c>
      <c r="F24" s="67">
        <v>0</v>
      </c>
      <c r="G24" s="67">
        <v>0</v>
      </c>
      <c r="H24" s="67">
        <v>0</v>
      </c>
      <c r="I24" s="35"/>
      <c r="J24" s="15">
        <f t="shared" si="7"/>
        <v>400</v>
      </c>
    </row>
    <row r="25" spans="2:10" x14ac:dyDescent="0.35">
      <c r="B25" s="23"/>
      <c r="C25" s="25" t="s">
        <v>47</v>
      </c>
      <c r="D25" s="67">
        <f>(COUNTA($C$8:$C$10))*500+(COUNTA($C$8:$C$10))*200</f>
        <v>1400</v>
      </c>
      <c r="E25" s="67">
        <f>(COUNTA($C$8:$C$10))*200</f>
        <v>400</v>
      </c>
      <c r="F25" s="67">
        <f t="shared" ref="F25:H25" si="8">(COUNTA($C$8:$C$10))*200</f>
        <v>400</v>
      </c>
      <c r="G25" s="67">
        <f t="shared" si="8"/>
        <v>400</v>
      </c>
      <c r="H25" s="67">
        <f t="shared" si="8"/>
        <v>400</v>
      </c>
      <c r="J25" s="15">
        <f t="shared" si="7"/>
        <v>3000</v>
      </c>
    </row>
    <row r="26" spans="2:10" x14ac:dyDescent="0.35">
      <c r="B26" s="23"/>
      <c r="C26" s="9" t="s">
        <v>16</v>
      </c>
      <c r="D26" s="16">
        <f>SUM(D23:D25)</f>
        <v>10800</v>
      </c>
      <c r="E26" s="16">
        <f t="shared" ref="E26:H26" si="9">SUM(E23:E25)</f>
        <v>3400</v>
      </c>
      <c r="F26" s="16">
        <f t="shared" si="9"/>
        <v>3400</v>
      </c>
      <c r="G26" s="16">
        <f t="shared" si="9"/>
        <v>3400</v>
      </c>
      <c r="H26" s="16">
        <f t="shared" si="9"/>
        <v>3400</v>
      </c>
      <c r="J26" s="16">
        <f>SUM(D26:H26)</f>
        <v>24400</v>
      </c>
    </row>
    <row r="27" spans="2:10" x14ac:dyDescent="0.35">
      <c r="B27" s="23"/>
      <c r="C27" s="14" t="s">
        <v>48</v>
      </c>
      <c r="D27" s="13" t="s">
        <v>36</v>
      </c>
      <c r="E27" s="10"/>
      <c r="F27" s="10"/>
      <c r="G27" s="10"/>
      <c r="H27" s="10"/>
      <c r="J27" s="15"/>
    </row>
    <row r="28" spans="2:10" ht="43.5" x14ac:dyDescent="0.35">
      <c r="B28" s="23"/>
      <c r="C28" s="25" t="s">
        <v>57</v>
      </c>
      <c r="D28" s="15"/>
      <c r="E28" s="15">
        <v>8224364.4031432001</v>
      </c>
      <c r="F28" s="15">
        <v>8553338.979268929</v>
      </c>
      <c r="G28" s="15"/>
      <c r="H28" s="15"/>
      <c r="I28" s="35"/>
      <c r="J28" s="15">
        <f t="shared" ref="J28:J33" si="10">SUM(D28:H28)</f>
        <v>16777703.382412128</v>
      </c>
    </row>
    <row r="29" spans="2:10" x14ac:dyDescent="0.35">
      <c r="B29" s="23"/>
      <c r="C29" s="25" t="s">
        <v>58</v>
      </c>
      <c r="D29" s="15">
        <v>385758.18025999999</v>
      </c>
      <c r="E29" s="15">
        <v>401188.50747040001</v>
      </c>
      <c r="F29" s="15"/>
      <c r="G29" s="15"/>
      <c r="H29" s="15"/>
      <c r="I29" s="35">
        <v>22500000</v>
      </c>
      <c r="J29" s="15">
        <f>SUM(D29:H29)</f>
        <v>786946.68773040001</v>
      </c>
    </row>
    <row r="30" spans="2:10" x14ac:dyDescent="0.35">
      <c r="B30" s="23"/>
      <c r="C30" s="25"/>
      <c r="D30" s="15"/>
      <c r="E30" s="15"/>
      <c r="F30" s="15"/>
      <c r="G30" s="15"/>
      <c r="H30" s="15"/>
      <c r="I30" s="35">
        <v>75000000</v>
      </c>
      <c r="J30" s="15">
        <f>SUM(D30:H30)</f>
        <v>0</v>
      </c>
    </row>
    <row r="31" spans="2:10" x14ac:dyDescent="0.35">
      <c r="B31" s="23"/>
      <c r="C31" s="25"/>
      <c r="D31" s="15"/>
      <c r="E31" s="15"/>
      <c r="F31" s="15"/>
      <c r="G31" s="15"/>
      <c r="H31" s="15"/>
      <c r="I31" s="35"/>
      <c r="J31" s="15">
        <f t="shared" si="10"/>
        <v>0</v>
      </c>
    </row>
    <row r="32" spans="2:10" x14ac:dyDescent="0.35">
      <c r="B32" s="23"/>
      <c r="C32" s="25"/>
      <c r="D32" s="15"/>
      <c r="E32" s="15"/>
      <c r="F32" s="15"/>
      <c r="G32" s="15"/>
      <c r="H32" s="15"/>
      <c r="J32" s="15">
        <f t="shared" si="10"/>
        <v>0</v>
      </c>
    </row>
    <row r="33" spans="2:10" x14ac:dyDescent="0.35">
      <c r="B33" s="23"/>
      <c r="C33" s="9" t="s">
        <v>17</v>
      </c>
      <c r="D33" s="16">
        <f>SUM(D28:D32)</f>
        <v>385758.18025999999</v>
      </c>
      <c r="E33" s="16">
        <f t="shared" ref="E33:H33" si="11">SUM(E28:E32)</f>
        <v>8625552.9106136002</v>
      </c>
      <c r="F33" s="16">
        <f t="shared" si="11"/>
        <v>8553338.979268929</v>
      </c>
      <c r="G33" s="16">
        <f t="shared" si="11"/>
        <v>0</v>
      </c>
      <c r="H33" s="16">
        <f t="shared" si="11"/>
        <v>0</v>
      </c>
      <c r="J33" s="16">
        <f t="shared" si="10"/>
        <v>17564650.07014253</v>
      </c>
    </row>
    <row r="34" spans="2:10" x14ac:dyDescent="0.35">
      <c r="B34" s="23"/>
      <c r="C34" s="14" t="s">
        <v>51</v>
      </c>
      <c r="D34" s="13" t="s">
        <v>36</v>
      </c>
      <c r="E34" s="10"/>
      <c r="F34" s="10"/>
      <c r="G34" s="10"/>
      <c r="H34" s="10"/>
      <c r="J34" s="15"/>
    </row>
    <row r="35" spans="2:10" x14ac:dyDescent="0.35">
      <c r="B35" s="23"/>
      <c r="C35" s="25" t="s">
        <v>53</v>
      </c>
      <c r="D35" s="69">
        <v>20000</v>
      </c>
      <c r="E35" s="69">
        <v>20000</v>
      </c>
      <c r="F35" s="69">
        <v>20000</v>
      </c>
      <c r="G35" s="69">
        <v>20000</v>
      </c>
      <c r="H35" s="69">
        <v>20000</v>
      </c>
      <c r="I35" s="35">
        <v>781250</v>
      </c>
      <c r="J35" s="15">
        <f t="shared" si="7"/>
        <v>100000</v>
      </c>
    </row>
    <row r="36" spans="2:10" x14ac:dyDescent="0.35">
      <c r="B36" s="23"/>
      <c r="C36" s="10"/>
      <c r="D36" s="15"/>
      <c r="E36" s="11"/>
      <c r="F36" s="11"/>
      <c r="G36" s="11"/>
      <c r="H36" s="11"/>
      <c r="J36" s="15">
        <f t="shared" si="7"/>
        <v>0</v>
      </c>
    </row>
    <row r="37" spans="2:10" x14ac:dyDescent="0.35">
      <c r="B37" s="24"/>
      <c r="C37" s="9" t="s">
        <v>18</v>
      </c>
      <c r="D37" s="16">
        <f>SUM(D35:D36)</f>
        <v>20000</v>
      </c>
      <c r="E37" s="16">
        <f>SUM(E35:E36)</f>
        <v>20000</v>
      </c>
      <c r="F37" s="16">
        <f>SUM(F35:F36)</f>
        <v>20000</v>
      </c>
      <c r="G37" s="16">
        <f>SUM(G35:G36)</f>
        <v>20000</v>
      </c>
      <c r="H37" s="16">
        <f>SUM(H35:H36)</f>
        <v>20000</v>
      </c>
      <c r="J37" s="16">
        <f t="shared" si="7"/>
        <v>100000</v>
      </c>
    </row>
    <row r="38" spans="2:10" x14ac:dyDescent="0.35">
      <c r="B38" s="24"/>
      <c r="C38" s="9" t="s">
        <v>19</v>
      </c>
      <c r="D38" s="16">
        <f>SUM(D37,D33,D26,D21,D18,D15,D11)</f>
        <v>682219.01386000006</v>
      </c>
      <c r="E38" s="16">
        <f>SUM(E37,E33,E26,E21,E18,E15,E11)</f>
        <v>8922583.5692216009</v>
      </c>
      <c r="F38" s="16">
        <f>SUM(F37,F33,F26,F21,F18,F15,F11)</f>
        <v>8858578.5576351695</v>
      </c>
      <c r="G38" s="16">
        <f>SUM(G37,G33,G26,G21,G18,G15,G11)</f>
        <v>313694.76571722719</v>
      </c>
      <c r="H38" s="16">
        <f>SUM(H37,H33,H26,H21,H18,H15,H11)</f>
        <v>322403.60868874402</v>
      </c>
      <c r="J38" s="16">
        <f t="shared" si="7"/>
        <v>19099479.515122741</v>
      </c>
    </row>
    <row r="39" spans="2:10" x14ac:dyDescent="0.35">
      <c r="B39" s="6"/>
      <c r="D39"/>
      <c r="E39"/>
      <c r="H39"/>
      <c r="I39"/>
      <c r="J39" t="s">
        <v>20</v>
      </c>
    </row>
    <row r="40" spans="2:10" ht="29" x14ac:dyDescent="0.35">
      <c r="B40" s="66" t="s">
        <v>54</v>
      </c>
      <c r="C40" s="17" t="s">
        <v>54</v>
      </c>
      <c r="D40" s="18"/>
      <c r="E40" s="18"/>
      <c r="F40" s="18"/>
      <c r="G40" s="18"/>
      <c r="H40" s="18"/>
      <c r="I40"/>
      <c r="J40" s="18" t="s">
        <v>20</v>
      </c>
    </row>
    <row r="41" spans="2:10" x14ac:dyDescent="0.35">
      <c r="B41" s="23"/>
      <c r="C41" s="25"/>
      <c r="D41" s="13"/>
      <c r="E41" s="10"/>
      <c r="F41" s="10"/>
      <c r="G41" s="10"/>
      <c r="H41" s="10"/>
      <c r="J41" s="15">
        <f>SUM(D41:H41)</f>
        <v>0</v>
      </c>
    </row>
    <row r="42" spans="2:10" x14ac:dyDescent="0.35">
      <c r="B42" s="23"/>
      <c r="C42" s="25"/>
      <c r="D42" s="13"/>
      <c r="E42" s="10"/>
      <c r="F42" s="10"/>
      <c r="G42" s="10"/>
      <c r="H42" s="10"/>
      <c r="J42" s="15">
        <f t="shared" ref="J42:J43" si="12">SUM(D42:H42)</f>
        <v>0</v>
      </c>
    </row>
    <row r="43" spans="2:10" x14ac:dyDescent="0.35">
      <c r="B43" s="24"/>
      <c r="C43" s="9" t="s">
        <v>21</v>
      </c>
      <c r="D43" s="16">
        <f>SUM(D41:D42)</f>
        <v>0</v>
      </c>
      <c r="E43" s="16">
        <f t="shared" ref="E43:H43" si="13">SUM(E41:E42)</f>
        <v>0</v>
      </c>
      <c r="F43" s="16">
        <f t="shared" si="13"/>
        <v>0</v>
      </c>
      <c r="G43" s="16">
        <f t="shared" si="13"/>
        <v>0</v>
      </c>
      <c r="H43" s="16">
        <f t="shared" si="13"/>
        <v>0</v>
      </c>
      <c r="J43" s="16">
        <f t="shared" si="12"/>
        <v>0</v>
      </c>
    </row>
    <row r="44" spans="2:10" ht="15" thickBot="1" x14ac:dyDescent="0.4">
      <c r="B44" s="6"/>
      <c r="D44"/>
      <c r="E44"/>
      <c r="H44"/>
      <c r="I44"/>
      <c r="J44" t="s">
        <v>20</v>
      </c>
    </row>
    <row r="45" spans="2:10" s="1" customFormat="1" ht="29.5" thickBot="1" x14ac:dyDescent="0.4">
      <c r="B45" s="19" t="s">
        <v>22</v>
      </c>
      <c r="C45" s="19"/>
      <c r="D45" s="20">
        <f>SUM(D43,D38)</f>
        <v>682219.01386000006</v>
      </c>
      <c r="E45" s="20">
        <f t="shared" ref="E45:J45" si="14">SUM(E43,E38)</f>
        <v>8922583.5692216009</v>
      </c>
      <c r="F45" s="20">
        <f t="shared" si="14"/>
        <v>8858578.5576351695</v>
      </c>
      <c r="G45" s="20">
        <f t="shared" si="14"/>
        <v>313694.76571722719</v>
      </c>
      <c r="H45" s="20">
        <f t="shared" si="14"/>
        <v>322403.60868874402</v>
      </c>
      <c r="I45" s="7">
        <f>SUM(I43,I38)</f>
        <v>0</v>
      </c>
      <c r="J45" s="20">
        <f t="shared" si="14"/>
        <v>19099479.515122741</v>
      </c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  <row r="52" spans="2:2" x14ac:dyDescent="0.35">
      <c r="B52" s="6"/>
    </row>
    <row r="53" spans="2:2" x14ac:dyDescent="0.35">
      <c r="B53" s="6"/>
    </row>
    <row r="54" spans="2:2" x14ac:dyDescent="0.35">
      <c r="B54" s="6"/>
    </row>
    <row r="55" spans="2:2" x14ac:dyDescent="0.35">
      <c r="B55" s="6"/>
    </row>
    <row r="56" spans="2:2" x14ac:dyDescent="0.35">
      <c r="B56" s="6"/>
    </row>
    <row r="57" spans="2:2" x14ac:dyDescent="0.35">
      <c r="B57" s="6"/>
    </row>
    <row r="58" spans="2:2" x14ac:dyDescent="0.35">
      <c r="B58" s="6"/>
    </row>
    <row r="59" spans="2:2" x14ac:dyDescent="0.35">
      <c r="B59" s="6"/>
    </row>
    <row r="60" spans="2:2" x14ac:dyDescent="0.35">
      <c r="B60" s="6"/>
    </row>
  </sheetData>
  <pageMargins left="0.7" right="0.7" top="0.75" bottom="0.75" header="0.3" footer="0.3"/>
  <pageSetup scale="89" fitToHeight="0" orientation="landscape" r:id="rId1"/>
  <ignoredErrors>
    <ignoredError sqref="J35 J23 J17 J29:J3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7"/>
  <sheetViews>
    <sheetView showGridLines="0" zoomScale="91" zoomScaleNormal="85" workbookViewId="0">
      <pane xSplit="3" ySplit="6" topLeftCell="D44" activePane="bottomRight" state="frozen"/>
      <selection pane="topRight" activeCell="R20" sqref="R20:W20"/>
      <selection pane="bottomLeft" activeCell="R20" sqref="R20:W20"/>
      <selection pane="bottomRight" activeCell="J55" sqref="J55"/>
    </sheetView>
  </sheetViews>
  <sheetFormatPr defaultColWidth="9.36328125" defaultRowHeight="14.5" x14ac:dyDescent="0.35"/>
  <cols>
    <col min="1" max="1" width="3.36328125" customWidth="1"/>
    <col min="2" max="2" width="11.453125" customWidth="1"/>
    <col min="3" max="3" width="44.453125" customWidth="1"/>
    <col min="4" max="4" width="13.6328125" style="6" bestFit="1" customWidth="1"/>
    <col min="5" max="5" width="13.6328125" style="2" bestFit="1" customWidth="1"/>
    <col min="6" max="7" width="13.6328125" bestFit="1" customWidth="1"/>
    <col min="8" max="8" width="13.6328125" style="2" bestFit="1" customWidth="1"/>
    <col min="9" max="9" width="0.6328125" style="7" customWidth="1"/>
    <col min="10" max="10" width="16.36328125" customWidth="1"/>
    <col min="11" max="11" width="10.36328125" customWidth="1"/>
    <col min="12" max="12" width="11.36328125" bestFit="1" customWidth="1"/>
  </cols>
  <sheetData>
    <row r="2" spans="2:39" ht="23.5" x14ac:dyDescent="0.55000000000000004">
      <c r="B2" s="30" t="s">
        <v>87</v>
      </c>
    </row>
    <row r="3" spans="2:39" x14ac:dyDescent="0.35">
      <c r="B3" s="5" t="s">
        <v>34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J8" s="15">
        <f t="shared" ref="J8" si="0">SUM(D8:H8)</f>
        <v>0</v>
      </c>
    </row>
    <row r="9" spans="2:39" x14ac:dyDescent="0.35">
      <c r="B9" s="23"/>
      <c r="C9" s="27"/>
      <c r="D9" s="15"/>
      <c r="E9" s="11"/>
      <c r="F9" s="11"/>
      <c r="G9" s="11"/>
      <c r="H9" s="11"/>
      <c r="J9" s="15">
        <f>SUM(D9:H9)</f>
        <v>0</v>
      </c>
    </row>
    <row r="10" spans="2:39" x14ac:dyDescent="0.35">
      <c r="B10" s="23"/>
      <c r="C10" s="9" t="s">
        <v>12</v>
      </c>
      <c r="D10" s="16">
        <f>SUM(D8:D9)</f>
        <v>0</v>
      </c>
      <c r="E10" s="16">
        <f>SUM(E8:E9)</f>
        <v>0</v>
      </c>
      <c r="F10" s="16">
        <f>SUM(F8:F9)</f>
        <v>0</v>
      </c>
      <c r="G10" s="16">
        <f>SUM(G8:G9)</f>
        <v>0</v>
      </c>
      <c r="H10" s="16">
        <f>SUM(H8:H9)</f>
        <v>0</v>
      </c>
      <c r="I10" s="7">
        <f>SUM(I8:I9)</f>
        <v>0</v>
      </c>
      <c r="J10" s="16">
        <f>SUM(D10:H10)</f>
        <v>0</v>
      </c>
    </row>
    <row r="11" spans="2:39" x14ac:dyDescent="0.35">
      <c r="B11" s="23"/>
      <c r="C11" s="14" t="s">
        <v>39</v>
      </c>
      <c r="D11" s="13" t="s">
        <v>36</v>
      </c>
      <c r="E11" s="10"/>
      <c r="F11" s="10"/>
      <c r="G11" s="10"/>
      <c r="H11" s="10"/>
      <c r="J11" s="8" t="s">
        <v>36</v>
      </c>
      <c r="L11" s="70"/>
    </row>
    <row r="12" spans="2:39" x14ac:dyDescent="0.35">
      <c r="B12" s="23"/>
      <c r="C12" s="25"/>
      <c r="D12" s="15"/>
      <c r="E12" s="15"/>
      <c r="F12" s="15"/>
      <c r="G12" s="15"/>
      <c r="H12" s="15"/>
      <c r="J12" s="15">
        <f t="shared" ref="J12:J13" si="1">SUM(D12:H12)</f>
        <v>0</v>
      </c>
    </row>
    <row r="13" spans="2:39" x14ac:dyDescent="0.35">
      <c r="B13" s="23"/>
      <c r="C13" s="10"/>
      <c r="D13" s="15"/>
      <c r="E13" s="11"/>
      <c r="F13" s="11"/>
      <c r="G13" s="11"/>
      <c r="H13" s="11"/>
      <c r="J13" s="15">
        <f t="shared" si="1"/>
        <v>0</v>
      </c>
    </row>
    <row r="14" spans="2:39" x14ac:dyDescent="0.35">
      <c r="B14" s="23"/>
      <c r="C14" s="9" t="s">
        <v>13</v>
      </c>
      <c r="D14" s="16">
        <f>SUM(D12:D13)</f>
        <v>0</v>
      </c>
      <c r="E14" s="16">
        <f>SUM(E12:E13)</f>
        <v>0</v>
      </c>
      <c r="F14" s="16">
        <f>SUM(F12:F13)</f>
        <v>0</v>
      </c>
      <c r="G14" s="16">
        <f>SUM(G12:G13)</f>
        <v>0</v>
      </c>
      <c r="H14" s="16">
        <f>SUM(H12:H13)</f>
        <v>0</v>
      </c>
      <c r="I14" s="7">
        <f>SUM(I12:I13)</f>
        <v>0</v>
      </c>
      <c r="J14" s="16">
        <f>SUM(D14:H14)</f>
        <v>0</v>
      </c>
    </row>
    <row r="15" spans="2:39" x14ac:dyDescent="0.35">
      <c r="B15" s="23"/>
      <c r="C15" s="14" t="s">
        <v>41</v>
      </c>
      <c r="D15" s="13" t="s">
        <v>36</v>
      </c>
      <c r="E15" s="10"/>
      <c r="F15" s="10"/>
      <c r="G15" s="10"/>
      <c r="H15" s="10"/>
      <c r="J15" s="8" t="s">
        <v>36</v>
      </c>
    </row>
    <row r="16" spans="2:39" x14ac:dyDescent="0.35">
      <c r="B16" s="23"/>
      <c r="C16" s="29"/>
      <c r="D16" s="15"/>
      <c r="E16" s="15"/>
      <c r="F16" s="15"/>
      <c r="G16" s="15"/>
      <c r="H16" s="15"/>
      <c r="I16" s="35">
        <v>400</v>
      </c>
      <c r="J16" s="15">
        <f t="shared" ref="J16:J17" si="2">SUM(D16:H16)</f>
        <v>0</v>
      </c>
    </row>
    <row r="17" spans="2:10" x14ac:dyDescent="0.35">
      <c r="B17" s="23"/>
      <c r="C17" s="25"/>
      <c r="D17" s="15"/>
      <c r="E17" s="15"/>
      <c r="F17" s="15"/>
      <c r="G17" s="15"/>
      <c r="H17" s="15"/>
      <c r="I17" s="35">
        <v>1638</v>
      </c>
      <c r="J17" s="15">
        <f t="shared" si="2"/>
        <v>0</v>
      </c>
    </row>
    <row r="18" spans="2:10" x14ac:dyDescent="0.35">
      <c r="B18" s="23"/>
      <c r="C18" s="9" t="s">
        <v>14</v>
      </c>
      <c r="D18" s="16">
        <f>SUM(D16:D17)</f>
        <v>0</v>
      </c>
      <c r="E18" s="16">
        <f>SUM(E16:E17)</f>
        <v>0</v>
      </c>
      <c r="F18" s="16">
        <f>SUM(F16:F17)</f>
        <v>0</v>
      </c>
      <c r="G18" s="16">
        <f>SUM(G16:G17)</f>
        <v>0</v>
      </c>
      <c r="H18" s="16">
        <f>SUM(H16:H17)</f>
        <v>0</v>
      </c>
      <c r="J18" s="16">
        <f>SUM(D18:H18)</f>
        <v>0</v>
      </c>
    </row>
    <row r="19" spans="2:10" x14ac:dyDescent="0.35">
      <c r="B19" s="23"/>
      <c r="C19" s="14" t="s">
        <v>42</v>
      </c>
      <c r="D19" s="15"/>
      <c r="E19" s="10"/>
      <c r="F19" s="10"/>
      <c r="G19" s="10"/>
      <c r="H19" s="10"/>
      <c r="J19" s="15" t="s">
        <v>20</v>
      </c>
    </row>
    <row r="20" spans="2:10" x14ac:dyDescent="0.35">
      <c r="B20" s="23"/>
      <c r="C20" s="25"/>
      <c r="D20" s="67"/>
      <c r="E20" s="67"/>
      <c r="F20" s="67"/>
      <c r="G20" s="67"/>
      <c r="H20" s="67"/>
      <c r="J20" s="15">
        <f>SUM(D20:H20)</f>
        <v>0</v>
      </c>
    </row>
    <row r="21" spans="2:10" x14ac:dyDescent="0.35">
      <c r="B21" s="23" t="s">
        <v>43</v>
      </c>
      <c r="C21" s="25"/>
      <c r="D21" s="67"/>
      <c r="E21" s="67"/>
      <c r="F21" s="67"/>
      <c r="G21" s="67"/>
      <c r="H21" s="67"/>
      <c r="J21" s="15">
        <f t="shared" ref="J21:J45" si="3">SUM(D21:H21)</f>
        <v>0</v>
      </c>
    </row>
    <row r="22" spans="2:10" x14ac:dyDescent="0.35">
      <c r="B22" s="23"/>
      <c r="C22" s="25"/>
      <c r="D22" s="67"/>
      <c r="E22" s="67"/>
      <c r="F22" s="67"/>
      <c r="G22" s="67"/>
      <c r="H22" s="67"/>
      <c r="J22" s="15">
        <f t="shared" si="3"/>
        <v>0</v>
      </c>
    </row>
    <row r="23" spans="2:10" x14ac:dyDescent="0.35">
      <c r="B23" s="23"/>
      <c r="C23" s="9" t="s">
        <v>15</v>
      </c>
      <c r="D23" s="12">
        <f>SUM(D20:D22)</f>
        <v>0</v>
      </c>
      <c r="E23" s="12">
        <f>SUM(E20:E22)</f>
        <v>0</v>
      </c>
      <c r="F23" s="12">
        <f>SUM(F20:F22)</f>
        <v>0</v>
      </c>
      <c r="G23" s="12">
        <f>SUM(G20:G22)</f>
        <v>0</v>
      </c>
      <c r="H23" s="12">
        <f>SUM(H20:H22)</f>
        <v>0</v>
      </c>
      <c r="J23" s="16">
        <f>SUM(J20:J22)</f>
        <v>0</v>
      </c>
    </row>
    <row r="24" spans="2:10" x14ac:dyDescent="0.35">
      <c r="B24" s="23"/>
      <c r="C24" s="14" t="s">
        <v>44</v>
      </c>
      <c r="D24" s="13" t="s">
        <v>36</v>
      </c>
      <c r="E24" s="10"/>
      <c r="F24" s="10"/>
      <c r="G24" s="10"/>
      <c r="H24" s="10"/>
      <c r="J24" s="15"/>
    </row>
    <row r="25" spans="2:10" x14ac:dyDescent="0.35">
      <c r="B25" s="23"/>
      <c r="C25" s="25"/>
      <c r="D25" s="67"/>
      <c r="E25" s="67"/>
      <c r="F25" s="67"/>
      <c r="G25" s="67"/>
      <c r="H25" s="67"/>
      <c r="I25" s="35"/>
      <c r="J25" s="15"/>
    </row>
    <row r="26" spans="2:10" x14ac:dyDescent="0.35">
      <c r="B26" s="23"/>
      <c r="C26" s="9" t="s">
        <v>16</v>
      </c>
      <c r="D26" s="16">
        <f>SUM(D25:D25)</f>
        <v>0</v>
      </c>
      <c r="E26" s="16">
        <f>SUM(E25:E25)</f>
        <v>0</v>
      </c>
      <c r="F26" s="16">
        <f>SUM(F25:F25)</f>
        <v>0</v>
      </c>
      <c r="G26" s="16">
        <f>SUM(G25:G25)</f>
        <v>0</v>
      </c>
      <c r="H26" s="16">
        <f>SUM(H25:H25)</f>
        <v>0</v>
      </c>
      <c r="J26" s="16">
        <f>SUM(D26:H26)</f>
        <v>0</v>
      </c>
    </row>
    <row r="27" spans="2:10" x14ac:dyDescent="0.35">
      <c r="B27" s="23"/>
      <c r="C27" s="14" t="s">
        <v>48</v>
      </c>
      <c r="D27" s="75" t="s">
        <v>36</v>
      </c>
      <c r="E27" s="10"/>
      <c r="F27" s="10"/>
      <c r="G27" s="10"/>
      <c r="H27" s="10"/>
      <c r="J27" s="15"/>
    </row>
    <row r="28" spans="2:10" x14ac:dyDescent="0.35">
      <c r="B28" s="23"/>
      <c r="C28" s="25"/>
      <c r="D28" s="67"/>
      <c r="E28" s="67"/>
      <c r="F28" s="67"/>
      <c r="G28" s="67"/>
      <c r="H28" s="15"/>
      <c r="I28" s="35"/>
      <c r="J28" s="15"/>
    </row>
    <row r="29" spans="2:10" x14ac:dyDescent="0.35">
      <c r="B29" s="23"/>
      <c r="C29" s="25"/>
      <c r="D29" s="15"/>
      <c r="E29" s="11"/>
      <c r="F29" s="11"/>
      <c r="G29" s="11"/>
      <c r="H29" s="11"/>
      <c r="J29" s="15"/>
    </row>
    <row r="30" spans="2:10" x14ac:dyDescent="0.35">
      <c r="B30" s="23"/>
      <c r="C30" s="9" t="s">
        <v>17</v>
      </c>
      <c r="D30" s="16">
        <f>SUM(D28:D29)</f>
        <v>0</v>
      </c>
      <c r="E30" s="16">
        <f>SUM(E28:E29)</f>
        <v>0</v>
      </c>
      <c r="F30" s="16">
        <f>SUM(F28:F29)</f>
        <v>0</v>
      </c>
      <c r="G30" s="16">
        <f>SUM(G28:G29)</f>
        <v>0</v>
      </c>
      <c r="H30" s="16">
        <f>SUM(H28:H29)</f>
        <v>0</v>
      </c>
      <c r="J30" s="16">
        <f>SUM(D30:H30)</f>
        <v>0</v>
      </c>
    </row>
    <row r="31" spans="2:10" x14ac:dyDescent="0.35">
      <c r="B31" s="23"/>
      <c r="C31" s="14" t="s">
        <v>51</v>
      </c>
      <c r="D31" s="13" t="s">
        <v>36</v>
      </c>
      <c r="E31" s="10"/>
      <c r="F31" s="10"/>
      <c r="G31" s="10"/>
      <c r="H31" s="10"/>
      <c r="J31" s="15"/>
    </row>
    <row r="32" spans="2:10" x14ac:dyDescent="0.35">
      <c r="B32" s="23"/>
      <c r="C32" s="25" t="s">
        <v>80</v>
      </c>
      <c r="D32" s="67">
        <v>262000</v>
      </c>
      <c r="E32" s="67">
        <v>269860</v>
      </c>
      <c r="F32" s="67">
        <v>277955.8</v>
      </c>
      <c r="G32" s="67">
        <v>286294.47399999999</v>
      </c>
      <c r="H32" s="67">
        <v>294883.30822000001</v>
      </c>
      <c r="J32" s="15">
        <f t="shared" si="3"/>
        <v>1390993.58222</v>
      </c>
    </row>
    <row r="33" spans="2:10" ht="29" x14ac:dyDescent="0.35">
      <c r="B33" s="23"/>
      <c r="C33" s="25" t="s">
        <v>81</v>
      </c>
      <c r="D33" s="67">
        <v>153610.6</v>
      </c>
      <c r="E33" s="67">
        <v>158218.91800000001</v>
      </c>
      <c r="F33" s="67">
        <v>162965.48553999999</v>
      </c>
      <c r="G33" s="67">
        <v>167854.45010620001</v>
      </c>
      <c r="H33" s="67">
        <v>172890.08360938603</v>
      </c>
      <c r="J33" s="15">
        <f t="shared" si="3"/>
        <v>815539.53725558601</v>
      </c>
    </row>
    <row r="34" spans="2:10" x14ac:dyDescent="0.35">
      <c r="B34" s="23"/>
      <c r="C34" s="25" t="s">
        <v>82</v>
      </c>
      <c r="D34" s="67">
        <v>16200</v>
      </c>
      <c r="E34" s="67">
        <v>5100</v>
      </c>
      <c r="F34" s="67">
        <v>5100</v>
      </c>
      <c r="G34" s="67">
        <v>5100</v>
      </c>
      <c r="H34" s="67">
        <v>5100</v>
      </c>
      <c r="J34" s="15">
        <f t="shared" si="3"/>
        <v>36600</v>
      </c>
    </row>
    <row r="35" spans="2:10" x14ac:dyDescent="0.35">
      <c r="B35" s="23"/>
      <c r="C35" s="25" t="s">
        <v>75</v>
      </c>
      <c r="D35" s="67">
        <v>4651162.7906976733</v>
      </c>
      <c r="E35" s="67">
        <v>52325581.395348825</v>
      </c>
      <c r="F35" s="67">
        <v>47674418.604651153</v>
      </c>
      <c r="G35" s="67">
        <v>95348837.209302306</v>
      </c>
      <c r="H35" s="67"/>
      <c r="J35" s="15">
        <f t="shared" si="3"/>
        <v>199999999.99999994</v>
      </c>
    </row>
    <row r="36" spans="2:10" ht="29" x14ac:dyDescent="0.35">
      <c r="B36" s="23"/>
      <c r="C36" s="25" t="s">
        <v>76</v>
      </c>
      <c r="D36" s="69">
        <v>2093023.2579069771</v>
      </c>
      <c r="E36" s="69">
        <v>23546511.651453491</v>
      </c>
      <c r="F36" s="69">
        <v>21453488.393546514</v>
      </c>
      <c r="G36" s="69">
        <v>42906976.787093028</v>
      </c>
      <c r="H36" s="69"/>
      <c r="J36" s="15">
        <f t="shared" si="3"/>
        <v>90000000.090000004</v>
      </c>
    </row>
    <row r="37" spans="2:10" ht="29" x14ac:dyDescent="0.35">
      <c r="B37" s="23"/>
      <c r="C37" s="25" t="s">
        <v>83</v>
      </c>
      <c r="D37" s="69">
        <v>116279.06976744186</v>
      </c>
      <c r="E37" s="69">
        <v>1308139.5348837208</v>
      </c>
      <c r="F37" s="69">
        <v>1191860.465116279</v>
      </c>
      <c r="G37" s="69">
        <v>2383720.9302325579</v>
      </c>
      <c r="H37" s="69"/>
      <c r="J37" s="15">
        <f t="shared" si="3"/>
        <v>5000000</v>
      </c>
    </row>
    <row r="38" spans="2:10" ht="29" x14ac:dyDescent="0.35">
      <c r="B38" s="23"/>
      <c r="C38" s="25" t="s">
        <v>77</v>
      </c>
      <c r="D38" s="69">
        <v>116279.06976744186</v>
      </c>
      <c r="E38" s="69">
        <v>1308139.5348837208</v>
      </c>
      <c r="F38" s="69">
        <v>1191860.465116279</v>
      </c>
      <c r="G38" s="69">
        <v>2383720.9302325579</v>
      </c>
      <c r="H38" s="69"/>
      <c r="J38" s="15">
        <f t="shared" si="3"/>
        <v>5000000</v>
      </c>
    </row>
    <row r="39" spans="2:10" ht="29" x14ac:dyDescent="0.35">
      <c r="B39" s="23"/>
      <c r="C39" s="25" t="s">
        <v>84</v>
      </c>
      <c r="D39" s="69">
        <v>45000</v>
      </c>
      <c r="E39" s="69">
        <v>40000</v>
      </c>
      <c r="F39" s="69"/>
      <c r="G39" s="69"/>
      <c r="H39" s="69"/>
      <c r="J39" s="15">
        <f>SUM(D39:H39)</f>
        <v>85000</v>
      </c>
    </row>
    <row r="40" spans="2:10" ht="29" x14ac:dyDescent="0.35">
      <c r="B40" s="23"/>
      <c r="C40" s="25" t="s">
        <v>78</v>
      </c>
      <c r="D40" s="69"/>
      <c r="E40" s="69"/>
      <c r="F40" s="69">
        <v>10000000</v>
      </c>
      <c r="G40" s="69">
        <v>20000000</v>
      </c>
      <c r="H40" s="69">
        <v>10000000</v>
      </c>
      <c r="J40" s="15">
        <f t="shared" si="3"/>
        <v>40000000</v>
      </c>
    </row>
    <row r="41" spans="2:10" ht="29" x14ac:dyDescent="0.35">
      <c r="B41" s="23"/>
      <c r="C41" s="25" t="s">
        <v>79</v>
      </c>
      <c r="D41" s="69"/>
      <c r="E41" s="69">
        <v>5816667</v>
      </c>
      <c r="F41" s="69">
        <v>5816667</v>
      </c>
      <c r="G41" s="69">
        <v>15066666</v>
      </c>
      <c r="H41" s="69"/>
      <c r="J41" s="15">
        <f t="shared" si="3"/>
        <v>26700000</v>
      </c>
    </row>
    <row r="42" spans="2:10" x14ac:dyDescent="0.35">
      <c r="B42" s="23"/>
      <c r="C42" s="25" t="s">
        <v>53</v>
      </c>
      <c r="D42" s="69">
        <v>20000</v>
      </c>
      <c r="E42" s="69">
        <v>20000</v>
      </c>
      <c r="F42" s="69">
        <v>20000</v>
      </c>
      <c r="G42" s="69">
        <v>20000</v>
      </c>
      <c r="H42" s="69">
        <v>20000</v>
      </c>
      <c r="J42" s="15">
        <f t="shared" si="3"/>
        <v>100000</v>
      </c>
    </row>
    <row r="43" spans="2:10" x14ac:dyDescent="0.35">
      <c r="B43" s="23"/>
      <c r="C43" s="10"/>
      <c r="D43" s="15"/>
      <c r="E43" s="11"/>
      <c r="F43" s="11"/>
      <c r="G43" s="11"/>
      <c r="H43" s="11"/>
      <c r="J43" s="15">
        <f t="shared" si="3"/>
        <v>0</v>
      </c>
    </row>
    <row r="44" spans="2:10" x14ac:dyDescent="0.35">
      <c r="B44" s="24"/>
      <c r="C44" s="9" t="s">
        <v>18</v>
      </c>
      <c r="D44" s="16">
        <f>SUM(D32:D43)</f>
        <v>7473554.7881395333</v>
      </c>
      <c r="E44" s="16">
        <f>SUM(E32:E43)</f>
        <v>84798218.034569755</v>
      </c>
      <c r="F44" s="16">
        <f>SUM(F32:F43)</f>
        <v>87794316.213970214</v>
      </c>
      <c r="G44" s="16">
        <f>SUM(G32:G43)</f>
        <v>178569170.78096664</v>
      </c>
      <c r="H44" s="16">
        <f>SUM(H32:H43)</f>
        <v>10492873.391829386</v>
      </c>
      <c r="J44" s="16">
        <f>SUM(D44:H44)</f>
        <v>369128133.20947552</v>
      </c>
    </row>
    <row r="45" spans="2:10" x14ac:dyDescent="0.35">
      <c r="B45" s="24"/>
      <c r="C45" s="9" t="s">
        <v>19</v>
      </c>
      <c r="D45" s="16">
        <f>SUM(D44,D30,D26,D23,D18,D14,D10)</f>
        <v>7473554.7881395333</v>
      </c>
      <c r="E45" s="16">
        <f>SUM(E44,E30,E26,E23,E18,E14,E10)</f>
        <v>84798218.034569755</v>
      </c>
      <c r="F45" s="16">
        <f>SUM(F44,F30,F26,F23,F18,F14,F10)</f>
        <v>87794316.213970214</v>
      </c>
      <c r="G45" s="16">
        <f>SUM(G44,G30,G26,G23,G18,G14,G10)</f>
        <v>178569170.78096664</v>
      </c>
      <c r="H45" s="16">
        <f>SUM(H44,H30,H26,H23,H18,H14,H10)</f>
        <v>10492873.391829386</v>
      </c>
      <c r="J45" s="16">
        <f t="shared" si="3"/>
        <v>369128133.20947552</v>
      </c>
    </row>
    <row r="46" spans="2:10" x14ac:dyDescent="0.35">
      <c r="B46" s="6"/>
      <c r="D46"/>
      <c r="E46"/>
      <c r="H46"/>
      <c r="I46"/>
      <c r="J46" t="s">
        <v>20</v>
      </c>
    </row>
    <row r="47" spans="2:10" x14ac:dyDescent="0.35">
      <c r="B47" s="22" t="s">
        <v>54</v>
      </c>
      <c r="C47" s="17" t="s">
        <v>54</v>
      </c>
      <c r="D47" s="18"/>
      <c r="E47" s="18"/>
      <c r="F47" s="18"/>
      <c r="G47" s="18"/>
      <c r="H47" s="18"/>
      <c r="I47"/>
      <c r="J47" s="18" t="s">
        <v>20</v>
      </c>
    </row>
    <row r="48" spans="2:10" x14ac:dyDescent="0.35">
      <c r="B48" s="23"/>
      <c r="C48" s="25"/>
      <c r="D48" s="13"/>
      <c r="E48" s="10"/>
      <c r="F48" s="10"/>
      <c r="G48" s="10"/>
      <c r="H48" s="10"/>
      <c r="J48" s="15">
        <f>SUM(D48:H48)</f>
        <v>0</v>
      </c>
    </row>
    <row r="49" spans="2:10" x14ac:dyDescent="0.35">
      <c r="B49" s="23"/>
      <c r="C49" s="25"/>
      <c r="D49" s="13"/>
      <c r="E49" s="10"/>
      <c r="F49" s="10"/>
      <c r="G49" s="10"/>
      <c r="H49" s="10"/>
      <c r="J49" s="15">
        <f t="shared" ref="J49:J50" si="4">SUM(D49:H49)</f>
        <v>0</v>
      </c>
    </row>
    <row r="50" spans="2:10" x14ac:dyDescent="0.35">
      <c r="B50" s="24"/>
      <c r="C50" s="9" t="s">
        <v>21</v>
      </c>
      <c r="D50" s="16">
        <f>SUM(D48:D49)</f>
        <v>0</v>
      </c>
      <c r="E50" s="16">
        <f t="shared" ref="E50:H50" si="5">SUM(E48:E49)</f>
        <v>0</v>
      </c>
      <c r="F50" s="16">
        <f t="shared" si="5"/>
        <v>0</v>
      </c>
      <c r="G50" s="16">
        <f t="shared" si="5"/>
        <v>0</v>
      </c>
      <c r="H50" s="16">
        <f t="shared" si="5"/>
        <v>0</v>
      </c>
      <c r="J50" s="16">
        <f t="shared" si="4"/>
        <v>0</v>
      </c>
    </row>
    <row r="51" spans="2:10" ht="15" thickBot="1" x14ac:dyDescent="0.4">
      <c r="B51" s="6"/>
      <c r="D51"/>
      <c r="E51"/>
      <c r="H51"/>
      <c r="I51"/>
      <c r="J51" t="s">
        <v>20</v>
      </c>
    </row>
    <row r="52" spans="2:10" s="1" customFormat="1" ht="29.5" thickBot="1" x14ac:dyDescent="0.4">
      <c r="B52" s="19" t="s">
        <v>22</v>
      </c>
      <c r="C52" s="19"/>
      <c r="D52" s="20">
        <f>SUM(D50,D45)</f>
        <v>7473554.7881395333</v>
      </c>
      <c r="E52" s="20">
        <f t="shared" ref="E52:J52" si="6">SUM(E50,E45)</f>
        <v>84798218.034569755</v>
      </c>
      <c r="F52" s="20">
        <f t="shared" si="6"/>
        <v>87794316.213970214</v>
      </c>
      <c r="G52" s="20">
        <f t="shared" si="6"/>
        <v>178569170.78096664</v>
      </c>
      <c r="H52" s="20">
        <f t="shared" si="6"/>
        <v>10492873.391829386</v>
      </c>
      <c r="I52" s="7">
        <f>SUM(I50,I45)</f>
        <v>0</v>
      </c>
      <c r="J52" s="20">
        <f>SUM(J50,J45)</f>
        <v>369128133.20947552</v>
      </c>
    </row>
    <row r="53" spans="2:10" x14ac:dyDescent="0.35">
      <c r="B53" s="6"/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</sheetData>
  <pageMargins left="0.7" right="0.7" top="0.75" bottom="0.75" header="0.3" footer="0.3"/>
  <pageSetup scale="89" fitToHeight="0" orientation="landscape" r:id="rId1"/>
  <ignoredErrors>
    <ignoredError sqref="J16:J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67"/>
  <sheetViews>
    <sheetView showGridLines="0" zoomScale="57" zoomScaleNormal="85" workbookViewId="0">
      <pane xSplit="3" ySplit="6" topLeftCell="D25" activePane="bottomRight" state="frozen"/>
      <selection pane="topRight" activeCell="R20" sqref="R20:W20"/>
      <selection pane="bottomLeft" activeCell="R20" sqref="R20:W20"/>
      <selection pane="bottomRight" activeCell="K33" sqref="K33"/>
    </sheetView>
  </sheetViews>
  <sheetFormatPr defaultColWidth="9.36328125" defaultRowHeight="14.5" x14ac:dyDescent="0.35"/>
  <cols>
    <col min="1" max="1" width="3.36328125" customWidth="1"/>
    <col min="2" max="2" width="19.453125" customWidth="1"/>
    <col min="3" max="3" width="39.6328125" bestFit="1" customWidth="1"/>
    <col min="4" max="4" width="20.36328125" style="6" customWidth="1"/>
    <col min="5" max="5" width="21.36328125" style="2" customWidth="1"/>
    <col min="6" max="6" width="18.08984375" customWidth="1"/>
    <col min="7" max="7" width="23.6328125" customWidth="1"/>
    <col min="8" max="8" width="18.54296875" style="2" customWidth="1"/>
    <col min="9" max="9" width="0.6328125" style="7" customWidth="1"/>
    <col min="10" max="10" width="19.36328125" customWidth="1"/>
    <col min="11" max="11" width="18.453125" customWidth="1"/>
  </cols>
  <sheetData>
    <row r="2" spans="2:39" ht="23.5" x14ac:dyDescent="0.55000000000000004">
      <c r="B2" s="30" t="s">
        <v>88</v>
      </c>
    </row>
    <row r="3" spans="2:39" x14ac:dyDescent="0.35">
      <c r="B3" s="60" t="s">
        <v>34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5.5" x14ac:dyDescent="0.35">
      <c r="B7" s="76" t="s">
        <v>11</v>
      </c>
      <c r="C7" s="77" t="s">
        <v>35</v>
      </c>
      <c r="D7" s="78" t="s">
        <v>36</v>
      </c>
      <c r="E7" s="78" t="s">
        <v>36</v>
      </c>
      <c r="F7" s="78" t="s">
        <v>36</v>
      </c>
      <c r="G7" s="78"/>
      <c r="H7" s="78" t="s">
        <v>36</v>
      </c>
      <c r="I7" s="79"/>
      <c r="J7" s="80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1" x14ac:dyDescent="0.35">
      <c r="B8" s="81"/>
      <c r="C8" s="82" t="s">
        <v>59</v>
      </c>
      <c r="D8" s="83">
        <v>92030</v>
      </c>
      <c r="E8" s="83">
        <f>D8*1.03</f>
        <v>94790.900000000009</v>
      </c>
      <c r="F8" s="83">
        <f t="shared" ref="F8:H8" si="0">E8*1.03</f>
        <v>97634.627000000008</v>
      </c>
      <c r="G8" s="83">
        <f t="shared" si="0"/>
        <v>100563.66581000001</v>
      </c>
      <c r="H8" s="83">
        <f t="shared" si="0"/>
        <v>103580.5757843</v>
      </c>
      <c r="I8" s="84">
        <v>450000</v>
      </c>
      <c r="J8" s="83">
        <f>SUM(D8:H8)</f>
        <v>488599.76859430003</v>
      </c>
    </row>
    <row r="9" spans="2:39" ht="31" x14ac:dyDescent="0.35">
      <c r="B9" s="81"/>
      <c r="C9" s="82" t="s">
        <v>60</v>
      </c>
      <c r="D9" s="83">
        <v>75442</v>
      </c>
      <c r="E9" s="83">
        <f t="shared" ref="E9:H10" si="1">D9*1.03</f>
        <v>77705.259999999995</v>
      </c>
      <c r="F9" s="83">
        <f t="shared" si="1"/>
        <v>80036.417799999996</v>
      </c>
      <c r="G9" s="83">
        <f t="shared" si="1"/>
        <v>82437.510333999991</v>
      </c>
      <c r="H9" s="83">
        <f t="shared" si="1"/>
        <v>84910.635644019989</v>
      </c>
      <c r="I9" s="79"/>
      <c r="J9" s="83">
        <f>SUM(D9:H9)</f>
        <v>400531.82377801999</v>
      </c>
    </row>
    <row r="10" spans="2:39" ht="31" x14ac:dyDescent="0.35">
      <c r="B10" s="81"/>
      <c r="C10" s="82" t="s">
        <v>60</v>
      </c>
      <c r="D10" s="83">
        <v>75442</v>
      </c>
      <c r="E10" s="83">
        <f t="shared" si="1"/>
        <v>77705.259999999995</v>
      </c>
      <c r="F10" s="83">
        <f t="shared" si="1"/>
        <v>80036.417799999996</v>
      </c>
      <c r="G10" s="83">
        <f t="shared" si="1"/>
        <v>82437.510333999991</v>
      </c>
      <c r="H10" s="83">
        <f t="shared" si="1"/>
        <v>84910.635644019989</v>
      </c>
      <c r="I10" s="79"/>
      <c r="J10" s="83">
        <f>SUM(D10:H10)</f>
        <v>400531.82377801999</v>
      </c>
    </row>
    <row r="11" spans="2:39" ht="15.5" x14ac:dyDescent="0.35">
      <c r="B11" s="81"/>
      <c r="C11" s="85" t="s">
        <v>12</v>
      </c>
      <c r="D11" s="86">
        <f>SUM(D8:D10)</f>
        <v>242914</v>
      </c>
      <c r="E11" s="86">
        <f t="shared" ref="E11:I11" si="2">SUM(E8:E10)</f>
        <v>250201.41999999998</v>
      </c>
      <c r="F11" s="86">
        <f t="shared" si="2"/>
        <v>257707.4626</v>
      </c>
      <c r="G11" s="86">
        <f t="shared" si="2"/>
        <v>265438.68647800002</v>
      </c>
      <c r="H11" s="86">
        <f t="shared" si="2"/>
        <v>273401.84707233997</v>
      </c>
      <c r="I11" s="79">
        <f t="shared" si="2"/>
        <v>450000</v>
      </c>
      <c r="J11" s="86">
        <f>SUM(D11:H11)</f>
        <v>1289663.4161503399</v>
      </c>
    </row>
    <row r="12" spans="2:39" ht="15.5" x14ac:dyDescent="0.35">
      <c r="B12" s="81"/>
      <c r="C12" s="87" t="s">
        <v>39</v>
      </c>
      <c r="D12" s="88" t="s">
        <v>36</v>
      </c>
      <c r="E12" s="78"/>
      <c r="F12" s="78"/>
      <c r="G12" s="78"/>
      <c r="H12" s="78"/>
      <c r="I12" s="79"/>
      <c r="J12" s="80" t="s">
        <v>36</v>
      </c>
    </row>
    <row r="13" spans="2:39" ht="15.5" x14ac:dyDescent="0.35">
      <c r="B13" s="81"/>
      <c r="C13" s="82" t="str">
        <f>'Measure 1 Budget - Cargo Bikes'!C13</f>
        <v>NYC 58.63% Fringe Benefits</v>
      </c>
      <c r="D13" s="89">
        <f>0.5863*D11</f>
        <v>142420.47820000001</v>
      </c>
      <c r="E13" s="89">
        <f t="shared" ref="E13:H13" si="3">0.5863*E11</f>
        <v>146693.092546</v>
      </c>
      <c r="F13" s="89">
        <f t="shared" si="3"/>
        <v>151093.88532238</v>
      </c>
      <c r="G13" s="89">
        <f t="shared" si="3"/>
        <v>155626.70188205142</v>
      </c>
      <c r="H13" s="89">
        <f t="shared" si="3"/>
        <v>160295.50293851295</v>
      </c>
      <c r="I13" s="79"/>
      <c r="J13" s="83">
        <f>SUM(D13:H13)</f>
        <v>756129.6608889444</v>
      </c>
    </row>
    <row r="14" spans="2:39" ht="15.5" x14ac:dyDescent="0.35">
      <c r="B14" s="81"/>
      <c r="C14" s="82"/>
      <c r="D14" s="83"/>
      <c r="E14" s="83"/>
      <c r="F14" s="83"/>
      <c r="G14" s="83"/>
      <c r="H14" s="83"/>
      <c r="I14" s="79"/>
      <c r="J14" s="83">
        <f t="shared" ref="J14:J15" si="4">SUM(D14:H14)</f>
        <v>0</v>
      </c>
    </row>
    <row r="15" spans="2:39" ht="15.5" x14ac:dyDescent="0.35">
      <c r="B15" s="81"/>
      <c r="C15" s="78"/>
      <c r="D15" s="83"/>
      <c r="E15" s="90"/>
      <c r="F15" s="90"/>
      <c r="G15" s="90"/>
      <c r="H15" s="90"/>
      <c r="I15" s="79"/>
      <c r="J15" s="83">
        <f t="shared" si="4"/>
        <v>0</v>
      </c>
    </row>
    <row r="16" spans="2:39" ht="15.5" x14ac:dyDescent="0.35">
      <c r="B16" s="81"/>
      <c r="C16" s="85" t="s">
        <v>13</v>
      </c>
      <c r="D16" s="86">
        <f>SUM(D13:D15)</f>
        <v>142420.47820000001</v>
      </c>
      <c r="E16" s="86">
        <f t="shared" ref="E16:I16" si="5">SUM(E13:E15)</f>
        <v>146693.092546</v>
      </c>
      <c r="F16" s="86">
        <f t="shared" si="5"/>
        <v>151093.88532238</v>
      </c>
      <c r="G16" s="86">
        <f t="shared" si="5"/>
        <v>155626.70188205142</v>
      </c>
      <c r="H16" s="86">
        <f t="shared" si="5"/>
        <v>160295.50293851295</v>
      </c>
      <c r="I16" s="79">
        <f t="shared" si="5"/>
        <v>0</v>
      </c>
      <c r="J16" s="86">
        <f>SUM(D16:H16)</f>
        <v>756129.6608889444</v>
      </c>
    </row>
    <row r="17" spans="2:10" ht="15.5" x14ac:dyDescent="0.35">
      <c r="B17" s="81"/>
      <c r="C17" s="87" t="s">
        <v>41</v>
      </c>
      <c r="D17" s="88" t="s">
        <v>36</v>
      </c>
      <c r="E17" s="78"/>
      <c r="F17" s="78"/>
      <c r="G17" s="78"/>
      <c r="H17" s="78"/>
      <c r="I17" s="79"/>
      <c r="J17" s="80" t="s">
        <v>36</v>
      </c>
    </row>
    <row r="18" spans="2:10" ht="15.5" x14ac:dyDescent="0.35">
      <c r="B18" s="81"/>
      <c r="C18" s="82"/>
      <c r="D18" s="88"/>
      <c r="E18" s="78"/>
      <c r="F18" s="78"/>
      <c r="G18" s="78"/>
      <c r="H18" s="78"/>
      <c r="I18" s="79"/>
      <c r="J18" s="83">
        <f t="shared" ref="J18:J19" si="6">SUM(D18:H18)</f>
        <v>0</v>
      </c>
    </row>
    <row r="19" spans="2:10" ht="15.5" x14ac:dyDescent="0.35">
      <c r="B19" s="81"/>
      <c r="C19" s="91"/>
      <c r="D19" s="83" t="s">
        <v>43</v>
      </c>
      <c r="E19" s="90" t="s">
        <v>43</v>
      </c>
      <c r="F19" s="90" t="s">
        <v>43</v>
      </c>
      <c r="G19" s="90"/>
      <c r="H19" s="90"/>
      <c r="I19" s="79"/>
      <c r="J19" s="83">
        <f t="shared" si="6"/>
        <v>0</v>
      </c>
    </row>
    <row r="20" spans="2:10" ht="15.5" x14ac:dyDescent="0.35">
      <c r="B20" s="81"/>
      <c r="C20" s="85" t="s">
        <v>14</v>
      </c>
      <c r="D20" s="86">
        <f>SUM(D18:D19)</f>
        <v>0</v>
      </c>
      <c r="E20" s="86">
        <f t="shared" ref="E20:H20" si="7">SUM(E18:E19)</f>
        <v>0</v>
      </c>
      <c r="F20" s="86">
        <f t="shared" si="7"/>
        <v>0</v>
      </c>
      <c r="G20" s="86">
        <f t="shared" si="7"/>
        <v>0</v>
      </c>
      <c r="H20" s="86">
        <f t="shared" si="7"/>
        <v>0</v>
      </c>
      <c r="I20" s="79"/>
      <c r="J20" s="86">
        <f>SUM(D20:H20)</f>
        <v>0</v>
      </c>
    </row>
    <row r="21" spans="2:10" ht="15.5" x14ac:dyDescent="0.35">
      <c r="B21" s="81"/>
      <c r="C21" s="87" t="s">
        <v>42</v>
      </c>
      <c r="D21" s="83"/>
      <c r="E21" s="78"/>
      <c r="F21" s="78"/>
      <c r="G21" s="78"/>
      <c r="H21" s="78"/>
      <c r="I21" s="79"/>
      <c r="J21" s="83" t="s">
        <v>20</v>
      </c>
    </row>
    <row r="22" spans="2:10" ht="15.5" x14ac:dyDescent="0.35">
      <c r="B22" s="81"/>
      <c r="C22" s="82"/>
      <c r="D22" s="92"/>
      <c r="E22" s="92"/>
      <c r="F22" s="92"/>
      <c r="G22" s="92"/>
      <c r="H22" s="92"/>
      <c r="I22" s="79"/>
      <c r="J22" s="83">
        <f>SUM(D22:H22)</f>
        <v>0</v>
      </c>
    </row>
    <row r="23" spans="2:10" ht="15.5" x14ac:dyDescent="0.35">
      <c r="B23" s="81" t="s">
        <v>43</v>
      </c>
      <c r="C23" s="82"/>
      <c r="D23" s="92"/>
      <c r="E23" s="92"/>
      <c r="F23" s="92"/>
      <c r="G23" s="92"/>
      <c r="H23" s="92"/>
      <c r="I23" s="79"/>
      <c r="J23" s="83">
        <f>SUM(D23:H23)</f>
        <v>0</v>
      </c>
    </row>
    <row r="24" spans="2:10" ht="15.5" x14ac:dyDescent="0.35">
      <c r="B24" s="81"/>
      <c r="C24" s="82"/>
      <c r="D24" s="92"/>
      <c r="E24" s="92"/>
      <c r="F24" s="92"/>
      <c r="G24" s="92"/>
      <c r="H24" s="92"/>
      <c r="I24" s="79"/>
      <c r="J24" s="83">
        <f>SUM(D24:H24)</f>
        <v>0</v>
      </c>
    </row>
    <row r="25" spans="2:10" ht="15.5" x14ac:dyDescent="0.35">
      <c r="B25" s="81"/>
      <c r="C25" s="85" t="s">
        <v>15</v>
      </c>
      <c r="D25" s="93">
        <f>SUM(D22:D24)</f>
        <v>0</v>
      </c>
      <c r="E25" s="93">
        <f>SUM(E22:E24)</f>
        <v>0</v>
      </c>
      <c r="F25" s="93">
        <f>SUM(F22:F24)</f>
        <v>0</v>
      </c>
      <c r="G25" s="93">
        <f>SUM(G22:G24)</f>
        <v>0</v>
      </c>
      <c r="H25" s="93">
        <f>SUM(H22:H24)</f>
        <v>0</v>
      </c>
      <c r="I25" s="79"/>
      <c r="J25" s="86">
        <f t="shared" ref="J25:J45" si="8">SUM(D25:H25)</f>
        <v>0</v>
      </c>
    </row>
    <row r="26" spans="2:10" ht="15.5" x14ac:dyDescent="0.35">
      <c r="B26" s="81"/>
      <c r="C26" s="87" t="s">
        <v>44</v>
      </c>
      <c r="D26" s="88" t="s">
        <v>36</v>
      </c>
      <c r="E26" s="78"/>
      <c r="F26" s="78"/>
      <c r="G26" s="78"/>
      <c r="H26" s="78"/>
      <c r="I26" s="79"/>
      <c r="J26" s="83"/>
    </row>
    <row r="27" spans="2:10" ht="15.5" x14ac:dyDescent="0.35">
      <c r="B27" s="81"/>
      <c r="C27" s="82" t="s">
        <v>45</v>
      </c>
      <c r="D27" s="92">
        <f>(COUNTA($C$8:$C$10))*3000+(COUNTA($C$8:$C$10))*1500</f>
        <v>13500</v>
      </c>
      <c r="E27" s="92">
        <f>((COUNTA($C$8:$C$10))*1500)</f>
        <v>4500</v>
      </c>
      <c r="F27" s="92">
        <f>(COUNTA($C$8:$C$10))*1500</f>
        <v>4500</v>
      </c>
      <c r="G27" s="92">
        <f>(COUNTA($C$8:$C$10))*1500</f>
        <v>4500</v>
      </c>
      <c r="H27" s="92">
        <f>(COUNTA($C$8:$C$10))*1500</f>
        <v>4500</v>
      </c>
      <c r="I27" s="84">
        <v>5000</v>
      </c>
      <c r="J27" s="83">
        <f>SUM(D27:H27)</f>
        <v>31500</v>
      </c>
    </row>
    <row r="28" spans="2:10" ht="15.5" x14ac:dyDescent="0.35">
      <c r="B28" s="81"/>
      <c r="C28" s="82" t="s">
        <v>46</v>
      </c>
      <c r="D28" s="92">
        <f>(COUNTA($C$8:$C$10))*200</f>
        <v>600</v>
      </c>
      <c r="E28" s="92">
        <v>0</v>
      </c>
      <c r="F28" s="92">
        <v>0</v>
      </c>
      <c r="G28" s="92">
        <v>0</v>
      </c>
      <c r="H28" s="92">
        <v>0</v>
      </c>
      <c r="I28" s="84"/>
      <c r="J28" s="83">
        <f>SUM(D28:H28)</f>
        <v>600</v>
      </c>
    </row>
    <row r="29" spans="2:10" ht="15.5" x14ac:dyDescent="0.35">
      <c r="B29" s="81"/>
      <c r="C29" s="82" t="s">
        <v>61</v>
      </c>
      <c r="D29" s="92">
        <f>(COUNTA($C$8:$C$10))*500+(COUNTA($C$8:$C$10))*200</f>
        <v>2100</v>
      </c>
      <c r="E29" s="92">
        <f>((COUNTA($C$8:$C$10))*200)</f>
        <v>600</v>
      </c>
      <c r="F29" s="92">
        <f>(COUNTA($C$8:$C$10))*200</f>
        <v>600</v>
      </c>
      <c r="G29" s="92">
        <f t="shared" ref="G29:H29" si="9">(COUNTA($C$8:$C$10))*200</f>
        <v>600</v>
      </c>
      <c r="H29" s="92">
        <f t="shared" si="9"/>
        <v>600</v>
      </c>
      <c r="I29" s="79"/>
      <c r="J29" s="83">
        <f>SUM(D29:H29)</f>
        <v>4500</v>
      </c>
    </row>
    <row r="30" spans="2:10" ht="15.5" x14ac:dyDescent="0.35">
      <c r="B30" s="81"/>
      <c r="C30" s="85" t="s">
        <v>16</v>
      </c>
      <c r="D30" s="86">
        <f>SUM(D27:D29)</f>
        <v>16200</v>
      </c>
      <c r="E30" s="86">
        <f>SUM(E27:E29)</f>
        <v>5100</v>
      </c>
      <c r="F30" s="86">
        <f>SUM(F27:F29)</f>
        <v>5100</v>
      </c>
      <c r="G30" s="86">
        <f>SUM(G27:G29)</f>
        <v>5100</v>
      </c>
      <c r="H30" s="86">
        <f>SUM(H27:H29)</f>
        <v>5100</v>
      </c>
      <c r="I30" s="79"/>
      <c r="J30" s="86">
        <f t="shared" si="8"/>
        <v>36600</v>
      </c>
    </row>
    <row r="31" spans="2:10" ht="15.5" x14ac:dyDescent="0.35">
      <c r="B31" s="81"/>
      <c r="C31" s="87" t="s">
        <v>48</v>
      </c>
      <c r="D31" s="88" t="s">
        <v>36</v>
      </c>
      <c r="E31" s="78"/>
      <c r="F31" s="78"/>
      <c r="G31" s="78"/>
      <c r="H31" s="78"/>
      <c r="I31" s="79"/>
      <c r="J31" s="83"/>
    </row>
    <row r="32" spans="2:10" ht="15.5" x14ac:dyDescent="0.35">
      <c r="B32" s="81"/>
      <c r="C32" s="82" t="s">
        <v>62</v>
      </c>
      <c r="D32" s="83">
        <v>100000</v>
      </c>
      <c r="E32" s="83"/>
      <c r="F32" s="83"/>
      <c r="G32" s="83"/>
      <c r="H32" s="83"/>
      <c r="I32" s="84">
        <v>5106000</v>
      </c>
      <c r="J32" s="83">
        <f t="shared" si="8"/>
        <v>100000</v>
      </c>
    </row>
    <row r="33" spans="2:11" ht="31" x14ac:dyDescent="0.35">
      <c r="B33" s="81"/>
      <c r="C33" s="82" t="s">
        <v>63</v>
      </c>
      <c r="D33" s="83"/>
      <c r="E33" s="83">
        <v>19698997.760000002</v>
      </c>
      <c r="F33" s="83">
        <v>20486957.670400001</v>
      </c>
      <c r="G33" s="83">
        <v>14204290.651477333</v>
      </c>
      <c r="H33" s="83"/>
      <c r="I33" s="84"/>
      <c r="J33" s="83">
        <f t="shared" si="8"/>
        <v>54390246.081877336</v>
      </c>
      <c r="K33" s="34"/>
    </row>
    <row r="34" spans="2:11" ht="31" x14ac:dyDescent="0.35">
      <c r="B34" s="81"/>
      <c r="C34" s="82" t="s">
        <v>64</v>
      </c>
      <c r="D34" s="83"/>
      <c r="E34" s="92">
        <v>1994035.9111111111</v>
      </c>
      <c r="F34" s="92">
        <v>2073797.3475555556</v>
      </c>
      <c r="G34" s="92">
        <v>2136011.2679822221</v>
      </c>
      <c r="H34" s="92"/>
      <c r="I34" s="84"/>
      <c r="J34" s="83">
        <f t="shared" si="8"/>
        <v>6203844.5266488884</v>
      </c>
    </row>
    <row r="35" spans="2:11" ht="31" x14ac:dyDescent="0.35">
      <c r="B35" s="81"/>
      <c r="C35" s="82" t="s">
        <v>65</v>
      </c>
      <c r="D35" s="83"/>
      <c r="E35" s="83"/>
      <c r="F35" s="92">
        <v>8220594.1782755563</v>
      </c>
      <c r="G35" s="92">
        <v>8549417.9454065785</v>
      </c>
      <c r="H35" s="92"/>
      <c r="I35" s="84"/>
      <c r="J35" s="83">
        <f t="shared" si="8"/>
        <v>16770012.123682134</v>
      </c>
    </row>
    <row r="36" spans="2:11" ht="15.5" x14ac:dyDescent="0.35">
      <c r="B36" s="81"/>
      <c r="C36" s="82" t="s">
        <v>66</v>
      </c>
      <c r="D36" s="83">
        <v>1419015.111111111</v>
      </c>
      <c r="E36" s="83">
        <v>2149668.352</v>
      </c>
      <c r="F36" s="83"/>
      <c r="G36" s="83"/>
      <c r="H36" s="83"/>
      <c r="I36" s="84"/>
      <c r="J36" s="83">
        <f t="shared" si="8"/>
        <v>3568683.463111111</v>
      </c>
    </row>
    <row r="37" spans="2:11" ht="15.5" x14ac:dyDescent="0.35">
      <c r="B37" s="81"/>
      <c r="C37" s="82" t="s">
        <v>67</v>
      </c>
      <c r="D37" s="83">
        <v>300000</v>
      </c>
      <c r="E37" s="83">
        <v>300000</v>
      </c>
      <c r="F37" s="83">
        <v>300000</v>
      </c>
      <c r="G37" s="83">
        <v>300000</v>
      </c>
      <c r="H37" s="83">
        <v>300000</v>
      </c>
      <c r="I37" s="84"/>
      <c r="J37" s="83">
        <f t="shared" si="8"/>
        <v>1500000</v>
      </c>
    </row>
    <row r="38" spans="2:11" ht="15.5" x14ac:dyDescent="0.35">
      <c r="B38" s="81"/>
      <c r="C38" s="82"/>
      <c r="D38" s="83"/>
      <c r="E38" s="83"/>
      <c r="F38" s="83"/>
      <c r="G38" s="83"/>
      <c r="H38" s="83"/>
      <c r="I38" s="84">
        <v>22500000</v>
      </c>
      <c r="J38" s="83">
        <f t="shared" si="8"/>
        <v>0</v>
      </c>
    </row>
    <row r="39" spans="2:11" ht="15.5" x14ac:dyDescent="0.35">
      <c r="B39" s="81"/>
      <c r="C39" s="82"/>
      <c r="D39" s="83"/>
      <c r="E39" s="83"/>
      <c r="F39" s="83"/>
      <c r="G39" s="83"/>
      <c r="H39" s="83"/>
      <c r="I39" s="84">
        <v>75000000</v>
      </c>
      <c r="J39" s="83">
        <f t="shared" si="8"/>
        <v>0</v>
      </c>
    </row>
    <row r="40" spans="2:11" ht="15.5" x14ac:dyDescent="0.35">
      <c r="B40" s="81"/>
      <c r="C40" s="82"/>
      <c r="D40" s="83"/>
      <c r="E40" s="90"/>
      <c r="F40" s="90"/>
      <c r="G40" s="90"/>
      <c r="H40" s="90"/>
      <c r="I40" s="79"/>
      <c r="J40" s="83">
        <f t="shared" si="8"/>
        <v>0</v>
      </c>
    </row>
    <row r="41" spans="2:11" ht="15.5" x14ac:dyDescent="0.35">
      <c r="B41" s="81"/>
      <c r="C41" s="85" t="s">
        <v>68</v>
      </c>
      <c r="D41" s="86">
        <f>SUM(D32:D40)</f>
        <v>1819015.111111111</v>
      </c>
      <c r="E41" s="86">
        <f>SUM(E32:E40)</f>
        <v>24142702.023111112</v>
      </c>
      <c r="F41" s="86">
        <f>SUM(F32:F40)</f>
        <v>31081349.196231112</v>
      </c>
      <c r="G41" s="86">
        <f>SUM(G32:G40)</f>
        <v>25189719.864866134</v>
      </c>
      <c r="H41" s="86">
        <f>SUM(H32:H40)</f>
        <v>300000</v>
      </c>
      <c r="I41" s="79"/>
      <c r="J41" s="86">
        <f>SUM(D41:H41)</f>
        <v>82532786.195319474</v>
      </c>
    </row>
    <row r="42" spans="2:11" ht="15.5" x14ac:dyDescent="0.35">
      <c r="B42" s="81"/>
      <c r="C42" s="87" t="s">
        <v>69</v>
      </c>
      <c r="D42" s="88" t="s">
        <v>36</v>
      </c>
      <c r="E42" s="78"/>
      <c r="F42" s="78"/>
      <c r="G42" s="78"/>
      <c r="H42" s="78"/>
      <c r="I42" s="79"/>
      <c r="J42" s="83"/>
    </row>
    <row r="43" spans="2:11" ht="15.5" x14ac:dyDescent="0.35">
      <c r="B43" s="81"/>
      <c r="C43" s="82" t="s">
        <v>53</v>
      </c>
      <c r="D43" s="94">
        <v>20000</v>
      </c>
      <c r="E43" s="94">
        <v>20000</v>
      </c>
      <c r="F43" s="94">
        <v>20000</v>
      </c>
      <c r="G43" s="94">
        <v>20000</v>
      </c>
      <c r="H43" s="94">
        <v>20000</v>
      </c>
      <c r="I43" s="79"/>
      <c r="J43" s="83">
        <f>SUM(D43:H43)</f>
        <v>100000</v>
      </c>
    </row>
    <row r="44" spans="2:11" ht="15.5" x14ac:dyDescent="0.35">
      <c r="B44" s="95"/>
      <c r="C44" s="85" t="s">
        <v>18</v>
      </c>
      <c r="D44" s="86">
        <f>SUM(D43:D43)</f>
        <v>20000</v>
      </c>
      <c r="E44" s="86">
        <f>SUM(E43:E43)</f>
        <v>20000</v>
      </c>
      <c r="F44" s="86">
        <f>SUM(F43:F43)</f>
        <v>20000</v>
      </c>
      <c r="G44" s="86">
        <f>SUM(G43:G43)</f>
        <v>20000</v>
      </c>
      <c r="H44" s="86">
        <f>SUM(H43:H43)</f>
        <v>20000</v>
      </c>
      <c r="I44" s="79"/>
      <c r="J44" s="86">
        <f t="shared" si="8"/>
        <v>100000</v>
      </c>
    </row>
    <row r="45" spans="2:11" ht="15.5" x14ac:dyDescent="0.35">
      <c r="B45" s="95"/>
      <c r="C45" s="85" t="s">
        <v>19</v>
      </c>
      <c r="D45" s="86">
        <f>SUM(D44,D41,D30,D25,D20,D16,D11)</f>
        <v>2240549.5893111108</v>
      </c>
      <c r="E45" s="86">
        <f>SUM(E44,E41,E30,E25,E20,E16,E11)</f>
        <v>24564696.535657115</v>
      </c>
      <c r="F45" s="86">
        <f>SUM(F44,F41,F30,F25,F20,F16,F11)</f>
        <v>31515250.544153493</v>
      </c>
      <c r="G45" s="86">
        <f>SUM(G44,G41,G30,G25,G20,G16,G11)</f>
        <v>25635885.253226187</v>
      </c>
      <c r="H45" s="86">
        <f>SUM(H44,H41,H30,H25,H20,H16,H11)</f>
        <v>758797.35001085291</v>
      </c>
      <c r="I45" s="79"/>
      <c r="J45" s="86">
        <f t="shared" si="8"/>
        <v>84715179.27235876</v>
      </c>
    </row>
    <row r="46" spans="2:11" ht="15.5" x14ac:dyDescent="0.35">
      <c r="B46" s="96"/>
      <c r="C46" s="97"/>
      <c r="D46" s="97"/>
      <c r="E46" s="97"/>
      <c r="F46" s="97"/>
      <c r="G46" s="97"/>
      <c r="H46" s="97"/>
      <c r="I46" s="97"/>
      <c r="J46" s="97" t="s">
        <v>20</v>
      </c>
    </row>
    <row r="47" spans="2:11" ht="15.5" x14ac:dyDescent="0.35">
      <c r="B47" s="98" t="s">
        <v>54</v>
      </c>
      <c r="C47" s="99" t="s">
        <v>54</v>
      </c>
      <c r="D47" s="100"/>
      <c r="E47" s="100"/>
      <c r="F47" s="100"/>
      <c r="G47" s="100"/>
      <c r="H47" s="100"/>
      <c r="I47" s="97"/>
      <c r="J47" s="100" t="s">
        <v>20</v>
      </c>
    </row>
    <row r="48" spans="2:11" ht="15.5" x14ac:dyDescent="0.35">
      <c r="B48" s="81"/>
      <c r="C48" s="82"/>
      <c r="D48" s="88"/>
      <c r="E48" s="78"/>
      <c r="F48" s="78"/>
      <c r="G48" s="78"/>
      <c r="H48" s="78"/>
      <c r="I48" s="79"/>
      <c r="J48" s="83">
        <f>SUM(D48:H48)</f>
        <v>0</v>
      </c>
    </row>
    <row r="49" spans="2:10" ht="15.5" x14ac:dyDescent="0.35">
      <c r="B49" s="81"/>
      <c r="C49" s="82"/>
      <c r="D49" s="88"/>
      <c r="E49" s="78"/>
      <c r="F49" s="78"/>
      <c r="G49" s="78"/>
      <c r="H49" s="78"/>
      <c r="I49" s="79"/>
      <c r="J49" s="83">
        <f t="shared" ref="J49:J50" si="10">SUM(D49:H49)</f>
        <v>0</v>
      </c>
    </row>
    <row r="50" spans="2:10" ht="15.5" x14ac:dyDescent="0.35">
      <c r="B50" s="95"/>
      <c r="C50" s="85" t="s">
        <v>21</v>
      </c>
      <c r="D50" s="86">
        <f>SUM(D48:D49)</f>
        <v>0</v>
      </c>
      <c r="E50" s="86">
        <f t="shared" ref="E50:H50" si="11">SUM(E48:E49)</f>
        <v>0</v>
      </c>
      <c r="F50" s="86">
        <f t="shared" si="11"/>
        <v>0</v>
      </c>
      <c r="G50" s="86">
        <f t="shared" si="11"/>
        <v>0</v>
      </c>
      <c r="H50" s="86">
        <f t="shared" si="11"/>
        <v>0</v>
      </c>
      <c r="I50" s="79"/>
      <c r="J50" s="86">
        <f t="shared" si="10"/>
        <v>0</v>
      </c>
    </row>
    <row r="51" spans="2:10" ht="16" thickBot="1" x14ac:dyDescent="0.4">
      <c r="B51" s="96"/>
      <c r="C51" s="97"/>
      <c r="D51" s="97"/>
      <c r="E51" s="97"/>
      <c r="F51" s="97"/>
      <c r="G51" s="97"/>
      <c r="H51" s="97"/>
      <c r="I51" s="97"/>
      <c r="J51" s="97" t="s">
        <v>20</v>
      </c>
    </row>
    <row r="52" spans="2:10" s="1" customFormat="1" ht="16" thickBot="1" x14ac:dyDescent="0.4">
      <c r="B52" s="101" t="s">
        <v>22</v>
      </c>
      <c r="C52" s="101"/>
      <c r="D52" s="102">
        <f>SUM(D50,D45)</f>
        <v>2240549.5893111108</v>
      </c>
      <c r="E52" s="102">
        <f t="shared" ref="E52:J52" si="12">SUM(E50,E45)</f>
        <v>24564696.535657115</v>
      </c>
      <c r="F52" s="102">
        <f t="shared" si="12"/>
        <v>31515250.544153493</v>
      </c>
      <c r="G52" s="102">
        <f t="shared" si="12"/>
        <v>25635885.253226187</v>
      </c>
      <c r="H52" s="102">
        <f t="shared" si="12"/>
        <v>758797.35001085291</v>
      </c>
      <c r="I52" s="79">
        <f>SUM(I50,I45)</f>
        <v>0</v>
      </c>
      <c r="J52" s="102">
        <f t="shared" si="12"/>
        <v>84715179.27235876</v>
      </c>
    </row>
    <row r="53" spans="2:10" x14ac:dyDescent="0.35">
      <c r="B53" s="6"/>
    </row>
    <row r="54" spans="2:10" x14ac:dyDescent="0.35">
      <c r="B54" s="6"/>
    </row>
    <row r="55" spans="2:10" x14ac:dyDescent="0.35">
      <c r="B55" s="6"/>
    </row>
    <row r="56" spans="2:10" x14ac:dyDescent="0.35">
      <c r="B56" s="6"/>
      <c r="D56" s="72"/>
      <c r="E56" s="73"/>
      <c r="F56" s="73"/>
      <c r="G56" s="73"/>
      <c r="H56" s="73"/>
      <c r="I56" s="74"/>
      <c r="J56" s="59"/>
    </row>
    <row r="57" spans="2:10" x14ac:dyDescent="0.35">
      <c r="B57" s="6"/>
      <c r="E57" s="71"/>
      <c r="H57" s="71"/>
    </row>
    <row r="58" spans="2:10" x14ac:dyDescent="0.35">
      <c r="B58" s="6"/>
      <c r="E58" s="71"/>
      <c r="H58" s="71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</sheetData>
  <pageMargins left="0.7" right="0.7" top="0.75" bottom="0.75" header="0.3" footer="0.3"/>
  <pageSetup scale="89" fitToHeight="0" orientation="landscape" r:id="rId1"/>
  <ignoredErrors>
    <ignoredError sqref="J8 J27 J38:J39 J3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64"/>
  <sheetViews>
    <sheetView showGridLines="0" zoomScale="65" zoomScaleNormal="85" workbookViewId="0">
      <pane xSplit="3" ySplit="6" topLeftCell="D23" activePane="bottomRight" state="frozen"/>
      <selection pane="topRight" activeCell="R20" sqref="R20:W20"/>
      <selection pane="bottomLeft" activeCell="R20" sqref="R20:W20"/>
      <selection pane="bottomRight" activeCell="M29" sqref="M29"/>
    </sheetView>
  </sheetViews>
  <sheetFormatPr defaultColWidth="9.36328125" defaultRowHeight="14.5" x14ac:dyDescent="0.35"/>
  <cols>
    <col min="1" max="1" width="3.36328125" customWidth="1"/>
    <col min="2" max="2" width="11.36328125" customWidth="1"/>
    <col min="3" max="3" width="46.453125" customWidth="1"/>
    <col min="4" max="4" width="15.6328125" style="6" bestFit="1" customWidth="1"/>
    <col min="5" max="5" width="15.6328125" style="2" bestFit="1" customWidth="1"/>
    <col min="6" max="7" width="15.6328125" bestFit="1" customWidth="1"/>
    <col min="8" max="8" width="15.36328125" style="2" bestFit="1" customWidth="1"/>
    <col min="9" max="9" width="0.6328125" style="7" customWidth="1"/>
    <col min="10" max="10" width="24.90625" customWidth="1"/>
    <col min="11" max="11" width="10.36328125" customWidth="1"/>
  </cols>
  <sheetData>
    <row r="2" spans="2:39" ht="23.5" x14ac:dyDescent="0.55000000000000004">
      <c r="B2" s="30" t="s">
        <v>89</v>
      </c>
    </row>
    <row r="3" spans="2:39" x14ac:dyDescent="0.35">
      <c r="B3" s="60" t="s">
        <v>34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 t="s">
        <v>70</v>
      </c>
      <c r="D8" s="15">
        <v>98545</v>
      </c>
      <c r="E8" s="15">
        <f>D8*1.03</f>
        <v>101501.35</v>
      </c>
      <c r="F8" s="15">
        <f t="shared" ref="F8:G8" si="0">E8*1.03</f>
        <v>104546.39050000001</v>
      </c>
      <c r="G8" s="15">
        <f t="shared" si="0"/>
        <v>107682.78221500001</v>
      </c>
      <c r="H8" s="15">
        <f>G8*1.03</f>
        <v>110913.26568145002</v>
      </c>
      <c r="I8" s="35">
        <v>450000</v>
      </c>
      <c r="J8" s="15">
        <f>SUM(D8:H8)</f>
        <v>523188.78839645005</v>
      </c>
    </row>
    <row r="9" spans="2:39" x14ac:dyDescent="0.35">
      <c r="B9" s="23"/>
      <c r="C9" s="25" t="s">
        <v>71</v>
      </c>
      <c r="D9" s="15">
        <v>92030</v>
      </c>
      <c r="E9" s="15">
        <f t="shared" ref="E9:H9" si="1">D9*1.03</f>
        <v>94790.900000000009</v>
      </c>
      <c r="F9" s="15">
        <f t="shared" si="1"/>
        <v>97634.627000000008</v>
      </c>
      <c r="G9" s="15">
        <f t="shared" si="1"/>
        <v>100563.66581000001</v>
      </c>
      <c r="H9" s="15">
        <f t="shared" si="1"/>
        <v>103580.5757843</v>
      </c>
      <c r="J9" s="15">
        <f>SUM(D9:H9)</f>
        <v>488599.76859430003</v>
      </c>
    </row>
    <row r="10" spans="2:39" x14ac:dyDescent="0.35">
      <c r="B10" s="23"/>
      <c r="C10" s="25" t="s">
        <v>72</v>
      </c>
      <c r="D10" s="15">
        <v>75442</v>
      </c>
      <c r="E10" s="15">
        <f t="shared" ref="E10:H10" si="2">D10*1.03</f>
        <v>77705.259999999995</v>
      </c>
      <c r="F10" s="15">
        <f t="shared" si="2"/>
        <v>80036.417799999996</v>
      </c>
      <c r="G10" s="15">
        <f t="shared" si="2"/>
        <v>82437.510333999991</v>
      </c>
      <c r="H10" s="15">
        <f t="shared" si="2"/>
        <v>84910.635644019989</v>
      </c>
      <c r="J10" s="15">
        <f>SUM(D10:H10)</f>
        <v>400531.82377801999</v>
      </c>
    </row>
    <row r="11" spans="2:39" x14ac:dyDescent="0.35">
      <c r="B11" s="23"/>
      <c r="C11" s="9" t="s">
        <v>12</v>
      </c>
      <c r="D11" s="16">
        <f>SUM(D8:D10)</f>
        <v>266017</v>
      </c>
      <c r="E11" s="16">
        <f t="shared" ref="E11:J11" si="3">SUM(E8:E10)</f>
        <v>273997.51</v>
      </c>
      <c r="F11" s="16">
        <f t="shared" si="3"/>
        <v>282217.43530000001</v>
      </c>
      <c r="G11" s="16">
        <f t="shared" si="3"/>
        <v>290683.95835900004</v>
      </c>
      <c r="H11" s="16">
        <f t="shared" si="3"/>
        <v>299404.47710977</v>
      </c>
      <c r="I11" s="7">
        <f t="shared" si="3"/>
        <v>450000</v>
      </c>
      <c r="J11" s="16">
        <f t="shared" si="3"/>
        <v>1412320.3807687701</v>
      </c>
    </row>
    <row r="12" spans="2:39" x14ac:dyDescent="0.35">
      <c r="B12" s="23"/>
      <c r="C12" s="14" t="s">
        <v>39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tr">
        <f>'Measure 1 Budget - Cargo Bikes'!C13</f>
        <v>NYC 58.63% Fringe Benefits</v>
      </c>
      <c r="D13" s="68">
        <f>0.5863*D11</f>
        <v>155965.7671</v>
      </c>
      <c r="E13" s="68">
        <f t="shared" ref="E13:H13" si="4">0.5863*E11</f>
        <v>160644.74011300001</v>
      </c>
      <c r="F13" s="68">
        <f t="shared" si="4"/>
        <v>165464.08231639001</v>
      </c>
      <c r="G13" s="68">
        <f t="shared" si="4"/>
        <v>170428.00478588173</v>
      </c>
      <c r="H13" s="68">
        <f t="shared" si="4"/>
        <v>175540.84492945817</v>
      </c>
      <c r="J13" s="15">
        <f>SUM(D13:H13)</f>
        <v>828043.43924472993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5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5"/>
        <v>0</v>
      </c>
    </row>
    <row r="16" spans="2:39" x14ac:dyDescent="0.35">
      <c r="B16" s="23"/>
      <c r="C16" s="9" t="s">
        <v>13</v>
      </c>
      <c r="D16" s="16">
        <f>SUM(D13:D15)</f>
        <v>155965.7671</v>
      </c>
      <c r="E16" s="16">
        <f t="shared" ref="E16:J16" si="6">SUM(E13:E15)</f>
        <v>160644.74011300001</v>
      </c>
      <c r="F16" s="16">
        <f t="shared" si="6"/>
        <v>165464.08231639001</v>
      </c>
      <c r="G16" s="16">
        <f t="shared" si="6"/>
        <v>170428.00478588173</v>
      </c>
      <c r="H16" s="16">
        <f t="shared" si="6"/>
        <v>175540.84492945817</v>
      </c>
      <c r="I16" s="7">
        <f t="shared" si="6"/>
        <v>0</v>
      </c>
      <c r="J16" s="16">
        <f t="shared" si="6"/>
        <v>828043.43924472993</v>
      </c>
    </row>
    <row r="17" spans="2:10" x14ac:dyDescent="0.35">
      <c r="B17" s="23"/>
      <c r="C17" s="14" t="s">
        <v>41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9" t="s">
        <v>73</v>
      </c>
      <c r="D18" s="15">
        <v>27851</v>
      </c>
      <c r="E18" s="15">
        <v>30000</v>
      </c>
      <c r="F18" s="15">
        <v>30000</v>
      </c>
      <c r="G18" s="15">
        <v>30000</v>
      </c>
      <c r="H18" s="15">
        <v>30000</v>
      </c>
      <c r="I18" s="35">
        <v>400</v>
      </c>
      <c r="J18" s="15">
        <f>SUM(D18:H18)</f>
        <v>147851</v>
      </c>
    </row>
    <row r="19" spans="2:10" x14ac:dyDescent="0.35">
      <c r="B19" s="23"/>
      <c r="C19" s="25"/>
      <c r="D19" s="15"/>
      <c r="E19" s="15"/>
      <c r="F19" s="15"/>
      <c r="G19" s="15"/>
      <c r="H19" s="15"/>
      <c r="I19" s="35">
        <v>1638</v>
      </c>
      <c r="J19" s="15">
        <f t="shared" ref="J19" si="7">SUM(D19:H19)</f>
        <v>0</v>
      </c>
    </row>
    <row r="20" spans="2:10" x14ac:dyDescent="0.35">
      <c r="B20" s="23"/>
      <c r="C20" s="9" t="s">
        <v>14</v>
      </c>
      <c r="D20" s="16">
        <f>SUM(D18:D19)</f>
        <v>27851</v>
      </c>
      <c r="E20" s="16">
        <f>SUM(E18:E19)</f>
        <v>30000</v>
      </c>
      <c r="F20" s="16">
        <f>SUM(F18:F19)</f>
        <v>30000</v>
      </c>
      <c r="G20" s="16">
        <f>SUM(G18:G19)</f>
        <v>30000</v>
      </c>
      <c r="H20" s="16">
        <f>SUM(H18:H19)</f>
        <v>30000</v>
      </c>
      <c r="J20" s="16">
        <f>SUM(D20:H20)</f>
        <v>147851</v>
      </c>
    </row>
    <row r="21" spans="2:10" x14ac:dyDescent="0.35">
      <c r="B21" s="23"/>
      <c r="C21" s="14" t="s">
        <v>42</v>
      </c>
      <c r="D21" s="15"/>
      <c r="E21" s="10"/>
      <c r="F21" s="10"/>
      <c r="G21" s="10"/>
      <c r="H21" s="10"/>
      <c r="J21" s="15" t="s">
        <v>20</v>
      </c>
    </row>
    <row r="22" spans="2:10" x14ac:dyDescent="0.35">
      <c r="B22" s="23"/>
      <c r="C22" s="25"/>
      <c r="D22" s="15"/>
      <c r="E22" s="10"/>
      <c r="F22" s="10"/>
      <c r="G22" s="10"/>
      <c r="H22" s="10"/>
      <c r="J22" s="15">
        <f>SUM(D22:H22)</f>
        <v>0</v>
      </c>
    </row>
    <row r="23" spans="2:10" x14ac:dyDescent="0.35">
      <c r="B23" s="23" t="s">
        <v>43</v>
      </c>
      <c r="C23" s="28" t="s">
        <v>43</v>
      </c>
      <c r="D23" s="13" t="s">
        <v>36</v>
      </c>
      <c r="E23" s="10"/>
      <c r="F23" s="10"/>
      <c r="G23" s="10"/>
      <c r="H23" s="10"/>
      <c r="J23" s="15">
        <f t="shared" ref="J23:J42" si="8">SUM(D23:H23)</f>
        <v>0</v>
      </c>
    </row>
    <row r="24" spans="2:10" x14ac:dyDescent="0.35">
      <c r="B24" s="23"/>
      <c r="C24" s="9" t="s">
        <v>15</v>
      </c>
      <c r="D24" s="12">
        <f>SUM(D22:D23)</f>
        <v>0</v>
      </c>
      <c r="E24" s="12">
        <f t="shared" ref="E24:H24" si="9">SUM(E22:E23)</f>
        <v>0</v>
      </c>
      <c r="F24" s="12">
        <f t="shared" si="9"/>
        <v>0</v>
      </c>
      <c r="G24" s="12">
        <f t="shared" si="9"/>
        <v>0</v>
      </c>
      <c r="H24" s="12">
        <f t="shared" si="9"/>
        <v>0</v>
      </c>
      <c r="J24" s="16">
        <f t="shared" si="8"/>
        <v>0</v>
      </c>
    </row>
    <row r="25" spans="2:10" x14ac:dyDescent="0.35">
      <c r="B25" s="23"/>
      <c r="C25" s="14" t="s">
        <v>44</v>
      </c>
      <c r="D25" s="13" t="s">
        <v>36</v>
      </c>
      <c r="E25" s="10"/>
      <c r="F25" s="10"/>
      <c r="G25" s="10"/>
      <c r="H25" s="10"/>
      <c r="J25" s="15"/>
    </row>
    <row r="26" spans="2:10" x14ac:dyDescent="0.35">
      <c r="B26" s="23"/>
      <c r="C26" s="25" t="s">
        <v>45</v>
      </c>
      <c r="D26" s="67">
        <f>(COUNTA($C$8:$C$10))*3000+(COUNTA($C$8:$C$10))*1500</f>
        <v>13500</v>
      </c>
      <c r="E26" s="67">
        <f>((COUNTA($C$8:$C$10))*1500)</f>
        <v>4500</v>
      </c>
      <c r="F26" s="67">
        <f>(COUNTA($C$8:$C$10))*1500</f>
        <v>4500</v>
      </c>
      <c r="G26" s="67">
        <f>(COUNTA($C$8:$C$10))*1500</f>
        <v>4500</v>
      </c>
      <c r="H26" s="67">
        <f>(COUNTA($C$8:$C$10))*1500</f>
        <v>4500</v>
      </c>
      <c r="J26" s="15">
        <f t="shared" si="8"/>
        <v>31500</v>
      </c>
    </row>
    <row r="27" spans="2:10" x14ac:dyDescent="0.35">
      <c r="B27" s="23"/>
      <c r="C27" s="25" t="s">
        <v>46</v>
      </c>
      <c r="D27" s="67">
        <f>(COUNTA($C$8:$C$10))*200</f>
        <v>600</v>
      </c>
      <c r="E27" s="67">
        <v>0</v>
      </c>
      <c r="F27" s="67">
        <v>0</v>
      </c>
      <c r="G27" s="67">
        <v>0</v>
      </c>
      <c r="H27" s="67">
        <v>0</v>
      </c>
      <c r="J27" s="15">
        <f t="shared" si="8"/>
        <v>600</v>
      </c>
    </row>
    <row r="28" spans="2:10" x14ac:dyDescent="0.35">
      <c r="B28" s="23"/>
      <c r="C28" s="25" t="s">
        <v>61</v>
      </c>
      <c r="D28" s="67">
        <f>(COUNTA($C$8:$C$10))*500+(COUNTA($C$8:$C$10))*200</f>
        <v>2100</v>
      </c>
      <c r="E28" s="67">
        <f>((COUNTA($C$8:$C$10))*200)</f>
        <v>600</v>
      </c>
      <c r="F28" s="67">
        <f>(COUNTA($C$8:$C$10))*200</f>
        <v>600</v>
      </c>
      <c r="G28" s="67">
        <f t="shared" ref="G28:H28" si="10">(COUNTA($C$8:$C$10))*200</f>
        <v>600</v>
      </c>
      <c r="H28" s="67">
        <f t="shared" si="10"/>
        <v>600</v>
      </c>
      <c r="J28" s="15">
        <f t="shared" si="8"/>
        <v>4500</v>
      </c>
    </row>
    <row r="29" spans="2:10" x14ac:dyDescent="0.35">
      <c r="B29" s="23"/>
      <c r="C29" s="25"/>
      <c r="D29" s="15"/>
      <c r="E29" s="15"/>
      <c r="F29" s="15"/>
      <c r="G29" s="15"/>
      <c r="H29" s="15"/>
      <c r="I29" s="35">
        <v>5000</v>
      </c>
      <c r="J29" s="15">
        <f t="shared" si="8"/>
        <v>0</v>
      </c>
    </row>
    <row r="30" spans="2:10" x14ac:dyDescent="0.35">
      <c r="B30" s="23"/>
      <c r="C30" s="25"/>
      <c r="D30" s="15"/>
      <c r="E30" s="11"/>
      <c r="F30" s="11"/>
      <c r="G30" s="11"/>
      <c r="H30" s="11"/>
      <c r="J30" s="15">
        <f t="shared" si="8"/>
        <v>0</v>
      </c>
    </row>
    <row r="31" spans="2:10" x14ac:dyDescent="0.35">
      <c r="B31" s="23"/>
      <c r="C31" s="9" t="s">
        <v>16</v>
      </c>
      <c r="D31" s="16">
        <f>SUM(D26:D30)</f>
        <v>16200</v>
      </c>
      <c r="E31" s="16">
        <f t="shared" ref="E31:H31" si="11">SUM(E26:E30)</f>
        <v>5100</v>
      </c>
      <c r="F31" s="16">
        <f t="shared" si="11"/>
        <v>5100</v>
      </c>
      <c r="G31" s="16">
        <f t="shared" si="11"/>
        <v>5100</v>
      </c>
      <c r="H31" s="16">
        <f t="shared" si="11"/>
        <v>5100</v>
      </c>
      <c r="J31" s="16">
        <f t="shared" si="8"/>
        <v>36600</v>
      </c>
    </row>
    <row r="32" spans="2:10" x14ac:dyDescent="0.35">
      <c r="B32" s="23"/>
      <c r="C32" s="14" t="s">
        <v>48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75000000</v>
      </c>
      <c r="J33" s="15">
        <f t="shared" si="8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8"/>
        <v>0</v>
      </c>
    </row>
    <row r="35" spans="2:10" x14ac:dyDescent="0.35">
      <c r="B35" s="23"/>
      <c r="C35" s="9" t="s">
        <v>17</v>
      </c>
      <c r="D35" s="16">
        <f>SUM(D33:D34)</f>
        <v>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8"/>
        <v>0</v>
      </c>
    </row>
    <row r="36" spans="2:10" x14ac:dyDescent="0.35">
      <c r="B36" s="23"/>
      <c r="C36" s="14" t="s">
        <v>51</v>
      </c>
      <c r="D36" s="13" t="s">
        <v>36</v>
      </c>
      <c r="E36" s="10"/>
      <c r="F36" s="10"/>
      <c r="G36" s="10"/>
      <c r="H36" s="10"/>
      <c r="J36" s="15"/>
    </row>
    <row r="37" spans="2:10" ht="41" customHeight="1" x14ac:dyDescent="0.35">
      <c r="B37" s="23"/>
      <c r="C37" s="25" t="s">
        <v>74</v>
      </c>
      <c r="D37" s="15">
        <v>50000</v>
      </c>
      <c r="E37" s="15">
        <v>50000</v>
      </c>
      <c r="F37" s="15">
        <v>50000</v>
      </c>
      <c r="G37" s="15">
        <v>50000</v>
      </c>
      <c r="H37" s="15">
        <v>50000</v>
      </c>
      <c r="I37" s="35">
        <v>2083335</v>
      </c>
      <c r="J37" s="15">
        <f t="shared" si="8"/>
        <v>250000</v>
      </c>
    </row>
    <row r="38" spans="2:10" x14ac:dyDescent="0.35">
      <c r="B38" s="23"/>
      <c r="C38" s="25"/>
      <c r="D38" s="15"/>
      <c r="E38" s="11"/>
      <c r="F38" s="11"/>
      <c r="G38" s="11"/>
      <c r="H38" s="11"/>
      <c r="J38" s="15">
        <f t="shared" si="8"/>
        <v>0</v>
      </c>
    </row>
    <row r="39" spans="2:10" x14ac:dyDescent="0.35">
      <c r="B39" s="23"/>
      <c r="C39" s="25"/>
      <c r="D39" s="15"/>
      <c r="E39" s="11"/>
      <c r="F39" s="11"/>
      <c r="G39" s="11"/>
      <c r="H39" s="11"/>
      <c r="J39" s="15">
        <f t="shared" si="8"/>
        <v>0</v>
      </c>
    </row>
    <row r="40" spans="2:10" x14ac:dyDescent="0.35">
      <c r="B40" s="23"/>
      <c r="C40" s="10"/>
      <c r="D40" s="15"/>
      <c r="E40" s="11"/>
      <c r="F40" s="11"/>
      <c r="G40" s="11"/>
      <c r="H40" s="11"/>
      <c r="J40" s="15">
        <f t="shared" si="8"/>
        <v>0</v>
      </c>
    </row>
    <row r="41" spans="2:10" x14ac:dyDescent="0.35">
      <c r="B41" s="24"/>
      <c r="C41" s="9" t="s">
        <v>18</v>
      </c>
      <c r="D41" s="16">
        <f>SUM(D37:D40)</f>
        <v>50000</v>
      </c>
      <c r="E41" s="16">
        <f>SUM(E37:E40)</f>
        <v>50000</v>
      </c>
      <c r="F41" s="16">
        <f>SUM(F37:F40)</f>
        <v>50000</v>
      </c>
      <c r="G41" s="16">
        <f>SUM(G37:G40)</f>
        <v>50000</v>
      </c>
      <c r="H41" s="16">
        <f>SUM(H37:H40)</f>
        <v>50000</v>
      </c>
      <c r="J41" s="16">
        <f t="shared" si="8"/>
        <v>250000</v>
      </c>
    </row>
    <row r="42" spans="2:10" x14ac:dyDescent="0.35">
      <c r="B42" s="24"/>
      <c r="C42" s="9" t="s">
        <v>19</v>
      </c>
      <c r="D42" s="16">
        <f>SUM(D41,D35,D31,D24,D20,D16,D11)</f>
        <v>516033.7671</v>
      </c>
      <c r="E42" s="16">
        <f>SUM(E41,E35,E31,E24,E20,E16,E11)</f>
        <v>519742.25011300005</v>
      </c>
      <c r="F42" s="16">
        <f>SUM(F41,F35,F31,F24,F20,F16,F11)</f>
        <v>532781.51761639002</v>
      </c>
      <c r="G42" s="16">
        <f>SUM(G41,G35,G31,G24,G20,G16,G11)</f>
        <v>546211.96314488177</v>
      </c>
      <c r="H42" s="16">
        <f>SUM(H41,H35,H31,H24,H20,H16,H11)</f>
        <v>560045.32203922817</v>
      </c>
      <c r="J42" s="16">
        <f t="shared" si="8"/>
        <v>2674814.8200134998</v>
      </c>
    </row>
    <row r="43" spans="2:10" x14ac:dyDescent="0.35">
      <c r="B43" s="6"/>
      <c r="D43"/>
      <c r="E43"/>
      <c r="H43"/>
      <c r="I43"/>
      <c r="J43" t="s">
        <v>20</v>
      </c>
    </row>
    <row r="44" spans="2:10" ht="29" x14ac:dyDescent="0.35">
      <c r="B44" s="66" t="s">
        <v>54</v>
      </c>
      <c r="C44" s="17" t="s">
        <v>54</v>
      </c>
      <c r="D44" s="18"/>
      <c r="E44" s="18"/>
      <c r="F44" s="18"/>
      <c r="G44" s="18"/>
      <c r="H44" s="18"/>
      <c r="I44"/>
      <c r="J44" s="18" t="s">
        <v>20</v>
      </c>
    </row>
    <row r="45" spans="2:10" x14ac:dyDescent="0.35">
      <c r="B45" s="23"/>
      <c r="C45" s="25"/>
      <c r="D45" s="13"/>
      <c r="E45" s="10"/>
      <c r="F45" s="10"/>
      <c r="G45" s="10"/>
      <c r="H45" s="10"/>
      <c r="J45" s="15">
        <f>SUM(D45:H45)</f>
        <v>0</v>
      </c>
    </row>
    <row r="46" spans="2:10" x14ac:dyDescent="0.35">
      <c r="B46" s="23"/>
      <c r="C46" s="25"/>
      <c r="D46" s="13"/>
      <c r="E46" s="10"/>
      <c r="F46" s="10"/>
      <c r="G46" s="10"/>
      <c r="H46" s="10"/>
      <c r="J46" s="15">
        <f t="shared" ref="J46:J47" si="12">SUM(D46:H46)</f>
        <v>0</v>
      </c>
    </row>
    <row r="47" spans="2:10" x14ac:dyDescent="0.35">
      <c r="B47" s="24"/>
      <c r="C47" s="9" t="s">
        <v>21</v>
      </c>
      <c r="D47" s="16">
        <f>SUM(D45:D46)</f>
        <v>0</v>
      </c>
      <c r="E47" s="16">
        <f t="shared" ref="E47:H47" si="13">SUM(E45:E46)</f>
        <v>0</v>
      </c>
      <c r="F47" s="16">
        <f t="shared" si="13"/>
        <v>0</v>
      </c>
      <c r="G47" s="16">
        <f t="shared" si="13"/>
        <v>0</v>
      </c>
      <c r="H47" s="16">
        <f t="shared" si="13"/>
        <v>0</v>
      </c>
      <c r="J47" s="16">
        <f t="shared" si="12"/>
        <v>0</v>
      </c>
    </row>
    <row r="48" spans="2:10" ht="15" thickBot="1" x14ac:dyDescent="0.4">
      <c r="B48" s="6"/>
      <c r="D48"/>
      <c r="E48"/>
      <c r="H48"/>
      <c r="I48"/>
      <c r="J48" t="s">
        <v>20</v>
      </c>
    </row>
    <row r="49" spans="2:10" s="1" customFormat="1" ht="29.5" thickBot="1" x14ac:dyDescent="0.4">
      <c r="B49" s="19" t="s">
        <v>22</v>
      </c>
      <c r="C49" s="19"/>
      <c r="D49" s="20">
        <f>SUM(D47,D42)</f>
        <v>516033.7671</v>
      </c>
      <c r="E49" s="20">
        <f t="shared" ref="E49:H49" si="14">SUM(E47,E42)</f>
        <v>519742.25011300005</v>
      </c>
      <c r="F49" s="20">
        <f t="shared" si="14"/>
        <v>532781.51761639002</v>
      </c>
      <c r="G49" s="20">
        <f t="shared" si="14"/>
        <v>546211.96314488177</v>
      </c>
      <c r="H49" s="20">
        <f t="shared" si="14"/>
        <v>560045.32203922817</v>
      </c>
      <c r="I49" s="7">
        <f>SUM(I47,I42)</f>
        <v>0</v>
      </c>
      <c r="J49" s="20">
        <f>SUM(J47,J42)</f>
        <v>2674814.8200134998</v>
      </c>
    </row>
    <row r="50" spans="2:10" x14ac:dyDescent="0.35">
      <c r="B50" s="6"/>
    </row>
    <row r="51" spans="2:10" x14ac:dyDescent="0.35">
      <c r="B51" s="6"/>
    </row>
    <row r="52" spans="2:10" x14ac:dyDescent="0.35">
      <c r="B52" s="6"/>
    </row>
    <row r="53" spans="2:10" x14ac:dyDescent="0.35">
      <c r="B53" s="6"/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</sheetData>
  <pageMargins left="0.7" right="0.7" top="0.75" bottom="0.75" header="0.3" footer="0.3"/>
  <pageSetup scale="86" fitToHeight="0" orientation="landscape" r:id="rId1"/>
  <ignoredErrors>
    <ignoredError sqref="J37 J33 J29 J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98d7bf1-b930-4a4c-a63f-5ff795a48fa3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d1f42e46-fe38-485b-84ca-15e2e4992553">
      <Terms xmlns="http://schemas.microsoft.com/office/infopath/2007/PartnerControls"/>
    </lcf76f155ced4ddcb4097134ff3c332f>
    <TaxCatchAll xmlns="298d7bf1-b930-4a4c-a63f-5ff795a48fa3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8C78FC3AAEC24EA1DDA286E27A2C18" ma:contentTypeVersion="15" ma:contentTypeDescription="Create a new document." ma:contentTypeScope="" ma:versionID="6d82ba5d32b6dfec21bfd22126d08581">
  <xsd:schema xmlns:xsd="http://www.w3.org/2001/XMLSchema" xmlns:xs="http://www.w3.org/2001/XMLSchema" xmlns:p="http://schemas.microsoft.com/office/2006/metadata/properties" xmlns:ns2="d1f42e46-fe38-485b-84ca-15e2e4992553" xmlns:ns3="298d7bf1-b930-4a4c-a63f-5ff795a48fa3" targetNamespace="http://schemas.microsoft.com/office/2006/metadata/properties" ma:root="true" ma:fieldsID="0d2edbb43691e14adb5f4f6f0268583b" ns2:_="" ns3:_="">
    <xsd:import namespace="d1f42e46-fe38-485b-84ca-15e2e4992553"/>
    <xsd:import namespace="298d7bf1-b930-4a4c-a63f-5ff795a48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42e46-fe38-485b-84ca-15e2e4992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d7bf1-b930-4a4c-a63f-5ff795a48fa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76084a4-3931-45d9-9f01-2b4b1fc88215}" ma:internalName="TaxCatchAll" ma:showField="CatchAllData" ma:web="298d7bf1-b930-4a4c-a63f-5ff795a48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documentManagement/types"/>
    <ds:schemaRef ds:uri="5f7ac3ca-9ce0-489a-bc70-1e3f2f642f01"/>
    <ds:schemaRef ds:uri="http://purl.org/dc/terms/"/>
    <ds:schemaRef ds:uri="f3b3a8cd-4cd4-4f28-b4f7-6d12dab79530"/>
    <ds:schemaRef ds:uri="http://purl.org/dc/dcmitype/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298d7bf1-b930-4a4c-a63f-5ff795a48fa3"/>
    <ds:schemaRef ds:uri="d1f42e46-fe38-485b-84ca-15e2e4992553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CCD75C4-53C6-4CB3-88DD-28B6753F5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42e46-fe38-485b-84ca-15e2e4992553"/>
    <ds:schemaRef ds:uri="298d7bf1-b930-4a4c-a63f-5ff795a48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Budget Spreadsheet</vt:lpstr>
      <vt:lpstr>Measure 1 Budget - Cargo Bikes</vt:lpstr>
      <vt:lpstr>Measure 2 Budget - Microhubs</vt:lpstr>
      <vt:lpstr>Measure 3 Budget - Blue Highway</vt:lpstr>
      <vt:lpstr>Measure 4 Budget - Truck Elec</vt:lpstr>
      <vt:lpstr>Measure 5 Budget - Program Mgmt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2024-04-01T17:02:16Z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0x010100AB8C78FC3AAEC24EA1DDA286E27A2C18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