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nysemail-my.sharepoint.com/personal/jessica_fowler_dec_ny_gov/Documents/CPRG/Approval documents/Routing Docs Implementation grant/"/>
    </mc:Choice>
  </mc:AlternateContent>
  <xr:revisionPtr revIDLastSave="382" documentId="8_{5D36DE07-C342-452C-BCE9-85AEC0FFCB8A}" xr6:coauthVersionLast="47" xr6:coauthVersionMax="47" xr10:uidLastSave="{5880F101-A1EC-4386-A9E5-A5F28E5C21EB}"/>
  <bookViews>
    <workbookView xWindow="-120" yWindow="-120" windowWidth="29040" windowHeight="15840" xr2:uid="{5AC69ED6-FDA5-480C-BA78-14F05220E2C3}"/>
  </bookViews>
  <sheets>
    <sheet name="Cover" sheetId="16" r:id="rId1"/>
    <sheet name="Summary Dashboard" sheetId="1" r:id="rId2"/>
    <sheet name="Annual Emission Reductions" sheetId="58" r:id="rId3"/>
    <sheet name="Annual Co-Pollutant Reductions" sheetId="75" r:id="rId4"/>
    <sheet name="Data Dictionary" sheetId="55" r:id="rId5"/>
    <sheet name="Measure Impacts &gt;&gt;" sheetId="60" r:id="rId6"/>
    <sheet name="1. Organics Recycling" sheetId="37" r:id="rId7"/>
    <sheet name="2. Natural Refrigerants" sheetId="15" r:id="rId8"/>
    <sheet name="3. CoolingHeating Centers" sheetId="47" r:id="rId9"/>
    <sheet name="4. Advanced EPCs" sheetId="71" r:id="rId10"/>
    <sheet name="Other Analyses &gt;&gt;" sheetId="61" r:id="rId11"/>
    <sheet name="LIDAC Analysis" sheetId="10" r:id="rId12"/>
    <sheet name="Supporting Tables &gt;&gt;" sheetId="18" r:id="rId13"/>
    <sheet name="Buildings Inputs" sheetId="48" r:id="rId14"/>
    <sheet name="Funding Matrix" sheetId="53" r:id="rId15"/>
    <sheet name="PATHWAYS_Health_EF_Buildings" sheetId="39" r:id="rId16"/>
    <sheet name="EPA Grid Emission Factors" sheetId="43" r:id="rId17"/>
    <sheet name="EPA Emission Factors Hub" sheetId="42" r:id="rId18"/>
    <sheet name="NYS Upstream Emission Factors" sheetId="74" r:id="rId19"/>
    <sheet name="CLCPA Grid Emission Factors " sheetId="57" r:id="rId20"/>
    <sheet name="CLCPA Emission Factors Hub" sheetId="56" r:id="rId21"/>
  </sheets>
  <externalReferences>
    <externalReference r:id="rId22"/>
    <externalReference r:id="rId23"/>
  </externalReferences>
  <definedNames>
    <definedName name="__FDS_HYPERLINK_TOGGLE_STATE__" hidden="1">"ON"</definedName>
    <definedName name="_xlnm._FilterDatabase" localSheetId="13" hidden="1">'Buildings Inputs'!#REF!</definedName>
    <definedName name="_xlnm._FilterDatabase" localSheetId="4" hidden="1">'Data Dictionary'!$B$3:$G$3</definedName>
    <definedName name="_xlnm._FilterDatabase" localSheetId="14" hidden="1">'Funding Matrix'!$B$2:$N$14</definedName>
    <definedName name="_xlnm._FilterDatabase" localSheetId="15" hidden="1">PATHWAYS_Health_EF_Buildings!$A$1:$G$76</definedName>
    <definedName name="_Order1" hidden="1">255</definedName>
    <definedName name="_Order2" hidden="1">255</definedName>
    <definedName name="Avoided_costs">[1]CC_Energy_Calc!$F$99:$F$113</definedName>
    <definedName name="Capture_point_sources">[1]CC_Energy_Calc!$C$78:$C$92</definedName>
    <definedName name="CH4_kg_to_MMBtu">#REF!</definedName>
    <definedName name="CH4GWP">#REF!</definedName>
    <definedName name="CRF">'[2]General Inputs'!$C$2</definedName>
    <definedName name="Cst_CAPEX_per_OPEX">[1]Admin!$E$70</definedName>
    <definedName name="Cst_ct_per_dollar">[1]Admin!$F$33</definedName>
    <definedName name="Cst_kWh_per_MMBtu">[1]Admin!$F$44</definedName>
    <definedName name="Cst_kWh_per_MWh">[1]Admin!$F$42</definedName>
    <definedName name="Cst_lbs_per_kg">[1]Admin!$F$34</definedName>
    <definedName name="Cst_ton_to_tonne">[1]Admin!$F$28</definedName>
    <definedName name="diesel_emissions_intensity">#REF!</definedName>
    <definedName name="dollar_conversion18to20">#REF!</definedName>
    <definedName name="Emis_Sources_Data">[1]Merge_Emis_Sources!$G$15:$S$88</definedName>
    <definedName name="Emis_Sources_Labels">[1]Merge_Emis_Sources!$G$13:$S$13</definedName>
    <definedName name="Feedstock_Use">[1]Enthal_Calc!$J$70:$J$79</definedName>
    <definedName name="gas_CI_tCO2_MWh">'[2]NAS Report'!$E$16</definedName>
    <definedName name="gasoline_emissions_intensity">#REF!</definedName>
    <definedName name="GWPCH4">#REF!</definedName>
    <definedName name="GWPN2O">#REF!</definedName>
    <definedName name="H2_kg_to_MMBtu">#REF!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kWh_to_Btu">#REF!</definedName>
    <definedName name="kWh_to_GGE">#REF!</definedName>
    <definedName name="MWhperGJ">'[2]DAC Cost and Energy Requirement'!$D$2</definedName>
    <definedName name="N2OGWP">#REF!</definedName>
    <definedName name="natural_gas_emissions_intensity">#REF!</definedName>
    <definedName name="Reactant_Type">[1]Enthal_Calc!$C$70:$C$79</definedName>
    <definedName name="SupCalc_Data">[1]Sup_Calc!$A:$R</definedName>
    <definedName name="SupCalc_Product">[1]Sup_Calc!$A:$A</definedName>
    <definedName name="SupCalc_Type">[1]Sup_Calc!$A$1:$R$1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 l="1"/>
  <c r="G10" i="1"/>
  <c r="F11" i="1"/>
  <c r="F10" i="1"/>
  <c r="F18" i="58"/>
  <c r="F28" i="55"/>
  <c r="F20" i="55"/>
  <c r="C24" i="15"/>
  <c r="C33" i="15"/>
  <c r="D33" i="15"/>
  <c r="E33" i="15"/>
  <c r="F33" i="15"/>
  <c r="G33" i="15"/>
  <c r="H33" i="15"/>
  <c r="D17" i="10" l="1"/>
  <c r="F99" i="37"/>
  <c r="D88" i="71"/>
  <c r="I91" i="48"/>
  <c r="H86" i="48"/>
  <c r="K86" i="48"/>
  <c r="I45" i="48"/>
  <c r="K84" i="48" l="1"/>
  <c r="K83" i="48"/>
  <c r="K82" i="48"/>
  <c r="K81" i="48"/>
  <c r="K79" i="48"/>
  <c r="K78" i="48"/>
  <c r="K77" i="48"/>
  <c r="K76" i="48"/>
  <c r="K75" i="48"/>
  <c r="H84" i="48"/>
  <c r="H83" i="48"/>
  <c r="H82" i="48"/>
  <c r="H81" i="48"/>
  <c r="H79" i="48"/>
  <c r="H78" i="48"/>
  <c r="H77" i="48"/>
  <c r="H76" i="48"/>
  <c r="H75" i="48"/>
  <c r="A85" i="48"/>
  <c r="A84" i="48"/>
  <c r="A83" i="48"/>
  <c r="A82" i="48"/>
  <c r="A81" i="48"/>
  <c r="A79" i="48"/>
  <c r="A78" i="48"/>
  <c r="A77" i="48"/>
  <c r="A76" i="48"/>
  <c r="A75" i="48"/>
  <c r="K73" i="48"/>
  <c r="K71" i="48"/>
  <c r="K70" i="48"/>
  <c r="K69" i="48"/>
  <c r="H73" i="48"/>
  <c r="H71" i="48"/>
  <c r="H70" i="48"/>
  <c r="H69" i="48"/>
  <c r="A73" i="48"/>
  <c r="A71" i="48"/>
  <c r="A70" i="48"/>
  <c r="A69" i="48"/>
  <c r="K67" i="48"/>
  <c r="K66" i="48"/>
  <c r="K65" i="48"/>
  <c r="K64" i="48"/>
  <c r="K63" i="48"/>
  <c r="K61" i="48"/>
  <c r="K60" i="48"/>
  <c r="K59" i="48"/>
  <c r="K58" i="48"/>
  <c r="K57" i="48"/>
  <c r="H67" i="48"/>
  <c r="H66" i="48"/>
  <c r="H65" i="48"/>
  <c r="H64" i="48"/>
  <c r="H63" i="48"/>
  <c r="H61" i="48"/>
  <c r="H60" i="48"/>
  <c r="H59" i="48"/>
  <c r="H58" i="48"/>
  <c r="H57" i="48"/>
  <c r="A67" i="48"/>
  <c r="A66" i="48"/>
  <c r="A65" i="48"/>
  <c r="A64" i="48"/>
  <c r="A63" i="48"/>
  <c r="A61" i="48"/>
  <c r="A60" i="48"/>
  <c r="A59" i="48"/>
  <c r="A58" i="48"/>
  <c r="A57" i="48"/>
  <c r="A55" i="48"/>
  <c r="A54" i="48"/>
  <c r="A53" i="48"/>
  <c r="A51" i="48"/>
  <c r="A50" i="48"/>
  <c r="A49" i="48"/>
  <c r="K41" i="48"/>
  <c r="K55" i="48"/>
  <c r="K54" i="48"/>
  <c r="K53" i="48"/>
  <c r="K52" i="48"/>
  <c r="K51" i="48"/>
  <c r="K50" i="48"/>
  <c r="K49" i="48"/>
  <c r="H55" i="48"/>
  <c r="H54" i="48"/>
  <c r="H53" i="48"/>
  <c r="H52" i="48"/>
  <c r="H51" i="48"/>
  <c r="H50" i="48"/>
  <c r="H49" i="48"/>
  <c r="H12" i="48"/>
  <c r="H13" i="48"/>
  <c r="H14" i="48"/>
  <c r="H15" i="48"/>
  <c r="H16" i="48"/>
  <c r="H17" i="48"/>
  <c r="H18" i="48"/>
  <c r="H19" i="48"/>
  <c r="H20" i="48"/>
  <c r="H21" i="48"/>
  <c r="H22" i="48"/>
  <c r="H23" i="48"/>
  <c r="H24" i="48"/>
  <c r="H25" i="48"/>
  <c r="H26" i="48"/>
  <c r="H27" i="48"/>
  <c r="H28" i="48"/>
  <c r="H29" i="48"/>
  <c r="H30" i="48"/>
  <c r="H31" i="48"/>
  <c r="H32" i="48"/>
  <c r="H33" i="48"/>
  <c r="H34" i="48"/>
  <c r="H35" i="48"/>
  <c r="H36" i="48"/>
  <c r="H37" i="48"/>
  <c r="H38" i="48"/>
  <c r="H39" i="48"/>
  <c r="H40" i="48"/>
  <c r="H41" i="48"/>
  <c r="H11" i="48"/>
  <c r="K40" i="48"/>
  <c r="I64" i="47" l="1"/>
  <c r="H65" i="47"/>
  <c r="A37" i="48"/>
  <c r="A36" i="48"/>
  <c r="J36" i="48"/>
  <c r="J37" i="48" s="1"/>
  <c r="K37" i="48" s="1"/>
  <c r="I36" i="48"/>
  <c r="I37" i="48" s="1"/>
  <c r="A32" i="48"/>
  <c r="A30" i="48"/>
  <c r="A29" i="48"/>
  <c r="A27" i="48"/>
  <c r="A26" i="48"/>
  <c r="A25" i="48"/>
  <c r="A24" i="48"/>
  <c r="A23" i="48"/>
  <c r="A21" i="48"/>
  <c r="A20" i="48"/>
  <c r="A19" i="48"/>
  <c r="A18" i="48"/>
  <c r="A17" i="48"/>
  <c r="A15" i="48"/>
  <c r="A14" i="48"/>
  <c r="A12" i="48"/>
  <c r="A11" i="48"/>
  <c r="K32" i="48"/>
  <c r="K30" i="48"/>
  <c r="K29" i="48"/>
  <c r="K27" i="48"/>
  <c r="K26" i="48"/>
  <c r="K25" i="48"/>
  <c r="K24" i="48"/>
  <c r="K23" i="48"/>
  <c r="K21" i="48"/>
  <c r="K20" i="48"/>
  <c r="K19" i="48"/>
  <c r="K18" i="48"/>
  <c r="K17" i="48"/>
  <c r="K15" i="48"/>
  <c r="K14" i="48"/>
  <c r="K12" i="48"/>
  <c r="K11" i="48"/>
  <c r="D29" i="47"/>
  <c r="E29" i="47"/>
  <c r="C29" i="47"/>
  <c r="D37" i="71"/>
  <c r="E37" i="71"/>
  <c r="F37" i="71"/>
  <c r="G37" i="71"/>
  <c r="C37" i="71"/>
  <c r="D83" i="71"/>
  <c r="I3" i="43"/>
  <c r="J3" i="43" s="1"/>
  <c r="K3" i="43" s="1"/>
  <c r="L3" i="43" s="1"/>
  <c r="M3" i="43" s="1"/>
  <c r="N3" i="43" s="1"/>
  <c r="O3" i="43" s="1"/>
  <c r="P3" i="43" s="1"/>
  <c r="Q3" i="43" s="1"/>
  <c r="R3" i="43" s="1"/>
  <c r="S3" i="43" s="1"/>
  <c r="T3" i="43" s="1"/>
  <c r="U3" i="43" s="1"/>
  <c r="V3" i="43" s="1"/>
  <c r="W3" i="43" s="1"/>
  <c r="X3" i="43" s="1"/>
  <c r="Y3" i="43" s="1"/>
  <c r="Z3" i="43" s="1"/>
  <c r="AA3" i="43" s="1"/>
  <c r="AB3" i="43" s="1"/>
  <c r="AC3" i="43" s="1"/>
  <c r="AD3" i="43" s="1"/>
  <c r="AE3" i="43" s="1"/>
  <c r="AF3" i="43" s="1"/>
  <c r="AG3" i="43" s="1"/>
  <c r="AH3" i="43" s="1"/>
  <c r="AI3" i="43" s="1"/>
  <c r="H5" i="43"/>
  <c r="I5" i="43"/>
  <c r="J5" i="43"/>
  <c r="K5" i="43"/>
  <c r="L5" i="43"/>
  <c r="M5" i="43"/>
  <c r="N5" i="43"/>
  <c r="O5" i="43"/>
  <c r="P5" i="43"/>
  <c r="Q5" i="43"/>
  <c r="R5" i="43"/>
  <c r="S5" i="43"/>
  <c r="T5" i="43"/>
  <c r="U5" i="43"/>
  <c r="V5" i="43"/>
  <c r="W5" i="43"/>
  <c r="X5" i="43"/>
  <c r="Y5" i="43"/>
  <c r="Z5" i="43"/>
  <c r="AA5" i="43"/>
  <c r="AB5" i="43"/>
  <c r="AC5" i="43"/>
  <c r="AD5" i="43"/>
  <c r="AE5" i="43"/>
  <c r="AF5" i="43"/>
  <c r="AG5" i="43"/>
  <c r="AH5" i="43"/>
  <c r="AI5" i="43"/>
  <c r="H6" i="43"/>
  <c r="I6" i="43"/>
  <c r="J6" i="43"/>
  <c r="K6" i="43"/>
  <c r="L6" i="43"/>
  <c r="M6" i="43"/>
  <c r="N6" i="43"/>
  <c r="O6" i="43"/>
  <c r="P6" i="43"/>
  <c r="Q6" i="43"/>
  <c r="R6" i="43"/>
  <c r="S6" i="43"/>
  <c r="T6" i="43"/>
  <c r="U6" i="43"/>
  <c r="V6" i="43"/>
  <c r="W6" i="43"/>
  <c r="X6" i="43"/>
  <c r="Y6" i="43"/>
  <c r="Z6" i="43"/>
  <c r="AA6" i="43"/>
  <c r="AB6" i="43"/>
  <c r="AC6" i="43"/>
  <c r="AD6" i="43"/>
  <c r="AE6" i="43"/>
  <c r="AF6" i="43"/>
  <c r="AG6" i="43"/>
  <c r="AH6" i="43"/>
  <c r="AI6" i="43"/>
  <c r="H7" i="43"/>
  <c r="I7" i="43"/>
  <c r="J7" i="43"/>
  <c r="K7" i="43"/>
  <c r="L7" i="43"/>
  <c r="M7" i="43"/>
  <c r="N7" i="43"/>
  <c r="O7" i="43"/>
  <c r="P7" i="43"/>
  <c r="Q7" i="43"/>
  <c r="R7" i="43"/>
  <c r="S7" i="43"/>
  <c r="T7" i="43"/>
  <c r="U7" i="43"/>
  <c r="V7" i="43"/>
  <c r="W7" i="43"/>
  <c r="X7" i="43"/>
  <c r="Y7" i="43"/>
  <c r="Z7" i="43"/>
  <c r="AA7" i="43"/>
  <c r="AB7" i="43"/>
  <c r="AC7" i="43"/>
  <c r="AD7" i="43"/>
  <c r="AE7" i="43"/>
  <c r="AF7" i="43"/>
  <c r="AG7" i="43"/>
  <c r="AH7" i="43"/>
  <c r="AI7" i="43"/>
  <c r="H8" i="43"/>
  <c r="H4" i="43" s="1"/>
  <c r="I8" i="43"/>
  <c r="I4" i="43" s="1"/>
  <c r="J8" i="43"/>
  <c r="J4" i="43" s="1"/>
  <c r="K8" i="43"/>
  <c r="K4" i="43" s="1"/>
  <c r="L8" i="43"/>
  <c r="L4" i="43" s="1"/>
  <c r="M8" i="43"/>
  <c r="M4" i="43" s="1"/>
  <c r="N8" i="43"/>
  <c r="N4" i="43" s="1"/>
  <c r="O8" i="43"/>
  <c r="O4" i="43" s="1"/>
  <c r="P8" i="43"/>
  <c r="P4" i="43" s="1"/>
  <c r="Q8" i="43"/>
  <c r="Q4" i="43" s="1"/>
  <c r="R8" i="43"/>
  <c r="R4" i="43" s="1"/>
  <c r="S8" i="43"/>
  <c r="S4" i="43" s="1"/>
  <c r="T8" i="43"/>
  <c r="T4" i="43" s="1"/>
  <c r="U8" i="43"/>
  <c r="U4" i="43" s="1"/>
  <c r="V8" i="43"/>
  <c r="V4" i="43" s="1"/>
  <c r="W8" i="43"/>
  <c r="W4" i="43" s="1"/>
  <c r="X8" i="43"/>
  <c r="X4" i="43" s="1"/>
  <c r="Y8" i="43"/>
  <c r="Y4" i="43" s="1"/>
  <c r="Z8" i="43"/>
  <c r="Z4" i="43" s="1"/>
  <c r="AA8" i="43"/>
  <c r="AA4" i="43" s="1"/>
  <c r="AB8" i="43"/>
  <c r="AB4" i="43" s="1"/>
  <c r="AC8" i="43"/>
  <c r="AC4" i="43" s="1"/>
  <c r="AD8" i="43"/>
  <c r="AD4" i="43" s="1"/>
  <c r="AE8" i="43"/>
  <c r="AE4" i="43" s="1"/>
  <c r="AF8" i="43"/>
  <c r="AF4" i="43" s="1"/>
  <c r="AG8" i="43"/>
  <c r="AG4" i="43" s="1"/>
  <c r="AH8" i="43"/>
  <c r="AH4" i="43" s="1"/>
  <c r="AI8" i="43"/>
  <c r="AI4" i="43" s="1"/>
  <c r="H9" i="43"/>
  <c r="I9" i="43"/>
  <c r="J9" i="43"/>
  <c r="K9" i="43"/>
  <c r="L9" i="43"/>
  <c r="M9" i="43"/>
  <c r="N9" i="43"/>
  <c r="O9" i="43"/>
  <c r="P9" i="43"/>
  <c r="Q9" i="43"/>
  <c r="R9" i="43"/>
  <c r="S9" i="43"/>
  <c r="T9" i="43"/>
  <c r="U9" i="43"/>
  <c r="V9" i="43"/>
  <c r="W9" i="43"/>
  <c r="X9" i="43"/>
  <c r="Y9" i="43"/>
  <c r="Z9" i="43"/>
  <c r="AA9" i="43"/>
  <c r="AB9" i="43"/>
  <c r="AC9" i="43"/>
  <c r="AD9" i="43"/>
  <c r="AE9" i="43"/>
  <c r="AF9" i="43"/>
  <c r="AG9" i="43"/>
  <c r="AH9" i="43"/>
  <c r="AI9" i="43"/>
  <c r="I36" i="43"/>
  <c r="J36" i="43"/>
  <c r="K36" i="43"/>
  <c r="L36" i="43"/>
  <c r="M36" i="43"/>
  <c r="N36" i="43"/>
  <c r="O36" i="43"/>
  <c r="P36" i="43" s="1"/>
  <c r="Q36" i="43" s="1"/>
  <c r="R36" i="43" s="1"/>
  <c r="S36" i="43" s="1"/>
  <c r="T36" i="43" s="1"/>
  <c r="U36" i="43" s="1"/>
  <c r="V36" i="43" s="1"/>
  <c r="W36" i="43" s="1"/>
  <c r="X36" i="43" s="1"/>
  <c r="Y36" i="43" s="1"/>
  <c r="Z36" i="43" s="1"/>
  <c r="AA36" i="43" s="1"/>
  <c r="AB36" i="43" s="1"/>
  <c r="AC36" i="43" s="1"/>
  <c r="AD36" i="43" s="1"/>
  <c r="AE36" i="43" s="1"/>
  <c r="AF36" i="43" s="1"/>
  <c r="AG36" i="43" s="1"/>
  <c r="AH36" i="43" s="1"/>
  <c r="AI36" i="43" s="1"/>
  <c r="J64" i="47" l="1"/>
  <c r="J65" i="47"/>
  <c r="H64" i="47"/>
  <c r="I65" i="47"/>
  <c r="K36" i="48"/>
  <c r="F5" i="55"/>
  <c r="F35" i="55"/>
  <c r="F34" i="55"/>
  <c r="D75" i="37" l="1"/>
  <c r="C28" i="37"/>
  <c r="D104" i="47"/>
  <c r="E104" i="47" s="1"/>
  <c r="F104" i="47" s="1"/>
  <c r="G104" i="47" s="1"/>
  <c r="H104" i="47" s="1"/>
  <c r="I104" i="47" s="1"/>
  <c r="J104" i="47" s="1"/>
  <c r="K104" i="47" s="1"/>
  <c r="L104" i="47" s="1"/>
  <c r="M104" i="47" s="1"/>
  <c r="N104" i="47" s="1"/>
  <c r="O104" i="47" s="1"/>
  <c r="P104" i="47" s="1"/>
  <c r="Q104" i="47" s="1"/>
  <c r="R104" i="47" s="1"/>
  <c r="S104" i="47" s="1"/>
  <c r="T104" i="47" s="1"/>
  <c r="U104" i="47" s="1"/>
  <c r="V104" i="47" s="1"/>
  <c r="W104" i="47" s="1"/>
  <c r="X104" i="47" s="1"/>
  <c r="Y104" i="47" s="1"/>
  <c r="Z104" i="47" s="1"/>
  <c r="AA104" i="47" s="1"/>
  <c r="AB104" i="47" s="1"/>
  <c r="D96" i="47"/>
  <c r="E96" i="47" s="1"/>
  <c r="F96" i="47" s="1"/>
  <c r="G96" i="47" s="1"/>
  <c r="H96" i="47" s="1"/>
  <c r="I96" i="47" s="1"/>
  <c r="J96" i="47" s="1"/>
  <c r="K96" i="47" s="1"/>
  <c r="L96" i="47" s="1"/>
  <c r="M96" i="47" s="1"/>
  <c r="N96" i="47" s="1"/>
  <c r="O96" i="47" s="1"/>
  <c r="P96" i="47" s="1"/>
  <c r="Q96" i="47" s="1"/>
  <c r="R96" i="47" s="1"/>
  <c r="S96" i="47" s="1"/>
  <c r="T96" i="47" s="1"/>
  <c r="U96" i="47" s="1"/>
  <c r="V96" i="47" s="1"/>
  <c r="W96" i="47" s="1"/>
  <c r="X96" i="47" s="1"/>
  <c r="Y96" i="47" s="1"/>
  <c r="Z96" i="47" s="1"/>
  <c r="AA96" i="47" s="1"/>
  <c r="AB96" i="47" s="1"/>
  <c r="D153" i="71"/>
  <c r="E153" i="71" s="1"/>
  <c r="F153" i="71" s="1"/>
  <c r="G153" i="71" s="1"/>
  <c r="H153" i="71" s="1"/>
  <c r="D145" i="71"/>
  <c r="E145" i="71" s="1"/>
  <c r="F145" i="71" s="1"/>
  <c r="G145" i="71" s="1"/>
  <c r="H145" i="71" s="1"/>
  <c r="BS19" i="75"/>
  <c r="BT19" i="75" s="1"/>
  <c r="BU19" i="75" s="1"/>
  <c r="BV19" i="75" s="1"/>
  <c r="BW19" i="75" s="1"/>
  <c r="BX19" i="75" s="1"/>
  <c r="BY19" i="75" s="1"/>
  <c r="BZ19" i="75" s="1"/>
  <c r="CA19" i="75" s="1"/>
  <c r="CB19" i="75" s="1"/>
  <c r="CC19" i="75" s="1"/>
  <c r="CD19" i="75" s="1"/>
  <c r="CE19" i="75" s="1"/>
  <c r="CF19" i="75" s="1"/>
  <c r="CG19" i="75" s="1"/>
  <c r="CH19" i="75" s="1"/>
  <c r="CI19" i="75" s="1"/>
  <c r="CJ19" i="75" s="1"/>
  <c r="CK19" i="75" s="1"/>
  <c r="CL19" i="75" s="1"/>
  <c r="CM19" i="75" s="1"/>
  <c r="CN19" i="75" s="1"/>
  <c r="CO19" i="75" s="1"/>
  <c r="CP19" i="75" s="1"/>
  <c r="CQ19" i="75" s="1"/>
  <c r="BS11" i="75"/>
  <c r="BT11" i="75" s="1"/>
  <c r="BU11" i="75" s="1"/>
  <c r="BV11" i="75" s="1"/>
  <c r="BW11" i="75" s="1"/>
  <c r="BX11" i="75" s="1"/>
  <c r="BY11" i="75" s="1"/>
  <c r="BZ11" i="75" s="1"/>
  <c r="CA11" i="75" s="1"/>
  <c r="CB11" i="75" s="1"/>
  <c r="CC11" i="75" s="1"/>
  <c r="CD11" i="75" s="1"/>
  <c r="CE11" i="75" s="1"/>
  <c r="CF11" i="75" s="1"/>
  <c r="CG11" i="75" s="1"/>
  <c r="CH11" i="75" s="1"/>
  <c r="CI11" i="75" s="1"/>
  <c r="CJ11" i="75" s="1"/>
  <c r="CK11" i="75" s="1"/>
  <c r="CL11" i="75" s="1"/>
  <c r="CM11" i="75" s="1"/>
  <c r="CN11" i="75" s="1"/>
  <c r="CO11" i="75" s="1"/>
  <c r="CP11" i="75" s="1"/>
  <c r="CQ11" i="75" s="1"/>
  <c r="BS3" i="75"/>
  <c r="BT3" i="75" s="1"/>
  <c r="BU3" i="75" s="1"/>
  <c r="BV3" i="75" s="1"/>
  <c r="BW3" i="75" s="1"/>
  <c r="BX3" i="75" s="1"/>
  <c r="BY3" i="75" s="1"/>
  <c r="BZ3" i="75" s="1"/>
  <c r="CA3" i="75" s="1"/>
  <c r="CB3" i="75" s="1"/>
  <c r="CC3" i="75" s="1"/>
  <c r="CD3" i="75" s="1"/>
  <c r="CE3" i="75" s="1"/>
  <c r="CF3" i="75" s="1"/>
  <c r="CG3" i="75" s="1"/>
  <c r="CH3" i="75" s="1"/>
  <c r="CI3" i="75" s="1"/>
  <c r="CJ3" i="75" s="1"/>
  <c r="CK3" i="75" s="1"/>
  <c r="CL3" i="75" s="1"/>
  <c r="CM3" i="75" s="1"/>
  <c r="CN3" i="75" s="1"/>
  <c r="CO3" i="75" s="1"/>
  <c r="CP3" i="75" s="1"/>
  <c r="CQ3" i="75" s="1"/>
  <c r="AL19" i="75"/>
  <c r="AM19" i="75" s="1"/>
  <c r="AN19" i="75" s="1"/>
  <c r="AO19" i="75" s="1"/>
  <c r="AP19" i="75" s="1"/>
  <c r="AQ19" i="75" s="1"/>
  <c r="AR19" i="75" s="1"/>
  <c r="AS19" i="75" s="1"/>
  <c r="AT19" i="75" s="1"/>
  <c r="AU19" i="75" s="1"/>
  <c r="AV19" i="75" s="1"/>
  <c r="AW19" i="75" s="1"/>
  <c r="AX19" i="75" s="1"/>
  <c r="AY19" i="75" s="1"/>
  <c r="AZ19" i="75" s="1"/>
  <c r="BA19" i="75" s="1"/>
  <c r="BB19" i="75" s="1"/>
  <c r="BC19" i="75" s="1"/>
  <c r="BD19" i="75" s="1"/>
  <c r="BE19" i="75" s="1"/>
  <c r="BF19" i="75" s="1"/>
  <c r="BG19" i="75" s="1"/>
  <c r="BH19" i="75" s="1"/>
  <c r="BI19" i="75" s="1"/>
  <c r="BJ19" i="75" s="1"/>
  <c r="AL11" i="75"/>
  <c r="AM11" i="75" s="1"/>
  <c r="AN11" i="75" s="1"/>
  <c r="AO11" i="75" s="1"/>
  <c r="AP11" i="75" s="1"/>
  <c r="AQ11" i="75" s="1"/>
  <c r="AR11" i="75" s="1"/>
  <c r="AS11" i="75" s="1"/>
  <c r="AT11" i="75" s="1"/>
  <c r="AU11" i="75" s="1"/>
  <c r="AV11" i="75" s="1"/>
  <c r="AW11" i="75" s="1"/>
  <c r="AX11" i="75" s="1"/>
  <c r="AY11" i="75" s="1"/>
  <c r="AZ11" i="75" s="1"/>
  <c r="BA11" i="75" s="1"/>
  <c r="BB11" i="75" s="1"/>
  <c r="BC11" i="75" s="1"/>
  <c r="BD11" i="75" s="1"/>
  <c r="BE11" i="75" s="1"/>
  <c r="BF11" i="75" s="1"/>
  <c r="BG11" i="75" s="1"/>
  <c r="BH11" i="75" s="1"/>
  <c r="BI11" i="75" s="1"/>
  <c r="BJ11" i="75" s="1"/>
  <c r="AL3" i="75"/>
  <c r="AM3" i="75" s="1"/>
  <c r="AN3" i="75" s="1"/>
  <c r="AO3" i="75" s="1"/>
  <c r="AP3" i="75" s="1"/>
  <c r="AQ3" i="75" s="1"/>
  <c r="AR3" i="75" s="1"/>
  <c r="AS3" i="75" s="1"/>
  <c r="AT3" i="75" s="1"/>
  <c r="AU3" i="75" s="1"/>
  <c r="AV3" i="75" s="1"/>
  <c r="AW3" i="75" s="1"/>
  <c r="AX3" i="75" s="1"/>
  <c r="AY3" i="75" s="1"/>
  <c r="AZ3" i="75" s="1"/>
  <c r="BA3" i="75" s="1"/>
  <c r="BB3" i="75" s="1"/>
  <c r="BC3" i="75" s="1"/>
  <c r="BD3" i="75" s="1"/>
  <c r="BE3" i="75" s="1"/>
  <c r="BF3" i="75" s="1"/>
  <c r="BG3" i="75" s="1"/>
  <c r="BH3" i="75" s="1"/>
  <c r="BI3" i="75" s="1"/>
  <c r="BJ3" i="75" s="1"/>
  <c r="D21" i="75"/>
  <c r="D22" i="75"/>
  <c r="D23" i="75"/>
  <c r="D24" i="75"/>
  <c r="D20" i="75"/>
  <c r="D13" i="75"/>
  <c r="D14" i="75"/>
  <c r="D15" i="75"/>
  <c r="D16" i="75"/>
  <c r="D8" i="75" s="1"/>
  <c r="D12" i="75"/>
  <c r="D4" i="75" s="1"/>
  <c r="E19" i="75"/>
  <c r="F19" i="75" s="1"/>
  <c r="G19" i="75" s="1"/>
  <c r="H19" i="75" s="1"/>
  <c r="I19" i="75" s="1"/>
  <c r="J19" i="75" s="1"/>
  <c r="K19" i="75" s="1"/>
  <c r="L19" i="75" s="1"/>
  <c r="M19" i="75" s="1"/>
  <c r="N19" i="75" s="1"/>
  <c r="O19" i="75" s="1"/>
  <c r="P19" i="75" s="1"/>
  <c r="Q19" i="75" s="1"/>
  <c r="R19" i="75" s="1"/>
  <c r="S19" i="75" s="1"/>
  <c r="T19" i="75" s="1"/>
  <c r="U19" i="75" s="1"/>
  <c r="V19" i="75" s="1"/>
  <c r="W19" i="75" s="1"/>
  <c r="X19" i="75" s="1"/>
  <c r="Y19" i="75" s="1"/>
  <c r="Z19" i="75" s="1"/>
  <c r="AA19" i="75" s="1"/>
  <c r="AB19" i="75" s="1"/>
  <c r="AC19" i="75" s="1"/>
  <c r="E11" i="75"/>
  <c r="F11" i="75" s="1"/>
  <c r="G11" i="75" s="1"/>
  <c r="H11" i="75" s="1"/>
  <c r="I11" i="75" s="1"/>
  <c r="J11" i="75" s="1"/>
  <c r="K11" i="75" s="1"/>
  <c r="L11" i="75" s="1"/>
  <c r="M11" i="75" s="1"/>
  <c r="N11" i="75" s="1"/>
  <c r="O11" i="75" s="1"/>
  <c r="P11" i="75" s="1"/>
  <c r="Q11" i="75" s="1"/>
  <c r="R11" i="75" s="1"/>
  <c r="S11" i="75" s="1"/>
  <c r="T11" i="75" s="1"/>
  <c r="U11" i="75" s="1"/>
  <c r="V11" i="75" s="1"/>
  <c r="W11" i="75" s="1"/>
  <c r="X11" i="75" s="1"/>
  <c r="Y11" i="75" s="1"/>
  <c r="Z11" i="75" s="1"/>
  <c r="AA11" i="75" s="1"/>
  <c r="AB11" i="75" s="1"/>
  <c r="AC11" i="75" s="1"/>
  <c r="E3" i="75"/>
  <c r="F3" i="75" s="1"/>
  <c r="G3" i="75" s="1"/>
  <c r="H3" i="75" s="1"/>
  <c r="I3" i="75" s="1"/>
  <c r="J3" i="75" s="1"/>
  <c r="K3" i="75" s="1"/>
  <c r="L3" i="75" s="1"/>
  <c r="M3" i="75" s="1"/>
  <c r="N3" i="75" s="1"/>
  <c r="O3" i="75" s="1"/>
  <c r="P3" i="75" s="1"/>
  <c r="Q3" i="75" s="1"/>
  <c r="R3" i="75" s="1"/>
  <c r="S3" i="75" s="1"/>
  <c r="T3" i="75" s="1"/>
  <c r="U3" i="75" s="1"/>
  <c r="V3" i="75" s="1"/>
  <c r="W3" i="75" s="1"/>
  <c r="X3" i="75" s="1"/>
  <c r="Y3" i="75" s="1"/>
  <c r="Z3" i="75" s="1"/>
  <c r="AA3" i="75" s="1"/>
  <c r="AB3" i="75" s="1"/>
  <c r="AC3" i="75" s="1"/>
  <c r="P4" i="42"/>
  <c r="Q4" i="42" s="1"/>
  <c r="S55" i="42" s="1"/>
  <c r="V55" i="42" s="1"/>
  <c r="V353" i="42"/>
  <c r="V352" i="42"/>
  <c r="V351" i="42"/>
  <c r="V350" i="42"/>
  <c r="V349" i="42"/>
  <c r="V348" i="42"/>
  <c r="V347" i="42"/>
  <c r="V346" i="42"/>
  <c r="V345" i="42"/>
  <c r="V344" i="42"/>
  <c r="V343" i="42"/>
  <c r="V342" i="42"/>
  <c r="V341" i="42"/>
  <c r="V340" i="42"/>
  <c r="V339" i="42"/>
  <c r="V338" i="42"/>
  <c r="V337" i="42"/>
  <c r="V336" i="42"/>
  <c r="V335" i="42"/>
  <c r="V334" i="42"/>
  <c r="V333" i="42"/>
  <c r="V332" i="42"/>
  <c r="V331" i="42"/>
  <c r="V330" i="42"/>
  <c r="V329" i="42"/>
  <c r="V328" i="42"/>
  <c r="V327" i="42"/>
  <c r="V326" i="42"/>
  <c r="U353" i="42"/>
  <c r="U352" i="42"/>
  <c r="U351" i="42"/>
  <c r="U350" i="42"/>
  <c r="U349" i="42"/>
  <c r="U348" i="42"/>
  <c r="U347" i="42"/>
  <c r="U346" i="42"/>
  <c r="U345" i="42"/>
  <c r="U344" i="42"/>
  <c r="U343" i="42"/>
  <c r="U342" i="42"/>
  <c r="U341" i="42"/>
  <c r="U340" i="42"/>
  <c r="U339" i="42"/>
  <c r="U338" i="42"/>
  <c r="U337" i="42"/>
  <c r="U336" i="42"/>
  <c r="U335" i="42"/>
  <c r="U334" i="42"/>
  <c r="U333" i="42"/>
  <c r="U332" i="42"/>
  <c r="U331" i="42"/>
  <c r="U330" i="42"/>
  <c r="U329" i="42"/>
  <c r="U328" i="42"/>
  <c r="U327" i="42"/>
  <c r="U326" i="42"/>
  <c r="T353" i="42"/>
  <c r="T352" i="42"/>
  <c r="T351" i="42"/>
  <c r="T350" i="42"/>
  <c r="T349" i="42"/>
  <c r="T348" i="42"/>
  <c r="T347" i="42"/>
  <c r="T346" i="42"/>
  <c r="T345" i="42"/>
  <c r="T344" i="42"/>
  <c r="T343" i="42"/>
  <c r="T342" i="42"/>
  <c r="T341" i="42"/>
  <c r="T340" i="42"/>
  <c r="T339" i="42"/>
  <c r="T338" i="42"/>
  <c r="T337" i="42"/>
  <c r="T336" i="42"/>
  <c r="T335" i="42"/>
  <c r="T334" i="42"/>
  <c r="T333" i="42"/>
  <c r="T332" i="42"/>
  <c r="T331" i="42"/>
  <c r="T330" i="42"/>
  <c r="T329" i="42"/>
  <c r="T328" i="42"/>
  <c r="T327" i="42"/>
  <c r="T326" i="42"/>
  <c r="S353" i="42"/>
  <c r="S352" i="42"/>
  <c r="S351" i="42"/>
  <c r="S350" i="42"/>
  <c r="S349" i="42"/>
  <c r="S348" i="42"/>
  <c r="S347" i="42"/>
  <c r="S346" i="42"/>
  <c r="S345" i="42"/>
  <c r="S344" i="42"/>
  <c r="S343" i="42"/>
  <c r="S342" i="42"/>
  <c r="S341" i="42"/>
  <c r="S340" i="42"/>
  <c r="S339" i="42"/>
  <c r="S338" i="42"/>
  <c r="S337" i="42"/>
  <c r="S336" i="42"/>
  <c r="S335" i="42"/>
  <c r="S334" i="42"/>
  <c r="S333" i="42"/>
  <c r="S332" i="42"/>
  <c r="S331" i="42"/>
  <c r="S330" i="42"/>
  <c r="S329" i="42"/>
  <c r="S328" i="42"/>
  <c r="S327" i="42"/>
  <c r="S326" i="42"/>
  <c r="R353" i="42"/>
  <c r="R352" i="42"/>
  <c r="R351" i="42"/>
  <c r="R350" i="42"/>
  <c r="R349" i="42"/>
  <c r="R348" i="42"/>
  <c r="R347" i="42"/>
  <c r="R346" i="42"/>
  <c r="R345" i="42"/>
  <c r="R344" i="42"/>
  <c r="R343" i="42"/>
  <c r="R342" i="42"/>
  <c r="R341" i="42"/>
  <c r="R340" i="42"/>
  <c r="R339" i="42"/>
  <c r="R338" i="42"/>
  <c r="R337" i="42"/>
  <c r="R336" i="42"/>
  <c r="R335" i="42"/>
  <c r="R334" i="42"/>
  <c r="R333" i="42"/>
  <c r="R332" i="42"/>
  <c r="R331" i="42"/>
  <c r="R330" i="42"/>
  <c r="R329" i="42"/>
  <c r="R328" i="42"/>
  <c r="R327" i="42"/>
  <c r="R326" i="42"/>
  <c r="Q327" i="42"/>
  <c r="Q328" i="42"/>
  <c r="Q329" i="42"/>
  <c r="Q330" i="42"/>
  <c r="Q331" i="42"/>
  <c r="Q332" i="42"/>
  <c r="Q333" i="42"/>
  <c r="Q334" i="42"/>
  <c r="Q335" i="42"/>
  <c r="Q336" i="42"/>
  <c r="Q337" i="42"/>
  <c r="Q338" i="42"/>
  <c r="Q339" i="42"/>
  <c r="Q340" i="42"/>
  <c r="Q341" i="42"/>
  <c r="Q342" i="42"/>
  <c r="Q343" i="42"/>
  <c r="Q344" i="42"/>
  <c r="Q345" i="42"/>
  <c r="Q346" i="42"/>
  <c r="Q347" i="42"/>
  <c r="Q348" i="42"/>
  <c r="Q349" i="42"/>
  <c r="Q350" i="42"/>
  <c r="Q351" i="42"/>
  <c r="Q352" i="42"/>
  <c r="Q353" i="42"/>
  <c r="Q326" i="42"/>
  <c r="D6" i="75" l="1"/>
  <c r="D7" i="75"/>
  <c r="D5" i="75"/>
  <c r="I145" i="71"/>
  <c r="J145" i="71" s="1"/>
  <c r="K145" i="71" s="1"/>
  <c r="L145" i="71" s="1"/>
  <c r="M145" i="71" s="1"/>
  <c r="N145" i="71" s="1"/>
  <c r="O145" i="71" s="1"/>
  <c r="P145" i="71" s="1"/>
  <c r="Q145" i="71" s="1"/>
  <c r="R145" i="71" s="1"/>
  <c r="S145" i="71" s="1"/>
  <c r="T145" i="71" s="1"/>
  <c r="U145" i="71" s="1"/>
  <c r="V145" i="71" s="1"/>
  <c r="W145" i="71" s="1"/>
  <c r="X145" i="71" s="1"/>
  <c r="Y145" i="71" s="1"/>
  <c r="Z145" i="71" s="1"/>
  <c r="AA145" i="71" s="1"/>
  <c r="AB145" i="71" s="1"/>
  <c r="I153" i="71"/>
  <c r="J153" i="71" s="1"/>
  <c r="K153" i="71" s="1"/>
  <c r="L153" i="71" s="1"/>
  <c r="M153" i="71" s="1"/>
  <c r="N153" i="71" s="1"/>
  <c r="O153" i="71" s="1"/>
  <c r="P153" i="71" s="1"/>
  <c r="Q153" i="71" s="1"/>
  <c r="R153" i="71" s="1"/>
  <c r="S153" i="71" s="1"/>
  <c r="T153" i="71" s="1"/>
  <c r="U153" i="71" s="1"/>
  <c r="V153" i="71" s="1"/>
  <c r="W153" i="71" s="1"/>
  <c r="X153" i="71" s="1"/>
  <c r="Y153" i="71" s="1"/>
  <c r="Z153" i="71" s="1"/>
  <c r="AA153" i="71" s="1"/>
  <c r="AB153" i="71" s="1"/>
  <c r="S39" i="42"/>
  <c r="Q39" i="42"/>
  <c r="R39" i="42"/>
  <c r="Q55" i="42"/>
  <c r="T55" i="42" s="1"/>
  <c r="Q56" i="42"/>
  <c r="T56" i="42" s="1"/>
  <c r="R56" i="42"/>
  <c r="U56" i="42" s="1"/>
  <c r="S56" i="42"/>
  <c r="V56" i="42" s="1"/>
  <c r="Q57" i="42"/>
  <c r="T57" i="42" s="1"/>
  <c r="R57" i="42"/>
  <c r="U57" i="42" s="1"/>
  <c r="S57" i="42"/>
  <c r="V57" i="42" s="1"/>
  <c r="R55" i="42"/>
  <c r="U55" i="42" s="1"/>
  <c r="W39" i="42" l="1"/>
  <c r="W55" i="42"/>
  <c r="E16" i="58" l="1"/>
  <c r="E17" i="58"/>
  <c r="E15" i="58"/>
  <c r="E14" i="58"/>
  <c r="E7" i="58"/>
  <c r="E8" i="58"/>
  <c r="E6" i="58"/>
  <c r="E5" i="58"/>
  <c r="D79" i="47"/>
  <c r="E79" i="47" s="1"/>
  <c r="F79" i="47" s="1"/>
  <c r="G79" i="47" s="1"/>
  <c r="H79" i="47" s="1"/>
  <c r="I79" i="47" s="1"/>
  <c r="J79" i="47" s="1"/>
  <c r="K79" i="47" s="1"/>
  <c r="L79" i="47" s="1"/>
  <c r="M79" i="47" s="1"/>
  <c r="N79" i="47" s="1"/>
  <c r="O79" i="47" s="1"/>
  <c r="P79" i="47" s="1"/>
  <c r="Q79" i="47" s="1"/>
  <c r="R79" i="47" s="1"/>
  <c r="S79" i="47" s="1"/>
  <c r="T79" i="47" s="1"/>
  <c r="U79" i="47" s="1"/>
  <c r="V79" i="47" s="1"/>
  <c r="W79" i="47" s="1"/>
  <c r="X79" i="47" s="1"/>
  <c r="Y79" i="47" s="1"/>
  <c r="Z79" i="47" s="1"/>
  <c r="AA79" i="47" s="1"/>
  <c r="AB79" i="47" s="1"/>
  <c r="D104" i="71"/>
  <c r="E104" i="71" s="1"/>
  <c r="F104" i="71" s="1"/>
  <c r="G104" i="71" s="1"/>
  <c r="H104" i="71" s="1"/>
  <c r="D79" i="15"/>
  <c r="E79" i="15" s="1"/>
  <c r="F79" i="15" s="1"/>
  <c r="G79" i="15" s="1"/>
  <c r="H79" i="15" s="1"/>
  <c r="I79" i="15" s="1"/>
  <c r="J79" i="15" s="1"/>
  <c r="K79" i="15" s="1"/>
  <c r="L79" i="15" s="1"/>
  <c r="M79" i="15" s="1"/>
  <c r="N79" i="15" s="1"/>
  <c r="O79" i="15" s="1"/>
  <c r="P79" i="15" s="1"/>
  <c r="Q79" i="15" s="1"/>
  <c r="R79" i="15" s="1"/>
  <c r="S79" i="15" s="1"/>
  <c r="T79" i="15" s="1"/>
  <c r="U79" i="15" s="1"/>
  <c r="V79" i="15" s="1"/>
  <c r="W79" i="15" s="1"/>
  <c r="X79" i="15" s="1"/>
  <c r="Y79" i="15" s="1"/>
  <c r="Z79" i="15" s="1"/>
  <c r="AA79" i="15" s="1"/>
  <c r="AB79" i="15" s="1"/>
  <c r="I104" i="71" l="1"/>
  <c r="J104" i="71" s="1"/>
  <c r="K104" i="71" s="1"/>
  <c r="L104" i="71" s="1"/>
  <c r="M104" i="71" s="1"/>
  <c r="N104" i="71" s="1"/>
  <c r="O104" i="71" s="1"/>
  <c r="P104" i="71" s="1"/>
  <c r="Q104" i="71" s="1"/>
  <c r="R104" i="71" s="1"/>
  <c r="S104" i="71" s="1"/>
  <c r="T104" i="71" s="1"/>
  <c r="U104" i="71" s="1"/>
  <c r="V104" i="71" s="1"/>
  <c r="W104" i="71" s="1"/>
  <c r="X104" i="71" s="1"/>
  <c r="Y104" i="71" s="1"/>
  <c r="Z104" i="71" s="1"/>
  <c r="AA104" i="71" s="1"/>
  <c r="AB104" i="71" s="1"/>
  <c r="D71" i="47" l="1"/>
  <c r="E71" i="47" s="1"/>
  <c r="F71" i="47" s="1"/>
  <c r="G71" i="47" s="1"/>
  <c r="H71" i="47" s="1"/>
  <c r="I71" i="47" s="1"/>
  <c r="J71" i="47" s="1"/>
  <c r="K71" i="47" s="1"/>
  <c r="L71" i="47" s="1"/>
  <c r="M71" i="47" s="1"/>
  <c r="N71" i="47" s="1"/>
  <c r="O71" i="47" s="1"/>
  <c r="P71" i="47" s="1"/>
  <c r="Q71" i="47" s="1"/>
  <c r="R71" i="47" s="1"/>
  <c r="S71" i="47" s="1"/>
  <c r="T71" i="47" s="1"/>
  <c r="U71" i="47" s="1"/>
  <c r="V71" i="47" s="1"/>
  <c r="W71" i="47" s="1"/>
  <c r="X71" i="47" s="1"/>
  <c r="Y71" i="47" s="1"/>
  <c r="Z71" i="47" s="1"/>
  <c r="AA71" i="47" s="1"/>
  <c r="AB71" i="47" s="1"/>
  <c r="E73" i="47"/>
  <c r="D73" i="47"/>
  <c r="D88" i="47"/>
  <c r="E88" i="47" s="1"/>
  <c r="F88" i="47" s="1"/>
  <c r="G88" i="47" s="1"/>
  <c r="H88" i="47" s="1"/>
  <c r="I88" i="47" s="1"/>
  <c r="J88" i="47" s="1"/>
  <c r="K88" i="47" s="1"/>
  <c r="L88" i="47" s="1"/>
  <c r="M88" i="47" s="1"/>
  <c r="N88" i="47" s="1"/>
  <c r="O88" i="47" s="1"/>
  <c r="P88" i="47" s="1"/>
  <c r="Q88" i="47" s="1"/>
  <c r="R88" i="47" s="1"/>
  <c r="S88" i="47" s="1"/>
  <c r="T88" i="47" s="1"/>
  <c r="U88" i="47" s="1"/>
  <c r="V88" i="47" s="1"/>
  <c r="W88" i="47" s="1"/>
  <c r="X88" i="47" s="1"/>
  <c r="Y88" i="47" s="1"/>
  <c r="Z88" i="47" s="1"/>
  <c r="AA88" i="47" s="1"/>
  <c r="AB88" i="47" s="1"/>
  <c r="D137" i="71"/>
  <c r="E137" i="71" s="1"/>
  <c r="F137" i="71" s="1"/>
  <c r="G137" i="71" s="1"/>
  <c r="H137" i="71" s="1"/>
  <c r="G88" i="71"/>
  <c r="F88" i="71"/>
  <c r="E88" i="71"/>
  <c r="D86" i="71"/>
  <c r="D85" i="71"/>
  <c r="D84" i="71"/>
  <c r="D82" i="71"/>
  <c r="E82" i="71" s="1"/>
  <c r="H75" i="71"/>
  <c r="H74" i="71"/>
  <c r="H73" i="71"/>
  <c r="H72" i="71"/>
  <c r="H36" i="71"/>
  <c r="H37" i="71" s="1"/>
  <c r="C27" i="71"/>
  <c r="C25" i="71"/>
  <c r="D64" i="37"/>
  <c r="E64" i="37" s="1"/>
  <c r="E63" i="37" s="1"/>
  <c r="D61" i="37"/>
  <c r="E61" i="37" s="1"/>
  <c r="D62" i="37"/>
  <c r="E62" i="37" s="1"/>
  <c r="D65" i="37"/>
  <c r="G89" i="71" l="1"/>
  <c r="D89" i="71"/>
  <c r="I137" i="71"/>
  <c r="J137" i="71" s="1"/>
  <c r="K137" i="71" s="1"/>
  <c r="L137" i="71" s="1"/>
  <c r="M137" i="71" s="1"/>
  <c r="N137" i="71" s="1"/>
  <c r="O137" i="71" s="1"/>
  <c r="P137" i="71" s="1"/>
  <c r="Q137" i="71" s="1"/>
  <c r="R137" i="71" s="1"/>
  <c r="S137" i="71" s="1"/>
  <c r="T137" i="71" s="1"/>
  <c r="U137" i="71" s="1"/>
  <c r="V137" i="71" s="1"/>
  <c r="W137" i="71" s="1"/>
  <c r="X137" i="71" s="1"/>
  <c r="Y137" i="71" s="1"/>
  <c r="Z137" i="71" s="1"/>
  <c r="AA137" i="71" s="1"/>
  <c r="AB137" i="71" s="1"/>
  <c r="F89" i="71"/>
  <c r="H90" i="71"/>
  <c r="E89" i="71"/>
  <c r="D91" i="71"/>
  <c r="E91" i="71"/>
  <c r="F82" i="71"/>
  <c r="F91" i="71"/>
  <c r="G91" i="71"/>
  <c r="H91" i="71"/>
  <c r="H88" i="71"/>
  <c r="H89" i="71"/>
  <c r="D90" i="71"/>
  <c r="E90" i="71"/>
  <c r="F90" i="71"/>
  <c r="G90" i="71"/>
  <c r="E60" i="37"/>
  <c r="E65" i="37" s="1"/>
  <c r="G82" i="71" l="1"/>
  <c r="H82" i="71" l="1"/>
  <c r="I82" i="71" s="1"/>
  <c r="J82" i="71" l="1"/>
  <c r="K82" i="71" l="1"/>
  <c r="F8" i="58"/>
  <c r="F17" i="58" s="1"/>
  <c r="C147" i="71"/>
  <c r="C148" i="71"/>
  <c r="C149" i="71"/>
  <c r="C150" i="71"/>
  <c r="C146" i="71"/>
  <c r="AK23" i="75" l="1"/>
  <c r="AK24" i="75"/>
  <c r="AK22" i="75"/>
  <c r="AK20" i="75"/>
  <c r="AK21" i="75"/>
  <c r="L82" i="71"/>
  <c r="M82" i="71" l="1"/>
  <c r="N82" i="71" l="1"/>
  <c r="O82" i="71" l="1"/>
  <c r="P82" i="71" l="1"/>
  <c r="Q82" i="71" l="1"/>
  <c r="R82" i="71" l="1"/>
  <c r="S82" i="71" l="1"/>
  <c r="S93" i="71" l="1"/>
  <c r="T82" i="71"/>
  <c r="S96" i="71"/>
  <c r="S95" i="71"/>
  <c r="S94" i="71"/>
  <c r="U82" i="71" l="1"/>
  <c r="T96" i="71"/>
  <c r="T95" i="71"/>
  <c r="T94" i="71"/>
  <c r="T93" i="71"/>
  <c r="V82" i="71" l="1"/>
  <c r="U96" i="71"/>
  <c r="U95" i="71"/>
  <c r="U94" i="71"/>
  <c r="U93" i="71"/>
  <c r="W82" i="71" l="1"/>
  <c r="V96" i="71"/>
  <c r="V95" i="71"/>
  <c r="V94" i="71"/>
  <c r="V93" i="71"/>
  <c r="X82" i="71" l="1"/>
  <c r="W96" i="71"/>
  <c r="W95" i="71"/>
  <c r="W94" i="71"/>
  <c r="W93" i="71"/>
  <c r="X96" i="71" l="1"/>
  <c r="X95" i="71"/>
  <c r="X94" i="71"/>
  <c r="X93" i="71"/>
  <c r="Y82" i="71"/>
  <c r="Y95" i="71" l="1"/>
  <c r="Y94" i="71"/>
  <c r="Z82" i="71"/>
  <c r="Y93" i="71"/>
  <c r="Y96" i="71"/>
  <c r="Z95" i="71" l="1"/>
  <c r="Z94" i="71"/>
  <c r="Z93" i="71"/>
  <c r="AA82" i="71"/>
  <c r="Z96" i="71"/>
  <c r="AA95" i="71" l="1"/>
  <c r="AA94" i="71"/>
  <c r="AA93" i="71"/>
  <c r="AB82" i="71"/>
  <c r="AA96" i="71"/>
  <c r="I94" i="71" l="1"/>
  <c r="J96" i="71"/>
  <c r="I93" i="71"/>
  <c r="I95" i="71"/>
  <c r="J95" i="71"/>
  <c r="J93" i="71"/>
  <c r="J94" i="71"/>
  <c r="I96" i="71"/>
  <c r="K96" i="71"/>
  <c r="K94" i="71"/>
  <c r="K95" i="71"/>
  <c r="K93" i="71"/>
  <c r="AB95" i="71"/>
  <c r="AB94" i="71"/>
  <c r="AB93" i="71"/>
  <c r="AB96" i="71"/>
  <c r="F95" i="71"/>
  <c r="E95" i="71"/>
  <c r="D96" i="71"/>
  <c r="D101" i="71" s="1"/>
  <c r="E86" i="71" s="1"/>
  <c r="F94" i="71"/>
  <c r="E93" i="71"/>
  <c r="D94" i="71"/>
  <c r="D99" i="71" s="1"/>
  <c r="E84" i="71" s="1"/>
  <c r="F93" i="71"/>
  <c r="D95" i="71"/>
  <c r="D100" i="71" s="1"/>
  <c r="E85" i="71" s="1"/>
  <c r="E94" i="71"/>
  <c r="D93" i="71"/>
  <c r="D98" i="71" s="1"/>
  <c r="G94" i="71"/>
  <c r="F96" i="71"/>
  <c r="E96" i="71"/>
  <c r="H93" i="71"/>
  <c r="H95" i="71"/>
  <c r="G95" i="71"/>
  <c r="G96" i="71"/>
  <c r="G93" i="71"/>
  <c r="H94" i="71"/>
  <c r="H96" i="71"/>
  <c r="M96" i="71"/>
  <c r="L94" i="71"/>
  <c r="L93" i="71"/>
  <c r="M94" i="71"/>
  <c r="L95" i="71"/>
  <c r="N93" i="71"/>
  <c r="M95" i="71"/>
  <c r="L96" i="71"/>
  <c r="M93" i="71"/>
  <c r="N94" i="71"/>
  <c r="P93" i="71"/>
  <c r="N95" i="71"/>
  <c r="O93" i="71"/>
  <c r="N96" i="71"/>
  <c r="O96" i="71"/>
  <c r="O94" i="71"/>
  <c r="O95" i="71"/>
  <c r="P96" i="71"/>
  <c r="P94" i="71"/>
  <c r="R93" i="71"/>
  <c r="P95" i="71"/>
  <c r="Q95" i="71"/>
  <c r="Q96" i="71"/>
  <c r="Q94" i="71"/>
  <c r="Q93" i="71"/>
  <c r="R96" i="71"/>
  <c r="R94" i="71"/>
  <c r="R95" i="71"/>
  <c r="E100" i="71" l="1"/>
  <c r="F85" i="71" s="1"/>
  <c r="E99" i="71"/>
  <c r="F84" i="71" s="1"/>
  <c r="E101" i="71"/>
  <c r="F86" i="71" s="1"/>
  <c r="E83" i="71"/>
  <c r="F100" i="71" l="1"/>
  <c r="G85" i="71" s="1"/>
  <c r="F101" i="71"/>
  <c r="G86" i="71" s="1"/>
  <c r="F99" i="71"/>
  <c r="G84" i="71" s="1"/>
  <c r="E98" i="71"/>
  <c r="G100" i="71" l="1"/>
  <c r="H85" i="71" s="1"/>
  <c r="G99" i="71"/>
  <c r="H84" i="71" s="1"/>
  <c r="G101" i="71"/>
  <c r="H86" i="71" s="1"/>
  <c r="F83" i="71"/>
  <c r="H101" i="71" l="1"/>
  <c r="I86" i="71" s="1"/>
  <c r="H99" i="71"/>
  <c r="I84" i="71" s="1"/>
  <c r="H100" i="71"/>
  <c r="I85" i="71" s="1"/>
  <c r="F98" i="71"/>
  <c r="I100" i="71" l="1"/>
  <c r="J85" i="71" s="1"/>
  <c r="I99" i="71"/>
  <c r="J84" i="71" s="1"/>
  <c r="I101" i="71"/>
  <c r="J86" i="71" s="1"/>
  <c r="G83" i="71"/>
  <c r="J99" i="71" l="1"/>
  <c r="K84" i="71" s="1"/>
  <c r="J101" i="71"/>
  <c r="K86" i="71" s="1"/>
  <c r="J100" i="71"/>
  <c r="K85" i="71" s="1"/>
  <c r="G98" i="71"/>
  <c r="K100" i="71" l="1"/>
  <c r="K101" i="71"/>
  <c r="L86" i="71" s="1"/>
  <c r="K99" i="71"/>
  <c r="L84" i="71" s="1"/>
  <c r="L85" i="71"/>
  <c r="H83" i="71"/>
  <c r="H98" i="71" l="1"/>
  <c r="I83" i="71" s="1"/>
  <c r="L101" i="71"/>
  <c r="M86" i="71" s="1"/>
  <c r="L100" i="71"/>
  <c r="M85" i="71" s="1"/>
  <c r="L99" i="71"/>
  <c r="M84" i="71" s="1"/>
  <c r="I98" i="71" l="1"/>
  <c r="M99" i="71"/>
  <c r="N84" i="71" s="1"/>
  <c r="M100" i="71"/>
  <c r="N85" i="71" s="1"/>
  <c r="M101" i="71"/>
  <c r="N86" i="71" s="1"/>
  <c r="J83" i="71" l="1"/>
  <c r="N101" i="71"/>
  <c r="O86" i="71" s="1"/>
  <c r="N100" i="71"/>
  <c r="O85" i="71" s="1"/>
  <c r="N99" i="71"/>
  <c r="O84" i="71" s="1"/>
  <c r="J98" i="71" l="1"/>
  <c r="O99" i="71"/>
  <c r="P84" i="71" s="1"/>
  <c r="O100" i="71"/>
  <c r="P85" i="71" s="1"/>
  <c r="O101" i="71"/>
  <c r="P86" i="71" s="1"/>
  <c r="K83" i="71" l="1"/>
  <c r="P100" i="71"/>
  <c r="Q85" i="71" s="1"/>
  <c r="P99" i="71"/>
  <c r="Q84" i="71" s="1"/>
  <c r="P101" i="71"/>
  <c r="Q86" i="71" s="1"/>
  <c r="K98" i="71" l="1"/>
  <c r="Q101" i="71"/>
  <c r="R86" i="71" s="1"/>
  <c r="Q99" i="71"/>
  <c r="R84" i="71" s="1"/>
  <c r="Q100" i="71"/>
  <c r="R85" i="71" s="1"/>
  <c r="R99" i="71" l="1"/>
  <c r="S84" i="71" s="1"/>
  <c r="R101" i="71"/>
  <c r="S86" i="71" s="1"/>
  <c r="R100" i="71"/>
  <c r="S85" i="71" s="1"/>
  <c r="L83" i="71" l="1"/>
  <c r="S101" i="71"/>
  <c r="T86" i="71" s="1"/>
  <c r="S100" i="71"/>
  <c r="T85" i="71" s="1"/>
  <c r="S99" i="71"/>
  <c r="T84" i="71" s="1"/>
  <c r="T100" i="71" l="1"/>
  <c r="U85" i="71" s="1"/>
  <c r="T101" i="71"/>
  <c r="U86" i="71" s="1"/>
  <c r="L98" i="71"/>
  <c r="T99" i="71"/>
  <c r="U84" i="71" s="1"/>
  <c r="M83" i="71" l="1"/>
  <c r="U99" i="71"/>
  <c r="V84" i="71" s="1"/>
  <c r="U101" i="71"/>
  <c r="V86" i="71" s="1"/>
  <c r="U100" i="71"/>
  <c r="V85" i="71" s="1"/>
  <c r="V99" i="71" l="1"/>
  <c r="W84" i="71" s="1"/>
  <c r="V101" i="71"/>
  <c r="W86" i="71" s="1"/>
  <c r="M98" i="71"/>
  <c r="V100" i="71"/>
  <c r="W85" i="71" s="1"/>
  <c r="W100" i="71" l="1"/>
  <c r="X85" i="71" s="1"/>
  <c r="N83" i="71"/>
  <c r="W101" i="71"/>
  <c r="X86" i="71" s="1"/>
  <c r="W99" i="71"/>
  <c r="X84" i="71" s="1"/>
  <c r="N98" i="71" l="1"/>
  <c r="X101" i="71"/>
  <c r="Y86" i="71" s="1"/>
  <c r="X100" i="71"/>
  <c r="Y85" i="71" s="1"/>
  <c r="X99" i="71"/>
  <c r="Y84" i="71" s="1"/>
  <c r="Y99" i="71" l="1"/>
  <c r="Z84" i="71" s="1"/>
  <c r="Y100" i="71"/>
  <c r="Z85" i="71" s="1"/>
  <c r="Y101" i="71"/>
  <c r="Z86" i="71" s="1"/>
  <c r="O83" i="71"/>
  <c r="O98" i="71" l="1"/>
  <c r="Z99" i="71"/>
  <c r="AA84" i="71" s="1"/>
  <c r="Z101" i="71"/>
  <c r="AA86" i="71" s="1"/>
  <c r="Z100" i="71"/>
  <c r="AA85" i="71" s="1"/>
  <c r="AA100" i="71" l="1"/>
  <c r="AB85" i="71" s="1"/>
  <c r="AA101" i="71"/>
  <c r="AB86" i="71" s="1"/>
  <c r="P83" i="71"/>
  <c r="AA99" i="71"/>
  <c r="AB84" i="71" s="1"/>
  <c r="AB100" i="71" l="1"/>
  <c r="P98" i="71"/>
  <c r="AB101" i="71"/>
  <c r="AB99" i="71"/>
  <c r="Q83" i="71" l="1"/>
  <c r="Q98" i="71" l="1"/>
  <c r="R83" i="71" l="1"/>
  <c r="R98" i="71" l="1"/>
  <c r="S83" i="71" l="1"/>
  <c r="S98" i="71" l="1"/>
  <c r="T83" i="71" l="1"/>
  <c r="T98" i="71" l="1"/>
  <c r="U83" i="71" l="1"/>
  <c r="U98" i="71" l="1"/>
  <c r="V83" i="71" l="1"/>
  <c r="V98" i="71" l="1"/>
  <c r="W83" i="71" l="1"/>
  <c r="W98" i="71" l="1"/>
  <c r="X83" i="71" l="1"/>
  <c r="X98" i="71" l="1"/>
  <c r="Y83" i="71" l="1"/>
  <c r="C17" i="58"/>
  <c r="D17" i="58"/>
  <c r="C8" i="58"/>
  <c r="D8" i="58"/>
  <c r="B11" i="10"/>
  <c r="Y98" i="71" l="1"/>
  <c r="Z83" i="71" l="1"/>
  <c r="Z98" i="71" l="1"/>
  <c r="C74" i="15"/>
  <c r="AA83" i="71" l="1"/>
  <c r="B7" i="58" l="1"/>
  <c r="B16" i="58"/>
  <c r="AA98" i="71"/>
  <c r="B17" i="58" l="1"/>
  <c r="B8" i="58"/>
  <c r="AB83" i="71"/>
  <c r="F19" i="55"/>
  <c r="K52" i="15"/>
  <c r="J52" i="15"/>
  <c r="D59" i="15" s="1"/>
  <c r="I52" i="15"/>
  <c r="H52" i="15"/>
  <c r="D58" i="15" s="1"/>
  <c r="G52" i="15"/>
  <c r="D74" i="15"/>
  <c r="D60" i="15" l="1"/>
  <c r="B6" i="58"/>
  <c r="B15" i="58"/>
  <c r="F25" i="55"/>
  <c r="E58" i="15"/>
  <c r="C81" i="15"/>
  <c r="E59" i="15"/>
  <c r="AB98" i="71"/>
  <c r="E60" i="15" l="1"/>
  <c r="C80" i="15"/>
  <c r="C82" i="15"/>
  <c r="F6" i="58" l="1"/>
  <c r="B5" i="58"/>
  <c r="B14" i="58"/>
  <c r="F15" i="58" l="1"/>
  <c r="H91" i="48"/>
  <c r="K91" i="48" s="1"/>
  <c r="H45" i="48"/>
  <c r="K45" i="48" s="1"/>
  <c r="A45" i="48" l="1"/>
  <c r="A91" i="48"/>
  <c r="K73" i="71" l="1"/>
  <c r="K75" i="71"/>
  <c r="J75" i="71"/>
  <c r="J73" i="71"/>
  <c r="I72" i="71"/>
  <c r="I74" i="71"/>
  <c r="K74" i="71"/>
  <c r="K72" i="71"/>
  <c r="I118" i="71" l="1"/>
  <c r="I106" i="71"/>
  <c r="I112" i="71"/>
  <c r="J112" i="71"/>
  <c r="J106" i="71"/>
  <c r="J118" i="71"/>
  <c r="K106" i="71"/>
  <c r="K112" i="71"/>
  <c r="K118" i="71"/>
  <c r="I108" i="71"/>
  <c r="I114" i="71"/>
  <c r="I120" i="71"/>
  <c r="J114" i="71"/>
  <c r="J108" i="71"/>
  <c r="J120" i="71"/>
  <c r="K114" i="71"/>
  <c r="K120" i="71"/>
  <c r="K108" i="71"/>
  <c r="I113" i="71"/>
  <c r="I119" i="71"/>
  <c r="I107" i="71"/>
  <c r="J107" i="71"/>
  <c r="J119" i="71"/>
  <c r="J113" i="71"/>
  <c r="K113" i="71"/>
  <c r="K119" i="71"/>
  <c r="K107" i="71"/>
  <c r="I111" i="71"/>
  <c r="I117" i="71"/>
  <c r="I105" i="71"/>
  <c r="J105" i="71"/>
  <c r="J117" i="71"/>
  <c r="J111" i="71"/>
  <c r="K111" i="71"/>
  <c r="K105" i="71"/>
  <c r="K117" i="71"/>
  <c r="D108" i="71"/>
  <c r="D120" i="71"/>
  <c r="D114" i="71"/>
  <c r="E108" i="71"/>
  <c r="E120" i="71"/>
  <c r="E114" i="71"/>
  <c r="F108" i="71"/>
  <c r="F120" i="71"/>
  <c r="F114" i="71"/>
  <c r="G108" i="71"/>
  <c r="G120" i="71"/>
  <c r="G114" i="71"/>
  <c r="H108" i="71"/>
  <c r="H114" i="71"/>
  <c r="H120" i="71"/>
  <c r="L108" i="71"/>
  <c r="L120" i="71"/>
  <c r="L114" i="71"/>
  <c r="M108" i="71"/>
  <c r="M120" i="71"/>
  <c r="M114" i="71"/>
  <c r="N108" i="71"/>
  <c r="N114" i="71"/>
  <c r="N120" i="71"/>
  <c r="O108" i="71"/>
  <c r="O120" i="71"/>
  <c r="O114" i="71"/>
  <c r="P108" i="71"/>
  <c r="P114" i="71"/>
  <c r="P120" i="71"/>
  <c r="Q108" i="71"/>
  <c r="Q114" i="71"/>
  <c r="Q120" i="71"/>
  <c r="R108" i="71"/>
  <c r="R120" i="71"/>
  <c r="R114" i="71"/>
  <c r="S108" i="71"/>
  <c r="S120" i="71"/>
  <c r="S114" i="71"/>
  <c r="T108" i="71"/>
  <c r="T120" i="71"/>
  <c r="T114" i="71"/>
  <c r="U108" i="71"/>
  <c r="U114" i="71"/>
  <c r="U120" i="71"/>
  <c r="V108" i="71"/>
  <c r="V120" i="71"/>
  <c r="V114" i="71"/>
  <c r="W108" i="71"/>
  <c r="W114" i="71"/>
  <c r="W120" i="71"/>
  <c r="X108" i="71"/>
  <c r="X120" i="71"/>
  <c r="X114" i="71"/>
  <c r="Y108" i="71"/>
  <c r="Y120" i="71"/>
  <c r="Y114" i="71"/>
  <c r="Z108" i="71"/>
  <c r="Z120" i="71"/>
  <c r="Z114" i="71"/>
  <c r="AA108" i="71"/>
  <c r="AA120" i="71"/>
  <c r="AA114" i="71"/>
  <c r="AB108" i="71"/>
  <c r="AB114" i="71"/>
  <c r="AB120" i="71"/>
  <c r="D112" i="71"/>
  <c r="D118" i="71"/>
  <c r="D106" i="71"/>
  <c r="E118" i="71"/>
  <c r="E112" i="71"/>
  <c r="E106" i="71"/>
  <c r="F106" i="71"/>
  <c r="F118" i="71"/>
  <c r="F112" i="71"/>
  <c r="G106" i="71"/>
  <c r="G118" i="71"/>
  <c r="G112" i="71"/>
  <c r="H112" i="71"/>
  <c r="H106" i="71"/>
  <c r="H118" i="71"/>
  <c r="L118" i="71"/>
  <c r="L112" i="71"/>
  <c r="L106" i="71"/>
  <c r="M118" i="71"/>
  <c r="M112" i="71"/>
  <c r="M106" i="71"/>
  <c r="N118" i="71"/>
  <c r="N112" i="71"/>
  <c r="N106" i="71"/>
  <c r="O118" i="71"/>
  <c r="O106" i="71"/>
  <c r="O112" i="71"/>
  <c r="P112" i="71"/>
  <c r="P106" i="71"/>
  <c r="P118" i="71"/>
  <c r="Q112" i="71"/>
  <c r="Q106" i="71"/>
  <c r="Q118" i="71"/>
  <c r="R112" i="71"/>
  <c r="R106" i="71"/>
  <c r="R118" i="71"/>
  <c r="S112" i="71"/>
  <c r="S118" i="71"/>
  <c r="S106" i="71"/>
  <c r="T106" i="71"/>
  <c r="T118" i="71"/>
  <c r="T112" i="71"/>
  <c r="U112" i="71"/>
  <c r="U118" i="71"/>
  <c r="U106" i="71"/>
  <c r="V112" i="71"/>
  <c r="V106" i="71"/>
  <c r="V118" i="71"/>
  <c r="W118" i="71"/>
  <c r="W112" i="71"/>
  <c r="W106" i="71"/>
  <c r="X118" i="71"/>
  <c r="X112" i="71"/>
  <c r="X106" i="71"/>
  <c r="Y118" i="71"/>
  <c r="Y112" i="71"/>
  <c r="Y106" i="71"/>
  <c r="Z112" i="71"/>
  <c r="Z118" i="71"/>
  <c r="Z106" i="71"/>
  <c r="AA112" i="71"/>
  <c r="AA118" i="71"/>
  <c r="AA106" i="71"/>
  <c r="AB106" i="71"/>
  <c r="AB112" i="71"/>
  <c r="AB118" i="71"/>
  <c r="D105" i="71"/>
  <c r="D111" i="71"/>
  <c r="D117" i="71"/>
  <c r="E111" i="71"/>
  <c r="E105" i="71"/>
  <c r="E117" i="71"/>
  <c r="F117" i="71"/>
  <c r="F111" i="71"/>
  <c r="F105" i="71"/>
  <c r="G111" i="71"/>
  <c r="G105" i="71"/>
  <c r="G117" i="71"/>
  <c r="H105" i="71"/>
  <c r="H117" i="71"/>
  <c r="H111" i="71"/>
  <c r="L105" i="71"/>
  <c r="L117" i="71"/>
  <c r="L111" i="71"/>
  <c r="M105" i="71"/>
  <c r="M117" i="71"/>
  <c r="M111" i="71"/>
  <c r="N105" i="71"/>
  <c r="N111" i="71"/>
  <c r="N117" i="71"/>
  <c r="O111" i="71"/>
  <c r="O105" i="71"/>
  <c r="O117" i="71"/>
  <c r="P117" i="71"/>
  <c r="P111" i="71"/>
  <c r="P105" i="71"/>
  <c r="Q117" i="71"/>
  <c r="Q105" i="71"/>
  <c r="Q111" i="71"/>
  <c r="R117" i="71"/>
  <c r="R111" i="71"/>
  <c r="R105" i="71"/>
  <c r="S117" i="71"/>
  <c r="S111" i="71"/>
  <c r="S105" i="71"/>
  <c r="T111" i="71"/>
  <c r="T105" i="71"/>
  <c r="T117" i="71"/>
  <c r="U111" i="71"/>
  <c r="U117" i="71"/>
  <c r="U105" i="71"/>
  <c r="V117" i="71"/>
  <c r="V105" i="71"/>
  <c r="V111" i="71"/>
  <c r="W117" i="71"/>
  <c r="W111" i="71"/>
  <c r="W105" i="71"/>
  <c r="X111" i="71"/>
  <c r="X105" i="71"/>
  <c r="X117" i="71"/>
  <c r="Y105" i="71"/>
  <c r="Y117" i="71"/>
  <c r="Y111" i="71"/>
  <c r="Z105" i="71"/>
  <c r="Z117" i="71"/>
  <c r="Z111" i="71"/>
  <c r="AA105" i="71"/>
  <c r="AA117" i="71"/>
  <c r="AA111" i="71"/>
  <c r="AB105" i="71"/>
  <c r="AB117" i="71"/>
  <c r="AB111" i="71"/>
  <c r="D113" i="71"/>
  <c r="D119" i="71"/>
  <c r="D107" i="71"/>
  <c r="E113" i="71"/>
  <c r="E119" i="71"/>
  <c r="E107" i="71"/>
  <c r="F119" i="71"/>
  <c r="F113" i="71"/>
  <c r="F107" i="71"/>
  <c r="G113" i="71"/>
  <c r="G119" i="71"/>
  <c r="G107" i="71"/>
  <c r="H119" i="71"/>
  <c r="H113" i="71"/>
  <c r="H107" i="71"/>
  <c r="L113" i="71"/>
  <c r="L107" i="71"/>
  <c r="L119" i="71"/>
  <c r="M113" i="71"/>
  <c r="M119" i="71"/>
  <c r="M107" i="71"/>
  <c r="N113" i="71"/>
  <c r="N107" i="71"/>
  <c r="N119" i="71"/>
  <c r="O107" i="71"/>
  <c r="O119" i="71"/>
  <c r="O113" i="71"/>
  <c r="P119" i="71"/>
  <c r="P113" i="71"/>
  <c r="P107" i="71"/>
  <c r="Q119" i="71"/>
  <c r="Q113" i="71"/>
  <c r="Q107" i="71"/>
  <c r="R119" i="71"/>
  <c r="R113" i="71"/>
  <c r="R107" i="71"/>
  <c r="S119" i="71"/>
  <c r="S113" i="71"/>
  <c r="S107" i="71"/>
  <c r="T119" i="71"/>
  <c r="T107" i="71"/>
  <c r="T113" i="71"/>
  <c r="U107" i="71"/>
  <c r="U119" i="71"/>
  <c r="U113" i="71"/>
  <c r="V113" i="71"/>
  <c r="V119" i="71"/>
  <c r="V107" i="71"/>
  <c r="W113" i="71"/>
  <c r="W107" i="71"/>
  <c r="W119" i="71"/>
  <c r="X119" i="71"/>
  <c r="X107" i="71"/>
  <c r="X113" i="71"/>
  <c r="Y119" i="71"/>
  <c r="Y113" i="71"/>
  <c r="Y107" i="71"/>
  <c r="Z107" i="71"/>
  <c r="Z113" i="71"/>
  <c r="Z119" i="71"/>
  <c r="AA113" i="71"/>
  <c r="AA107" i="71"/>
  <c r="AA119" i="71"/>
  <c r="AB119" i="71"/>
  <c r="AB113" i="71"/>
  <c r="AB107" i="71"/>
  <c r="J115" i="71" l="1"/>
  <c r="J121" i="71"/>
  <c r="J109" i="71"/>
  <c r="I109" i="71"/>
  <c r="K121" i="71"/>
  <c r="K109" i="71"/>
  <c r="I121" i="71"/>
  <c r="I115" i="71"/>
  <c r="K115" i="71"/>
  <c r="E109" i="71"/>
  <c r="L109" i="71"/>
  <c r="Y121" i="71"/>
  <c r="Y109" i="71"/>
  <c r="W115" i="71"/>
  <c r="W109" i="71"/>
  <c r="V115" i="71"/>
  <c r="H109" i="71"/>
  <c r="AB109" i="71"/>
  <c r="R115" i="71"/>
  <c r="E115" i="71"/>
  <c r="X121" i="71"/>
  <c r="R121" i="71"/>
  <c r="X109" i="71"/>
  <c r="Q115" i="71"/>
  <c r="D121" i="71"/>
  <c r="R109" i="71"/>
  <c r="X115" i="71"/>
  <c r="Q109" i="71"/>
  <c r="D115" i="71"/>
  <c r="P109" i="71"/>
  <c r="W121" i="71"/>
  <c r="P115" i="71"/>
  <c r="V109" i="71"/>
  <c r="O121" i="71"/>
  <c r="D109" i="71"/>
  <c r="AB115" i="71"/>
  <c r="V121" i="71"/>
  <c r="O109" i="71"/>
  <c r="H115" i="71"/>
  <c r="AB121" i="71"/>
  <c r="U109" i="71"/>
  <c r="O115" i="71"/>
  <c r="H121" i="71"/>
  <c r="U121" i="71"/>
  <c r="N121" i="71"/>
  <c r="Q121" i="71"/>
  <c r="AA115" i="71"/>
  <c r="U115" i="71"/>
  <c r="N115" i="71"/>
  <c r="G121" i="71"/>
  <c r="AA121" i="71"/>
  <c r="T121" i="71"/>
  <c r="N109" i="71"/>
  <c r="G109" i="71"/>
  <c r="AA109" i="71"/>
  <c r="T109" i="71"/>
  <c r="M115" i="71"/>
  <c r="G115" i="71"/>
  <c r="Z115" i="71"/>
  <c r="T115" i="71"/>
  <c r="M121" i="71"/>
  <c r="F109" i="71"/>
  <c r="Z121" i="71"/>
  <c r="M109" i="71"/>
  <c r="F115" i="71"/>
  <c r="P121" i="71"/>
  <c r="S109" i="71"/>
  <c r="Z109" i="71"/>
  <c r="S115" i="71"/>
  <c r="L115" i="71"/>
  <c r="F121" i="71"/>
  <c r="Y115" i="71"/>
  <c r="S121" i="71"/>
  <c r="L121" i="71"/>
  <c r="E121" i="71"/>
  <c r="E43" i="71" l="1"/>
  <c r="D44" i="71"/>
  <c r="D45" i="71"/>
  <c r="E45" i="71"/>
  <c r="E44" i="71"/>
  <c r="D43" i="71"/>
  <c r="C118" i="48" l="1"/>
  <c r="C157" i="71" l="1"/>
  <c r="BR23" i="75" s="1"/>
  <c r="C155" i="71"/>
  <c r="BR21" i="75" s="1"/>
  <c r="C158" i="71"/>
  <c r="BR24" i="75" s="1"/>
  <c r="C156" i="71"/>
  <c r="BR22" i="75" s="1"/>
  <c r="C154" i="71"/>
  <c r="BR20" i="75" s="1"/>
  <c r="F18" i="55" l="1"/>
  <c r="F17" i="55"/>
  <c r="F16" i="55"/>
  <c r="F15" i="55"/>
  <c r="F14" i="55"/>
  <c r="F13" i="55"/>
  <c r="F12" i="55"/>
  <c r="F27" i="55"/>
  <c r="F24" i="55"/>
  <c r="F23" i="55"/>
  <c r="F22" i="55"/>
  <c r="F21" i="55"/>
  <c r="F29" i="55"/>
  <c r="F31" i="55"/>
  <c r="F8" i="55"/>
  <c r="F7" i="55"/>
  <c r="F6" i="55"/>
  <c r="F28" i="47" l="1"/>
  <c r="F73" i="47" l="1"/>
  <c r="F29" i="47"/>
  <c r="C98" i="47"/>
  <c r="C99" i="47"/>
  <c r="C100" i="47"/>
  <c r="C101" i="47"/>
  <c r="C97" i="47"/>
  <c r="F7" i="58"/>
  <c r="D72" i="15"/>
  <c r="F16" i="58" l="1"/>
  <c r="AK12" i="75"/>
  <c r="AK4" i="75" s="1"/>
  <c r="C105" i="47"/>
  <c r="BR12" i="75" s="1"/>
  <c r="BR4" i="75" s="1"/>
  <c r="AK16" i="75"/>
  <c r="AK8" i="75" s="1"/>
  <c r="C109" i="47"/>
  <c r="BR16" i="75" s="1"/>
  <c r="BR8" i="75" s="1"/>
  <c r="AK14" i="75"/>
  <c r="AK6" i="75" s="1"/>
  <c r="C107" i="47"/>
  <c r="BR14" i="75" s="1"/>
  <c r="BR6" i="75" s="1"/>
  <c r="AK15" i="75"/>
  <c r="AK7" i="75" s="1"/>
  <c r="C108" i="47"/>
  <c r="BR15" i="75" s="1"/>
  <c r="BR7" i="75" s="1"/>
  <c r="C106" i="47"/>
  <c r="BR13" i="75" s="1"/>
  <c r="BR5" i="75" s="1"/>
  <c r="AK13" i="75"/>
  <c r="AK5" i="75" s="1"/>
  <c r="E72" i="15"/>
  <c r="F72" i="15" s="1"/>
  <c r="G72" i="15" l="1"/>
  <c r="H72" i="15" l="1"/>
  <c r="I72" i="15" l="1"/>
  <c r="C16" i="58"/>
  <c r="D16" i="58"/>
  <c r="C15" i="58"/>
  <c r="D15" i="58"/>
  <c r="C14" i="58"/>
  <c r="D14" i="58"/>
  <c r="G13" i="58"/>
  <c r="H13" i="58" s="1"/>
  <c r="I13" i="58" s="1"/>
  <c r="J13" i="58" s="1"/>
  <c r="K13" i="58" s="1"/>
  <c r="L13" i="58" s="1"/>
  <c r="M13" i="58" s="1"/>
  <c r="N13" i="58" s="1"/>
  <c r="O13" i="58" s="1"/>
  <c r="P13" i="58" s="1"/>
  <c r="Q13" i="58" s="1"/>
  <c r="R13" i="58" s="1"/>
  <c r="S13" i="58" s="1"/>
  <c r="T13" i="58" s="1"/>
  <c r="U13" i="58" s="1"/>
  <c r="V13" i="58" s="1"/>
  <c r="W13" i="58" s="1"/>
  <c r="X13" i="58" s="1"/>
  <c r="Y13" i="58" s="1"/>
  <c r="Z13" i="58" s="1"/>
  <c r="AA13" i="58" s="1"/>
  <c r="AB13" i="58" s="1"/>
  <c r="AC13" i="58" s="1"/>
  <c r="AD13" i="58" s="1"/>
  <c r="AE13" i="58" s="1"/>
  <c r="J72" i="15" l="1"/>
  <c r="C7" i="58"/>
  <c r="D7" i="58"/>
  <c r="C6" i="58"/>
  <c r="D6" i="58"/>
  <c r="C5" i="58"/>
  <c r="D5" i="58"/>
  <c r="G4" i="58"/>
  <c r="H4" i="58" s="1"/>
  <c r="I4" i="58" s="1"/>
  <c r="J4" i="58" s="1"/>
  <c r="K4" i="58" s="1"/>
  <c r="L4" i="58" s="1"/>
  <c r="M4" i="58" s="1"/>
  <c r="N4" i="58" s="1"/>
  <c r="O4" i="58" s="1"/>
  <c r="P4" i="58" s="1"/>
  <c r="Q4" i="58" s="1"/>
  <c r="R4" i="58" s="1"/>
  <c r="S4" i="58" s="1"/>
  <c r="T4" i="58" s="1"/>
  <c r="U4" i="58" s="1"/>
  <c r="V4" i="58" s="1"/>
  <c r="W4" i="58" s="1"/>
  <c r="X4" i="58" s="1"/>
  <c r="Y4" i="58" s="1"/>
  <c r="Z4" i="58" s="1"/>
  <c r="AA4" i="58" s="1"/>
  <c r="AB4" i="58" s="1"/>
  <c r="AC4" i="58" s="1"/>
  <c r="AD4" i="58" s="1"/>
  <c r="AE4" i="58" s="1"/>
  <c r="H9" i="57"/>
  <c r="H8" i="57"/>
  <c r="H7" i="57"/>
  <c r="H6" i="57"/>
  <c r="H5" i="57"/>
  <c r="K72" i="15" l="1"/>
  <c r="AI9" i="57"/>
  <c r="AH9" i="57"/>
  <c r="AG9" i="57"/>
  <c r="AF9" i="57"/>
  <c r="AE9" i="57"/>
  <c r="AD9" i="57"/>
  <c r="AC9" i="57"/>
  <c r="AB9" i="57"/>
  <c r="AA9" i="57"/>
  <c r="Z9" i="57"/>
  <c r="Y9" i="57"/>
  <c r="X9" i="57"/>
  <c r="W9" i="57"/>
  <c r="V9" i="57"/>
  <c r="U9" i="57"/>
  <c r="T9" i="57"/>
  <c r="S9" i="57"/>
  <c r="R9" i="57"/>
  <c r="Q9" i="57"/>
  <c r="P9" i="57"/>
  <c r="O9" i="57"/>
  <c r="N9" i="57"/>
  <c r="M9" i="57"/>
  <c r="L9" i="57"/>
  <c r="K9" i="57"/>
  <c r="J9" i="57"/>
  <c r="I9" i="57"/>
  <c r="AI8" i="57"/>
  <c r="AH8" i="57"/>
  <c r="AG8" i="57"/>
  <c r="AF8" i="57"/>
  <c r="AE8" i="57"/>
  <c r="AD8" i="57"/>
  <c r="AC8" i="57"/>
  <c r="AB8" i="57"/>
  <c r="AA8" i="57"/>
  <c r="Z8" i="57"/>
  <c r="Y8" i="57"/>
  <c r="X8" i="57"/>
  <c r="W8" i="57"/>
  <c r="V8" i="57"/>
  <c r="U8" i="57"/>
  <c r="T8" i="57"/>
  <c r="S8" i="57"/>
  <c r="R8" i="57"/>
  <c r="Q8" i="57"/>
  <c r="P8" i="57"/>
  <c r="O8" i="57"/>
  <c r="N8" i="57"/>
  <c r="M8" i="57"/>
  <c r="L8" i="57"/>
  <c r="K8" i="57"/>
  <c r="J8" i="57"/>
  <c r="I8" i="57"/>
  <c r="AI7" i="57"/>
  <c r="AH7" i="57"/>
  <c r="AG7" i="57"/>
  <c r="AF7" i="57"/>
  <c r="AE7" i="57"/>
  <c r="AD7" i="57"/>
  <c r="AC7" i="57"/>
  <c r="AB7" i="57"/>
  <c r="AA7" i="57"/>
  <c r="Z7" i="57"/>
  <c r="Y7" i="57"/>
  <c r="X7" i="57"/>
  <c r="W7" i="57"/>
  <c r="V7" i="57"/>
  <c r="U7" i="57"/>
  <c r="T7" i="57"/>
  <c r="S7" i="57"/>
  <c r="R7" i="57"/>
  <c r="Q7" i="57"/>
  <c r="P7" i="57"/>
  <c r="O7" i="57"/>
  <c r="N7" i="57"/>
  <c r="M7" i="57"/>
  <c r="L7" i="57"/>
  <c r="K7" i="57"/>
  <c r="J7" i="57"/>
  <c r="I7" i="57"/>
  <c r="AI6" i="57"/>
  <c r="AH6" i="57"/>
  <c r="AG6" i="57"/>
  <c r="AF6" i="57"/>
  <c r="AE6" i="57"/>
  <c r="AD6" i="57"/>
  <c r="AC6" i="57"/>
  <c r="AB6" i="57"/>
  <c r="AA6" i="57"/>
  <c r="Z6" i="57"/>
  <c r="Y6" i="57"/>
  <c r="X6" i="57"/>
  <c r="W6" i="57"/>
  <c r="V6" i="57"/>
  <c r="U6" i="57"/>
  <c r="T6" i="57"/>
  <c r="S6" i="57"/>
  <c r="R6" i="57"/>
  <c r="Q6" i="57"/>
  <c r="P6" i="57"/>
  <c r="O6" i="57"/>
  <c r="N6" i="57"/>
  <c r="M6" i="57"/>
  <c r="L6" i="57"/>
  <c r="K6" i="57"/>
  <c r="J6" i="57"/>
  <c r="I6" i="57"/>
  <c r="AI5" i="57"/>
  <c r="AH5" i="57"/>
  <c r="AG5" i="57"/>
  <c r="AF5" i="57"/>
  <c r="AE5" i="57"/>
  <c r="AD5" i="57"/>
  <c r="AC5" i="57"/>
  <c r="AB5" i="57"/>
  <c r="AA5" i="57"/>
  <c r="Z5" i="57"/>
  <c r="Y5" i="57"/>
  <c r="X5" i="57"/>
  <c r="W5" i="57"/>
  <c r="V5" i="57"/>
  <c r="U5" i="57"/>
  <c r="T5" i="57"/>
  <c r="S5" i="57"/>
  <c r="R5" i="57"/>
  <c r="Q5" i="57"/>
  <c r="P5" i="57"/>
  <c r="O5" i="57"/>
  <c r="N5" i="57"/>
  <c r="M5" i="57"/>
  <c r="L5" i="57"/>
  <c r="K5" i="57"/>
  <c r="J5" i="57"/>
  <c r="I5" i="57"/>
  <c r="H4" i="57"/>
  <c r="I36" i="57"/>
  <c r="J36" i="57" s="1"/>
  <c r="K36" i="57" s="1"/>
  <c r="L36" i="57" s="1"/>
  <c r="M36" i="57" s="1"/>
  <c r="N36" i="57" s="1"/>
  <c r="O36" i="57" s="1"/>
  <c r="P36" i="57" s="1"/>
  <c r="Q36" i="57" s="1"/>
  <c r="R36" i="57" s="1"/>
  <c r="S36" i="57" s="1"/>
  <c r="T36" i="57" s="1"/>
  <c r="U36" i="57" s="1"/>
  <c r="V36" i="57" s="1"/>
  <c r="W36" i="57" s="1"/>
  <c r="X36" i="57" s="1"/>
  <c r="Y36" i="57" s="1"/>
  <c r="Z36" i="57" s="1"/>
  <c r="AA36" i="57" s="1"/>
  <c r="AB36" i="57" s="1"/>
  <c r="AC36" i="57" s="1"/>
  <c r="AD36" i="57" s="1"/>
  <c r="AE36" i="57" s="1"/>
  <c r="AF36" i="57" s="1"/>
  <c r="AG36" i="57" s="1"/>
  <c r="AH36" i="57" s="1"/>
  <c r="AI36" i="57" s="1"/>
  <c r="I3" i="57"/>
  <c r="J3" i="57" s="1"/>
  <c r="K3" i="57" s="1"/>
  <c r="L3" i="57" s="1"/>
  <c r="M3" i="57" s="1"/>
  <c r="N3" i="57" s="1"/>
  <c r="O3" i="57" s="1"/>
  <c r="P3" i="57" s="1"/>
  <c r="Q3" i="57" s="1"/>
  <c r="R3" i="57" s="1"/>
  <c r="S3" i="57" s="1"/>
  <c r="T3" i="57" s="1"/>
  <c r="U3" i="57" s="1"/>
  <c r="V3" i="57" s="1"/>
  <c r="W3" i="57" s="1"/>
  <c r="X3" i="57" s="1"/>
  <c r="Y3" i="57" s="1"/>
  <c r="Z3" i="57" s="1"/>
  <c r="AA3" i="57" s="1"/>
  <c r="AB3" i="57" s="1"/>
  <c r="AC3" i="57" s="1"/>
  <c r="AD3" i="57" s="1"/>
  <c r="AE3" i="57" s="1"/>
  <c r="AF3" i="57" s="1"/>
  <c r="AG3" i="57" s="1"/>
  <c r="AH3" i="57" s="1"/>
  <c r="AI3" i="57" s="1"/>
  <c r="F10" i="55" l="1"/>
  <c r="L72" i="15"/>
  <c r="AB4" i="57"/>
  <c r="Q4" i="57"/>
  <c r="S4" i="57"/>
  <c r="O4" i="57"/>
  <c r="AI4" i="57"/>
  <c r="R4" i="57"/>
  <c r="T4" i="57"/>
  <c r="P4" i="57"/>
  <c r="U4" i="57"/>
  <c r="V4" i="57"/>
  <c r="W4" i="57"/>
  <c r="I4" i="57"/>
  <c r="AC4" i="57"/>
  <c r="J4" i="57"/>
  <c r="AD4" i="57"/>
  <c r="X4" i="57"/>
  <c r="AA4" i="57"/>
  <c r="K4" i="57"/>
  <c r="AE4" i="57"/>
  <c r="Y4" i="57"/>
  <c r="L4" i="57"/>
  <c r="AF4" i="57"/>
  <c r="M4" i="57"/>
  <c r="AG4" i="57"/>
  <c r="Z4" i="57"/>
  <c r="N4" i="57"/>
  <c r="AH4" i="57"/>
  <c r="K131" i="71" l="1"/>
  <c r="K130" i="71"/>
  <c r="K129" i="71"/>
  <c r="K132" i="71"/>
  <c r="I132" i="71"/>
  <c r="I131" i="71"/>
  <c r="I130" i="71"/>
  <c r="I129" i="71"/>
  <c r="J132" i="71"/>
  <c r="J131" i="71"/>
  <c r="J129" i="71"/>
  <c r="J130" i="71"/>
  <c r="N132" i="71"/>
  <c r="N131" i="71"/>
  <c r="N130" i="71"/>
  <c r="N129" i="71"/>
  <c r="V130" i="71"/>
  <c r="V131" i="71"/>
  <c r="V132" i="71"/>
  <c r="V129" i="71"/>
  <c r="U132" i="71"/>
  <c r="U131" i="71"/>
  <c r="U130" i="71"/>
  <c r="U129" i="71"/>
  <c r="R130" i="71"/>
  <c r="R132" i="71"/>
  <c r="R131" i="71"/>
  <c r="R129" i="71"/>
  <c r="G131" i="71"/>
  <c r="G130" i="71"/>
  <c r="G132" i="71"/>
  <c r="G129" i="71"/>
  <c r="X130" i="71"/>
  <c r="X132" i="71"/>
  <c r="X131" i="71"/>
  <c r="X129" i="71"/>
  <c r="AA131" i="71"/>
  <c r="AA130" i="71"/>
  <c r="AA132" i="71"/>
  <c r="AA129" i="71"/>
  <c r="D129" i="71"/>
  <c r="D131" i="71"/>
  <c r="D130" i="71"/>
  <c r="D132" i="71"/>
  <c r="O130" i="71"/>
  <c r="O131" i="71"/>
  <c r="O132" i="71"/>
  <c r="O129" i="71"/>
  <c r="AB131" i="71"/>
  <c r="AB130" i="71"/>
  <c r="AB132" i="71"/>
  <c r="AB129" i="71"/>
  <c r="L131" i="71"/>
  <c r="L130" i="71"/>
  <c r="L132" i="71"/>
  <c r="L129" i="71"/>
  <c r="T131" i="71"/>
  <c r="T130" i="71"/>
  <c r="T132" i="71"/>
  <c r="T129" i="71"/>
  <c r="P131" i="71"/>
  <c r="P130" i="71"/>
  <c r="P132" i="71"/>
  <c r="P129" i="71"/>
  <c r="S132" i="71"/>
  <c r="S130" i="71"/>
  <c r="S131" i="71"/>
  <c r="S129" i="71"/>
  <c r="F132" i="71"/>
  <c r="F130" i="71"/>
  <c r="F131" i="71"/>
  <c r="F129" i="71"/>
  <c r="E132" i="71"/>
  <c r="E131" i="71"/>
  <c r="E130" i="71"/>
  <c r="E129" i="71"/>
  <c r="Q132" i="71"/>
  <c r="Q131" i="71"/>
  <c r="Q130" i="71"/>
  <c r="Q129" i="71"/>
  <c r="Z130" i="71"/>
  <c r="Z132" i="71"/>
  <c r="Z131" i="71"/>
  <c r="Z129" i="71"/>
  <c r="W131" i="71"/>
  <c r="W130" i="71"/>
  <c r="W132" i="71"/>
  <c r="W129" i="71"/>
  <c r="M130" i="71"/>
  <c r="M131" i="71"/>
  <c r="M132" i="71"/>
  <c r="M129" i="71"/>
  <c r="H132" i="71"/>
  <c r="H130" i="71"/>
  <c r="H131" i="71"/>
  <c r="H129" i="71"/>
  <c r="Y131" i="71"/>
  <c r="Y132" i="71"/>
  <c r="Y130" i="71"/>
  <c r="Y129" i="71"/>
  <c r="M72" i="15"/>
  <c r="H18" i="56"/>
  <c r="I133" i="71" l="1"/>
  <c r="J133" i="71"/>
  <c r="K133" i="71"/>
  <c r="N133" i="71"/>
  <c r="E133" i="71"/>
  <c r="AB133" i="71"/>
  <c r="U133" i="71"/>
  <c r="G133" i="71"/>
  <c r="R133" i="71"/>
  <c r="L133" i="71"/>
  <c r="D133" i="71"/>
  <c r="Z133" i="71"/>
  <c r="P133" i="71"/>
  <c r="Y133" i="71"/>
  <c r="AA133" i="71"/>
  <c r="T133" i="71"/>
  <c r="W133" i="71"/>
  <c r="O133" i="71"/>
  <c r="X133" i="71"/>
  <c r="F133" i="71"/>
  <c r="H133" i="71"/>
  <c r="Q133" i="71"/>
  <c r="M133" i="71"/>
  <c r="V133" i="71"/>
  <c r="S133" i="71"/>
  <c r="N72" i="15"/>
  <c r="F46" i="71" l="1"/>
  <c r="G46" i="71"/>
  <c r="O72" i="15"/>
  <c r="P72" i="15" l="1"/>
  <c r="Q72" i="15" l="1"/>
  <c r="R72" i="15" l="1"/>
  <c r="K103" i="48" a="1"/>
  <c r="K103" i="48" s="1"/>
  <c r="K104" i="48" a="1"/>
  <c r="K104" i="48" s="1"/>
  <c r="K105" i="48" a="1"/>
  <c r="K105" i="48" s="1"/>
  <c r="K106" i="48" a="1"/>
  <c r="K106" i="48" s="1"/>
  <c r="K107" i="48" a="1"/>
  <c r="K107" i="48" s="1"/>
  <c r="K108" i="48" a="1"/>
  <c r="K108" i="48" s="1"/>
  <c r="K109" i="48" a="1"/>
  <c r="K109" i="48" s="1"/>
  <c r="K110" i="48" a="1"/>
  <c r="K110" i="48" s="1"/>
  <c r="K111" i="48" a="1"/>
  <c r="K111" i="48" s="1"/>
  <c r="K102" i="48" a="1"/>
  <c r="K102" i="48" s="1"/>
  <c r="U110" i="48"/>
  <c r="T111" i="48"/>
  <c r="U111" i="48" s="1"/>
  <c r="Z102" i="48" s="1"/>
  <c r="O111" i="48"/>
  <c r="P111" i="48" s="1"/>
  <c r="Z103" i="48" s="1"/>
  <c r="P110" i="48"/>
  <c r="S72" i="15" l="1"/>
  <c r="T72" i="15" l="1"/>
  <c r="U72" i="15" l="1"/>
  <c r="V72" i="15" l="1"/>
  <c r="I3" i="39"/>
  <c r="I4" i="39"/>
  <c r="I5" i="39"/>
  <c r="I6" i="39"/>
  <c r="I7" i="39"/>
  <c r="I8" i="39"/>
  <c r="J102" i="48" s="1" a="1"/>
  <c r="J102" i="48" s="1"/>
  <c r="I9" i="39"/>
  <c r="I10" i="39"/>
  <c r="J107" i="48" s="1" a="1"/>
  <c r="J107" i="48" s="1"/>
  <c r="I11" i="39"/>
  <c r="I12" i="39"/>
  <c r="I13" i="39"/>
  <c r="I14" i="39"/>
  <c r="I15" i="39"/>
  <c r="I16" i="39"/>
  <c r="I17" i="39"/>
  <c r="I18" i="39"/>
  <c r="I19" i="39"/>
  <c r="I20" i="39"/>
  <c r="I21" i="39"/>
  <c r="I22" i="39"/>
  <c r="I23" i="39"/>
  <c r="J103" i="48" s="1" a="1"/>
  <c r="J103" i="48" s="1"/>
  <c r="I24" i="39"/>
  <c r="I25" i="39"/>
  <c r="J108" i="48" s="1" a="1"/>
  <c r="J108" i="48" s="1"/>
  <c r="I26" i="39"/>
  <c r="I27" i="39"/>
  <c r="I28" i="39"/>
  <c r="I29" i="39"/>
  <c r="I30" i="39"/>
  <c r="I31" i="39"/>
  <c r="I32" i="39"/>
  <c r="I33" i="39"/>
  <c r="I34" i="39"/>
  <c r="I35" i="39"/>
  <c r="I36" i="39"/>
  <c r="I37" i="39"/>
  <c r="I38" i="39"/>
  <c r="J104" i="48" s="1" a="1"/>
  <c r="J104" i="48" s="1"/>
  <c r="I39" i="39"/>
  <c r="I40" i="39"/>
  <c r="J109" i="48" s="1" a="1"/>
  <c r="J109" i="48" s="1"/>
  <c r="I41" i="39"/>
  <c r="I42" i="39"/>
  <c r="I43" i="39"/>
  <c r="I44" i="39"/>
  <c r="I45" i="39"/>
  <c r="I46" i="39"/>
  <c r="I47" i="39"/>
  <c r="I48" i="39"/>
  <c r="I49" i="39"/>
  <c r="I50" i="39"/>
  <c r="I51" i="39"/>
  <c r="I52" i="39"/>
  <c r="I53" i="39"/>
  <c r="J105" i="48" s="1" a="1"/>
  <c r="J105" i="48" s="1"/>
  <c r="I54" i="39"/>
  <c r="I55" i="39"/>
  <c r="J110" i="48" s="1" a="1"/>
  <c r="J110" i="48" s="1"/>
  <c r="I56" i="39"/>
  <c r="I57" i="39"/>
  <c r="I58" i="39"/>
  <c r="I59" i="39"/>
  <c r="I60" i="39"/>
  <c r="I61" i="39"/>
  <c r="I62" i="39"/>
  <c r="I63" i="39"/>
  <c r="I64" i="39"/>
  <c r="I65" i="39"/>
  <c r="I66" i="39"/>
  <c r="I67" i="39"/>
  <c r="I68" i="39"/>
  <c r="J106" i="48" s="1" a="1"/>
  <c r="J106" i="48" s="1"/>
  <c r="I69" i="39"/>
  <c r="I70" i="39"/>
  <c r="J111" i="48" s="1" a="1"/>
  <c r="J111" i="48" s="1"/>
  <c r="I71" i="39"/>
  <c r="I72" i="39"/>
  <c r="I73" i="39"/>
  <c r="I74" i="39"/>
  <c r="I75" i="39"/>
  <c r="I76" i="39"/>
  <c r="I2" i="39"/>
  <c r="L111" i="48" a="1"/>
  <c r="L111" i="48" s="1"/>
  <c r="L110" i="48" a="1"/>
  <c r="L110" i="48" s="1"/>
  <c r="L109" i="48" a="1"/>
  <c r="L109" i="48" s="1"/>
  <c r="L108" i="48" a="1"/>
  <c r="L108" i="48" s="1"/>
  <c r="L107" i="48" a="1"/>
  <c r="L107" i="48" s="1"/>
  <c r="L106" i="48" a="1"/>
  <c r="L106" i="48" s="1"/>
  <c r="L105" i="48" a="1"/>
  <c r="L105" i="48" s="1"/>
  <c r="L104" i="48" a="1"/>
  <c r="L104" i="48" s="1"/>
  <c r="L103" i="48" a="1"/>
  <c r="L103" i="48" s="1"/>
  <c r="L102" i="48" a="1"/>
  <c r="L102" i="48" s="1"/>
  <c r="T104" i="48" l="1"/>
  <c r="V104" i="48"/>
  <c r="U104" i="48"/>
  <c r="P105" i="48"/>
  <c r="Q105" i="48"/>
  <c r="T105" i="48"/>
  <c r="U105" i="48"/>
  <c r="V105" i="48"/>
  <c r="Q102" i="48"/>
  <c r="P102" i="48"/>
  <c r="P106" i="48"/>
  <c r="Q106" i="48"/>
  <c r="T102" i="48"/>
  <c r="U102" i="48"/>
  <c r="V102" i="48"/>
  <c r="Q103" i="48"/>
  <c r="P103" i="48"/>
  <c r="T103" i="48"/>
  <c r="U103" i="48"/>
  <c r="V103" i="48"/>
  <c r="T106" i="48"/>
  <c r="U106" i="48"/>
  <c r="V106" i="48"/>
  <c r="Q104" i="48"/>
  <c r="P104" i="48"/>
  <c r="O103" i="48"/>
  <c r="O105" i="48"/>
  <c r="O102" i="48"/>
  <c r="O106" i="48"/>
  <c r="O104" i="48"/>
  <c r="W72" i="15"/>
  <c r="C106" i="48" l="1"/>
  <c r="E103" i="48"/>
  <c r="D106" i="48"/>
  <c r="C104" i="48"/>
  <c r="C102" i="48"/>
  <c r="E106" i="48"/>
  <c r="X72" i="15"/>
  <c r="X75" i="15" s="1"/>
  <c r="D102" i="48"/>
  <c r="E102" i="48"/>
  <c r="C103" i="48"/>
  <c r="D104" i="48"/>
  <c r="D103" i="48"/>
  <c r="E105" i="48"/>
  <c r="D105" i="48"/>
  <c r="E104" i="48"/>
  <c r="C105" i="48"/>
  <c r="I139" i="71" l="1"/>
  <c r="I147" i="71" s="1"/>
  <c r="I155" i="71" s="1"/>
  <c r="J139" i="71"/>
  <c r="J147" i="71" s="1"/>
  <c r="J155" i="71" s="1"/>
  <c r="K139" i="71"/>
  <c r="K147" i="71" s="1"/>
  <c r="K155" i="71" s="1"/>
  <c r="I142" i="71"/>
  <c r="I150" i="71" s="1"/>
  <c r="I158" i="71" s="1"/>
  <c r="J142" i="71"/>
  <c r="J150" i="71" s="1"/>
  <c r="J158" i="71" s="1"/>
  <c r="K142" i="71"/>
  <c r="K150" i="71" s="1"/>
  <c r="K158" i="71" s="1"/>
  <c r="I140" i="71"/>
  <c r="I148" i="71" s="1"/>
  <c r="I156" i="71" s="1"/>
  <c r="J140" i="71"/>
  <c r="J148" i="71" s="1"/>
  <c r="J156" i="71" s="1"/>
  <c r="K140" i="71"/>
  <c r="K148" i="71" s="1"/>
  <c r="K156" i="71" s="1"/>
  <c r="I141" i="71"/>
  <c r="I149" i="71" s="1"/>
  <c r="I157" i="71" s="1"/>
  <c r="J141" i="71"/>
  <c r="J149" i="71" s="1"/>
  <c r="J157" i="71" s="1"/>
  <c r="K141" i="71"/>
  <c r="K149" i="71" s="1"/>
  <c r="K157" i="71" s="1"/>
  <c r="I138" i="71"/>
  <c r="I146" i="71" s="1"/>
  <c r="I154" i="71" s="1"/>
  <c r="J138" i="71"/>
  <c r="J146" i="71" s="1"/>
  <c r="J154" i="71" s="1"/>
  <c r="K138" i="71"/>
  <c r="K146" i="71" s="1"/>
  <c r="K154" i="71" s="1"/>
  <c r="D138" i="71"/>
  <c r="D146" i="71" s="1"/>
  <c r="E138" i="71"/>
  <c r="E146" i="71" s="1"/>
  <c r="F138" i="71"/>
  <c r="F146" i="71" s="1"/>
  <c r="G138" i="71"/>
  <c r="G146" i="71" s="1"/>
  <c r="H138" i="71"/>
  <c r="H146" i="71" s="1"/>
  <c r="L138" i="71"/>
  <c r="L146" i="71" s="1"/>
  <c r="M138" i="71"/>
  <c r="M146" i="71" s="1"/>
  <c r="N138" i="71"/>
  <c r="N146" i="71" s="1"/>
  <c r="O138" i="71"/>
  <c r="O146" i="71" s="1"/>
  <c r="P138" i="71"/>
  <c r="P146" i="71" s="1"/>
  <c r="Q138" i="71"/>
  <c r="Q146" i="71" s="1"/>
  <c r="R138" i="71"/>
  <c r="R146" i="71" s="1"/>
  <c r="S138" i="71"/>
  <c r="S146" i="71" s="1"/>
  <c r="T138" i="71"/>
  <c r="T146" i="71" s="1"/>
  <c r="U138" i="71"/>
  <c r="U146" i="71" s="1"/>
  <c r="V138" i="71"/>
  <c r="V146" i="71" s="1"/>
  <c r="W138" i="71"/>
  <c r="W146" i="71" s="1"/>
  <c r="X138" i="71"/>
  <c r="X146" i="71" s="1"/>
  <c r="Y138" i="71"/>
  <c r="Y146" i="71" s="1"/>
  <c r="Z138" i="71"/>
  <c r="Z146" i="71" s="1"/>
  <c r="AA138" i="71"/>
  <c r="AA146" i="71" s="1"/>
  <c r="AB138" i="71"/>
  <c r="AB146" i="71" s="1"/>
  <c r="D139" i="71"/>
  <c r="D147" i="71" s="1"/>
  <c r="E139" i="71"/>
  <c r="E147" i="71" s="1"/>
  <c r="F139" i="71"/>
  <c r="F147" i="71" s="1"/>
  <c r="G139" i="71"/>
  <c r="G147" i="71" s="1"/>
  <c r="H139" i="71"/>
  <c r="H147" i="71" s="1"/>
  <c r="L139" i="71"/>
  <c r="L147" i="71" s="1"/>
  <c r="M139" i="71"/>
  <c r="M147" i="71" s="1"/>
  <c r="N139" i="71"/>
  <c r="N147" i="71" s="1"/>
  <c r="O139" i="71"/>
  <c r="O147" i="71" s="1"/>
  <c r="P139" i="71"/>
  <c r="P147" i="71" s="1"/>
  <c r="Q139" i="71"/>
  <c r="Q147" i="71" s="1"/>
  <c r="R139" i="71"/>
  <c r="R147" i="71" s="1"/>
  <c r="S139" i="71"/>
  <c r="S147" i="71" s="1"/>
  <c r="T139" i="71"/>
  <c r="T147" i="71" s="1"/>
  <c r="U139" i="71"/>
  <c r="U147" i="71" s="1"/>
  <c r="V139" i="71"/>
  <c r="V147" i="71" s="1"/>
  <c r="W139" i="71"/>
  <c r="W147" i="71" s="1"/>
  <c r="X139" i="71"/>
  <c r="X147" i="71" s="1"/>
  <c r="Y139" i="71"/>
  <c r="Y147" i="71" s="1"/>
  <c r="Z139" i="71"/>
  <c r="Z147" i="71" s="1"/>
  <c r="AA139" i="71"/>
  <c r="AA147" i="71" s="1"/>
  <c r="AB139" i="71"/>
  <c r="AB147" i="71" s="1"/>
  <c r="D142" i="71"/>
  <c r="D150" i="71" s="1"/>
  <c r="E142" i="71"/>
  <c r="E150" i="71" s="1"/>
  <c r="F142" i="71"/>
  <c r="F150" i="71" s="1"/>
  <c r="G142" i="71"/>
  <c r="G150" i="71" s="1"/>
  <c r="H142" i="71"/>
  <c r="H150" i="71" s="1"/>
  <c r="L142" i="71"/>
  <c r="L150" i="71" s="1"/>
  <c r="M142" i="71"/>
  <c r="M150" i="71" s="1"/>
  <c r="N142" i="71"/>
  <c r="N150" i="71" s="1"/>
  <c r="O142" i="71"/>
  <c r="O150" i="71" s="1"/>
  <c r="P142" i="71"/>
  <c r="P150" i="71" s="1"/>
  <c r="Q142" i="71"/>
  <c r="Q150" i="71" s="1"/>
  <c r="R142" i="71"/>
  <c r="R150" i="71" s="1"/>
  <c r="S142" i="71"/>
  <c r="S150" i="71" s="1"/>
  <c r="T142" i="71"/>
  <c r="T150" i="71" s="1"/>
  <c r="U142" i="71"/>
  <c r="U150" i="71" s="1"/>
  <c r="V142" i="71"/>
  <c r="V150" i="71" s="1"/>
  <c r="W142" i="71"/>
  <c r="W150" i="71" s="1"/>
  <c r="X142" i="71"/>
  <c r="X150" i="71" s="1"/>
  <c r="Y142" i="71"/>
  <c r="Y150" i="71" s="1"/>
  <c r="Z142" i="71"/>
  <c r="Z150" i="71" s="1"/>
  <c r="AA142" i="71"/>
  <c r="AA150" i="71" s="1"/>
  <c r="AB142" i="71"/>
  <c r="AB150" i="71" s="1"/>
  <c r="D141" i="71"/>
  <c r="D149" i="71" s="1"/>
  <c r="E141" i="71"/>
  <c r="E149" i="71" s="1"/>
  <c r="F141" i="71"/>
  <c r="F149" i="71" s="1"/>
  <c r="G141" i="71"/>
  <c r="G149" i="71" s="1"/>
  <c r="H141" i="71"/>
  <c r="H149" i="71" s="1"/>
  <c r="L141" i="71"/>
  <c r="L149" i="71" s="1"/>
  <c r="M141" i="71"/>
  <c r="M149" i="71" s="1"/>
  <c r="N141" i="71"/>
  <c r="N149" i="71" s="1"/>
  <c r="O141" i="71"/>
  <c r="O149" i="71" s="1"/>
  <c r="P141" i="71"/>
  <c r="P149" i="71" s="1"/>
  <c r="Q141" i="71"/>
  <c r="Q149" i="71" s="1"/>
  <c r="R141" i="71"/>
  <c r="R149" i="71" s="1"/>
  <c r="S141" i="71"/>
  <c r="S149" i="71" s="1"/>
  <c r="T141" i="71"/>
  <c r="T149" i="71" s="1"/>
  <c r="U141" i="71"/>
  <c r="U149" i="71" s="1"/>
  <c r="V141" i="71"/>
  <c r="V149" i="71" s="1"/>
  <c r="W141" i="71"/>
  <c r="W149" i="71" s="1"/>
  <c r="X141" i="71"/>
  <c r="X149" i="71" s="1"/>
  <c r="Y141" i="71"/>
  <c r="Y149" i="71" s="1"/>
  <c r="Z141" i="71"/>
  <c r="Z149" i="71" s="1"/>
  <c r="AA141" i="71"/>
  <c r="AA149" i="71" s="1"/>
  <c r="AB141" i="71"/>
  <c r="AB149" i="71" s="1"/>
  <c r="D140" i="71"/>
  <c r="D148" i="71" s="1"/>
  <c r="E140" i="71"/>
  <c r="E148" i="71" s="1"/>
  <c r="F140" i="71"/>
  <c r="F148" i="71" s="1"/>
  <c r="G140" i="71"/>
  <c r="G148" i="71" s="1"/>
  <c r="H140" i="71"/>
  <c r="H148" i="71" s="1"/>
  <c r="L140" i="71"/>
  <c r="L148" i="71" s="1"/>
  <c r="M140" i="71"/>
  <c r="M148" i="71" s="1"/>
  <c r="N140" i="71"/>
  <c r="N148" i="71" s="1"/>
  <c r="O140" i="71"/>
  <c r="O148" i="71" s="1"/>
  <c r="P140" i="71"/>
  <c r="P148" i="71" s="1"/>
  <c r="Q140" i="71"/>
  <c r="Q148" i="71" s="1"/>
  <c r="R140" i="71"/>
  <c r="R148" i="71" s="1"/>
  <c r="S140" i="71"/>
  <c r="S148" i="71" s="1"/>
  <c r="T140" i="71"/>
  <c r="T148" i="71" s="1"/>
  <c r="U140" i="71"/>
  <c r="U148" i="71" s="1"/>
  <c r="V140" i="71"/>
  <c r="V148" i="71" s="1"/>
  <c r="W140" i="71"/>
  <c r="W148" i="71" s="1"/>
  <c r="X140" i="71"/>
  <c r="X148" i="71" s="1"/>
  <c r="Y140" i="71"/>
  <c r="Y148" i="71" s="1"/>
  <c r="Z140" i="71"/>
  <c r="Z148" i="71" s="1"/>
  <c r="AA140" i="71"/>
  <c r="AA148" i="71" s="1"/>
  <c r="AB140" i="71"/>
  <c r="AB148" i="71" s="1"/>
  <c r="Y72" i="15"/>
  <c r="Y75" i="15" s="1"/>
  <c r="H158" i="71" l="1"/>
  <c r="BW24" i="75" s="1"/>
  <c r="AP24" i="75"/>
  <c r="BJ23" i="75"/>
  <c r="AB157" i="71"/>
  <c r="CQ23" i="75" s="1"/>
  <c r="BD22" i="75"/>
  <c r="V156" i="71"/>
  <c r="CK22" i="75" s="1"/>
  <c r="BC20" i="75"/>
  <c r="U154" i="71"/>
  <c r="CJ20" i="75" s="1"/>
  <c r="BA22" i="75"/>
  <c r="S156" i="71"/>
  <c r="CH22" i="75" s="1"/>
  <c r="N155" i="71"/>
  <c r="CC21" i="75" s="1"/>
  <c r="AV21" i="75"/>
  <c r="BD23" i="75"/>
  <c r="V157" i="71"/>
  <c r="CK23" i="75" s="1"/>
  <c r="AY20" i="75"/>
  <c r="Q154" i="71"/>
  <c r="CF20" i="75" s="1"/>
  <c r="O154" i="71"/>
  <c r="CD20" i="75" s="1"/>
  <c r="AW20" i="75"/>
  <c r="H155" i="71"/>
  <c r="BW21" i="75" s="1"/>
  <c r="AP21" i="75"/>
  <c r="M154" i="71"/>
  <c r="CB20" i="75" s="1"/>
  <c r="AU20" i="75"/>
  <c r="W156" i="71"/>
  <c r="CL22" i="75" s="1"/>
  <c r="BE22" i="75"/>
  <c r="BI23" i="75"/>
  <c r="AA157" i="71"/>
  <c r="CP23" i="75" s="1"/>
  <c r="AN23" i="75"/>
  <c r="F157" i="71"/>
  <c r="BU23" i="75" s="1"/>
  <c r="X157" i="71"/>
  <c r="CM23" i="75" s="1"/>
  <c r="BF23" i="75"/>
  <c r="AB158" i="71"/>
  <c r="CQ24" i="75" s="1"/>
  <c r="BJ24" i="75"/>
  <c r="BI24" i="75"/>
  <c r="AA158" i="71"/>
  <c r="CP24" i="75" s="1"/>
  <c r="BC23" i="75"/>
  <c r="U157" i="71"/>
  <c r="CJ23" i="75" s="1"/>
  <c r="BY21" i="75"/>
  <c r="AR21" i="75"/>
  <c r="AU22" i="75"/>
  <c r="M156" i="71"/>
  <c r="CB22" i="75" s="1"/>
  <c r="BD24" i="75"/>
  <c r="V158" i="71"/>
  <c r="CK24" i="75" s="1"/>
  <c r="BI21" i="75"/>
  <c r="AA155" i="71"/>
  <c r="CP21" i="75" s="1"/>
  <c r="AO21" i="75"/>
  <c r="G155" i="71"/>
  <c r="BV21" i="75" s="1"/>
  <c r="AT20" i="75"/>
  <c r="L154" i="71"/>
  <c r="CA20" i="75" s="1"/>
  <c r="BE20" i="75"/>
  <c r="W154" i="71"/>
  <c r="CL20" i="75" s="1"/>
  <c r="AS24" i="75"/>
  <c r="BZ24" i="75"/>
  <c r="AL23" i="75"/>
  <c r="D157" i="71"/>
  <c r="BS23" i="75" s="1"/>
  <c r="AT21" i="75"/>
  <c r="L155" i="71"/>
  <c r="CA21" i="75" s="1"/>
  <c r="T157" i="71"/>
  <c r="CI23" i="75" s="1"/>
  <c r="BB23" i="75"/>
  <c r="R157" i="71"/>
  <c r="CG23" i="75" s="1"/>
  <c r="AZ23" i="75"/>
  <c r="BH21" i="75"/>
  <c r="Z155" i="71"/>
  <c r="CO21" i="75" s="1"/>
  <c r="AN21" i="75"/>
  <c r="F155" i="71"/>
  <c r="BU21" i="75" s="1"/>
  <c r="AS20" i="75"/>
  <c r="BZ20" i="75"/>
  <c r="M158" i="71"/>
  <c r="CB24" i="75" s="1"/>
  <c r="AU24" i="75"/>
  <c r="AX21" i="75"/>
  <c r="P155" i="71"/>
  <c r="CE21" i="75" s="1"/>
  <c r="BA20" i="75"/>
  <c r="S154" i="71"/>
  <c r="CH20" i="75" s="1"/>
  <c r="AX20" i="75"/>
  <c r="P154" i="71"/>
  <c r="CE20" i="75" s="1"/>
  <c r="BX21" i="75"/>
  <c r="AQ21" i="75"/>
  <c r="AW23" i="75"/>
  <c r="O157" i="71"/>
  <c r="CD23" i="75" s="1"/>
  <c r="BG21" i="75"/>
  <c r="Y155" i="71"/>
  <c r="CN21" i="75" s="1"/>
  <c r="AM21" i="75"/>
  <c r="E155" i="71"/>
  <c r="BT21" i="75" s="1"/>
  <c r="AR20" i="75"/>
  <c r="BY20" i="75"/>
  <c r="AY21" i="75"/>
  <c r="Q155" i="71"/>
  <c r="CF21" i="75" s="1"/>
  <c r="AR24" i="75"/>
  <c r="BY24" i="75"/>
  <c r="R156" i="71"/>
  <c r="CG22" i="75" s="1"/>
  <c r="AZ22" i="75"/>
  <c r="AN24" i="75"/>
  <c r="F158" i="71"/>
  <c r="BU24" i="75" s="1"/>
  <c r="AV22" i="75"/>
  <c r="N156" i="71"/>
  <c r="CC22" i="75" s="1"/>
  <c r="AT22" i="75"/>
  <c r="L156" i="71"/>
  <c r="CA22" i="75" s="1"/>
  <c r="BF21" i="75"/>
  <c r="X155" i="71"/>
  <c r="CM21" i="75" s="1"/>
  <c r="AL21" i="75"/>
  <c r="D155" i="71"/>
  <c r="BS21" i="75" s="1"/>
  <c r="AQ20" i="75"/>
  <c r="BX20" i="75"/>
  <c r="AP23" i="75"/>
  <c r="H157" i="71"/>
  <c r="BW23" i="75" s="1"/>
  <c r="BC22" i="75"/>
  <c r="U156" i="71"/>
  <c r="CJ22" i="75" s="1"/>
  <c r="AW21" i="75"/>
  <c r="O155" i="71"/>
  <c r="CD21" i="75" s="1"/>
  <c r="AZ20" i="75"/>
  <c r="R154" i="71"/>
  <c r="CG20" i="75" s="1"/>
  <c r="AW22" i="75"/>
  <c r="O156" i="71"/>
  <c r="CD22" i="75" s="1"/>
  <c r="BF24" i="75"/>
  <c r="X158" i="71"/>
  <c r="CM24" i="75" s="1"/>
  <c r="AY23" i="75"/>
  <c r="Q157" i="71"/>
  <c r="CF23" i="75" s="1"/>
  <c r="AQ22" i="75"/>
  <c r="BX22" i="75"/>
  <c r="AZ24" i="75"/>
  <c r="R158" i="71"/>
  <c r="CG24" i="75" s="1"/>
  <c r="W155" i="71"/>
  <c r="CL21" i="75" s="1"/>
  <c r="BE21" i="75"/>
  <c r="AB154" i="71"/>
  <c r="CQ20" i="75" s="1"/>
  <c r="BJ20" i="75"/>
  <c r="AP20" i="75"/>
  <c r="H154" i="71"/>
  <c r="BW20" i="75" s="1"/>
  <c r="BD20" i="75"/>
  <c r="V154" i="71"/>
  <c r="CK20" i="75" s="1"/>
  <c r="AM23" i="75"/>
  <c r="E157" i="71"/>
  <c r="BT23" i="75" s="1"/>
  <c r="AU21" i="75"/>
  <c r="M155" i="71"/>
  <c r="CB21" i="75" s="1"/>
  <c r="BH24" i="75"/>
  <c r="Z158" i="71"/>
  <c r="CO24" i="75" s="1"/>
  <c r="AL24" i="75"/>
  <c r="D158" i="71"/>
  <c r="BS24" i="75" s="1"/>
  <c r="BC24" i="75"/>
  <c r="U158" i="71"/>
  <c r="CJ24" i="75" s="1"/>
  <c r="M157" i="71"/>
  <c r="CB23" i="75" s="1"/>
  <c r="AU23" i="75"/>
  <c r="AT23" i="75"/>
  <c r="L157" i="71"/>
  <c r="CA23" i="75" s="1"/>
  <c r="AY24" i="75"/>
  <c r="Q158" i="71"/>
  <c r="CF24" i="75" s="1"/>
  <c r="BD21" i="75"/>
  <c r="V155" i="71"/>
  <c r="CK21" i="75" s="1"/>
  <c r="BI20" i="75"/>
  <c r="AA154" i="71"/>
  <c r="CP20" i="75" s="1"/>
  <c r="AO20" i="75"/>
  <c r="G154" i="71"/>
  <c r="BV20" i="75" s="1"/>
  <c r="AT24" i="75"/>
  <c r="L158" i="71"/>
  <c r="CA24" i="75" s="1"/>
  <c r="BB20" i="75"/>
  <c r="T154" i="71"/>
  <c r="CI20" i="75" s="1"/>
  <c r="AO24" i="75"/>
  <c r="G158" i="71"/>
  <c r="BV24" i="75" s="1"/>
  <c r="AM24" i="75"/>
  <c r="E158" i="71"/>
  <c r="BT24" i="75" s="1"/>
  <c r="BE24" i="75"/>
  <c r="W158" i="71"/>
  <c r="CL24" i="75" s="1"/>
  <c r="BB24" i="75"/>
  <c r="T158" i="71"/>
  <c r="CI24" i="75" s="1"/>
  <c r="BJ22" i="75"/>
  <c r="AB156" i="71"/>
  <c r="CQ22" i="75" s="1"/>
  <c r="BH22" i="75"/>
  <c r="Z156" i="71"/>
  <c r="CO22" i="75" s="1"/>
  <c r="AS23" i="75"/>
  <c r="BZ23" i="75"/>
  <c r="AX24" i="75"/>
  <c r="P158" i="71"/>
  <c r="CE24" i="75" s="1"/>
  <c r="BC21" i="75"/>
  <c r="U155" i="71"/>
  <c r="CJ21" i="75" s="1"/>
  <c r="BH20" i="75"/>
  <c r="Z154" i="71"/>
  <c r="CO20" i="75" s="1"/>
  <c r="AN20" i="75"/>
  <c r="F154" i="71"/>
  <c r="BU20" i="75" s="1"/>
  <c r="AO23" i="75"/>
  <c r="G157" i="71"/>
  <c r="BV23" i="75" s="1"/>
  <c r="BG23" i="75"/>
  <c r="Y157" i="71"/>
  <c r="CN23" i="75" s="1"/>
  <c r="BE23" i="75"/>
  <c r="W157" i="71"/>
  <c r="CL23" i="75" s="1"/>
  <c r="AS21" i="75"/>
  <c r="BZ21" i="75"/>
  <c r="N154" i="71"/>
  <c r="CC20" i="75" s="1"/>
  <c r="AV20" i="75"/>
  <c r="AS22" i="75"/>
  <c r="BZ22" i="75"/>
  <c r="BA24" i="75"/>
  <c r="S158" i="71"/>
  <c r="CH24" i="75" s="1"/>
  <c r="BI22" i="75"/>
  <c r="AA156" i="71"/>
  <c r="CP22" i="75" s="1"/>
  <c r="E156" i="71"/>
  <c r="BT22" i="75" s="1"/>
  <c r="AM22" i="75"/>
  <c r="O158" i="71"/>
  <c r="CD24" i="75" s="1"/>
  <c r="AW24" i="75"/>
  <c r="BB21" i="75"/>
  <c r="T155" i="71"/>
  <c r="CI21" i="75" s="1"/>
  <c r="BG20" i="75"/>
  <c r="Y154" i="71"/>
  <c r="CN20" i="75" s="1"/>
  <c r="AM20" i="75"/>
  <c r="E154" i="71"/>
  <c r="BT20" i="75" s="1"/>
  <c r="AZ21" i="75"/>
  <c r="R155" i="71"/>
  <c r="CG21" i="75" s="1"/>
  <c r="BH23" i="75"/>
  <c r="Z157" i="71"/>
  <c r="CO23" i="75" s="1"/>
  <c r="BB22" i="75"/>
  <c r="T156" i="71"/>
  <c r="CI22" i="75" s="1"/>
  <c r="AQ24" i="75"/>
  <c r="BX24" i="75"/>
  <c r="AY22" i="75"/>
  <c r="Q156" i="71"/>
  <c r="CF22" i="75" s="1"/>
  <c r="AX22" i="75"/>
  <c r="P156" i="71"/>
  <c r="CE22" i="75" s="1"/>
  <c r="BG24" i="75"/>
  <c r="Y158" i="71"/>
  <c r="CN24" i="75" s="1"/>
  <c r="S157" i="71"/>
  <c r="CH23" i="75" s="1"/>
  <c r="BA23" i="75"/>
  <c r="AB155" i="71"/>
  <c r="CQ21" i="75" s="1"/>
  <c r="BJ21" i="75"/>
  <c r="AX23" i="75"/>
  <c r="P157" i="71"/>
  <c r="CE23" i="75" s="1"/>
  <c r="AR22" i="75"/>
  <c r="BY22" i="75"/>
  <c r="AV23" i="75"/>
  <c r="N157" i="71"/>
  <c r="CC23" i="75" s="1"/>
  <c r="AP22" i="75"/>
  <c r="H156" i="71"/>
  <c r="BW22" i="75" s="1"/>
  <c r="AO22" i="75"/>
  <c r="G156" i="71"/>
  <c r="BV22" i="75" s="1"/>
  <c r="AN22" i="75"/>
  <c r="F156" i="71"/>
  <c r="BU22" i="75" s="1"/>
  <c r="Y156" i="71"/>
  <c r="CN22" i="75" s="1"/>
  <c r="BG22" i="75"/>
  <c r="AR23" i="75"/>
  <c r="BY23" i="75"/>
  <c r="X156" i="71"/>
  <c r="CM22" i="75" s="1"/>
  <c r="BF22" i="75"/>
  <c r="D156" i="71"/>
  <c r="BS22" i="75" s="1"/>
  <c r="AL22" i="75"/>
  <c r="AQ23" i="75"/>
  <c r="BX23" i="75"/>
  <c r="N158" i="71"/>
  <c r="CC24" i="75" s="1"/>
  <c r="AV24" i="75"/>
  <c r="BA21" i="75"/>
  <c r="S155" i="71"/>
  <c r="CH21" i="75" s="1"/>
  <c r="BF20" i="75"/>
  <c r="X154" i="71"/>
  <c r="CM20" i="75" s="1"/>
  <c r="AL20" i="75"/>
  <c r="D154" i="71"/>
  <c r="BS20" i="75" s="1"/>
  <c r="D62" i="71"/>
  <c r="E62" i="71" s="1"/>
  <c r="I23" i="75"/>
  <c r="U22" i="75"/>
  <c r="S21" i="75"/>
  <c r="T20" i="75"/>
  <c r="R21" i="75"/>
  <c r="P20" i="75"/>
  <c r="AC23" i="75"/>
  <c r="AA23" i="75"/>
  <c r="J24" i="75"/>
  <c r="R20" i="75"/>
  <c r="O20" i="75"/>
  <c r="X22" i="75"/>
  <c r="L24" i="75"/>
  <c r="T22" i="75"/>
  <c r="M21" i="75"/>
  <c r="AC21" i="75"/>
  <c r="N20" i="75"/>
  <c r="W20" i="75"/>
  <c r="Y23" i="75"/>
  <c r="H24" i="75"/>
  <c r="K21" i="75"/>
  <c r="H21" i="75"/>
  <c r="M20" i="75"/>
  <c r="W22" i="75"/>
  <c r="U20" i="75"/>
  <c r="AC24" i="75"/>
  <c r="Q22" i="75"/>
  <c r="Y24" i="75"/>
  <c r="V24" i="75"/>
  <c r="G21" i="75"/>
  <c r="L20" i="75"/>
  <c r="H23" i="75"/>
  <c r="F23" i="75"/>
  <c r="D63" i="71"/>
  <c r="E63" i="71" s="1"/>
  <c r="I24" i="75"/>
  <c r="Q20" i="75"/>
  <c r="S23" i="75"/>
  <c r="Z21" i="75"/>
  <c r="F21" i="75"/>
  <c r="K20" i="75"/>
  <c r="M24" i="75"/>
  <c r="Z23" i="75"/>
  <c r="S20" i="75"/>
  <c r="AA24" i="75"/>
  <c r="T23" i="75"/>
  <c r="AB21" i="75"/>
  <c r="E21" i="75"/>
  <c r="J20" i="75"/>
  <c r="V20" i="75"/>
  <c r="N21" i="75"/>
  <c r="V23" i="75"/>
  <c r="J21" i="75"/>
  <c r="U24" i="75"/>
  <c r="AC22" i="75"/>
  <c r="AC20" i="75"/>
  <c r="D59" i="71"/>
  <c r="I20" i="75"/>
  <c r="Q21" i="75"/>
  <c r="E23" i="75"/>
  <c r="AB24" i="75"/>
  <c r="Z24" i="75"/>
  <c r="N22" i="75"/>
  <c r="L22" i="75"/>
  <c r="J22" i="75"/>
  <c r="D61" i="71"/>
  <c r="I22" i="75"/>
  <c r="R24" i="75"/>
  <c r="W21" i="75"/>
  <c r="AB20" i="75"/>
  <c r="H20" i="75"/>
  <c r="N24" i="75"/>
  <c r="G23" i="75"/>
  <c r="O21" i="75"/>
  <c r="W23" i="75"/>
  <c r="G24" i="75"/>
  <c r="U23" i="75"/>
  <c r="O22" i="75"/>
  <c r="D60" i="71"/>
  <c r="E60" i="71" s="1"/>
  <c r="I21" i="75"/>
  <c r="AA21" i="75"/>
  <c r="Y21" i="75"/>
  <c r="N23" i="75"/>
  <c r="M23" i="75"/>
  <c r="AA22" i="75"/>
  <c r="G22" i="75"/>
  <c r="L23" i="75"/>
  <c r="Q24" i="75"/>
  <c r="V21" i="75"/>
  <c r="AA20" i="75"/>
  <c r="G20" i="75"/>
  <c r="AB23" i="75"/>
  <c r="V22" i="75"/>
  <c r="K24" i="75"/>
  <c r="X23" i="75"/>
  <c r="L21" i="75"/>
  <c r="P22" i="75"/>
  <c r="E24" i="75"/>
  <c r="M22" i="75"/>
  <c r="R23" i="75"/>
  <c r="Q23" i="75"/>
  <c r="P23" i="75"/>
  <c r="O23" i="75"/>
  <c r="X21" i="75"/>
  <c r="H22" i="75"/>
  <c r="Z22" i="75"/>
  <c r="F22" i="75"/>
  <c r="K23" i="75"/>
  <c r="P24" i="75"/>
  <c r="U21" i="75"/>
  <c r="Z20" i="75"/>
  <c r="F20" i="75"/>
  <c r="X20" i="75"/>
  <c r="P21" i="75"/>
  <c r="S22" i="75"/>
  <c r="R22" i="75"/>
  <c r="F24" i="75"/>
  <c r="X24" i="75"/>
  <c r="W24" i="75"/>
  <c r="K22" i="75"/>
  <c r="T24" i="75"/>
  <c r="S24" i="75"/>
  <c r="AB22" i="75"/>
  <c r="Y22" i="75"/>
  <c r="E22" i="75"/>
  <c r="J23" i="75"/>
  <c r="O24" i="75"/>
  <c r="T21" i="75"/>
  <c r="Y20" i="75"/>
  <c r="E20" i="75"/>
  <c r="D54" i="71"/>
  <c r="D55" i="71"/>
  <c r="E55" i="71" s="1"/>
  <c r="D51" i="71"/>
  <c r="E51" i="71" s="1"/>
  <c r="D52" i="71"/>
  <c r="E52" i="71" s="1"/>
  <c r="D53" i="71"/>
  <c r="E53" i="71" s="1"/>
  <c r="Z72" i="15"/>
  <c r="Z75" i="15" s="1"/>
  <c r="H59" i="71" l="1"/>
  <c r="I59" i="71" s="1"/>
  <c r="E59" i="71"/>
  <c r="H63" i="71"/>
  <c r="I63" i="71" s="1"/>
  <c r="H61" i="71"/>
  <c r="I61" i="71" s="1"/>
  <c r="E61" i="71"/>
  <c r="H54" i="71"/>
  <c r="I54" i="71" s="1"/>
  <c r="E54" i="71"/>
  <c r="L59" i="71"/>
  <c r="M59" i="71" s="1"/>
  <c r="L63" i="71"/>
  <c r="M63" i="71" s="1"/>
  <c r="L61" i="71"/>
  <c r="M61" i="71" s="1"/>
  <c r="H60" i="71"/>
  <c r="I60" i="71" s="1"/>
  <c r="H62" i="71"/>
  <c r="I62" i="71" s="1"/>
  <c r="BL22" i="75"/>
  <c r="BK22" i="75"/>
  <c r="CR21" i="75"/>
  <c r="CS21" i="75"/>
  <c r="CR22" i="75"/>
  <c r="CS22" i="75"/>
  <c r="BK21" i="75"/>
  <c r="BL21" i="75"/>
  <c r="CS24" i="75"/>
  <c r="CR24" i="75"/>
  <c r="BK24" i="75"/>
  <c r="BL24" i="75"/>
  <c r="CR23" i="75"/>
  <c r="CS23" i="75"/>
  <c r="BK23" i="75"/>
  <c r="BL23" i="75"/>
  <c r="BK20" i="75"/>
  <c r="BL20" i="75"/>
  <c r="CS20" i="75"/>
  <c r="CR20" i="75"/>
  <c r="AE23" i="75"/>
  <c r="AD23" i="75"/>
  <c r="AD20" i="75"/>
  <c r="AE20" i="75"/>
  <c r="AE21" i="75"/>
  <c r="AD21" i="75"/>
  <c r="AE24" i="75"/>
  <c r="AD24" i="75"/>
  <c r="AE22" i="75"/>
  <c r="AD22" i="75"/>
  <c r="H53" i="71"/>
  <c r="I53" i="71" s="1"/>
  <c r="H52" i="71"/>
  <c r="I52" i="71" s="1"/>
  <c r="H51" i="71"/>
  <c r="I51" i="71" s="1"/>
  <c r="H55" i="71"/>
  <c r="I55" i="71" s="1"/>
  <c r="AA72" i="15"/>
  <c r="AA75" i="15" s="1"/>
  <c r="L54" i="71" l="1"/>
  <c r="M54" i="71" s="1"/>
  <c r="L51" i="71"/>
  <c r="M51" i="71" s="1"/>
  <c r="L52" i="71"/>
  <c r="M52" i="71" s="1"/>
  <c r="L60" i="71"/>
  <c r="M60" i="71" s="1"/>
  <c r="L53" i="71"/>
  <c r="M53" i="71" s="1"/>
  <c r="L55" i="71"/>
  <c r="M55" i="71" s="1"/>
  <c r="L62" i="71"/>
  <c r="M62" i="71" s="1"/>
  <c r="I13" i="1"/>
  <c r="AB72" i="15"/>
  <c r="D75" i="15" s="1"/>
  <c r="H13" i="1" l="1"/>
  <c r="AB75" i="15"/>
  <c r="F75" i="15"/>
  <c r="C75" i="15"/>
  <c r="H75" i="15"/>
  <c r="G75" i="15"/>
  <c r="E75" i="15"/>
  <c r="J75" i="15"/>
  <c r="I75" i="15"/>
  <c r="K75" i="15"/>
  <c r="L75" i="15"/>
  <c r="M75" i="15"/>
  <c r="O75" i="15"/>
  <c r="P75" i="15"/>
  <c r="N75" i="15"/>
  <c r="Q75" i="15"/>
  <c r="J13" i="1" l="1"/>
  <c r="D97" i="37" l="1"/>
  <c r="E97" i="37" s="1"/>
  <c r="F97" i="37" s="1"/>
  <c r="G97" i="37" s="1"/>
  <c r="H97" i="37" s="1"/>
  <c r="I97" i="37" s="1"/>
  <c r="J97" i="37" s="1"/>
  <c r="K97" i="37" s="1"/>
  <c r="L97" i="37" s="1"/>
  <c r="M97" i="37" s="1"/>
  <c r="N97" i="37" s="1"/>
  <c r="O97" i="37" s="1"/>
  <c r="P97" i="37" s="1"/>
  <c r="Q97" i="37" s="1"/>
  <c r="R97" i="37" s="1"/>
  <c r="S97" i="37" s="1"/>
  <c r="T97" i="37" s="1"/>
  <c r="U97" i="37" s="1"/>
  <c r="V97" i="37" s="1"/>
  <c r="W97" i="37" s="1"/>
  <c r="X97" i="37" s="1"/>
  <c r="Y97" i="37" s="1"/>
  <c r="Z97" i="37" s="1"/>
  <c r="AA97" i="37" s="1"/>
  <c r="AB97" i="37" s="1"/>
  <c r="D90" i="37"/>
  <c r="C34" i="37"/>
  <c r="H42" i="37"/>
  <c r="E90" i="37" l="1"/>
  <c r="F90" i="37" s="1"/>
  <c r="G90" i="37" s="1"/>
  <c r="H90" i="37" s="1"/>
  <c r="I90" i="37" s="1"/>
  <c r="J90" i="37" s="1"/>
  <c r="K90" i="37" s="1"/>
  <c r="L90" i="37" s="1"/>
  <c r="F26" i="55"/>
  <c r="M90" i="37" l="1"/>
  <c r="N90" i="37" l="1"/>
  <c r="O90" i="37" s="1"/>
  <c r="P90" i="37" s="1"/>
  <c r="Q90" i="37" s="1"/>
  <c r="R90" i="37" s="1"/>
  <c r="S90" i="37" s="1"/>
  <c r="T90" i="37" s="1"/>
  <c r="U90" i="37" s="1"/>
  <c r="V90" i="37" s="1"/>
  <c r="W90" i="37" s="1"/>
  <c r="X90" i="37" l="1"/>
  <c r="W93" i="37"/>
  <c r="X55" i="42"/>
  <c r="X56" i="42"/>
  <c r="X57" i="42"/>
  <c r="Y90" i="37" l="1"/>
  <c r="X93" i="37"/>
  <c r="C21" i="47"/>
  <c r="C20" i="47"/>
  <c r="H28" i="47"/>
  <c r="H29" i="47" s="1"/>
  <c r="G28" i="47"/>
  <c r="D77" i="37"/>
  <c r="C98" i="37" s="1"/>
  <c r="D42" i="37"/>
  <c r="E42" i="37"/>
  <c r="F42" i="37"/>
  <c r="G42" i="37"/>
  <c r="C42" i="37"/>
  <c r="T93" i="37" l="1"/>
  <c r="E92" i="37"/>
  <c r="U93" i="37"/>
  <c r="F92" i="37"/>
  <c r="P93" i="37" s="1"/>
  <c r="S93" i="37"/>
  <c r="D92" i="37"/>
  <c r="N93" i="37" s="1"/>
  <c r="R93" i="37"/>
  <c r="G92" i="37"/>
  <c r="H92" i="37"/>
  <c r="G73" i="47"/>
  <c r="G29" i="47"/>
  <c r="H73" i="47"/>
  <c r="C99" i="37"/>
  <c r="C100" i="37"/>
  <c r="C101" i="37"/>
  <c r="F32" i="55"/>
  <c r="V93" i="37"/>
  <c r="Z90" i="37"/>
  <c r="Y93" i="37"/>
  <c r="O93" i="37"/>
  <c r="M93" i="37"/>
  <c r="Q93" i="37"/>
  <c r="F9" i="55"/>
  <c r="W326" i="42"/>
  <c r="X326" i="42" s="1"/>
  <c r="W327" i="42"/>
  <c r="X327" i="42" s="1"/>
  <c r="W328" i="42"/>
  <c r="X328" i="42" s="1"/>
  <c r="W329" i="42"/>
  <c r="X329" i="42" s="1"/>
  <c r="W330" i="42"/>
  <c r="X330" i="42" s="1"/>
  <c r="W331" i="42"/>
  <c r="X331" i="42" s="1"/>
  <c r="W332" i="42"/>
  <c r="X332" i="42" s="1"/>
  <c r="W333" i="42"/>
  <c r="X333" i="42" s="1"/>
  <c r="W334" i="42"/>
  <c r="X334" i="42" s="1"/>
  <c r="W335" i="42"/>
  <c r="X335" i="42" s="1"/>
  <c r="W336" i="42"/>
  <c r="X336" i="42" s="1"/>
  <c r="W337" i="42"/>
  <c r="X337" i="42" s="1"/>
  <c r="W338" i="42"/>
  <c r="X338" i="42" s="1"/>
  <c r="H37" i="43" s="1"/>
  <c r="W339" i="42"/>
  <c r="X339" i="42" s="1"/>
  <c r="W340" i="42"/>
  <c r="X340" i="42" s="1"/>
  <c r="W341" i="42"/>
  <c r="X341" i="42" s="1"/>
  <c r="W342" i="42"/>
  <c r="X342" i="42" s="1"/>
  <c r="W343" i="42"/>
  <c r="X343" i="42" s="1"/>
  <c r="W344" i="42"/>
  <c r="X344" i="42" s="1"/>
  <c r="W345" i="42"/>
  <c r="X345" i="42" s="1"/>
  <c r="W346" i="42"/>
  <c r="X346" i="42" s="1"/>
  <c r="W347" i="42"/>
  <c r="X347" i="42" s="1"/>
  <c r="W348" i="42"/>
  <c r="X348" i="42" s="1"/>
  <c r="W349" i="42"/>
  <c r="X349" i="42" s="1"/>
  <c r="W350" i="42"/>
  <c r="X350" i="42" s="1"/>
  <c r="W351" i="42"/>
  <c r="X351" i="42" s="1"/>
  <c r="W352" i="42"/>
  <c r="X352" i="42" s="1"/>
  <c r="W353" i="42"/>
  <c r="X353" i="42" s="1"/>
  <c r="W56" i="42"/>
  <c r="W57" i="42"/>
  <c r="I37" i="43" l="1"/>
  <c r="H10" i="43"/>
  <c r="I124" i="71"/>
  <c r="K126" i="71"/>
  <c r="K124" i="71"/>
  <c r="J123" i="71"/>
  <c r="K123" i="71"/>
  <c r="J126" i="71"/>
  <c r="J124" i="71"/>
  <c r="I125" i="71"/>
  <c r="I126" i="71"/>
  <c r="J125" i="71"/>
  <c r="K125" i="71"/>
  <c r="I123" i="71"/>
  <c r="I127" i="71" s="1"/>
  <c r="F124" i="71"/>
  <c r="P125" i="71"/>
  <c r="P124" i="71"/>
  <c r="P126" i="71"/>
  <c r="P123" i="71"/>
  <c r="O125" i="71"/>
  <c r="O124" i="71"/>
  <c r="O126" i="71"/>
  <c r="O123" i="71"/>
  <c r="N126" i="71"/>
  <c r="N125" i="71"/>
  <c r="N124" i="71"/>
  <c r="N123" i="71"/>
  <c r="M124" i="71"/>
  <c r="M125" i="71"/>
  <c r="M126" i="71"/>
  <c r="M123" i="71"/>
  <c r="L125" i="71"/>
  <c r="L124" i="71"/>
  <c r="L126" i="71"/>
  <c r="L123" i="71"/>
  <c r="H126" i="71"/>
  <c r="H124" i="71"/>
  <c r="H125" i="71"/>
  <c r="H123" i="71"/>
  <c r="G125" i="71"/>
  <c r="G124" i="71"/>
  <c r="G126" i="71"/>
  <c r="G123" i="71"/>
  <c r="AA125" i="71"/>
  <c r="AA126" i="71"/>
  <c r="AA124" i="71"/>
  <c r="AA123" i="71"/>
  <c r="Z124" i="71"/>
  <c r="Z125" i="71"/>
  <c r="Z126" i="71"/>
  <c r="Z123" i="71"/>
  <c r="F125" i="71"/>
  <c r="F126" i="71"/>
  <c r="F123" i="71"/>
  <c r="AB125" i="71"/>
  <c r="AB126" i="71"/>
  <c r="AB124" i="71"/>
  <c r="AB123" i="71"/>
  <c r="Y124" i="71"/>
  <c r="Y126" i="71"/>
  <c r="Y125" i="71"/>
  <c r="Y123" i="71"/>
  <c r="E125" i="71"/>
  <c r="E124" i="71"/>
  <c r="E126" i="71"/>
  <c r="E123" i="71"/>
  <c r="D123" i="71"/>
  <c r="D126" i="71"/>
  <c r="D124" i="71"/>
  <c r="D125" i="71"/>
  <c r="X125" i="71"/>
  <c r="X124" i="71"/>
  <c r="X126" i="71"/>
  <c r="X123" i="71"/>
  <c r="W125" i="71"/>
  <c r="W126" i="71"/>
  <c r="W124" i="71"/>
  <c r="W123" i="71"/>
  <c r="V124" i="71"/>
  <c r="V126" i="71"/>
  <c r="V125" i="71"/>
  <c r="V123" i="71"/>
  <c r="U124" i="71"/>
  <c r="U126" i="71"/>
  <c r="U125" i="71"/>
  <c r="U123" i="71"/>
  <c r="T125" i="71"/>
  <c r="T124" i="71"/>
  <c r="T126" i="71"/>
  <c r="T123" i="71"/>
  <c r="S126" i="71"/>
  <c r="S125" i="71"/>
  <c r="S124" i="71"/>
  <c r="S123" i="71"/>
  <c r="R124" i="71"/>
  <c r="R126" i="71"/>
  <c r="R125" i="71"/>
  <c r="R123" i="71"/>
  <c r="Q126" i="71"/>
  <c r="Q124" i="71"/>
  <c r="Q125" i="71"/>
  <c r="Q123" i="71"/>
  <c r="C102" i="37"/>
  <c r="AA90" i="37"/>
  <c r="Z93" i="37"/>
  <c r="F4" i="55"/>
  <c r="H37" i="57"/>
  <c r="D79" i="37"/>
  <c r="J37" i="43" l="1"/>
  <c r="I10" i="43"/>
  <c r="K127" i="71"/>
  <c r="J127" i="71"/>
  <c r="H93" i="37"/>
  <c r="L93" i="37"/>
  <c r="Z127" i="71"/>
  <c r="AC8" i="58" s="1"/>
  <c r="M8" i="58"/>
  <c r="AA127" i="71"/>
  <c r="AD8" i="58" s="1"/>
  <c r="W127" i="71"/>
  <c r="Z8" i="58" s="1"/>
  <c r="X127" i="71"/>
  <c r="AA8" i="58" s="1"/>
  <c r="T127" i="71"/>
  <c r="W8" i="58" s="1"/>
  <c r="N8" i="58"/>
  <c r="L127" i="71"/>
  <c r="O8" i="58" s="1"/>
  <c r="F127" i="71"/>
  <c r="I8" i="58" s="1"/>
  <c r="L8" i="58"/>
  <c r="S127" i="71"/>
  <c r="V8" i="58" s="1"/>
  <c r="G127" i="71"/>
  <c r="J8" i="58" s="1"/>
  <c r="E127" i="71"/>
  <c r="H8" i="58" s="1"/>
  <c r="N127" i="71"/>
  <c r="Q8" i="58" s="1"/>
  <c r="O127" i="71"/>
  <c r="R8" i="58" s="1"/>
  <c r="P127" i="71"/>
  <c r="S8" i="58" s="1"/>
  <c r="AB127" i="71"/>
  <c r="AE8" i="58" s="1"/>
  <c r="H127" i="71"/>
  <c r="K8" i="58" s="1"/>
  <c r="U127" i="71"/>
  <c r="X8" i="58" s="1"/>
  <c r="M127" i="71"/>
  <c r="P8" i="58" s="1"/>
  <c r="R127" i="71"/>
  <c r="U8" i="58" s="1"/>
  <c r="Y127" i="71"/>
  <c r="AB8" i="58" s="1"/>
  <c r="D127" i="71"/>
  <c r="Q127" i="71"/>
  <c r="T8" i="58" s="1"/>
  <c r="V127" i="71"/>
  <c r="Y8" i="58" s="1"/>
  <c r="AB90" i="37"/>
  <c r="J93" i="37" s="1"/>
  <c r="AA93" i="37"/>
  <c r="H10" i="57"/>
  <c r="I37" i="57"/>
  <c r="K37" i="43" l="1"/>
  <c r="J10" i="43"/>
  <c r="G8" i="58"/>
  <c r="D46" i="71"/>
  <c r="F13" i="1" s="1"/>
  <c r="K93" i="37"/>
  <c r="I93" i="37"/>
  <c r="E46" i="71"/>
  <c r="G13" i="1" s="1"/>
  <c r="AB93" i="37"/>
  <c r="G93" i="37"/>
  <c r="E93" i="37"/>
  <c r="F93" i="37"/>
  <c r="D93" i="37"/>
  <c r="C93" i="37"/>
  <c r="C94" i="37" s="1"/>
  <c r="D91" i="37" s="1"/>
  <c r="I10" i="57"/>
  <c r="J37" i="57"/>
  <c r="C22" i="37"/>
  <c r="C29" i="37" s="1"/>
  <c r="L37" i="43" l="1"/>
  <c r="K10" i="43"/>
  <c r="L17" i="58"/>
  <c r="AF8" i="58"/>
  <c r="AG8" i="58"/>
  <c r="R17" i="58"/>
  <c r="T17" i="58"/>
  <c r="Y17" i="58"/>
  <c r="O17" i="58"/>
  <c r="AC17" i="58"/>
  <c r="W17" i="58"/>
  <c r="S17" i="58"/>
  <c r="Z17" i="58"/>
  <c r="I17" i="58"/>
  <c r="AB17" i="58"/>
  <c r="AD17" i="58"/>
  <c r="H17" i="58"/>
  <c r="M17" i="58"/>
  <c r="X17" i="58"/>
  <c r="P17" i="58"/>
  <c r="AE17" i="58"/>
  <c r="K17" i="58"/>
  <c r="J17" i="58"/>
  <c r="AA17" i="58"/>
  <c r="N17" i="58"/>
  <c r="Q17" i="58"/>
  <c r="U17" i="58"/>
  <c r="V17" i="58"/>
  <c r="G17" i="58"/>
  <c r="D98" i="37"/>
  <c r="D99" i="37"/>
  <c r="D101" i="37"/>
  <c r="D100" i="37"/>
  <c r="D94" i="37"/>
  <c r="E91" i="37" s="1"/>
  <c r="J10" i="57"/>
  <c r="K37" i="57"/>
  <c r="L10" i="43" l="1"/>
  <c r="M37" i="43"/>
  <c r="C25" i="37"/>
  <c r="D102" i="37"/>
  <c r="E98" i="37"/>
  <c r="E99" i="37"/>
  <c r="E101" i="37"/>
  <c r="E100" i="37"/>
  <c r="E94" i="37"/>
  <c r="F91" i="37" s="1"/>
  <c r="K10" i="57"/>
  <c r="L37" i="57"/>
  <c r="E102" i="37" l="1"/>
  <c r="N37" i="43"/>
  <c r="M10" i="43"/>
  <c r="H5" i="58"/>
  <c r="G5" i="58"/>
  <c r="F5" i="58"/>
  <c r="F9" i="58" s="1"/>
  <c r="F101" i="37"/>
  <c r="F98" i="37"/>
  <c r="F100" i="37"/>
  <c r="I5" i="58" s="1"/>
  <c r="F94" i="37"/>
  <c r="G91" i="37" s="1"/>
  <c r="L10" i="57"/>
  <c r="M37" i="57"/>
  <c r="N10" i="43" l="1"/>
  <c r="O37" i="43"/>
  <c r="H14" i="58"/>
  <c r="G14" i="58"/>
  <c r="I14" i="58"/>
  <c r="F14" i="58"/>
  <c r="F102" i="37"/>
  <c r="G99" i="37"/>
  <c r="G101" i="37"/>
  <c r="G98" i="37"/>
  <c r="G100" i="37"/>
  <c r="J5" i="58" s="1"/>
  <c r="G94" i="37"/>
  <c r="H91" i="37" s="1"/>
  <c r="M10" i="57"/>
  <c r="N37" i="57"/>
  <c r="O10" i="43" l="1"/>
  <c r="P37" i="43"/>
  <c r="J14" i="58"/>
  <c r="G102" i="37"/>
  <c r="H99" i="37"/>
  <c r="D51" i="37" s="1"/>
  <c r="H98" i="37"/>
  <c r="D50" i="37" s="1"/>
  <c r="H101" i="37"/>
  <c r="F52" i="37" s="1"/>
  <c r="H100" i="37"/>
  <c r="H94" i="37"/>
  <c r="I91" i="37" s="1"/>
  <c r="N10" i="57"/>
  <c r="O37" i="57"/>
  <c r="P10" i="43" l="1"/>
  <c r="Q37" i="43"/>
  <c r="D52" i="37"/>
  <c r="K5" i="58"/>
  <c r="H102" i="37"/>
  <c r="I99" i="37"/>
  <c r="I98" i="37"/>
  <c r="I101" i="37"/>
  <c r="I100" i="37"/>
  <c r="O10" i="57"/>
  <c r="P37" i="57"/>
  <c r="R75" i="15"/>
  <c r="R37" i="43" l="1"/>
  <c r="Q10" i="43"/>
  <c r="AF5" i="58"/>
  <c r="I102" i="37"/>
  <c r="L5" i="58"/>
  <c r="K14" i="58"/>
  <c r="E74" i="15"/>
  <c r="T75" i="15" s="1"/>
  <c r="F74" i="15"/>
  <c r="U75" i="15" s="1"/>
  <c r="S75" i="15"/>
  <c r="H74" i="15"/>
  <c r="W75" i="15" s="1"/>
  <c r="G74" i="15"/>
  <c r="V75" i="15" s="1"/>
  <c r="P10" i="57"/>
  <c r="Q37" i="57"/>
  <c r="L14" i="58" l="1"/>
  <c r="S37" i="43"/>
  <c r="R10" i="43"/>
  <c r="C76" i="15"/>
  <c r="D73" i="15" s="1"/>
  <c r="Q10" i="57"/>
  <c r="R37" i="57"/>
  <c r="T37" i="43" l="1"/>
  <c r="S10" i="43"/>
  <c r="D80" i="15"/>
  <c r="D81" i="15"/>
  <c r="D82" i="15"/>
  <c r="D76" i="15"/>
  <c r="R10" i="57"/>
  <c r="S37" i="57"/>
  <c r="U37" i="43" l="1"/>
  <c r="T10" i="43"/>
  <c r="G6" i="58"/>
  <c r="E73" i="15"/>
  <c r="S10" i="57"/>
  <c r="T37" i="57"/>
  <c r="V37" i="43" l="1"/>
  <c r="U10" i="43"/>
  <c r="G15" i="58"/>
  <c r="E82" i="15"/>
  <c r="E80" i="15"/>
  <c r="E81" i="15"/>
  <c r="E76" i="15"/>
  <c r="F73" i="15" s="1"/>
  <c r="T10" i="57"/>
  <c r="U37" i="57"/>
  <c r="D7" i="10"/>
  <c r="B10" i="10"/>
  <c r="B9" i="10"/>
  <c r="B8" i="10"/>
  <c r="W37" i="43" l="1"/>
  <c r="V10" i="43"/>
  <c r="H6" i="58"/>
  <c r="F80" i="15"/>
  <c r="F82" i="15"/>
  <c r="I6" i="58" s="1"/>
  <c r="F81" i="15"/>
  <c r="F76" i="15"/>
  <c r="G73" i="15" s="1"/>
  <c r="S74" i="47"/>
  <c r="U10" i="57"/>
  <c r="V37" i="57"/>
  <c r="W10" i="43" l="1"/>
  <c r="X37" i="43"/>
  <c r="H15" i="58"/>
  <c r="I15" i="58"/>
  <c r="G80" i="15"/>
  <c r="G82" i="15"/>
  <c r="J6" i="58" s="1"/>
  <c r="G81" i="15"/>
  <c r="G76" i="15"/>
  <c r="H73" i="15" s="1"/>
  <c r="F42" i="15" s="1"/>
  <c r="T74" i="47"/>
  <c r="V10" i="57"/>
  <c r="W37" i="57"/>
  <c r="Y37" i="43" l="1"/>
  <c r="X10" i="43"/>
  <c r="J15" i="58"/>
  <c r="H82" i="15"/>
  <c r="H80" i="15"/>
  <c r="D40" i="15" s="1"/>
  <c r="H81" i="15"/>
  <c r="D41" i="15" s="1"/>
  <c r="H76" i="15"/>
  <c r="I73" i="15" s="1"/>
  <c r="U74" i="47"/>
  <c r="W10" i="57"/>
  <c r="X37" i="57"/>
  <c r="D42" i="15" l="1"/>
  <c r="Y10" i="43"/>
  <c r="Z37" i="43"/>
  <c r="K6" i="58"/>
  <c r="I81" i="15"/>
  <c r="I80" i="15"/>
  <c r="I82" i="15"/>
  <c r="L6" i="58" s="1"/>
  <c r="I76" i="15"/>
  <c r="J73" i="15" s="1"/>
  <c r="V74" i="47"/>
  <c r="X10" i="57"/>
  <c r="Y37" i="57"/>
  <c r="Z10" i="43" l="1"/>
  <c r="AA37" i="43"/>
  <c r="K15" i="58"/>
  <c r="AF6" i="58"/>
  <c r="L15" i="58"/>
  <c r="J81" i="15"/>
  <c r="J82" i="15"/>
  <c r="M6" i="58" s="1"/>
  <c r="M15" i="58" s="1"/>
  <c r="J80" i="15"/>
  <c r="J76" i="15"/>
  <c r="K73" i="15" s="1"/>
  <c r="W74" i="47"/>
  <c r="Y10" i="57"/>
  <c r="Z37" i="57"/>
  <c r="AB37" i="43" l="1"/>
  <c r="AA10" i="43"/>
  <c r="K81" i="15"/>
  <c r="K82" i="15"/>
  <c r="N6" i="58" s="1"/>
  <c r="N15" i="58" s="1"/>
  <c r="K80" i="15"/>
  <c r="K76" i="15"/>
  <c r="L73" i="15" s="1"/>
  <c r="X74" i="47"/>
  <c r="Z10" i="57"/>
  <c r="AA37" i="57"/>
  <c r="AC37" i="43" l="1"/>
  <c r="AB10" i="43"/>
  <c r="L82" i="15"/>
  <c r="O6" i="58" s="1"/>
  <c r="O15" i="58" s="1"/>
  <c r="L80" i="15"/>
  <c r="L81" i="15"/>
  <c r="L76" i="15"/>
  <c r="M73" i="15" s="1"/>
  <c r="Y74" i="47"/>
  <c r="AA10" i="57"/>
  <c r="AB37" i="57"/>
  <c r="AD37" i="43" l="1"/>
  <c r="AC10" i="43"/>
  <c r="M80" i="15"/>
  <c r="M81" i="15"/>
  <c r="M82" i="15"/>
  <c r="P6" i="58" s="1"/>
  <c r="P15" i="58" s="1"/>
  <c r="M76" i="15"/>
  <c r="N73" i="15" s="1"/>
  <c r="Z74" i="47"/>
  <c r="AB10" i="57"/>
  <c r="AC37" i="57"/>
  <c r="AE37" i="43" l="1"/>
  <c r="AD10" i="43"/>
  <c r="N82" i="15"/>
  <c r="Q6" i="58" s="1"/>
  <c r="Q15" i="58" s="1"/>
  <c r="N81" i="15"/>
  <c r="N80" i="15"/>
  <c r="N76" i="15"/>
  <c r="O73" i="15" s="1"/>
  <c r="AA74" i="47"/>
  <c r="AC10" i="57"/>
  <c r="AD37" i="57"/>
  <c r="AF37" i="43" l="1"/>
  <c r="AE10" i="43"/>
  <c r="O80" i="15"/>
  <c r="O82" i="15"/>
  <c r="R6" i="58" s="1"/>
  <c r="R15" i="58" s="1"/>
  <c r="O81" i="15"/>
  <c r="O76" i="15"/>
  <c r="P73" i="15" s="1"/>
  <c r="AB74" i="47"/>
  <c r="H74" i="47"/>
  <c r="D74" i="47"/>
  <c r="E74" i="47"/>
  <c r="F74" i="47"/>
  <c r="G74" i="47"/>
  <c r="I74" i="47"/>
  <c r="J74" i="47"/>
  <c r="K74" i="47"/>
  <c r="L74" i="47"/>
  <c r="M74" i="47"/>
  <c r="N74" i="47"/>
  <c r="O74" i="47"/>
  <c r="P74" i="47"/>
  <c r="Q74" i="47"/>
  <c r="R74" i="47"/>
  <c r="AD10" i="57"/>
  <c r="AE37" i="57"/>
  <c r="AG37" i="43" l="1"/>
  <c r="AF10" i="43"/>
  <c r="P80" i="15"/>
  <c r="P81" i="15"/>
  <c r="P82" i="15"/>
  <c r="S6" i="58" s="1"/>
  <c r="S15" i="58" s="1"/>
  <c r="P76" i="15"/>
  <c r="Q73" i="15" s="1"/>
  <c r="D72" i="47"/>
  <c r="AE10" i="57"/>
  <c r="AF37" i="57"/>
  <c r="AG10" i="43" l="1"/>
  <c r="AH37" i="43"/>
  <c r="D82" i="47"/>
  <c r="D80" i="47"/>
  <c r="D81" i="47"/>
  <c r="D85" i="47"/>
  <c r="D83" i="47"/>
  <c r="G7" i="58" s="1"/>
  <c r="G9" i="58" s="1"/>
  <c r="Q80" i="15"/>
  <c r="Q82" i="15"/>
  <c r="T6" i="58" s="1"/>
  <c r="T15" i="58" s="1"/>
  <c r="Q81" i="15"/>
  <c r="D75" i="47"/>
  <c r="Q76" i="15"/>
  <c r="R73" i="15" s="1"/>
  <c r="AF10" i="57"/>
  <c r="AG37" i="57"/>
  <c r="AH10" i="43" l="1"/>
  <c r="AI37" i="43"/>
  <c r="AI10" i="43" s="1"/>
  <c r="G16" i="58"/>
  <c r="G18" i="58" s="1"/>
  <c r="E72" i="47"/>
  <c r="D93" i="47"/>
  <c r="D91" i="47"/>
  <c r="D90" i="47"/>
  <c r="D89" i="47"/>
  <c r="D92" i="47"/>
  <c r="R81" i="15"/>
  <c r="R82" i="15"/>
  <c r="U6" i="58" s="1"/>
  <c r="U15" i="58" s="1"/>
  <c r="R80" i="15"/>
  <c r="E75" i="47"/>
  <c r="R76" i="15"/>
  <c r="S73" i="15" s="1"/>
  <c r="AG10" i="57"/>
  <c r="AH37" i="57"/>
  <c r="E82" i="47" l="1"/>
  <c r="E80" i="47"/>
  <c r="E81" i="47"/>
  <c r="E85" i="47"/>
  <c r="E83" i="47"/>
  <c r="H7" i="58" s="1"/>
  <c r="H9" i="58" s="1"/>
  <c r="D100" i="47"/>
  <c r="E15" i="75"/>
  <c r="E7" i="75" s="1"/>
  <c r="E13" i="75"/>
  <c r="E5" i="75" s="1"/>
  <c r="D98" i="47"/>
  <c r="D97" i="47"/>
  <c r="E12" i="75"/>
  <c r="E4" i="75" s="1"/>
  <c r="E16" i="75"/>
  <c r="E8" i="75" s="1"/>
  <c r="D101" i="47"/>
  <c r="E14" i="75"/>
  <c r="E6" i="75" s="1"/>
  <c r="D99" i="47"/>
  <c r="E93" i="47"/>
  <c r="E92" i="47"/>
  <c r="E89" i="47"/>
  <c r="E90" i="47"/>
  <c r="E91" i="47"/>
  <c r="S82" i="15"/>
  <c r="V6" i="58" s="1"/>
  <c r="V15" i="58" s="1"/>
  <c r="S81" i="15"/>
  <c r="S80" i="15"/>
  <c r="F72" i="47"/>
  <c r="S76" i="15"/>
  <c r="T73" i="15" s="1"/>
  <c r="AH10" i="57"/>
  <c r="AI37" i="57"/>
  <c r="AI10" i="57" s="1"/>
  <c r="F82" i="47" l="1"/>
  <c r="F81" i="47"/>
  <c r="F80" i="47"/>
  <c r="F85" i="47"/>
  <c r="F83" i="47"/>
  <c r="I7" i="58" s="1"/>
  <c r="I9" i="58" s="1"/>
  <c r="F13" i="75"/>
  <c r="F5" i="75" s="1"/>
  <c r="E98" i="47"/>
  <c r="F15" i="75"/>
  <c r="F7" i="75" s="1"/>
  <c r="E100" i="47"/>
  <c r="E99" i="47"/>
  <c r="F14" i="75"/>
  <c r="F6" i="75" s="1"/>
  <c r="F12" i="75"/>
  <c r="F4" i="75" s="1"/>
  <c r="E97" i="47"/>
  <c r="F16" i="75"/>
  <c r="F8" i="75" s="1"/>
  <c r="E101" i="47"/>
  <c r="AL16" i="75"/>
  <c r="AL8" i="75" s="1"/>
  <c r="D109" i="47"/>
  <c r="BS16" i="75" s="1"/>
  <c r="BS8" i="75" s="1"/>
  <c r="AL12" i="75"/>
  <c r="AL4" i="75" s="1"/>
  <c r="D105" i="47"/>
  <c r="BS12" i="75" s="1"/>
  <c r="BS4" i="75" s="1"/>
  <c r="AL14" i="75"/>
  <c r="AL6" i="75" s="1"/>
  <c r="D107" i="47"/>
  <c r="BS14" i="75" s="1"/>
  <c r="BS6" i="75" s="1"/>
  <c r="D106" i="47"/>
  <c r="BS13" i="75" s="1"/>
  <c r="BS5" i="75" s="1"/>
  <c r="AL13" i="75"/>
  <c r="AL5" i="75" s="1"/>
  <c r="D108" i="47"/>
  <c r="BS15" i="75" s="1"/>
  <c r="BS7" i="75" s="1"/>
  <c r="AL15" i="75"/>
  <c r="AL7" i="75" s="1"/>
  <c r="H16" i="58"/>
  <c r="H18" i="58" s="1"/>
  <c r="T82" i="15"/>
  <c r="W6" i="58" s="1"/>
  <c r="W15" i="58" s="1"/>
  <c r="T81" i="15"/>
  <c r="T80" i="15"/>
  <c r="F75" i="47"/>
  <c r="T76" i="15"/>
  <c r="U73" i="15" s="1"/>
  <c r="I16" i="58" l="1"/>
  <c r="I18" i="58" s="1"/>
  <c r="AM16" i="75"/>
  <c r="AM8" i="75" s="1"/>
  <c r="E109" i="47"/>
  <c r="BT16" i="75" s="1"/>
  <c r="BT8" i="75" s="1"/>
  <c r="AM12" i="75"/>
  <c r="AM4" i="75" s="1"/>
  <c r="E105" i="47"/>
  <c r="BT12" i="75" s="1"/>
  <c r="BT4" i="75" s="1"/>
  <c r="AM13" i="75"/>
  <c r="AM5" i="75" s="1"/>
  <c r="E106" i="47"/>
  <c r="BT13" i="75" s="1"/>
  <c r="BT5" i="75" s="1"/>
  <c r="E108" i="47"/>
  <c r="BT15" i="75" s="1"/>
  <c r="BT7" i="75" s="1"/>
  <c r="AM15" i="75"/>
  <c r="AM7" i="75" s="1"/>
  <c r="AM14" i="75"/>
  <c r="AM6" i="75" s="1"/>
  <c r="E107" i="47"/>
  <c r="BT14" i="75" s="1"/>
  <c r="BT6" i="75" s="1"/>
  <c r="F93" i="47"/>
  <c r="F92" i="47"/>
  <c r="F91" i="47"/>
  <c r="F89" i="47"/>
  <c r="F90" i="47"/>
  <c r="U81" i="15"/>
  <c r="U82" i="15"/>
  <c r="X6" i="58" s="1"/>
  <c r="X15" i="58" s="1"/>
  <c r="U80" i="15"/>
  <c r="G72" i="47"/>
  <c r="U76" i="15"/>
  <c r="V73" i="15" s="1"/>
  <c r="G80" i="47" l="1"/>
  <c r="G82" i="47"/>
  <c r="G81" i="47"/>
  <c r="G85" i="47"/>
  <c r="G83" i="47"/>
  <c r="J7" i="58" s="1"/>
  <c r="J9" i="58" s="1"/>
  <c r="G13" i="75"/>
  <c r="G5" i="75" s="1"/>
  <c r="F98" i="47"/>
  <c r="F97" i="47"/>
  <c r="G12" i="75"/>
  <c r="G4" i="75" s="1"/>
  <c r="G14" i="75"/>
  <c r="G6" i="75" s="1"/>
  <c r="F99" i="47"/>
  <c r="F101" i="47"/>
  <c r="G16" i="75"/>
  <c r="G8" i="75" s="1"/>
  <c r="G15" i="75"/>
  <c r="G7" i="75" s="1"/>
  <c r="F100" i="47"/>
  <c r="V82" i="15"/>
  <c r="Y6" i="58" s="1"/>
  <c r="Y15" i="58" s="1"/>
  <c r="V81" i="15"/>
  <c r="V80" i="15"/>
  <c r="G75" i="47"/>
  <c r="V76" i="15"/>
  <c r="W73" i="15" s="1"/>
  <c r="AN13" i="75" l="1"/>
  <c r="AN5" i="75" s="1"/>
  <c r="F106" i="47"/>
  <c r="BU13" i="75" s="1"/>
  <c r="BU5" i="75" s="1"/>
  <c r="F107" i="47"/>
  <c r="BU14" i="75" s="1"/>
  <c r="BU6" i="75" s="1"/>
  <c r="AN14" i="75"/>
  <c r="AN6" i="75" s="1"/>
  <c r="AN12" i="75"/>
  <c r="AN4" i="75" s="1"/>
  <c r="F105" i="47"/>
  <c r="BU12" i="75" s="1"/>
  <c r="BU4" i="75" s="1"/>
  <c r="AN16" i="75"/>
  <c r="AN8" i="75" s="1"/>
  <c r="F109" i="47"/>
  <c r="BU16" i="75" s="1"/>
  <c r="BU8" i="75" s="1"/>
  <c r="AN15" i="75"/>
  <c r="AN7" i="75" s="1"/>
  <c r="F108" i="47"/>
  <c r="BU15" i="75" s="1"/>
  <c r="BU7" i="75" s="1"/>
  <c r="J16" i="58"/>
  <c r="J18" i="58" s="1"/>
  <c r="H72" i="47"/>
  <c r="G90" i="47"/>
  <c r="G93" i="47"/>
  <c r="G91" i="47"/>
  <c r="G89" i="47"/>
  <c r="G92" i="47"/>
  <c r="W82" i="15"/>
  <c r="Z6" i="58" s="1"/>
  <c r="Z15" i="58" s="1"/>
  <c r="W80" i="15"/>
  <c r="W81" i="15"/>
  <c r="W76" i="15"/>
  <c r="X73" i="15" s="1"/>
  <c r="H81" i="47" l="1"/>
  <c r="H82" i="47"/>
  <c r="D37" i="47" s="1"/>
  <c r="H80" i="47"/>
  <c r="D35" i="47" s="1"/>
  <c r="H85" i="47"/>
  <c r="F38" i="47" s="1"/>
  <c r="H83" i="47"/>
  <c r="H14" i="75"/>
  <c r="H6" i="75" s="1"/>
  <c r="G99" i="47"/>
  <c r="H15" i="75"/>
  <c r="H7" i="75" s="1"/>
  <c r="G100" i="47"/>
  <c r="H13" i="75"/>
  <c r="H5" i="75" s="1"/>
  <c r="G98" i="47"/>
  <c r="G97" i="47"/>
  <c r="H12" i="75"/>
  <c r="H4" i="75" s="1"/>
  <c r="G101" i="47"/>
  <c r="H16" i="75"/>
  <c r="H8" i="75" s="1"/>
  <c r="D36" i="47"/>
  <c r="X80" i="15"/>
  <c r="X82" i="15"/>
  <c r="AA6" i="58" s="1"/>
  <c r="AA15" i="58" s="1"/>
  <c r="X81" i="15"/>
  <c r="H75" i="47"/>
  <c r="X76" i="15"/>
  <c r="Y73" i="15" s="1"/>
  <c r="AO15" i="75" l="1"/>
  <c r="AO7" i="75" s="1"/>
  <c r="G108" i="47"/>
  <c r="BV15" i="75" s="1"/>
  <c r="BV7" i="75" s="1"/>
  <c r="G107" i="47"/>
  <c r="BV14" i="75" s="1"/>
  <c r="BV6" i="75" s="1"/>
  <c r="AO14" i="75"/>
  <c r="AO6" i="75" s="1"/>
  <c r="AO13" i="75"/>
  <c r="AO5" i="75" s="1"/>
  <c r="G106" i="47"/>
  <c r="BV13" i="75" s="1"/>
  <c r="BV5" i="75" s="1"/>
  <c r="AO16" i="75"/>
  <c r="AO8" i="75" s="1"/>
  <c r="G109" i="47"/>
  <c r="BV16" i="75" s="1"/>
  <c r="BV8" i="75" s="1"/>
  <c r="AO12" i="75"/>
  <c r="AO4" i="75" s="1"/>
  <c r="G105" i="47"/>
  <c r="BV12" i="75" s="1"/>
  <c r="BV4" i="75" s="1"/>
  <c r="D38" i="47"/>
  <c r="F12" i="1" s="1"/>
  <c r="K7" i="58"/>
  <c r="K9" i="58" s="1"/>
  <c r="I72" i="47"/>
  <c r="H93" i="47"/>
  <c r="H91" i="47"/>
  <c r="H90" i="47"/>
  <c r="H92" i="47"/>
  <c r="H89" i="47"/>
  <c r="Y82" i="15"/>
  <c r="AB6" i="58" s="1"/>
  <c r="AB15" i="58" s="1"/>
  <c r="Y80" i="15"/>
  <c r="Y81" i="15"/>
  <c r="Y76" i="15"/>
  <c r="Z73" i="15" s="1"/>
  <c r="I80" i="47" l="1"/>
  <c r="I82" i="47"/>
  <c r="I81" i="47"/>
  <c r="I85" i="47"/>
  <c r="I83" i="47"/>
  <c r="L7" i="58" s="1"/>
  <c r="L9" i="58" s="1"/>
  <c r="AF7" i="58"/>
  <c r="D51" i="47"/>
  <c r="I12" i="75"/>
  <c r="H97" i="47"/>
  <c r="H100" i="47"/>
  <c r="I15" i="75"/>
  <c r="I7" i="75" s="1"/>
  <c r="I13" i="75"/>
  <c r="I5" i="75" s="1"/>
  <c r="H98" i="47"/>
  <c r="I16" i="75"/>
  <c r="H101" i="47"/>
  <c r="I14" i="75"/>
  <c r="H99" i="47"/>
  <c r="K16" i="58"/>
  <c r="K18" i="58" s="1"/>
  <c r="Z82" i="15"/>
  <c r="AC6" i="58" s="1"/>
  <c r="AC15" i="58" s="1"/>
  <c r="Z80" i="15"/>
  <c r="Z81" i="15"/>
  <c r="D52" i="47"/>
  <c r="D53" i="47"/>
  <c r="D55" i="47"/>
  <c r="E55" i="47" s="1"/>
  <c r="D54" i="47"/>
  <c r="I75" i="47"/>
  <c r="Z76" i="15"/>
  <c r="AA73" i="15" s="1"/>
  <c r="H55" i="47" l="1"/>
  <c r="I55" i="47" s="1"/>
  <c r="H53" i="47"/>
  <c r="E53" i="47"/>
  <c r="H52" i="47"/>
  <c r="L52" i="47" s="1"/>
  <c r="M52" i="47" s="1"/>
  <c r="E52" i="47"/>
  <c r="H51" i="47"/>
  <c r="L51" i="47" s="1"/>
  <c r="M51" i="47" s="1"/>
  <c r="E51" i="47"/>
  <c r="H54" i="47"/>
  <c r="L54" i="47" s="1"/>
  <c r="M54" i="47" s="1"/>
  <c r="E54" i="47"/>
  <c r="I51" i="47"/>
  <c r="L55" i="47"/>
  <c r="M55" i="47" s="1"/>
  <c r="L53" i="47"/>
  <c r="M53" i="47" s="1"/>
  <c r="I53" i="47"/>
  <c r="AD16" i="75"/>
  <c r="I8" i="75"/>
  <c r="AD14" i="75"/>
  <c r="I6" i="75"/>
  <c r="AD12" i="75"/>
  <c r="I4" i="75"/>
  <c r="AP13" i="75"/>
  <c r="H106" i="47"/>
  <c r="BW13" i="75" s="1"/>
  <c r="AD13" i="75"/>
  <c r="H107" i="47"/>
  <c r="BW14" i="75" s="1"/>
  <c r="AP14" i="75"/>
  <c r="AP6" i="75" s="1"/>
  <c r="AP16" i="75"/>
  <c r="H109" i="47"/>
  <c r="BW16" i="75" s="1"/>
  <c r="AD15" i="75"/>
  <c r="AP12" i="75"/>
  <c r="H105" i="47"/>
  <c r="BW12" i="75" s="1"/>
  <c r="AP15" i="75"/>
  <c r="AP7" i="75" s="1"/>
  <c r="H108" i="47"/>
  <c r="BW15" i="75" s="1"/>
  <c r="L16" i="58"/>
  <c r="L18" i="58" s="1"/>
  <c r="J72" i="47"/>
  <c r="I92" i="47"/>
  <c r="I90" i="47"/>
  <c r="I91" i="47"/>
  <c r="I89" i="47"/>
  <c r="I93" i="47"/>
  <c r="AA82" i="15"/>
  <c r="AD6" i="58" s="1"/>
  <c r="AD15" i="58" s="1"/>
  <c r="AA80" i="15"/>
  <c r="AA81" i="15"/>
  <c r="AA76" i="15"/>
  <c r="AB73" i="15" s="1"/>
  <c r="G42" i="15" s="1"/>
  <c r="I52" i="47" l="1"/>
  <c r="I54" i="47"/>
  <c r="J81" i="47"/>
  <c r="J80" i="47"/>
  <c r="J82" i="47"/>
  <c r="J85" i="47"/>
  <c r="J83" i="47"/>
  <c r="M7" i="58" s="1"/>
  <c r="CR15" i="75"/>
  <c r="BW7" i="75"/>
  <c r="CR12" i="75"/>
  <c r="BW4" i="75"/>
  <c r="CR4" i="75" s="1"/>
  <c r="BK12" i="75"/>
  <c r="AP4" i="75"/>
  <c r="CR13" i="75"/>
  <c r="BW5" i="75"/>
  <c r="BK13" i="75"/>
  <c r="AP5" i="75"/>
  <c r="CR14" i="75"/>
  <c r="BW6" i="75"/>
  <c r="BK16" i="75"/>
  <c r="AP8" i="75"/>
  <c r="CR16" i="75"/>
  <c r="BW8" i="75"/>
  <c r="J13" i="75"/>
  <c r="J5" i="75" s="1"/>
  <c r="I98" i="47"/>
  <c r="J12" i="75"/>
  <c r="J4" i="75" s="1"/>
  <c r="I97" i="47"/>
  <c r="I100" i="47"/>
  <c r="J15" i="75"/>
  <c r="J7" i="75" s="1"/>
  <c r="BK15" i="75"/>
  <c r="I99" i="47"/>
  <c r="J14" i="75"/>
  <c r="J6" i="75" s="1"/>
  <c r="BK14" i="75"/>
  <c r="J16" i="75"/>
  <c r="J8" i="75" s="1"/>
  <c r="I101" i="47"/>
  <c r="AB81" i="15"/>
  <c r="E41" i="15" s="1"/>
  <c r="AB82" i="15"/>
  <c r="E42" i="15" s="1"/>
  <c r="AB80" i="15"/>
  <c r="E40" i="15" s="1"/>
  <c r="J75" i="47"/>
  <c r="F14" i="1"/>
  <c r="AB76" i="15"/>
  <c r="I109" i="47" l="1"/>
  <c r="BX16" i="75" s="1"/>
  <c r="BX8" i="75" s="1"/>
  <c r="AQ16" i="75"/>
  <c r="AQ8" i="75" s="1"/>
  <c r="I105" i="47"/>
  <c r="BX12" i="75" s="1"/>
  <c r="BX4" i="75" s="1"/>
  <c r="AQ12" i="75"/>
  <c r="AQ4" i="75" s="1"/>
  <c r="AQ13" i="75"/>
  <c r="AQ5" i="75" s="1"/>
  <c r="I106" i="47"/>
  <c r="BX13" i="75" s="1"/>
  <c r="BX5" i="75" s="1"/>
  <c r="I107" i="47"/>
  <c r="BX14" i="75" s="1"/>
  <c r="BX6" i="75" s="1"/>
  <c r="AQ14" i="75"/>
  <c r="AQ6" i="75" s="1"/>
  <c r="AQ15" i="75"/>
  <c r="AQ7" i="75" s="1"/>
  <c r="I108" i="47"/>
  <c r="BX15" i="75" s="1"/>
  <c r="BX7" i="75" s="1"/>
  <c r="AE6" i="58"/>
  <c r="M16" i="58"/>
  <c r="M18" i="58" s="1"/>
  <c r="K72" i="47"/>
  <c r="J92" i="47"/>
  <c r="J90" i="47"/>
  <c r="J91" i="47"/>
  <c r="J93" i="47"/>
  <c r="J89" i="47"/>
  <c r="K80" i="47" l="1"/>
  <c r="K82" i="47"/>
  <c r="K81" i="47"/>
  <c r="K85" i="47"/>
  <c r="K83" i="47"/>
  <c r="N7" i="58" s="1"/>
  <c r="AE15" i="58"/>
  <c r="AG6" i="58"/>
  <c r="K14" i="75"/>
  <c r="K6" i="75" s="1"/>
  <c r="J99" i="47"/>
  <c r="J101" i="47"/>
  <c r="K16" i="75"/>
  <c r="K8" i="75" s="1"/>
  <c r="K15" i="75"/>
  <c r="K7" i="75" s="1"/>
  <c r="J100" i="47"/>
  <c r="K13" i="75"/>
  <c r="K5" i="75" s="1"/>
  <c r="J98" i="47"/>
  <c r="K12" i="75"/>
  <c r="K4" i="75" s="1"/>
  <c r="J97" i="47"/>
  <c r="K75" i="47"/>
  <c r="N16" i="58" l="1"/>
  <c r="N18" i="58" s="1"/>
  <c r="AR12" i="75"/>
  <c r="AR4" i="75" s="1"/>
  <c r="J105" i="47"/>
  <c r="BY12" i="75" s="1"/>
  <c r="BY4" i="75" s="1"/>
  <c r="AR13" i="75"/>
  <c r="AR5" i="75" s="1"/>
  <c r="J106" i="47"/>
  <c r="BY13" i="75" s="1"/>
  <c r="BY5" i="75" s="1"/>
  <c r="J108" i="47"/>
  <c r="BY15" i="75" s="1"/>
  <c r="BY7" i="75" s="1"/>
  <c r="AR15" i="75"/>
  <c r="AR7" i="75" s="1"/>
  <c r="J107" i="47"/>
  <c r="BY14" i="75" s="1"/>
  <c r="BY6" i="75" s="1"/>
  <c r="AR14" i="75"/>
  <c r="AR6" i="75" s="1"/>
  <c r="AR16" i="75"/>
  <c r="AR8" i="75" s="1"/>
  <c r="J109" i="47"/>
  <c r="BY16" i="75" s="1"/>
  <c r="BY8" i="75" s="1"/>
  <c r="L72" i="47"/>
  <c r="K92" i="47"/>
  <c r="K90" i="47"/>
  <c r="K93" i="47"/>
  <c r="K89" i="47"/>
  <c r="K91" i="47"/>
  <c r="L80" i="47" l="1"/>
  <c r="L82" i="47"/>
  <c r="L81" i="47"/>
  <c r="L85" i="47"/>
  <c r="L83" i="47"/>
  <c r="O7" i="58" s="1"/>
  <c r="L13" i="75"/>
  <c r="L5" i="75" s="1"/>
  <c r="K98" i="47"/>
  <c r="L16" i="75"/>
  <c r="L8" i="75" s="1"/>
  <c r="K101" i="47"/>
  <c r="L14" i="75"/>
  <c r="L6" i="75" s="1"/>
  <c r="K99" i="47"/>
  <c r="L12" i="75"/>
  <c r="L4" i="75" s="1"/>
  <c r="K97" i="47"/>
  <c r="K100" i="47"/>
  <c r="L15" i="75"/>
  <c r="L7" i="75" s="1"/>
  <c r="L75" i="47"/>
  <c r="O16" i="58" l="1"/>
  <c r="O18" i="58" s="1"/>
  <c r="AS15" i="75"/>
  <c r="AS7" i="75" s="1"/>
  <c r="K108" i="47"/>
  <c r="BZ15" i="75" s="1"/>
  <c r="BZ7" i="75" s="1"/>
  <c r="AS12" i="75"/>
  <c r="AS4" i="75" s="1"/>
  <c r="K105" i="47"/>
  <c r="BZ12" i="75" s="1"/>
  <c r="BZ4" i="75" s="1"/>
  <c r="AS14" i="75"/>
  <c r="AS6" i="75" s="1"/>
  <c r="K107" i="47"/>
  <c r="BZ14" i="75" s="1"/>
  <c r="BZ6" i="75" s="1"/>
  <c r="AS16" i="75"/>
  <c r="AS8" i="75" s="1"/>
  <c r="K109" i="47"/>
  <c r="BZ16" i="75" s="1"/>
  <c r="BZ8" i="75" s="1"/>
  <c r="K106" i="47"/>
  <c r="BZ13" i="75" s="1"/>
  <c r="BZ5" i="75" s="1"/>
  <c r="AS13" i="75"/>
  <c r="AS5" i="75" s="1"/>
  <c r="M72" i="47"/>
  <c r="L92" i="47"/>
  <c r="L90" i="47"/>
  <c r="L91" i="47"/>
  <c r="L93" i="47"/>
  <c r="L89" i="47"/>
  <c r="M80" i="47" l="1"/>
  <c r="M82" i="47"/>
  <c r="M81" i="47"/>
  <c r="M85" i="47"/>
  <c r="M83" i="47"/>
  <c r="P7" i="58" s="1"/>
  <c r="M16" i="75"/>
  <c r="M8" i="75" s="1"/>
  <c r="L101" i="47"/>
  <c r="M14" i="75"/>
  <c r="M6" i="75" s="1"/>
  <c r="L99" i="47"/>
  <c r="M13" i="75"/>
  <c r="M5" i="75" s="1"/>
  <c r="L98" i="47"/>
  <c r="L100" i="47"/>
  <c r="M15" i="75"/>
  <c r="M7" i="75" s="1"/>
  <c r="M12" i="75"/>
  <c r="M4" i="75" s="1"/>
  <c r="L97" i="47"/>
  <c r="M75" i="47"/>
  <c r="P16" i="58" l="1"/>
  <c r="P18" i="58" s="1"/>
  <c r="AT12" i="75"/>
  <c r="AT4" i="75" s="1"/>
  <c r="L105" i="47"/>
  <c r="CA12" i="75" s="1"/>
  <c r="CA4" i="75" s="1"/>
  <c r="AT15" i="75"/>
  <c r="AT7" i="75" s="1"/>
  <c r="L108" i="47"/>
  <c r="CA15" i="75" s="1"/>
  <c r="CA7" i="75" s="1"/>
  <c r="AT14" i="75"/>
  <c r="AT6" i="75" s="1"/>
  <c r="L107" i="47"/>
  <c r="CA14" i="75" s="1"/>
  <c r="CA6" i="75" s="1"/>
  <c r="L106" i="47"/>
  <c r="CA13" i="75" s="1"/>
  <c r="CA5" i="75" s="1"/>
  <c r="AT13" i="75"/>
  <c r="AT5" i="75" s="1"/>
  <c r="AT16" i="75"/>
  <c r="AT8" i="75" s="1"/>
  <c r="L109" i="47"/>
  <c r="CA16" i="75" s="1"/>
  <c r="CA8" i="75" s="1"/>
  <c r="N72" i="47"/>
  <c r="M91" i="47"/>
  <c r="M93" i="47"/>
  <c r="M89" i="47"/>
  <c r="M92" i="47"/>
  <c r="M90" i="47"/>
  <c r="N80" i="47" l="1"/>
  <c r="N81" i="47"/>
  <c r="N82" i="47"/>
  <c r="N85" i="47"/>
  <c r="N83" i="47"/>
  <c r="Q7" i="58" s="1"/>
  <c r="N12" i="75"/>
  <c r="N4" i="75" s="1"/>
  <c r="M97" i="47"/>
  <c r="N15" i="75"/>
  <c r="N7" i="75" s="1"/>
  <c r="M100" i="47"/>
  <c r="N16" i="75"/>
  <c r="N8" i="75" s="1"/>
  <c r="M101" i="47"/>
  <c r="N13" i="75"/>
  <c r="N5" i="75" s="1"/>
  <c r="M98" i="47"/>
  <c r="M99" i="47"/>
  <c r="N14" i="75"/>
  <c r="N6" i="75" s="1"/>
  <c r="N75" i="47"/>
  <c r="I94" i="37"/>
  <c r="J91" i="37" s="1"/>
  <c r="Q16" i="58" l="1"/>
  <c r="Q18" i="58" s="1"/>
  <c r="M106" i="47"/>
  <c r="CB13" i="75" s="1"/>
  <c r="CB5" i="75" s="1"/>
  <c r="AU13" i="75"/>
  <c r="AU5" i="75" s="1"/>
  <c r="AU16" i="75"/>
  <c r="AU8" i="75" s="1"/>
  <c r="M109" i="47"/>
  <c r="CB16" i="75" s="1"/>
  <c r="CB8" i="75" s="1"/>
  <c r="AU12" i="75"/>
  <c r="AU4" i="75" s="1"/>
  <c r="M105" i="47"/>
  <c r="CB12" i="75" s="1"/>
  <c r="CB4" i="75" s="1"/>
  <c r="AU14" i="75"/>
  <c r="AU6" i="75" s="1"/>
  <c r="M107" i="47"/>
  <c r="CB14" i="75" s="1"/>
  <c r="CB6" i="75" s="1"/>
  <c r="AU15" i="75"/>
  <c r="AU7" i="75" s="1"/>
  <c r="M108" i="47"/>
  <c r="CB15" i="75" s="1"/>
  <c r="CB7" i="75" s="1"/>
  <c r="O72" i="47"/>
  <c r="N91" i="47"/>
  <c r="N92" i="47"/>
  <c r="N90" i="47"/>
  <c r="N93" i="47"/>
  <c r="N89" i="47"/>
  <c r="J99" i="37"/>
  <c r="J98" i="37"/>
  <c r="J101" i="37"/>
  <c r="J100" i="37"/>
  <c r="M5" i="58" s="1"/>
  <c r="M9" i="58" s="1"/>
  <c r="J94" i="37"/>
  <c r="K91" i="37" s="1"/>
  <c r="O80" i="47" l="1"/>
  <c r="O81" i="47"/>
  <c r="O82" i="47"/>
  <c r="O85" i="47"/>
  <c r="O83" i="47"/>
  <c r="R7" i="58" s="1"/>
  <c r="O12" i="75"/>
  <c r="O4" i="75" s="1"/>
  <c r="N97" i="47"/>
  <c r="O14" i="75"/>
  <c r="O6" i="75" s="1"/>
  <c r="N99" i="47"/>
  <c r="O16" i="75"/>
  <c r="O8" i="75" s="1"/>
  <c r="N101" i="47"/>
  <c r="O15" i="75"/>
  <c r="O7" i="75" s="1"/>
  <c r="N100" i="47"/>
  <c r="N98" i="47"/>
  <c r="O13" i="75"/>
  <c r="O5" i="75" s="1"/>
  <c r="M14" i="58"/>
  <c r="J102" i="37"/>
  <c r="K99" i="37"/>
  <c r="K98" i="37"/>
  <c r="K101" i="37"/>
  <c r="K100" i="37"/>
  <c r="N5" i="58" s="1"/>
  <c r="O75" i="47"/>
  <c r="K94" i="37"/>
  <c r="L91" i="37" s="1"/>
  <c r="N14" i="58" l="1"/>
  <c r="N9" i="58"/>
  <c r="R16" i="58"/>
  <c r="R18" i="58" s="1"/>
  <c r="N106" i="47"/>
  <c r="CC13" i="75" s="1"/>
  <c r="CC5" i="75" s="1"/>
  <c r="AV13" i="75"/>
  <c r="AV5" i="75" s="1"/>
  <c r="AV16" i="75"/>
  <c r="AV8" i="75" s="1"/>
  <c r="N109" i="47"/>
  <c r="CC16" i="75" s="1"/>
  <c r="CC8" i="75" s="1"/>
  <c r="N108" i="47"/>
  <c r="CC15" i="75" s="1"/>
  <c r="CC7" i="75" s="1"/>
  <c r="AV15" i="75"/>
  <c r="AV7" i="75" s="1"/>
  <c r="AV12" i="75"/>
  <c r="AV4" i="75" s="1"/>
  <c r="N105" i="47"/>
  <c r="CC12" i="75" s="1"/>
  <c r="CC4" i="75" s="1"/>
  <c r="AV14" i="75"/>
  <c r="AV6" i="75" s="1"/>
  <c r="N107" i="47"/>
  <c r="CC14" i="75" s="1"/>
  <c r="CC6" i="75" s="1"/>
  <c r="O90" i="47"/>
  <c r="O91" i="47"/>
  <c r="O92" i="47"/>
  <c r="O93" i="47"/>
  <c r="O89" i="47"/>
  <c r="P72" i="47"/>
  <c r="L99" i="37"/>
  <c r="L98" i="37"/>
  <c r="L101" i="37"/>
  <c r="K102" i="37"/>
  <c r="L100" i="37"/>
  <c r="O5" i="58" s="1"/>
  <c r="O9" i="58" s="1"/>
  <c r="L94" i="37"/>
  <c r="M91" i="37" s="1"/>
  <c r="P82" i="47" l="1"/>
  <c r="P81" i="47"/>
  <c r="P80" i="47"/>
  <c r="P85" i="47"/>
  <c r="P83" i="47"/>
  <c r="S7" i="58" s="1"/>
  <c r="O97" i="47"/>
  <c r="P12" i="75"/>
  <c r="P4" i="75" s="1"/>
  <c r="O101" i="47"/>
  <c r="P16" i="75"/>
  <c r="P8" i="75" s="1"/>
  <c r="P14" i="75"/>
  <c r="P6" i="75" s="1"/>
  <c r="O99" i="47"/>
  <c r="P15" i="75"/>
  <c r="P7" i="75" s="1"/>
  <c r="O100" i="47"/>
  <c r="P13" i="75"/>
  <c r="P5" i="75" s="1"/>
  <c r="O98" i="47"/>
  <c r="O14" i="58"/>
  <c r="L102" i="37"/>
  <c r="M101" i="37"/>
  <c r="M99" i="37"/>
  <c r="M98" i="37"/>
  <c r="M100" i="37"/>
  <c r="P5" i="58" s="1"/>
  <c r="P75" i="47"/>
  <c r="M94" i="37"/>
  <c r="N91" i="37" s="1"/>
  <c r="P14" i="58" l="1"/>
  <c r="P9" i="58"/>
  <c r="S16" i="58"/>
  <c r="S18" i="58" s="1"/>
  <c r="O106" i="47"/>
  <c r="CD13" i="75" s="1"/>
  <c r="CD5" i="75" s="1"/>
  <c r="AW13" i="75"/>
  <c r="AW5" i="75" s="1"/>
  <c r="AW15" i="75"/>
  <c r="AW7" i="75" s="1"/>
  <c r="O108" i="47"/>
  <c r="CD15" i="75" s="1"/>
  <c r="CD7" i="75" s="1"/>
  <c r="AW14" i="75"/>
  <c r="AW6" i="75" s="1"/>
  <c r="O107" i="47"/>
  <c r="CD14" i="75" s="1"/>
  <c r="CD6" i="75" s="1"/>
  <c r="AW16" i="75"/>
  <c r="AW8" i="75" s="1"/>
  <c r="O109" i="47"/>
  <c r="CD16" i="75" s="1"/>
  <c r="CD8" i="75" s="1"/>
  <c r="AW12" i="75"/>
  <c r="AW4" i="75" s="1"/>
  <c r="O105" i="47"/>
  <c r="CD12" i="75" s="1"/>
  <c r="CD4" i="75" s="1"/>
  <c r="M102" i="37"/>
  <c r="Q72" i="47"/>
  <c r="P91" i="47"/>
  <c r="P89" i="47"/>
  <c r="P90" i="47"/>
  <c r="P92" i="47"/>
  <c r="P93" i="47"/>
  <c r="N98" i="37"/>
  <c r="N101" i="37"/>
  <c r="N99" i="37"/>
  <c r="N100" i="37"/>
  <c r="Q5" i="58" s="1"/>
  <c r="Q9" i="58" s="1"/>
  <c r="N94" i="37"/>
  <c r="O91" i="37" s="1"/>
  <c r="Q80" i="47" l="1"/>
  <c r="Q82" i="47"/>
  <c r="Q81" i="47"/>
  <c r="Q85" i="47"/>
  <c r="Q83" i="47"/>
  <c r="T7" i="58" s="1"/>
  <c r="Q16" i="75"/>
  <c r="Q8" i="75" s="1"/>
  <c r="P101" i="47"/>
  <c r="Q13" i="75"/>
  <c r="Q5" i="75" s="1"/>
  <c r="P98" i="47"/>
  <c r="Q12" i="75"/>
  <c r="Q4" i="75" s="1"/>
  <c r="P97" i="47"/>
  <c r="Q15" i="75"/>
  <c r="Q7" i="75" s="1"/>
  <c r="P100" i="47"/>
  <c r="P99" i="47"/>
  <c r="Q14" i="75"/>
  <c r="Q6" i="75" s="1"/>
  <c r="Q14" i="58"/>
  <c r="O98" i="37"/>
  <c r="O101" i="37"/>
  <c r="O99" i="37"/>
  <c r="N102" i="37"/>
  <c r="O100" i="37"/>
  <c r="R5" i="58" s="1"/>
  <c r="Q75" i="47"/>
  <c r="O94" i="37"/>
  <c r="P91" i="37" s="1"/>
  <c r="R14" i="58" l="1"/>
  <c r="R9" i="58"/>
  <c r="T16" i="58"/>
  <c r="T18" i="58" s="1"/>
  <c r="AX15" i="75"/>
  <c r="AX7" i="75" s="1"/>
  <c r="P108" i="47"/>
  <c r="CE15" i="75" s="1"/>
  <c r="CE7" i="75" s="1"/>
  <c r="P105" i="47"/>
  <c r="CE12" i="75" s="1"/>
  <c r="CE4" i="75" s="1"/>
  <c r="AX12" i="75"/>
  <c r="AX4" i="75" s="1"/>
  <c r="AX14" i="75"/>
  <c r="AX6" i="75" s="1"/>
  <c r="P107" i="47"/>
  <c r="CE14" i="75" s="1"/>
  <c r="CE6" i="75" s="1"/>
  <c r="P109" i="47"/>
  <c r="CE16" i="75" s="1"/>
  <c r="CE8" i="75" s="1"/>
  <c r="AX16" i="75"/>
  <c r="AX8" i="75" s="1"/>
  <c r="AX13" i="75"/>
  <c r="AX5" i="75" s="1"/>
  <c r="P106" i="47"/>
  <c r="CE13" i="75" s="1"/>
  <c r="CE5" i="75" s="1"/>
  <c r="O102" i="37"/>
  <c r="R72" i="47"/>
  <c r="Q90" i="47"/>
  <c r="Q92" i="47"/>
  <c r="Q93" i="47"/>
  <c r="Q91" i="47"/>
  <c r="Q89" i="47"/>
  <c r="P98" i="37"/>
  <c r="P101" i="37"/>
  <c r="P99" i="37"/>
  <c r="P100" i="37"/>
  <c r="P94" i="37"/>
  <c r="Q91" i="37" s="1"/>
  <c r="R80" i="47" l="1"/>
  <c r="R82" i="47"/>
  <c r="R81" i="47"/>
  <c r="R85" i="47"/>
  <c r="R83" i="47"/>
  <c r="U7" i="58" s="1"/>
  <c r="R12" i="75"/>
  <c r="R4" i="75" s="1"/>
  <c r="Q97" i="47"/>
  <c r="Q99" i="47"/>
  <c r="R14" i="75"/>
  <c r="R6" i="75" s="1"/>
  <c r="R15" i="75"/>
  <c r="R7" i="75" s="1"/>
  <c r="Q100" i="47"/>
  <c r="R16" i="75"/>
  <c r="R8" i="75" s="1"/>
  <c r="Q101" i="47"/>
  <c r="R13" i="75"/>
  <c r="R5" i="75" s="1"/>
  <c r="Q98" i="47"/>
  <c r="P102" i="37"/>
  <c r="S5" i="58"/>
  <c r="Q98" i="37"/>
  <c r="Q101" i="37"/>
  <c r="Q99" i="37"/>
  <c r="Q100" i="37"/>
  <c r="T5" i="58" s="1"/>
  <c r="T9" i="58" s="1"/>
  <c r="R75" i="47"/>
  <c r="Q94" i="37"/>
  <c r="R91" i="37" s="1"/>
  <c r="S14" i="58" l="1"/>
  <c r="S9" i="58"/>
  <c r="U16" i="58"/>
  <c r="U18" i="58" s="1"/>
  <c r="T14" i="58"/>
  <c r="AY15" i="75"/>
  <c r="AY7" i="75" s="1"/>
  <c r="Q108" i="47"/>
  <c r="CF15" i="75" s="1"/>
  <c r="CF7" i="75" s="1"/>
  <c r="Q105" i="47"/>
  <c r="CF12" i="75" s="1"/>
  <c r="CF4" i="75" s="1"/>
  <c r="AY12" i="75"/>
  <c r="AY4" i="75" s="1"/>
  <c r="AY13" i="75"/>
  <c r="AY5" i="75" s="1"/>
  <c r="Q106" i="47"/>
  <c r="CF13" i="75" s="1"/>
  <c r="CF5" i="75" s="1"/>
  <c r="Q109" i="47"/>
  <c r="CF16" i="75" s="1"/>
  <c r="CF8" i="75" s="1"/>
  <c r="AY16" i="75"/>
  <c r="AY8" i="75" s="1"/>
  <c r="AY14" i="75"/>
  <c r="AY6" i="75" s="1"/>
  <c r="Q107" i="47"/>
  <c r="CF14" i="75" s="1"/>
  <c r="CF6" i="75" s="1"/>
  <c r="Q102" i="37"/>
  <c r="S72" i="47"/>
  <c r="R90" i="47"/>
  <c r="R92" i="47"/>
  <c r="R91" i="47"/>
  <c r="R93" i="47"/>
  <c r="R89" i="47"/>
  <c r="R101" i="37"/>
  <c r="R98" i="37"/>
  <c r="R99" i="37"/>
  <c r="R100" i="37"/>
  <c r="U5" i="58" s="1"/>
  <c r="R94" i="37"/>
  <c r="S91" i="37" s="1"/>
  <c r="U14" i="58" l="1"/>
  <c r="U9" i="58"/>
  <c r="S82" i="47"/>
  <c r="S80" i="47"/>
  <c r="S81" i="47"/>
  <c r="S85" i="47"/>
  <c r="S83" i="47"/>
  <c r="V7" i="58" s="1"/>
  <c r="S12" i="75"/>
  <c r="S4" i="75" s="1"/>
  <c r="R97" i="47"/>
  <c r="S16" i="75"/>
  <c r="S8" i="75" s="1"/>
  <c r="R101" i="47"/>
  <c r="S14" i="75"/>
  <c r="S6" i="75" s="1"/>
  <c r="R99" i="47"/>
  <c r="S15" i="75"/>
  <c r="S7" i="75" s="1"/>
  <c r="R100" i="47"/>
  <c r="R98" i="47"/>
  <c r="S13" i="75"/>
  <c r="S5" i="75" s="1"/>
  <c r="R102" i="37"/>
  <c r="S99" i="37"/>
  <c r="S98" i="37"/>
  <c r="S101" i="37"/>
  <c r="S100" i="37"/>
  <c r="V5" i="58" s="1"/>
  <c r="S75" i="47"/>
  <c r="S94" i="37"/>
  <c r="T91" i="37" s="1"/>
  <c r="V14" i="58" l="1"/>
  <c r="V9" i="58"/>
  <c r="V16" i="58"/>
  <c r="V18" i="58" s="1"/>
  <c r="AZ13" i="75"/>
  <c r="AZ5" i="75" s="1"/>
  <c r="R106" i="47"/>
  <c r="CG13" i="75" s="1"/>
  <c r="CG5" i="75" s="1"/>
  <c r="AZ15" i="75"/>
  <c r="AZ7" i="75" s="1"/>
  <c r="R108" i="47"/>
  <c r="CG15" i="75" s="1"/>
  <c r="CG7" i="75" s="1"/>
  <c r="AZ14" i="75"/>
  <c r="AZ6" i="75" s="1"/>
  <c r="R107" i="47"/>
  <c r="CG14" i="75" s="1"/>
  <c r="CG6" i="75" s="1"/>
  <c r="R109" i="47"/>
  <c r="CG16" i="75" s="1"/>
  <c r="CG8" i="75" s="1"/>
  <c r="AZ16" i="75"/>
  <c r="AZ8" i="75" s="1"/>
  <c r="R105" i="47"/>
  <c r="CG12" i="75" s="1"/>
  <c r="CG4" i="75" s="1"/>
  <c r="AZ12" i="75"/>
  <c r="AZ4" i="75" s="1"/>
  <c r="S102" i="37"/>
  <c r="T72" i="47"/>
  <c r="S91" i="47"/>
  <c r="S90" i="47"/>
  <c r="S92" i="47"/>
  <c r="S89" i="47"/>
  <c r="S93" i="47"/>
  <c r="T99" i="37"/>
  <c r="T98" i="37"/>
  <c r="T101" i="37"/>
  <c r="T100" i="37"/>
  <c r="W5" i="58" s="1"/>
  <c r="T94" i="37"/>
  <c r="U91" i="37" s="1"/>
  <c r="W14" i="58" l="1"/>
  <c r="T81" i="47"/>
  <c r="T82" i="47"/>
  <c r="T80" i="47"/>
  <c r="T85" i="47"/>
  <c r="T83" i="47"/>
  <c r="W7" i="58" s="1"/>
  <c r="W9" i="58" s="1"/>
  <c r="S101" i="47"/>
  <c r="T16" i="75"/>
  <c r="T8" i="75" s="1"/>
  <c r="T15" i="75"/>
  <c r="T7" i="75" s="1"/>
  <c r="S100" i="47"/>
  <c r="S98" i="47"/>
  <c r="T13" i="75"/>
  <c r="T5" i="75" s="1"/>
  <c r="T14" i="75"/>
  <c r="T6" i="75" s="1"/>
  <c r="S99" i="47"/>
  <c r="S97" i="47"/>
  <c r="T12" i="75"/>
  <c r="T4" i="75" s="1"/>
  <c r="T102" i="37"/>
  <c r="U99" i="37"/>
  <c r="U98" i="37"/>
  <c r="U101" i="37"/>
  <c r="U100" i="37"/>
  <c r="X5" i="58" s="1"/>
  <c r="T75" i="47"/>
  <c r="U94" i="37"/>
  <c r="V91" i="37" s="1"/>
  <c r="X14" i="58" l="1"/>
  <c r="W16" i="58"/>
  <c r="W18" i="58" s="1"/>
  <c r="S107" i="47"/>
  <c r="CH14" i="75" s="1"/>
  <c r="CH6" i="75" s="1"/>
  <c r="BA14" i="75"/>
  <c r="BA6" i="75" s="1"/>
  <c r="S105" i="47"/>
  <c r="CH12" i="75" s="1"/>
  <c r="CH4" i="75" s="1"/>
  <c r="BA12" i="75"/>
  <c r="BA4" i="75" s="1"/>
  <c r="BA13" i="75"/>
  <c r="BA5" i="75" s="1"/>
  <c r="S106" i="47"/>
  <c r="CH13" i="75" s="1"/>
  <c r="CH5" i="75" s="1"/>
  <c r="BA15" i="75"/>
  <c r="BA7" i="75" s="1"/>
  <c r="S108" i="47"/>
  <c r="CH15" i="75" s="1"/>
  <c r="CH7" i="75" s="1"/>
  <c r="S109" i="47"/>
  <c r="CH16" i="75" s="1"/>
  <c r="CH8" i="75" s="1"/>
  <c r="BA16" i="75"/>
  <c r="BA8" i="75" s="1"/>
  <c r="U102" i="37"/>
  <c r="U72" i="47"/>
  <c r="T90" i="47"/>
  <c r="T91" i="47"/>
  <c r="T92" i="47"/>
  <c r="T93" i="47"/>
  <c r="T89" i="47"/>
  <c r="V99" i="37"/>
  <c r="V101" i="37"/>
  <c r="V98" i="37"/>
  <c r="V100" i="37"/>
  <c r="Y5" i="58" s="1"/>
  <c r="V94" i="37"/>
  <c r="W91" i="37" s="1"/>
  <c r="Y14" i="58" l="1"/>
  <c r="U81" i="47"/>
  <c r="U80" i="47"/>
  <c r="U82" i="47"/>
  <c r="U85" i="47"/>
  <c r="U83" i="47"/>
  <c r="X7" i="58" s="1"/>
  <c r="X9" i="58" s="1"/>
  <c r="U16" i="75"/>
  <c r="U8" i="75" s="1"/>
  <c r="T101" i="47"/>
  <c r="U12" i="75"/>
  <c r="U4" i="75" s="1"/>
  <c r="T97" i="47"/>
  <c r="T100" i="47"/>
  <c r="U15" i="75"/>
  <c r="U7" i="75" s="1"/>
  <c r="U14" i="75"/>
  <c r="U6" i="75" s="1"/>
  <c r="T99" i="47"/>
  <c r="T98" i="47"/>
  <c r="U13" i="75"/>
  <c r="U5" i="75" s="1"/>
  <c r="V102" i="37"/>
  <c r="W99" i="37"/>
  <c r="W101" i="37"/>
  <c r="W98" i="37"/>
  <c r="W100" i="37"/>
  <c r="Z5" i="58" s="1"/>
  <c r="U75" i="47"/>
  <c r="W94" i="37"/>
  <c r="X91" i="37" s="1"/>
  <c r="Z14" i="58" l="1"/>
  <c r="X16" i="58"/>
  <c r="X18" i="58" s="1"/>
  <c r="T105" i="47"/>
  <c r="CI12" i="75" s="1"/>
  <c r="CI4" i="75" s="1"/>
  <c r="BB12" i="75"/>
  <c r="BB4" i="75" s="1"/>
  <c r="BB14" i="75"/>
  <c r="BB6" i="75" s="1"/>
  <c r="T107" i="47"/>
  <c r="CI14" i="75" s="1"/>
  <c r="CI6" i="75" s="1"/>
  <c r="T109" i="47"/>
  <c r="CI16" i="75" s="1"/>
  <c r="CI8" i="75" s="1"/>
  <c r="BB16" i="75"/>
  <c r="BB8" i="75" s="1"/>
  <c r="BB13" i="75"/>
  <c r="BB5" i="75" s="1"/>
  <c r="T106" i="47"/>
  <c r="CI13" i="75" s="1"/>
  <c r="CI5" i="75" s="1"/>
  <c r="BB15" i="75"/>
  <c r="BB7" i="75" s="1"/>
  <c r="T108" i="47"/>
  <c r="CI15" i="75" s="1"/>
  <c r="CI7" i="75" s="1"/>
  <c r="W102" i="37"/>
  <c r="V72" i="47"/>
  <c r="U89" i="47"/>
  <c r="U93" i="47"/>
  <c r="U91" i="47"/>
  <c r="U92" i="47"/>
  <c r="U90" i="47"/>
  <c r="X99" i="37"/>
  <c r="X98" i="37"/>
  <c r="X101" i="37"/>
  <c r="X100" i="37"/>
  <c r="AA5" i="58" s="1"/>
  <c r="X94" i="37"/>
  <c r="Y91" i="37" s="1"/>
  <c r="AA14" i="58" l="1"/>
  <c r="V82" i="47"/>
  <c r="V81" i="47"/>
  <c r="V80" i="47"/>
  <c r="V85" i="47"/>
  <c r="V83" i="47"/>
  <c r="Y7" i="58" s="1"/>
  <c r="Y9" i="58" s="1"/>
  <c r="U98" i="47"/>
  <c r="V13" i="75"/>
  <c r="V5" i="75" s="1"/>
  <c r="V12" i="75"/>
  <c r="V4" i="75" s="1"/>
  <c r="U97" i="47"/>
  <c r="V14" i="75"/>
  <c r="V6" i="75" s="1"/>
  <c r="U99" i="47"/>
  <c r="V16" i="75"/>
  <c r="V8" i="75" s="1"/>
  <c r="U101" i="47"/>
  <c r="V15" i="75"/>
  <c r="V7" i="75" s="1"/>
  <c r="U100" i="47"/>
  <c r="X102" i="37"/>
  <c r="Y98" i="37"/>
  <c r="Y101" i="37"/>
  <c r="Y99" i="37"/>
  <c r="Y100" i="37"/>
  <c r="AB5" i="58" s="1"/>
  <c r="V75" i="47"/>
  <c r="Y94" i="37"/>
  <c r="Z91" i="37" s="1"/>
  <c r="AB14" i="58" l="1"/>
  <c r="Y16" i="58"/>
  <c r="Y18" i="58" s="1"/>
  <c r="U108" i="47"/>
  <c r="CJ15" i="75" s="1"/>
  <c r="CJ7" i="75" s="1"/>
  <c r="BC15" i="75"/>
  <c r="BC7" i="75" s="1"/>
  <c r="BC14" i="75"/>
  <c r="BC6" i="75" s="1"/>
  <c r="U107" i="47"/>
  <c r="CJ14" i="75" s="1"/>
  <c r="CJ6" i="75" s="1"/>
  <c r="BC16" i="75"/>
  <c r="BC8" i="75" s="1"/>
  <c r="U109" i="47"/>
  <c r="CJ16" i="75" s="1"/>
  <c r="CJ8" i="75" s="1"/>
  <c r="BC12" i="75"/>
  <c r="BC4" i="75" s="1"/>
  <c r="U105" i="47"/>
  <c r="CJ12" i="75" s="1"/>
  <c r="CJ4" i="75" s="1"/>
  <c r="BC13" i="75"/>
  <c r="BC5" i="75" s="1"/>
  <c r="U106" i="47"/>
  <c r="CJ13" i="75" s="1"/>
  <c r="CJ5" i="75" s="1"/>
  <c r="Y102" i="37"/>
  <c r="W72" i="47"/>
  <c r="V89" i="47"/>
  <c r="V92" i="47"/>
  <c r="V90" i="47"/>
  <c r="V93" i="47"/>
  <c r="V91" i="47"/>
  <c r="Z98" i="37"/>
  <c r="Z101" i="37"/>
  <c r="Z99" i="37"/>
  <c r="Z100" i="37"/>
  <c r="AC5" i="58" s="1"/>
  <c r="Z94" i="37"/>
  <c r="AA91" i="37" s="1"/>
  <c r="AC14" i="58" l="1"/>
  <c r="W80" i="47"/>
  <c r="W82" i="47"/>
  <c r="W81" i="47"/>
  <c r="W85" i="47"/>
  <c r="W83" i="47"/>
  <c r="Z7" i="58" s="1"/>
  <c r="Z9" i="58" s="1"/>
  <c r="W16" i="75"/>
  <c r="W8" i="75" s="1"/>
  <c r="V101" i="47"/>
  <c r="W14" i="75"/>
  <c r="W6" i="75" s="1"/>
  <c r="V99" i="47"/>
  <c r="W15" i="75"/>
  <c r="W7" i="75" s="1"/>
  <c r="V100" i="47"/>
  <c r="V98" i="47"/>
  <c r="W13" i="75"/>
  <c r="W5" i="75" s="1"/>
  <c r="W12" i="75"/>
  <c r="W4" i="75" s="1"/>
  <c r="V97" i="47"/>
  <c r="Z102" i="37"/>
  <c r="AA98" i="37"/>
  <c r="AA101" i="37"/>
  <c r="AA99" i="37"/>
  <c r="AA100" i="37"/>
  <c r="AD5" i="58" s="1"/>
  <c r="W75" i="47"/>
  <c r="AA94" i="37"/>
  <c r="AB91" i="37" s="1"/>
  <c r="AD14" i="58" l="1"/>
  <c r="Z16" i="58"/>
  <c r="Z18" i="58" s="1"/>
  <c r="BD12" i="75"/>
  <c r="BD4" i="75" s="1"/>
  <c r="V105" i="47"/>
  <c r="CK12" i="75" s="1"/>
  <c r="CK4" i="75" s="1"/>
  <c r="BD13" i="75"/>
  <c r="BD5" i="75" s="1"/>
  <c r="V106" i="47"/>
  <c r="CK13" i="75" s="1"/>
  <c r="CK5" i="75" s="1"/>
  <c r="BD14" i="75"/>
  <c r="BD6" i="75" s="1"/>
  <c r="V107" i="47"/>
  <c r="CK14" i="75" s="1"/>
  <c r="CK6" i="75" s="1"/>
  <c r="V108" i="47"/>
  <c r="CK15" i="75" s="1"/>
  <c r="CK7" i="75" s="1"/>
  <c r="BD15" i="75"/>
  <c r="BD7" i="75" s="1"/>
  <c r="BD16" i="75"/>
  <c r="BD8" i="75" s="1"/>
  <c r="V109" i="47"/>
  <c r="CK16" i="75" s="1"/>
  <c r="CK8" i="75" s="1"/>
  <c r="AA102" i="37"/>
  <c r="X72" i="47"/>
  <c r="W91" i="47"/>
  <c r="W92" i="47"/>
  <c r="W89" i="47"/>
  <c r="W93" i="47"/>
  <c r="W90" i="47"/>
  <c r="AB99" i="37"/>
  <c r="E51" i="37" s="1"/>
  <c r="AB101" i="37"/>
  <c r="G52" i="37" s="1"/>
  <c r="AB98" i="37"/>
  <c r="E50" i="37" s="1"/>
  <c r="AB100" i="37"/>
  <c r="AE5" i="58" s="1"/>
  <c r="AB94" i="37"/>
  <c r="X81" i="47" l="1"/>
  <c r="X82" i="47"/>
  <c r="X80" i="47"/>
  <c r="X85" i="47"/>
  <c r="X83" i="47"/>
  <c r="AA7" i="58" s="1"/>
  <c r="AA9" i="58" s="1"/>
  <c r="AE14" i="58"/>
  <c r="AG5" i="58"/>
  <c r="X13" i="75"/>
  <c r="X5" i="75" s="1"/>
  <c r="W98" i="47"/>
  <c r="W97" i="47"/>
  <c r="X12" i="75"/>
  <c r="X4" i="75" s="1"/>
  <c r="X14" i="75"/>
  <c r="X6" i="75" s="1"/>
  <c r="W99" i="47"/>
  <c r="W101" i="47"/>
  <c r="X16" i="75"/>
  <c r="X8" i="75" s="1"/>
  <c r="X15" i="75"/>
  <c r="X7" i="75" s="1"/>
  <c r="W100" i="47"/>
  <c r="AB102" i="37"/>
  <c r="E52" i="37"/>
  <c r="X75" i="47"/>
  <c r="AA16" i="58" l="1"/>
  <c r="AA18" i="58" s="1"/>
  <c r="W108" i="47"/>
  <c r="CL15" i="75" s="1"/>
  <c r="CL7" i="75" s="1"/>
  <c r="BE15" i="75"/>
  <c r="BE7" i="75" s="1"/>
  <c r="BE16" i="75"/>
  <c r="BE8" i="75" s="1"/>
  <c r="W109" i="47"/>
  <c r="CL16" i="75" s="1"/>
  <c r="CL8" i="75" s="1"/>
  <c r="BE13" i="75"/>
  <c r="BE5" i="75" s="1"/>
  <c r="W106" i="47"/>
  <c r="CL13" i="75" s="1"/>
  <c r="CL5" i="75" s="1"/>
  <c r="BE14" i="75"/>
  <c r="BE6" i="75" s="1"/>
  <c r="W107" i="47"/>
  <c r="CL14" i="75" s="1"/>
  <c r="CL6" i="75" s="1"/>
  <c r="BE12" i="75"/>
  <c r="BE4" i="75" s="1"/>
  <c r="W105" i="47"/>
  <c r="CL12" i="75" s="1"/>
  <c r="CL4" i="75" s="1"/>
  <c r="Y72" i="47"/>
  <c r="X90" i="47"/>
  <c r="X91" i="47"/>
  <c r="X93" i="47"/>
  <c r="X89" i="47"/>
  <c r="X92" i="47"/>
  <c r="Y81" i="47" l="1"/>
  <c r="Y82" i="47"/>
  <c r="Y80" i="47"/>
  <c r="Y85" i="47"/>
  <c r="Y83" i="47"/>
  <c r="AB7" i="58" s="1"/>
  <c r="AB9" i="58" s="1"/>
  <c r="X101" i="47"/>
  <c r="Y16" i="75"/>
  <c r="Y8" i="75" s="1"/>
  <c r="X100" i="47"/>
  <c r="Y15" i="75"/>
  <c r="Y7" i="75" s="1"/>
  <c r="Y13" i="75"/>
  <c r="Y5" i="75" s="1"/>
  <c r="X98" i="47"/>
  <c r="Y12" i="75"/>
  <c r="Y4" i="75" s="1"/>
  <c r="X97" i="47"/>
  <c r="Y14" i="75"/>
  <c r="Y6" i="75" s="1"/>
  <c r="X99" i="47"/>
  <c r="Y75" i="47"/>
  <c r="AB16" i="58" l="1"/>
  <c r="AB18" i="58" s="1"/>
  <c r="BF14" i="75"/>
  <c r="BF6" i="75" s="1"/>
  <c r="X107" i="47"/>
  <c r="CM14" i="75" s="1"/>
  <c r="CM6" i="75" s="1"/>
  <c r="BF12" i="75"/>
  <c r="BF4" i="75" s="1"/>
  <c r="X105" i="47"/>
  <c r="CM12" i="75" s="1"/>
  <c r="CM4" i="75" s="1"/>
  <c r="BF13" i="75"/>
  <c r="BF5" i="75" s="1"/>
  <c r="X106" i="47"/>
  <c r="CM13" i="75" s="1"/>
  <c r="CM5" i="75" s="1"/>
  <c r="X108" i="47"/>
  <c r="CM15" i="75" s="1"/>
  <c r="CM7" i="75" s="1"/>
  <c r="BF15" i="75"/>
  <c r="BF7" i="75" s="1"/>
  <c r="BF16" i="75"/>
  <c r="BF8" i="75" s="1"/>
  <c r="X109" i="47"/>
  <c r="CM16" i="75" s="1"/>
  <c r="CM8" i="75" s="1"/>
  <c r="Z72" i="47"/>
  <c r="Y93" i="47"/>
  <c r="Y90" i="47"/>
  <c r="Y89" i="47"/>
  <c r="Y91" i="47"/>
  <c r="Y92" i="47"/>
  <c r="Z80" i="47" l="1"/>
  <c r="Z81" i="47"/>
  <c r="Z82" i="47"/>
  <c r="Z85" i="47"/>
  <c r="Z83" i="47"/>
  <c r="AC7" i="58" s="1"/>
  <c r="AC9" i="58" s="1"/>
  <c r="Z15" i="75"/>
  <c r="Z7" i="75" s="1"/>
  <c r="Y100" i="47"/>
  <c r="Z16" i="75"/>
  <c r="Z8" i="75" s="1"/>
  <c r="Y101" i="47"/>
  <c r="Y98" i="47"/>
  <c r="Z13" i="75"/>
  <c r="Z5" i="75" s="1"/>
  <c r="Y99" i="47"/>
  <c r="Z14" i="75"/>
  <c r="Z6" i="75" s="1"/>
  <c r="Z12" i="75"/>
  <c r="Z4" i="75" s="1"/>
  <c r="Y97" i="47"/>
  <c r="Z75" i="47"/>
  <c r="AC16" i="58" l="1"/>
  <c r="AC18" i="58" s="1"/>
  <c r="BG12" i="75"/>
  <c r="BG4" i="75" s="1"/>
  <c r="Y105" i="47"/>
  <c r="CN12" i="75" s="1"/>
  <c r="CN4" i="75" s="1"/>
  <c r="BG14" i="75"/>
  <c r="BG6" i="75" s="1"/>
  <c r="Y107" i="47"/>
  <c r="CN14" i="75" s="1"/>
  <c r="CN6" i="75" s="1"/>
  <c r="BG13" i="75"/>
  <c r="BG5" i="75" s="1"/>
  <c r="Y106" i="47"/>
  <c r="CN13" i="75" s="1"/>
  <c r="CN5" i="75" s="1"/>
  <c r="BG16" i="75"/>
  <c r="BG8" i="75" s="1"/>
  <c r="Y109" i="47"/>
  <c r="CN16" i="75" s="1"/>
  <c r="CN8" i="75" s="1"/>
  <c r="Y108" i="47"/>
  <c r="CN15" i="75" s="1"/>
  <c r="CN7" i="75" s="1"/>
  <c r="BG15" i="75"/>
  <c r="BG7" i="75" s="1"/>
  <c r="AA72" i="47"/>
  <c r="Z93" i="47"/>
  <c r="Z89" i="47"/>
  <c r="Z90" i="47"/>
  <c r="Z91" i="47"/>
  <c r="Z92" i="47"/>
  <c r="AA80" i="47" l="1"/>
  <c r="AA81" i="47"/>
  <c r="AA82" i="47"/>
  <c r="AA85" i="47"/>
  <c r="AA83" i="47"/>
  <c r="AD7" i="58" s="1"/>
  <c r="AD9" i="58" s="1"/>
  <c r="AA15" i="75"/>
  <c r="AA7" i="75" s="1"/>
  <c r="Z100" i="47"/>
  <c r="AA14" i="75"/>
  <c r="AA6" i="75" s="1"/>
  <c r="Z99" i="47"/>
  <c r="AA13" i="75"/>
  <c r="AA5" i="75" s="1"/>
  <c r="Z98" i="47"/>
  <c r="Z97" i="47"/>
  <c r="AA12" i="75"/>
  <c r="AA4" i="75" s="1"/>
  <c r="Z101" i="47"/>
  <c r="AA16" i="75"/>
  <c r="AA8" i="75" s="1"/>
  <c r="AA75" i="47"/>
  <c r="AD16" i="58" l="1"/>
  <c r="AD18" i="58" s="1"/>
  <c r="BH16" i="75"/>
  <c r="BH8" i="75" s="1"/>
  <c r="Z109" i="47"/>
  <c r="CO16" i="75" s="1"/>
  <c r="CO8" i="75" s="1"/>
  <c r="BH13" i="75"/>
  <c r="BH5" i="75" s="1"/>
  <c r="Z106" i="47"/>
  <c r="CO13" i="75" s="1"/>
  <c r="CO5" i="75" s="1"/>
  <c r="BH15" i="75"/>
  <c r="BH7" i="75" s="1"/>
  <c r="Z108" i="47"/>
  <c r="CO15" i="75" s="1"/>
  <c r="CO7" i="75" s="1"/>
  <c r="BH12" i="75"/>
  <c r="BH4" i="75" s="1"/>
  <c r="Z105" i="47"/>
  <c r="CO12" i="75" s="1"/>
  <c r="CO4" i="75" s="1"/>
  <c r="Z107" i="47"/>
  <c r="CO14" i="75" s="1"/>
  <c r="CO6" i="75" s="1"/>
  <c r="BH14" i="75"/>
  <c r="BH6" i="75" s="1"/>
  <c r="AB72" i="47"/>
  <c r="AA93" i="47"/>
  <c r="AA91" i="47"/>
  <c r="AA89" i="47"/>
  <c r="AA90" i="47"/>
  <c r="AA92" i="47"/>
  <c r="AB80" i="47" l="1"/>
  <c r="AB81" i="47"/>
  <c r="E36" i="47" s="1"/>
  <c r="AB82" i="47"/>
  <c r="E37" i="47" s="1"/>
  <c r="AB85" i="47"/>
  <c r="G38" i="47" s="1"/>
  <c r="AB83" i="47"/>
  <c r="AA97" i="47"/>
  <c r="AB12" i="75"/>
  <c r="AB4" i="75" s="1"/>
  <c r="AB15" i="75"/>
  <c r="AB7" i="75" s="1"/>
  <c r="AA100" i="47"/>
  <c r="AB13" i="75"/>
  <c r="AB5" i="75" s="1"/>
  <c r="AA98" i="47"/>
  <c r="AA101" i="47"/>
  <c r="AB16" i="75"/>
  <c r="AB8" i="75" s="1"/>
  <c r="AB14" i="75"/>
  <c r="AB6" i="75" s="1"/>
  <c r="AA99" i="47"/>
  <c r="E35" i="47"/>
  <c r="AB75" i="47"/>
  <c r="AA107" i="47" l="1"/>
  <c r="CP14" i="75" s="1"/>
  <c r="CP6" i="75" s="1"/>
  <c r="BI14" i="75"/>
  <c r="BI6" i="75" s="1"/>
  <c r="BI16" i="75"/>
  <c r="BI8" i="75" s="1"/>
  <c r="AA109" i="47"/>
  <c r="CP16" i="75" s="1"/>
  <c r="CP8" i="75" s="1"/>
  <c r="BI15" i="75"/>
  <c r="BI7" i="75" s="1"/>
  <c r="AA108" i="47"/>
  <c r="CP15" i="75" s="1"/>
  <c r="CP7" i="75" s="1"/>
  <c r="BI13" i="75"/>
  <c r="BI5" i="75" s="1"/>
  <c r="AA106" i="47"/>
  <c r="CP13" i="75" s="1"/>
  <c r="CP5" i="75" s="1"/>
  <c r="BI12" i="75"/>
  <c r="BI4" i="75" s="1"/>
  <c r="AA105" i="47"/>
  <c r="CP12" i="75" s="1"/>
  <c r="CP4" i="75" s="1"/>
  <c r="E38" i="47"/>
  <c r="G12" i="1" s="1"/>
  <c r="AE7" i="58"/>
  <c r="AB93" i="47"/>
  <c r="AB89" i="47"/>
  <c r="AB90" i="47"/>
  <c r="AB91" i="47"/>
  <c r="AB92" i="47"/>
  <c r="AG7" i="58" l="1"/>
  <c r="AE9" i="58"/>
  <c r="AE16" i="58"/>
  <c r="AE18" i="58" s="1"/>
  <c r="AC13" i="75"/>
  <c r="AB98" i="47"/>
  <c r="AB100" i="47"/>
  <c r="AC15" i="75"/>
  <c r="AC14" i="75"/>
  <c r="AB99" i="47"/>
  <c r="D43" i="47"/>
  <c r="AC12" i="75"/>
  <c r="AB97" i="47"/>
  <c r="AC16" i="75"/>
  <c r="AB101" i="47"/>
  <c r="D45" i="47"/>
  <c r="E45" i="47" s="1"/>
  <c r="D44" i="47"/>
  <c r="E44" i="47" s="1"/>
  <c r="D46" i="47"/>
  <c r="E46" i="47" s="1"/>
  <c r="D47" i="47"/>
  <c r="E47" i="47" s="1"/>
  <c r="H43" i="47" l="1"/>
  <c r="E43" i="47"/>
  <c r="L43" i="47"/>
  <c r="M43" i="47" s="1"/>
  <c r="I43" i="47"/>
  <c r="AE14" i="75"/>
  <c r="AC6" i="75"/>
  <c r="AE16" i="75"/>
  <c r="AC8" i="75"/>
  <c r="AE12" i="75"/>
  <c r="AC4" i="75"/>
  <c r="AE15" i="75"/>
  <c r="AC7" i="75"/>
  <c r="AE13" i="75"/>
  <c r="AC5" i="75"/>
  <c r="BJ12" i="75"/>
  <c r="AB105" i="47"/>
  <c r="CQ12" i="75" s="1"/>
  <c r="BJ16" i="75"/>
  <c r="AB109" i="47"/>
  <c r="CQ16" i="75" s="1"/>
  <c r="AB107" i="47"/>
  <c r="CQ14" i="75" s="1"/>
  <c r="BJ14" i="75"/>
  <c r="BJ13" i="75"/>
  <c r="AB106" i="47"/>
  <c r="CQ13" i="75" s="1"/>
  <c r="BJ15" i="75"/>
  <c r="AB108" i="47"/>
  <c r="CQ15" i="75" s="1"/>
  <c r="H45" i="47"/>
  <c r="H44" i="47"/>
  <c r="H47" i="47"/>
  <c r="I47" i="47" s="1"/>
  <c r="H46" i="47"/>
  <c r="G14" i="1"/>
  <c r="L45" i="47" l="1"/>
  <c r="M45" i="47" s="1"/>
  <c r="I45" i="47"/>
  <c r="L46" i="47"/>
  <c r="M46" i="47" s="1"/>
  <c r="I46" i="47"/>
  <c r="L44" i="47"/>
  <c r="M44" i="47" s="1"/>
  <c r="I44" i="47"/>
  <c r="L47" i="47"/>
  <c r="M47" i="47" s="1"/>
  <c r="BL13" i="75"/>
  <c r="BJ5" i="75"/>
  <c r="CS14" i="75"/>
  <c r="CQ6" i="75"/>
  <c r="CS15" i="75"/>
  <c r="CQ7" i="75"/>
  <c r="BL14" i="75"/>
  <c r="BJ6" i="75"/>
  <c r="BL16" i="75"/>
  <c r="BJ8" i="75"/>
  <c r="BL12" i="75"/>
  <c r="BJ4" i="75"/>
  <c r="BL15" i="75"/>
  <c r="BJ7" i="75"/>
  <c r="CS13" i="75"/>
  <c r="CQ5" i="75"/>
  <c r="CS16" i="75"/>
  <c r="CQ8" i="75"/>
  <c r="CS12" i="75"/>
  <c r="CQ4" i="75"/>
  <c r="CS4" i="75" s="1"/>
  <c r="CU4" i="75" s="1"/>
  <c r="I12" i="1"/>
  <c r="J12" i="1" l="1"/>
  <c r="H12" i="1"/>
  <c r="AD4" i="75" l="1"/>
  <c r="AD7" i="75"/>
  <c r="AD6" i="75"/>
  <c r="AD8" i="75"/>
  <c r="AD5" i="75"/>
  <c r="AE6" i="75" l="1"/>
  <c r="AG6" i="75" s="1"/>
  <c r="AE5" i="75"/>
  <c r="AG5" i="75" s="1"/>
  <c r="AE7" i="75"/>
  <c r="AG7" i="75" s="1"/>
  <c r="AE8" i="75"/>
  <c r="AG8" i="75" s="1"/>
  <c r="AE4" i="75"/>
  <c r="AG4" i="75" s="1"/>
  <c r="I14" i="1" s="1"/>
  <c r="AF9" i="58" l="1"/>
  <c r="BL5" i="75" l="1"/>
  <c r="BN5" i="75" s="1"/>
  <c r="BK5" i="75"/>
  <c r="BL7" i="75"/>
  <c r="BN7" i="75" s="1"/>
  <c r="BK7" i="75"/>
  <c r="BL4" i="75"/>
  <c r="BN4" i="75" s="1"/>
  <c r="BK4" i="75"/>
  <c r="BK8" i="75"/>
  <c r="BL8" i="75"/>
  <c r="BN8" i="75" s="1"/>
  <c r="CS6" i="75"/>
  <c r="CU6" i="75" s="1"/>
  <c r="CR6" i="75"/>
  <c r="BL6" i="75"/>
  <c r="BN6" i="75" s="1"/>
  <c r="BK6" i="75"/>
  <c r="CS8" i="75"/>
  <c r="CU8" i="75" s="1"/>
  <c r="CR8" i="75"/>
  <c r="CS7" i="75"/>
  <c r="CU7" i="75" s="1"/>
  <c r="CR7" i="75"/>
  <c r="CR5" i="75"/>
  <c r="CS5" i="75"/>
  <c r="CU5" i="75" s="1"/>
  <c r="J14" i="1" l="1"/>
  <c r="H14" i="1"/>
  <c r="AG9" i="5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<sst xmlns="http://schemas.openxmlformats.org/spreadsheetml/2006/main" count="3162" uniqueCount="1001">
  <si>
    <t>Workbook Contents</t>
  </si>
  <si>
    <t>Tab Name</t>
  </si>
  <si>
    <t>Contents</t>
  </si>
  <si>
    <t>Data Dictionary</t>
  </si>
  <si>
    <t>Summary Dashboard</t>
  </si>
  <si>
    <t>Annual Emissions Reductions</t>
  </si>
  <si>
    <t>Incremental and Cumulative Annual Emissions Reductions for All Measures</t>
  </si>
  <si>
    <t>Annual Co-Pollutant Reductions</t>
  </si>
  <si>
    <t>Incremental and Cumulative Co-Pollutant Reductions for All Measures</t>
  </si>
  <si>
    <t>Measure Impacts</t>
  </si>
  <si>
    <t>GHG Reductions, Cost Effectiveness, and Co-benefits for Measure 1</t>
  </si>
  <si>
    <t>GHG Reductions, Cost Effectiveness, and Co-benefits for Measure 2</t>
  </si>
  <si>
    <t>GHG Reductions, Cost Effectiveness, and Co-benefits for Measure 3</t>
  </si>
  <si>
    <t>GHG Reductions, Cost Effectiveness, and Co-benefits for Measure 4</t>
  </si>
  <si>
    <t>Other Analyses</t>
  </si>
  <si>
    <t>Low-Income &amp; Disadvantaged Communities (LIDAC) Analysis</t>
  </si>
  <si>
    <t>Supporting Tables</t>
  </si>
  <si>
    <t>Buildings Inputs</t>
  </si>
  <si>
    <t>Funding Matrix</t>
  </si>
  <si>
    <t>Existing funding opportunities identified for sectors/measures</t>
  </si>
  <si>
    <t>PATHWAYS_Health_EF_Buildings</t>
  </si>
  <si>
    <t>Air quality impacts for buildings measures</t>
  </si>
  <si>
    <t>EPA Emissions Factors Hub</t>
  </si>
  <si>
    <t>Emissions factors and GWPs based on EPA guidance</t>
  </si>
  <si>
    <t>Upstream emissions factors based on NYS Inventory</t>
  </si>
  <si>
    <t>Cell Style Legend</t>
  </si>
  <si>
    <t>Cells in this Scenario Tool are color-coded to indicate intent:</t>
  </si>
  <si>
    <t>Cell Style</t>
  </si>
  <si>
    <t>Purpose/definition</t>
  </si>
  <si>
    <t>Data source</t>
  </si>
  <si>
    <t>Link to data source</t>
  </si>
  <si>
    <t>Additional Inputs</t>
  </si>
  <si>
    <t>Hardcoded input values for calculations</t>
  </si>
  <si>
    <t>Dropdown User Inputs</t>
  </si>
  <si>
    <t>User can select cell to view discrete input options</t>
  </si>
  <si>
    <t>Calculations or Fixed Values</t>
  </si>
  <si>
    <t>Calculations (different formula than neighboring cells)</t>
  </si>
  <si>
    <t>Table Headers</t>
  </si>
  <si>
    <t>Table Sub-Headers</t>
  </si>
  <si>
    <t>Table Index (Row Descriptions)</t>
  </si>
  <si>
    <t>Measure</t>
  </si>
  <si>
    <t>Data Category</t>
  </si>
  <si>
    <t>Data Field Name</t>
  </si>
  <si>
    <t>Description</t>
  </si>
  <si>
    <t>Data Example</t>
  </si>
  <si>
    <t>Source</t>
  </si>
  <si>
    <t>All Measures</t>
  </si>
  <si>
    <t>Federal Fuel Emissions Factors</t>
  </si>
  <si>
    <t>Emissions Factor (MTCO2e/MMBTU)</t>
  </si>
  <si>
    <t>Emissions factors for fuels under federal accounting</t>
  </si>
  <si>
    <t>EPA Emissions Factors Hub (12 September 2023)</t>
  </si>
  <si>
    <t>Upstream Fuel Emissions Factors</t>
  </si>
  <si>
    <t>Emissions Factor (g CH4/MMBTU, g CO2/MMBTU, g N2O/MMBTU)</t>
  </si>
  <si>
    <t>Upstream emissions factors for fuels</t>
  </si>
  <si>
    <t>NYS 2022 Statewide GHG Emissions Report</t>
  </si>
  <si>
    <t>CLCPA Fuel Emissions Factors</t>
  </si>
  <si>
    <t>Emissions factors for fuels under CLCPA accounting</t>
  </si>
  <si>
    <t>Fossil and Biogenic Greenhouse Gas Emissions Factors, NYSERDA (May 2023)</t>
  </si>
  <si>
    <t>Federal Global Warming Potential</t>
  </si>
  <si>
    <t>100-Year GWP</t>
  </si>
  <si>
    <t>Global warming potential of greenhouse gases under federal accounting</t>
  </si>
  <si>
    <t>IPCC Fifth Assessment Report (2013) / EPA Implementation Grant Guidance</t>
  </si>
  <si>
    <t>CLCPA Global Warming Potential</t>
  </si>
  <si>
    <t>20-Year GWP</t>
  </si>
  <si>
    <t>Global warming potential of greenhouse gases under CLCPA accounting</t>
  </si>
  <si>
    <t>Federal Grid Emissions Projection</t>
  </si>
  <si>
    <t>Emissions Factor (MTCO2e/kWh)</t>
  </si>
  <si>
    <t>Integration Analysis / Federal GWP</t>
  </si>
  <si>
    <t>CLCPA Grid Emissions Projection</t>
  </si>
  <si>
    <t>Integration Analysis / CLCPA GWP</t>
  </si>
  <si>
    <t>Existing Funding</t>
  </si>
  <si>
    <t>Funding overlapping with CPRG measures</t>
  </si>
  <si>
    <t xml:space="preserve">Federal and state funding available to measure </t>
  </si>
  <si>
    <t>See Funding Matrix / NY Utility Incentive tabs</t>
  </si>
  <si>
    <t>Measure Cost</t>
  </si>
  <si>
    <t>Measure Size</t>
  </si>
  <si>
    <t>Number of EPCs Portfolios Supported</t>
  </si>
  <si>
    <t>Number of EPC portfolios supported by NYS</t>
  </si>
  <si>
    <t>Agency input</t>
  </si>
  <si>
    <t>Buildings per EPC Portfolio</t>
  </si>
  <si>
    <t>Average number of buildings within an EPC portfolio</t>
  </si>
  <si>
    <t>Lifetime</t>
  </si>
  <si>
    <t>Integration Analysis / DEC data</t>
  </si>
  <si>
    <t>Organics Collection Grants - 1st Round</t>
  </si>
  <si>
    <t>Organics Collection Grants - 2nd Round</t>
  </si>
  <si>
    <t>Investment Amount per Grant - 1st Round</t>
  </si>
  <si>
    <t>Amount of funds awarded per first round grant</t>
  </si>
  <si>
    <t>Investment Amount per Grant - 2nd Round</t>
  </si>
  <si>
    <t>Amount of funds awarded per second round grant</t>
  </si>
  <si>
    <t>Measure Impact</t>
  </si>
  <si>
    <t>Measure Lifetime</t>
  </si>
  <si>
    <t>Years</t>
  </si>
  <si>
    <t>Number of years an organic grant results in diverted organics</t>
  </si>
  <si>
    <t>Composting MTCO2e/Short Ton of Mixed Organics Waste</t>
  </si>
  <si>
    <t>Emissions reductions per short ton of organics composted instead of landfilled</t>
  </si>
  <si>
    <t>EPA WARM</t>
  </si>
  <si>
    <t>Number of Supermarkets Converted</t>
  </si>
  <si>
    <t>Number of supermarkets converted using CPRG funds</t>
  </si>
  <si>
    <t>CPRG Investment Amount per Project</t>
  </si>
  <si>
    <t>Refrigeration Assumptions</t>
  </si>
  <si>
    <t>Global warming potential of refrigerant used in existing supermarkets under federal accounting</t>
  </si>
  <si>
    <t>CARB F-Gas Reduction Incentive Measure User Guide</t>
  </si>
  <si>
    <t>Global warming potential of refrigerant used in converted supermarkets under federal accounting</t>
  </si>
  <si>
    <t>Global warming potential of refrigerant used in existing supermarkets under CLCPA accounting</t>
  </si>
  <si>
    <t>Global warming potential of refrigerant used in converted supermarkets under CLCPA accounting</t>
  </si>
  <si>
    <t>Amount of Refrigerant</t>
  </si>
  <si>
    <t>Refrigerant charge per existing supermarket (kg)</t>
  </si>
  <si>
    <t>Agency Input</t>
  </si>
  <si>
    <t>Annual Leakage Rate</t>
  </si>
  <si>
    <t>Annual leakage rate of existing supermarkets (%)</t>
  </si>
  <si>
    <t xml:space="preserve">Lifetime </t>
  </si>
  <si>
    <t>Cost per Conversion</t>
  </si>
  <si>
    <t>Total System Cost</t>
  </si>
  <si>
    <t>Number of Resiliency Hubs Funded</t>
  </si>
  <si>
    <t>Buildings Co-Pollutant Emissions Factors</t>
  </si>
  <si>
    <t>Emissions Factor (kg/BTU or kg/gallon)</t>
  </si>
  <si>
    <t>Average emissions factor by fuel type for NH3, NOx, PM2.5, SO2, and VOC</t>
  </si>
  <si>
    <t>Energy Impact per Building</t>
  </si>
  <si>
    <t xml:space="preserve">Annual Average Energy Savings - Basic Shell + ASHP </t>
  </si>
  <si>
    <t>MMBtu of natural gas saved per building that has a shell upgrade and ASHP installed</t>
  </si>
  <si>
    <t>Comstock; CBECS</t>
  </si>
  <si>
    <t>Cost per Building</t>
  </si>
  <si>
    <t>Integration Analysis - Annex 1</t>
  </si>
  <si>
    <t>Lifetime of energy efficiency and/or heat pump installations</t>
  </si>
  <si>
    <t>User Selections</t>
  </si>
  <si>
    <t>Grid Emissions Factor</t>
  </si>
  <si>
    <t>CLCPA (Combined) - Fed GWP</t>
  </si>
  <si>
    <t>Upstream Emissions</t>
  </si>
  <si>
    <t>Included</t>
  </si>
  <si>
    <t>Measures</t>
  </si>
  <si>
    <t>Quantified GHG Reduction Measures</t>
  </si>
  <si>
    <t>Benefits Analysis</t>
  </si>
  <si>
    <t>Low-Income and Disadvantaged Communities Benefits</t>
  </si>
  <si>
    <t>Measure Number</t>
  </si>
  <si>
    <t>Measure Name</t>
  </si>
  <si>
    <t>CPRG Key Sector</t>
  </si>
  <si>
    <t>Measure Scope</t>
  </si>
  <si>
    <t>Co-Pollutant Reduction 
(CPRG-related)</t>
  </si>
  <si>
    <t>Co-Pollutant Reduction 
(program total)</t>
  </si>
  <si>
    <t>Co-Pollutant Reduction for LIDAC</t>
  </si>
  <si>
    <t>Transportation</t>
  </si>
  <si>
    <t>Cooling/Heating Centers</t>
  </si>
  <si>
    <t>Buildings</t>
  </si>
  <si>
    <t>Fund electrification, DERs, and envelope upgrades at 10 Resiliency Hubs</t>
  </si>
  <si>
    <t>Advanced EPCs</t>
  </si>
  <si>
    <t>Establish 50 EPC portfolios</t>
  </si>
  <si>
    <t>Natural Refrigerants</t>
  </si>
  <si>
    <t>Fund the transition to climate-friendly refrigerants at State facilities and commercial buildings; 20 facilities per year retrofit (2025-2030)</t>
  </si>
  <si>
    <t>N/A</t>
  </si>
  <si>
    <t>Organics Recycling</t>
  </si>
  <si>
    <t>Support organics diversion from municipal solid waste and expand alternative management practices such as composting or anaerobic digestion; 40 funding grants to organics programs (20 by 2025, another 20 by 2030)</t>
  </si>
  <si>
    <t>Total Program</t>
  </si>
  <si>
    <t>Annual Co-Pollutant Reductions (Statewide)</t>
  </si>
  <si>
    <t>Annual Co-Pollutant Reductions (CRPG)</t>
  </si>
  <si>
    <t>Portfolio-level Reductions</t>
  </si>
  <si>
    <t>Annual Co-Pollutants Reduced</t>
  </si>
  <si>
    <t>Cumulative</t>
  </si>
  <si>
    <t>Co-Pollutant Name</t>
  </si>
  <si>
    <t>Units</t>
  </si>
  <si>
    <t>2025-2030</t>
  </si>
  <si>
    <t>2025-2050</t>
  </si>
  <si>
    <t>NH3</t>
  </si>
  <si>
    <t>MT</t>
  </si>
  <si>
    <t>NOx</t>
  </si>
  <si>
    <t>PM2.5</t>
  </si>
  <si>
    <t>SO2</t>
  </si>
  <si>
    <t>VOC</t>
  </si>
  <si>
    <t>Annual Emissions Reduced (MT CO2e)</t>
  </si>
  <si>
    <t>Measure Description</t>
  </si>
  <si>
    <t>Totals</t>
  </si>
  <si>
    <t>Cumulative Annual Emissions Reduced (MT CO2e)</t>
  </si>
  <si>
    <t>4. Calculate cost effectiveness by dividing budget by emissions abated (2025-2030)</t>
  </si>
  <si>
    <t>A. Measure Design</t>
  </si>
  <si>
    <t>Program Size</t>
  </si>
  <si>
    <t>Total</t>
  </si>
  <si>
    <t>Grant Year</t>
  </si>
  <si>
    <t>% Implemented</t>
  </si>
  <si>
    <t>B. Measure Results</t>
  </si>
  <si>
    <t>EPA Emissions Accounting</t>
  </si>
  <si>
    <t>CLCPA Emissions Accounting</t>
  </si>
  <si>
    <t>Pollutant</t>
  </si>
  <si>
    <t>Near-term (2025-2030)</t>
  </si>
  <si>
    <t>Long Term (2025-2050)</t>
  </si>
  <si>
    <t>CH4</t>
  </si>
  <si>
    <t>N2O</t>
  </si>
  <si>
    <t>CO2</t>
  </si>
  <si>
    <t>CO2e</t>
  </si>
  <si>
    <t>Co-Pollutant Reductions (Statewide - Program total)</t>
  </si>
  <si>
    <t>Total Reductions from Measure</t>
  </si>
  <si>
    <t>Co-Pollutant Reductions (Statewide - 2030 Annual)</t>
  </si>
  <si>
    <t>Category</t>
  </si>
  <si>
    <t>C. Inputs</t>
  </si>
  <si>
    <t>Vehicle Type</t>
  </si>
  <si>
    <t>Fuel Type</t>
  </si>
  <si>
    <t>Diesel</t>
  </si>
  <si>
    <t>Sources:</t>
  </si>
  <si>
    <t>D. Supporting Calculations</t>
  </si>
  <si>
    <t>Annual Emissions Impact</t>
  </si>
  <si>
    <t>Total MT CH4</t>
  </si>
  <si>
    <t>Total MT N2O</t>
  </si>
  <si>
    <t>Total MT CO2</t>
  </si>
  <si>
    <t>Funding</t>
  </si>
  <si>
    <t>Co Pollutants (MT/year) - Statewide</t>
  </si>
  <si>
    <t>Co Pollutants (MT/year) - CRPG</t>
  </si>
  <si>
    <t>NOX</t>
  </si>
  <si>
    <t>Co Pollutants (MT/year) - LIDAC</t>
  </si>
  <si>
    <t>Existing funding (state/federal)</t>
  </si>
  <si>
    <t>% Emissions attributable to CRPG</t>
  </si>
  <si>
    <t>Impact of GHG Reduction Measures - Cooling/Heating Centers</t>
  </si>
  <si>
    <t>Emissions Calculations - CPRG funded cooling/heating centers</t>
  </si>
  <si>
    <t>Measure 3</t>
  </si>
  <si>
    <t>Cooling/Heating Center Emissions Reduction Calculation Methodology</t>
  </si>
  <si>
    <t>1. Set number of centers funded by CPRG</t>
  </si>
  <si>
    <t>2. Calculate the fuel and GHG savings achieved through building shell, and HVAC improvements</t>
  </si>
  <si>
    <t>3. Determine cost effectiveness by dividing total budget of measure by GHG reductions achieved</t>
  </si>
  <si>
    <t>Hub Program Size</t>
  </si>
  <si>
    <t>Number of centers funded</t>
  </si>
  <si>
    <t>% gas</t>
  </si>
  <si>
    <t>% oil</t>
  </si>
  <si>
    <r>
      <rPr>
        <b/>
        <sz val="12"/>
        <color theme="0"/>
        <rFont val="Calibri"/>
        <family val="2"/>
        <scheme val="minor"/>
      </rPr>
      <t>Measure Implementation</t>
    </r>
    <r>
      <rPr>
        <i/>
        <sz val="12"/>
        <color theme="0"/>
        <rFont val="Calibri"/>
        <family val="2"/>
        <scheme val="minor"/>
      </rPr>
      <t xml:space="preserve"> (% projects completed by end of year)</t>
    </r>
  </si>
  <si>
    <t>% Centers Retrofit</t>
  </si>
  <si>
    <t>Cumulative Number of Centers Retrofit</t>
  </si>
  <si>
    <t>GHG Reductions attributed to CPRG</t>
  </si>
  <si>
    <t>Impact Period</t>
  </si>
  <si>
    <t>Co-Pollutant Reductions (Statewide - CRPG)</t>
  </si>
  <si>
    <t>Co-Pollutant Reductions (LIDAC - CPRG)</t>
  </si>
  <si>
    <t>Co-Pollutant Reductions (Statewide - CRPG 2030 Annual)</t>
  </si>
  <si>
    <t>Co-Pollutant Reductions (LIDAC - CPRG 2030 Annual)</t>
  </si>
  <si>
    <t>Building Retrofit Upgrade Data - BEEM</t>
  </si>
  <si>
    <t>Measure Component</t>
  </si>
  <si>
    <t>Building Type/Ownership</t>
  </si>
  <si>
    <t>Baseline Fuel Type</t>
  </si>
  <si>
    <t>Baseline Equipment</t>
  </si>
  <si>
    <t>Average Building Size</t>
  </si>
  <si>
    <t>Lifetime (years)</t>
  </si>
  <si>
    <t>$/sqft</t>
  </si>
  <si>
    <t>Measure natural gas savings (MMBtu/year)</t>
  </si>
  <si>
    <t>Measure oil savings (MMBtu/year)</t>
  </si>
  <si>
    <t>Measure electric savings (kWh/year)</t>
  </si>
  <si>
    <t>Cooling/Heating Center (gas heating)</t>
  </si>
  <si>
    <t>Boiler</t>
  </si>
  <si>
    <t>Cooling/Heating Center (oil heating)</t>
  </si>
  <si>
    <t>Resiliency Hub Implementation</t>
  </si>
  <si>
    <t>Starting Centers</t>
  </si>
  <si>
    <t>Center Renovations</t>
  </si>
  <si>
    <t>Center Retirements</t>
  </si>
  <si>
    <t>Ending Centers</t>
  </si>
  <si>
    <t>MT CH4</t>
  </si>
  <si>
    <t>MT N2O</t>
  </si>
  <si>
    <t>MT CO2</t>
  </si>
  <si>
    <t>Total MT CO2e Abated - CPRG (EPA)</t>
  </si>
  <si>
    <t>Total MT CO2e Abated - CPRG (CLCPA)</t>
  </si>
  <si>
    <t>Impact of GHG Reduction Measures - Advanced EPCs</t>
  </si>
  <si>
    <t>Measure 4</t>
  </si>
  <si>
    <t>Emissions Calculations - CPRG supported government building improvements</t>
  </si>
  <si>
    <t>Resiliency Hub Emissions Reduction Calculation Methodology</t>
  </si>
  <si>
    <t>1. Set number of  EPC portfolios funded by CPRG</t>
  </si>
  <si>
    <t>2. Calculate the fuel and GHG savings achieved through HVAC upgrades, EE, and building shell improvements</t>
  </si>
  <si>
    <t>EPC Program Size</t>
  </si>
  <si>
    <t>Number of EPC portfolios funded</t>
  </si>
  <si>
    <t>Buildings per EPC portfolio</t>
  </si>
  <si>
    <t>% office</t>
  </si>
  <si>
    <t>% Equipment Management Shop</t>
  </si>
  <si>
    <t>% Intervention 1 (gas buildings)</t>
  </si>
  <si>
    <t>% Intervention 2 (oil buildings)</t>
  </si>
  <si>
    <t>EPC intervention 1 (gas buildings)</t>
  </si>
  <si>
    <t>EE</t>
  </si>
  <si>
    <t>EPC intervention 2 (oil buildings)</t>
  </si>
  <si>
    <t>Basic Shell + ASHP</t>
  </si>
  <si>
    <t>Input</t>
  </si>
  <si>
    <t>% EPC Portfolios Implemented</t>
  </si>
  <si>
    <t>Cumulative Number of EPC Portfolios Implemented</t>
  </si>
  <si>
    <t>N20</t>
  </si>
  <si>
    <t>EPC (office gas heating)</t>
  </si>
  <si>
    <t>EPC (office oil heating)</t>
  </si>
  <si>
    <t>EPC (equipment management shop gas heating)</t>
  </si>
  <si>
    <t>Vehicle service or repair</t>
  </si>
  <si>
    <t>Furnace</t>
  </si>
  <si>
    <t>EPC (equipment management shop oil heating)</t>
  </si>
  <si>
    <t>EPC Implementation</t>
  </si>
  <si>
    <t>Starting EPC (office gas heating)</t>
  </si>
  <si>
    <t>Starting EPC (office oil heating)</t>
  </si>
  <si>
    <t xml:space="preserve">Starting EPC (equipment management shop gas heating) </t>
  </si>
  <si>
    <t>Starting EPC (equipment management shop oil heating)</t>
  </si>
  <si>
    <t>EPC (office gas heating) installations</t>
  </si>
  <si>
    <t>EPC (office oil heating) installations</t>
  </si>
  <si>
    <t>EPC (equipment management shop gas heating) installations</t>
  </si>
  <si>
    <t>EPC (equipment management shop oil heating) installations</t>
  </si>
  <si>
    <t>EPC (office gas heating) Retirements</t>
  </si>
  <si>
    <t>EPC (office oil heating) Retirements</t>
  </si>
  <si>
    <t>EPC (equipment management shop gas heating) Retirements</t>
  </si>
  <si>
    <t>EPC (equipment management shop oil heating) Retirements</t>
  </si>
  <si>
    <t>Ending EPC (office gas heating)</t>
  </si>
  <si>
    <t>Ending EPC (office oil heating)</t>
  </si>
  <si>
    <t xml:space="preserve">Ending EPC (equipment management shop gas heating) </t>
  </si>
  <si>
    <t>Ending EPC (equipment management shop oil heating)</t>
  </si>
  <si>
    <t>MT CH4 - EPC (office gas heating)</t>
  </si>
  <si>
    <t xml:space="preserve">MT CH4 - EPC (office oil heating) </t>
  </si>
  <si>
    <t xml:space="preserve">MT CH4 - EPC (equipment management shop gas heating) </t>
  </si>
  <si>
    <t>MT CH4  - EPC (equipment management shop oil heating)</t>
  </si>
  <si>
    <t>MT N2O - EPC (office gas heating)</t>
  </si>
  <si>
    <t xml:space="preserve">MT N2O - EPC (office oil heating) </t>
  </si>
  <si>
    <t xml:space="preserve">MT N2O - EPC (equipment management shop gas heating) </t>
  </si>
  <si>
    <t>MT N2O - EPC (equipment management shop oil heating)</t>
  </si>
  <si>
    <t>MT CO2 - EPC (office gas heating)</t>
  </si>
  <si>
    <t xml:space="preserve">MT CO2 - EPC (office oil heating) </t>
  </si>
  <si>
    <t xml:space="preserve">MT CO2 - EPC (equipment management shop gas heating) </t>
  </si>
  <si>
    <t>MT CO2 - EPC (equipment management shop oil heating)</t>
  </si>
  <si>
    <t>MT CO2e - EPC (office gas heating)</t>
  </si>
  <si>
    <t xml:space="preserve">MT CO2e - EPC (office oil heating) </t>
  </si>
  <si>
    <t xml:space="preserve">MT CO2e - EPC (equipment management shop gas heating) </t>
  </si>
  <si>
    <t>MT CO2e - EPC (equipment management shop oil heating)</t>
  </si>
  <si>
    <t>Impact of GHG Reduction Measures - Natural Refrigerants</t>
  </si>
  <si>
    <t>Emissions Calculations - CPRG funded supermarket conversions</t>
  </si>
  <si>
    <t>Refrigerant Conversions Emissions Reduction Calculation Methodology</t>
  </si>
  <si>
    <t>2. Reference CARB F-gas Reduction Incentive program for prototype supermarket refrigerant transition project</t>
  </si>
  <si>
    <t>4. Associate a portion of emissions reductions to CPRG program based on CPRG versus total project budget</t>
  </si>
  <si>
    <t>5. Calculate cost effectiveness by dividing budget by emissions abated (2025-2030)</t>
  </si>
  <si>
    <t>Full System Replacement</t>
  </si>
  <si>
    <t>Partial System Replacement</t>
  </si>
  <si>
    <t>Cumulative refrigerant conversion projects</t>
  </si>
  <si>
    <t>R-507A</t>
  </si>
  <si>
    <t>R744</t>
  </si>
  <si>
    <t>Prototype Counterfactual Supermarket Refrigerant System</t>
  </si>
  <si>
    <t>Replacement Type</t>
  </si>
  <si>
    <t>Refrigerant Type</t>
  </si>
  <si>
    <t>Starting refrigerant (kg)</t>
  </si>
  <si>
    <t>Ending refrigerant (kg)</t>
  </si>
  <si>
    <t>Annual Leakage Rate, Including Annualized End of Life Leakage (%)</t>
  </si>
  <si>
    <t>Full System</t>
  </si>
  <si>
    <t>Partial System</t>
  </si>
  <si>
    <t>Average System</t>
  </si>
  <si>
    <t>EPA</t>
  </si>
  <si>
    <t>CARB FRIP</t>
  </si>
  <si>
    <t>Annual Emissions Reductions per ultra-low GWP conversion project</t>
  </si>
  <si>
    <t>MT per year</t>
  </si>
  <si>
    <t>Prototype project lifetime</t>
  </si>
  <si>
    <t>Value</t>
  </si>
  <si>
    <t>Full refrigerant conversion at existing supermarket</t>
  </si>
  <si>
    <t>Source:</t>
  </si>
  <si>
    <t>CARB F-gas Reduction Incentive Program User Guide</t>
  </si>
  <si>
    <t>Refrigeration Conversion Schedule</t>
  </si>
  <si>
    <t>Starting Refrigerant Conversions</t>
  </si>
  <si>
    <t>Refrigerant Conversions Completed</t>
  </si>
  <si>
    <t>Refrigerant Conversions Retired</t>
  </si>
  <si>
    <t>Ending Refrigerant Conversions</t>
  </si>
  <si>
    <t>MT R-507A Abated</t>
  </si>
  <si>
    <t>MT R744 Abated</t>
  </si>
  <si>
    <t>Matching funds %</t>
  </si>
  <si>
    <t>Unit</t>
  </si>
  <si>
    <t xml:space="preserve">Impact of GHG Reduction Measures - Organics Recycling </t>
  </si>
  <si>
    <t>Emissions Calculations - Organic Recycling Grants</t>
  </si>
  <si>
    <t>Organics Diversion Emissions Reduction Calculation Methodology</t>
  </si>
  <si>
    <t>2. Multiply emissions impact per ton of waste diverted to calculate GHG reductions</t>
  </si>
  <si>
    <t>Total Program Size (Grants)</t>
  </si>
  <si>
    <t>Participant Contribution per Project</t>
  </si>
  <si>
    <t>Cost sharing (municipal/private)</t>
  </si>
  <si>
    <t>Investment amount per grant - 1st Round</t>
  </si>
  <si>
    <t>Investment amount per grant - 2nd Round</t>
  </si>
  <si>
    <t>% Projects Implemented, 1st Round</t>
  </si>
  <si>
    <t>% Projects Implemented, 2nd Round</t>
  </si>
  <si>
    <t>Cumulative Projects Implemented</t>
  </si>
  <si>
    <t>Emissions Inputs</t>
  </si>
  <si>
    <t>Emissions Factor</t>
  </si>
  <si>
    <t>Landfilling</t>
  </si>
  <si>
    <t>MTCO2e/short ton of mixed organics waste</t>
  </si>
  <si>
    <t>EPA WARM V16</t>
  </si>
  <si>
    <t>MTCH4/short ton of mixed organics waste</t>
  </si>
  <si>
    <t>MTCO2/short ton of mixed organics waste</t>
  </si>
  <si>
    <t>Composting</t>
  </si>
  <si>
    <t>MTCO2/short ton of mixed organics waste (soil sequestration)</t>
  </si>
  <si>
    <t>Total Emissions Impact</t>
  </si>
  <si>
    <t>Landfill Gas Composition</t>
  </si>
  <si>
    <t>GHG Pollutant</t>
  </si>
  <si>
    <t>EPA LMOP</t>
  </si>
  <si>
    <t>Grant Impacts</t>
  </si>
  <si>
    <t>Program Metrics</t>
  </si>
  <si>
    <t>Grant amount</t>
  </si>
  <si>
    <t>$</t>
  </si>
  <si>
    <t>$/ton</t>
  </si>
  <si>
    <t>DEC prior experience</t>
  </si>
  <si>
    <t>Additional Organics Collected</t>
  </si>
  <si>
    <t>short tons</t>
  </si>
  <si>
    <t>Total Additional Organics Collected at Scale</t>
  </si>
  <si>
    <t>Grant Lifetime</t>
  </si>
  <si>
    <t>USDA Conservation Practice Overview (1/2 composting facilities, 1/2 education and collection programs)</t>
  </si>
  <si>
    <t>Organics Diversion Schedule</t>
  </si>
  <si>
    <t>Operating Organics Programs (start of year)</t>
  </si>
  <si>
    <t>Organics Grants Awarded</t>
  </si>
  <si>
    <t>Organics Programs Ended</t>
  </si>
  <si>
    <t>Operating Organics Programs (end of year)</t>
  </si>
  <si>
    <t>MT CH4 Abated</t>
  </si>
  <si>
    <t>MT CO2 Abated</t>
  </si>
  <si>
    <t>Sector</t>
  </si>
  <si>
    <t>Benefits Accruing to Low-Income and Disadvantaged Communities</t>
  </si>
  <si>
    <t>A. LIDAC Benefits Summary</t>
  </si>
  <si>
    <t>Location(s)</t>
  </si>
  <si>
    <t>% of air quality improvements impacting LIDAC Communities</t>
  </si>
  <si>
    <t>% of workforce development impacting LIDAC communities</t>
  </si>
  <si>
    <t>Statewide program</t>
  </si>
  <si>
    <t>Targeted LIDAC program</t>
  </si>
  <si>
    <t>B. Percent of NYS population in LIDAC areas</t>
  </si>
  <si>
    <t>Total LIDAC</t>
  </si>
  <si>
    <t>Total State</t>
  </si>
  <si>
    <t>LIDAC %</t>
  </si>
  <si>
    <t>State</t>
  </si>
  <si>
    <t>NY</t>
  </si>
  <si>
    <t/>
  </si>
  <si>
    <t>Building energy and costing inputs</t>
  </si>
  <si>
    <t>Gas/Oil Building Split</t>
  </si>
  <si>
    <t>Gas</t>
  </si>
  <si>
    <t>Integration Analysis, Annex 1</t>
  </si>
  <si>
    <t>Oil/Propane</t>
  </si>
  <si>
    <t>Ownership type</t>
  </si>
  <si>
    <t>Building type</t>
  </si>
  <si>
    <t>Heating Fuel</t>
  </si>
  <si>
    <t>Device</t>
  </si>
  <si>
    <t>SmallOffice</t>
  </si>
  <si>
    <t>Electricity</t>
  </si>
  <si>
    <t>NaturalGas</t>
  </si>
  <si>
    <t>FuelOil</t>
  </si>
  <si>
    <t>Local</t>
  </si>
  <si>
    <t>PrimarySchool</t>
  </si>
  <si>
    <t>SecondarySchool</t>
  </si>
  <si>
    <t>MediumOffice</t>
  </si>
  <si>
    <t>CBECS - 2018</t>
  </si>
  <si>
    <t>Air Quality Impacts</t>
  </si>
  <si>
    <t>Blended</t>
  </si>
  <si>
    <t>Hub</t>
  </si>
  <si>
    <t>EPC Office</t>
  </si>
  <si>
    <t>EPC Warehouse</t>
  </si>
  <si>
    <t>Fuel</t>
  </si>
  <si>
    <t>Pollutant Code</t>
  </si>
  <si>
    <t>Numerator</t>
  </si>
  <si>
    <t>Denominator</t>
  </si>
  <si>
    <t>Fuel Gas</t>
  </si>
  <si>
    <t>Fuel Oil</t>
  </si>
  <si>
    <t>MMBtu</t>
  </si>
  <si>
    <t>Conversion</t>
  </si>
  <si>
    <t>Distillate Fuel Oil</t>
  </si>
  <si>
    <t>Commercial</t>
  </si>
  <si>
    <t>1000 gal</t>
  </si>
  <si>
    <t>E3GAL</t>
  </si>
  <si>
    <t>1 mil cubic feet</t>
  </si>
  <si>
    <t>E6FT3</t>
  </si>
  <si>
    <t>PM25-PRI</t>
  </si>
  <si>
    <t>Natural Gas</t>
  </si>
  <si>
    <t>Conversion: natural gas</t>
  </si>
  <si>
    <t>Conversion: fuel oil</t>
  </si>
  <si>
    <t>cubic foot of gas</t>
  </si>
  <si>
    <t>BTU</t>
  </si>
  <si>
    <t>gallon of fuel oil</t>
  </si>
  <si>
    <t>EE Incentives</t>
  </si>
  <si>
    <t>Federal max incentive ($/sqft)</t>
  </si>
  <si>
    <t>IRS Energy Efficient Commercial Buildings Deduction</t>
  </si>
  <si>
    <t>Contractor portion</t>
  </si>
  <si>
    <t>Municipal portion</t>
  </si>
  <si>
    <t>Associated Measures</t>
  </si>
  <si>
    <t>Total Amount Available</t>
  </si>
  <si>
    <t>Applicable to Measure?</t>
  </si>
  <si>
    <t>Incorporated into Measure?</t>
  </si>
  <si>
    <t>Funding Unit</t>
  </si>
  <si>
    <t>Funding overlapping with CPRG Measures</t>
  </si>
  <si>
    <t>Treatment in Analysis</t>
  </si>
  <si>
    <t>Link</t>
  </si>
  <si>
    <t>Federal</t>
  </si>
  <si>
    <t>Yes</t>
  </si>
  <si>
    <t>Direct pay can leverage for municipalities. Tax exempt financing haircuts by 15%.</t>
  </si>
  <si>
    <t>No</t>
  </si>
  <si>
    <t>CFWR Composting and Food Waste Reduction Programs</t>
  </si>
  <si>
    <t>per Grant</t>
  </si>
  <si>
    <t>To assist local and municipal governments with projects that develop and test strategies for planning and implementing municipal compost plans and food waste reduction plans. New York has been awarded ~$434K</t>
  </si>
  <si>
    <t xml:space="preserve">Disqualified because funding likely will not be renewed for additional years and project funds awarded to NY must be spent before 2025 (within two years). </t>
  </si>
  <si>
    <t>https://www.usda.gov/topics/urban/coop-agreements</t>
  </si>
  <si>
    <t>AIM - HFC Reclaim and Innovation Destruction Grants</t>
  </si>
  <si>
    <t>Competitive grants for reclaim and innovative destruction technologies</t>
  </si>
  <si>
    <t>Disqualified because funding is focused on pilot programs demonstrating technologies/impacting market dynamics, rather than funding for conversion projects</t>
  </si>
  <si>
    <t>https://www.epa.gov/climate-hfcs-reduction/background-hfcs-and-aim-act#IRA</t>
  </si>
  <si>
    <t>Cooling/Heating Centers; EPCs</t>
  </si>
  <si>
    <t>Commercial EE credit - (179D)</t>
  </si>
  <si>
    <t>Qualified, tax credits can apply to municipal buildings</t>
  </si>
  <si>
    <t>Solar ITC - Base Credit</t>
  </si>
  <si>
    <t>% investment</t>
  </si>
  <si>
    <t>Solar ITC - Domestic Content Bonus</t>
  </si>
  <si>
    <t>Solar ITC - Energy Community Bonus</t>
  </si>
  <si>
    <t>NY-Sun (Non-residential)</t>
  </si>
  <si>
    <t>$/W</t>
  </si>
  <si>
    <t xml:space="preserve">NY-Sun works directly with solar contractors and developers to offset the cost for New York residents to go solar. Incentives are provided directly to the contractor and vary throughout the State. Incentives are granted on a first-come, first-served basis, and applications will be accepted through December 31, 2030, or until funds are fully committed, whichever is earlier. </t>
  </si>
  <si>
    <t>https://www.nyserda.ny.gov/All-Programs/NY-Sun/Contractors/Dashboards-and-incentives/Upstate-Dashboard</t>
  </si>
  <si>
    <t>IIJA - Energy Efficiency Revolving Loan Fund Capitalization Grant Program</t>
  </si>
  <si>
    <t>Formula grant - Directs the Department of Energy, under the State Energy Program, to establish a program to provide capitalization grants to states to establish grant/loan programs to offer energy audits and retrofits. State governments will receive funds and then create revolving loan programs, providing access to a variety of potential end users. Forty percent of all funds will be distributed to states per State Energy Program formulas; remaining 60 percent to be distributed as supplemental grants to top-emitting and energy-consuming states. Supplemental grants to priority states may not exceed $15 million. Up to 25 percent of funds granted to a state may be used for grants to small businesses and qualifying low-income homeowners.</t>
  </si>
  <si>
    <t>https://www.energy.gov/scep/energy-efficiency-revolving-loan-fund-capitalization-grant-program</t>
  </si>
  <si>
    <t>NY Climate Friendly Homes Fund</t>
  </si>
  <si>
    <t>per MF Unit</t>
  </si>
  <si>
    <t>Community Preservation Corporation administering programs to electrify and perform EE at 10,000 MF units over 5 years. Must be in buildings with between 5 and 50 residential units; and have a current regulatory agreement with a state or city housing agency to provide affordable housing OR be located in LIDAC community</t>
  </si>
  <si>
    <t>Disqualified because this grant funding is available for residential buildings rather than government/commercial</t>
  </si>
  <si>
    <t>HUD - The Green and Resilient Retrofit Program</t>
  </si>
  <si>
    <t>To provide funding to properties with a high need for investment in utility efficiency and climate resilience.</t>
  </si>
  <si>
    <t>Disqualified because it funds HUD-assisted multifamily properties</t>
  </si>
  <si>
    <t xml:space="preserve">https://www.hud.gov/GRRP#GRRP_Grants_Loans </t>
  </si>
  <si>
    <t>Commercial and Industrial Accelerated Efficiency Program</t>
  </si>
  <si>
    <t>Per project</t>
  </si>
  <si>
    <t>Program awards will range from $500,000 to $5 million for projects that can be completed and operational by the end of 2025. Eligible measures include energy efficiency and process improvements, heat pumps, electrification of thermal loads, and energy management systems and controls.</t>
  </si>
  <si>
    <t>Disqualified because of focus on large energy users and requirement that projects be completed by the end of 2025.</t>
  </si>
  <si>
    <t>https://www.utilitydive.com/news/new-york-incentives-electrification-efficiency-commercial-industrial/652980/</t>
  </si>
  <si>
    <t>Energy</t>
  </si>
  <si>
    <t>Greenhouse Gas Reduction Fund - Solar for All</t>
  </si>
  <si>
    <t>To provide up to 60 grants to States, Tribal governments, municipalities, and nonprofits to expand the number of low-income and disadvantaged communities that are primed for residential and community solar investment—enabling millions of families to access affordable, resilient, and clean solar energy.</t>
  </si>
  <si>
    <t>Disqualified because funding is for statewide low-income solar programs</t>
  </si>
  <si>
    <t>https://www.epa.gov/greenhouse-gas-reduction-fund/solar-all</t>
  </si>
  <si>
    <t>Gasoline</t>
  </si>
  <si>
    <t>Emissions Factor (KG)</t>
  </si>
  <si>
    <t>Coal</t>
  </si>
  <si>
    <t>Ammonia</t>
  </si>
  <si>
    <t>LB</t>
  </si>
  <si>
    <t>TON</t>
  </si>
  <si>
    <t>KG</t>
  </si>
  <si>
    <t>Industrial</t>
  </si>
  <si>
    <t>Residual Oil</t>
  </si>
  <si>
    <t>Wood</t>
  </si>
  <si>
    <t>E6BTU</t>
  </si>
  <si>
    <t>Residential</t>
  </si>
  <si>
    <t>LPG</t>
  </si>
  <si>
    <t>E3BBL</t>
  </si>
  <si>
    <t>Nitrogen Oxides</t>
  </si>
  <si>
    <t>PM2.5 Primary</t>
  </si>
  <si>
    <t>Sulfur Dioxide</t>
  </si>
  <si>
    <t>Volatile Organic Compounds</t>
  </si>
  <si>
    <t>EF Options</t>
  </si>
  <si>
    <t>Scenario</t>
  </si>
  <si>
    <t>User selected</t>
  </si>
  <si>
    <t>MT CO2e/kWh</t>
  </si>
  <si>
    <t>CLCPA (reference) - Fed GWP</t>
  </si>
  <si>
    <t>CLCPA (LCF) - Fed GWP</t>
  </si>
  <si>
    <t>CLCPA (AAPA) - Fed GWP</t>
  </si>
  <si>
    <t>NYSERDA (Long run marginal) - Fed GWP</t>
  </si>
  <si>
    <t>EPA (EFH Flat Forecast) - Fed GWP</t>
  </si>
  <si>
    <t>Data Sources</t>
  </si>
  <si>
    <t>NYSERDA TCO Missing Money Calculator</t>
  </si>
  <si>
    <t>reference</t>
  </si>
  <si>
    <t>kg CH4/kWh</t>
  </si>
  <si>
    <t>lcf</t>
  </si>
  <si>
    <t>aapa</t>
  </si>
  <si>
    <t>combined</t>
  </si>
  <si>
    <t>kg CO2/kWh</t>
  </si>
  <si>
    <t>kg N2O/kWh</t>
  </si>
  <si>
    <t>EPA - Flat</t>
  </si>
  <si>
    <t>EPA - Declining</t>
  </si>
  <si>
    <t>From: Projected Emissions Factors for NY State Grid Electricity (Aug 2022)</t>
  </si>
  <si>
    <t>NYSERDA</t>
  </si>
  <si>
    <t>Long-run marginal - fuel cycle</t>
  </si>
  <si>
    <t>MT/MWh</t>
  </si>
  <si>
    <t>EPA Emission Factors for Greenhouse Gas Inventories</t>
  </si>
  <si>
    <t>Final Emissions Factors (with Upstream Adjustment)</t>
  </si>
  <si>
    <t>Last Modified: 12 September 2023</t>
  </si>
  <si>
    <t>Blue text indicates an update from the 2022 version of this document.</t>
  </si>
  <si>
    <t>Upstream emissions:</t>
  </si>
  <si>
    <r>
      <t>CH</t>
    </r>
    <r>
      <rPr>
        <vertAlign val="subscript"/>
        <sz val="10"/>
        <rFont val="Arial"/>
        <family val="2"/>
      </rPr>
      <t>4</t>
    </r>
  </si>
  <si>
    <r>
      <t>N</t>
    </r>
    <r>
      <rPr>
        <vertAlign val="subscript"/>
        <sz val="10"/>
        <rFont val="Arial"/>
        <family val="2"/>
      </rPr>
      <t>2</t>
    </r>
    <r>
      <rPr>
        <sz val="10"/>
        <rFont val="Arial"/>
        <family val="2"/>
      </rPr>
      <t>O</t>
    </r>
  </si>
  <si>
    <r>
      <rPr>
        <b/>
        <sz val="9"/>
        <rFont val="Arial"/>
        <family val="2"/>
      </rPr>
      <t xml:space="preserve">Source: </t>
    </r>
    <r>
      <rPr>
        <sz val="9"/>
        <rFont val="Arial"/>
        <family val="2"/>
      </rPr>
      <t>Intergovernmental Panel on Climate Change (IPCC), Fifth
Report (AR5), 2013. Page 731</t>
    </r>
  </si>
  <si>
    <t>Table 1</t>
  </si>
  <si>
    <t xml:space="preserve">   Stationary Combustion</t>
  </si>
  <si>
    <t>Heat Content (HHV)</t>
  </si>
  <si>
    <t>CO2 Factor</t>
  </si>
  <si>
    <t>CH4 Factor</t>
  </si>
  <si>
    <t>N2O Factor</t>
  </si>
  <si>
    <r>
      <t>CO</t>
    </r>
    <r>
      <rPr>
        <b/>
        <vertAlign val="subscript"/>
        <sz val="10"/>
        <rFont val="Arial"/>
        <family val="2"/>
      </rPr>
      <t>2</t>
    </r>
    <r>
      <rPr>
        <b/>
        <sz val="10"/>
        <rFont val="Arial"/>
        <family val="2"/>
      </rPr>
      <t xml:space="preserve"> Factor</t>
    </r>
  </si>
  <si>
    <r>
      <t>CH</t>
    </r>
    <r>
      <rPr>
        <b/>
        <vertAlign val="subscript"/>
        <sz val="10"/>
        <rFont val="Arial"/>
        <family val="2"/>
      </rPr>
      <t>4</t>
    </r>
    <r>
      <rPr>
        <b/>
        <sz val="10"/>
        <rFont val="Arial"/>
        <family val="2"/>
      </rPr>
      <t xml:space="preserve"> Factor</t>
    </r>
  </si>
  <si>
    <r>
      <t>N</t>
    </r>
    <r>
      <rPr>
        <b/>
        <vertAlign val="subscript"/>
        <sz val="10"/>
        <rFont val="Arial"/>
        <family val="2"/>
      </rPr>
      <t>2</t>
    </r>
    <r>
      <rPr>
        <b/>
        <sz val="10"/>
        <rFont val="Arial"/>
        <family val="2"/>
      </rPr>
      <t>O Factor</t>
    </r>
  </si>
  <si>
    <t>MT CO2e/MMBTU</t>
  </si>
  <si>
    <t>MTCO2e/Short Ton</t>
  </si>
  <si>
    <t>mmBtu per short ton</t>
  </si>
  <si>
    <t>kg CO2 per mmBtu</t>
  </si>
  <si>
    <t>g CH4 per mmBtu</t>
  </si>
  <si>
    <t>g N2O per mmBtu</t>
  </si>
  <si>
    <t>kg CO2 per short ton</t>
  </si>
  <si>
    <t>g CH4 per short ton</t>
  </si>
  <si>
    <t>g N2O per short ton</t>
  </si>
  <si>
    <r>
      <t>kg CO</t>
    </r>
    <r>
      <rPr>
        <b/>
        <vertAlign val="subscript"/>
        <sz val="9"/>
        <rFont val="Arial"/>
        <family val="2"/>
      </rPr>
      <t>2</t>
    </r>
    <r>
      <rPr>
        <b/>
        <sz val="9"/>
        <rFont val="Arial"/>
        <family val="2"/>
      </rPr>
      <t xml:space="preserve"> per mmBtu</t>
    </r>
  </si>
  <si>
    <r>
      <t>g CH</t>
    </r>
    <r>
      <rPr>
        <b/>
        <vertAlign val="subscript"/>
        <sz val="9"/>
        <rFont val="Arial"/>
        <family val="2"/>
      </rPr>
      <t>4</t>
    </r>
    <r>
      <rPr>
        <b/>
        <sz val="9"/>
        <rFont val="Arial"/>
        <family val="2"/>
      </rPr>
      <t xml:space="preserve"> per mmBtu</t>
    </r>
  </si>
  <si>
    <r>
      <t>g N</t>
    </r>
    <r>
      <rPr>
        <b/>
        <vertAlign val="subscript"/>
        <sz val="9"/>
        <rFont val="Arial"/>
        <family val="2"/>
      </rPr>
      <t>2</t>
    </r>
    <r>
      <rPr>
        <b/>
        <sz val="9"/>
        <rFont val="Arial"/>
        <family val="2"/>
      </rPr>
      <t>O per mmBtu</t>
    </r>
  </si>
  <si>
    <r>
      <t>kg CO</t>
    </r>
    <r>
      <rPr>
        <b/>
        <vertAlign val="subscript"/>
        <sz val="9"/>
        <rFont val="Arial"/>
        <family val="2"/>
      </rPr>
      <t>2</t>
    </r>
    <r>
      <rPr>
        <b/>
        <sz val="9"/>
        <rFont val="Arial"/>
        <family val="2"/>
      </rPr>
      <t xml:space="preserve"> per short ton</t>
    </r>
  </si>
  <si>
    <r>
      <t>g CH</t>
    </r>
    <r>
      <rPr>
        <b/>
        <vertAlign val="subscript"/>
        <sz val="9"/>
        <rFont val="Arial"/>
        <family val="2"/>
      </rPr>
      <t>4</t>
    </r>
    <r>
      <rPr>
        <b/>
        <sz val="9"/>
        <rFont val="Arial"/>
        <family val="2"/>
      </rPr>
      <t xml:space="preserve"> per short ton</t>
    </r>
  </si>
  <si>
    <r>
      <t>g N</t>
    </r>
    <r>
      <rPr>
        <b/>
        <vertAlign val="subscript"/>
        <sz val="9"/>
        <rFont val="Arial"/>
        <family val="2"/>
      </rPr>
      <t>2</t>
    </r>
    <r>
      <rPr>
        <b/>
        <sz val="9"/>
        <rFont val="Arial"/>
        <family val="2"/>
      </rPr>
      <t>O per short ton</t>
    </r>
  </si>
  <si>
    <t>Coal and Coke</t>
  </si>
  <si>
    <t>Anthracite Coal</t>
  </si>
  <si>
    <t>Bituminous Coal</t>
  </si>
  <si>
    <t>Sub-bituminous Coal</t>
  </si>
  <si>
    <t>Lignite Coal</t>
  </si>
  <si>
    <t>Mixed (Commercial Sector)</t>
  </si>
  <si>
    <t>Mixed (Electric Power Sector)</t>
  </si>
  <si>
    <t>Mixed (Industrial Coking)</t>
  </si>
  <si>
    <t>Mixed (Industrial Sector)</t>
  </si>
  <si>
    <t>Coal Coke</t>
  </si>
  <si>
    <t>Other Fuels - Solid</t>
  </si>
  <si>
    <t>Municipal Solid Waste</t>
  </si>
  <si>
    <t>Petroleum Coke (Solid)</t>
  </si>
  <si>
    <t>Plastics</t>
  </si>
  <si>
    <t>Tires</t>
  </si>
  <si>
    <t>Biomass Fuels - Solid</t>
  </si>
  <si>
    <t>Agricultural Byproducts</t>
  </si>
  <si>
    <t>Peat</t>
  </si>
  <si>
    <t>Solid Byproducts</t>
  </si>
  <si>
    <t>Wood and Wood Residuals</t>
  </si>
  <si>
    <t>mmBtu per scf</t>
  </si>
  <si>
    <t>kg CO2 per scf</t>
  </si>
  <si>
    <t>g CH4 per scf</t>
  </si>
  <si>
    <t>g N2O per scf</t>
  </si>
  <si>
    <r>
      <t>kg CO</t>
    </r>
    <r>
      <rPr>
        <b/>
        <vertAlign val="subscript"/>
        <sz val="9"/>
        <rFont val="Arial"/>
        <family val="2"/>
      </rPr>
      <t>2</t>
    </r>
    <r>
      <rPr>
        <b/>
        <sz val="9"/>
        <rFont val="Arial"/>
        <family val="2"/>
      </rPr>
      <t xml:space="preserve"> per scf</t>
    </r>
  </si>
  <si>
    <r>
      <t>g CH</t>
    </r>
    <r>
      <rPr>
        <b/>
        <vertAlign val="subscript"/>
        <sz val="9"/>
        <rFont val="Arial"/>
        <family val="2"/>
      </rPr>
      <t>4</t>
    </r>
    <r>
      <rPr>
        <b/>
        <sz val="9"/>
        <rFont val="Arial"/>
        <family val="2"/>
      </rPr>
      <t xml:space="preserve"> per scf</t>
    </r>
  </si>
  <si>
    <r>
      <t>g N</t>
    </r>
    <r>
      <rPr>
        <b/>
        <vertAlign val="subscript"/>
        <sz val="9"/>
        <rFont val="Arial"/>
        <family val="2"/>
      </rPr>
      <t>2</t>
    </r>
    <r>
      <rPr>
        <b/>
        <sz val="9"/>
        <rFont val="Arial"/>
        <family val="2"/>
      </rPr>
      <t>O per scf</t>
    </r>
  </si>
  <si>
    <t>MTCO2e/SCF</t>
  </si>
  <si>
    <t>Other Fuels - Gaseous</t>
  </si>
  <si>
    <t>Blast Furnace Gas</t>
  </si>
  <si>
    <t>Coke Oven Gas</t>
  </si>
  <si>
    <t>Propane Gas</t>
  </si>
  <si>
    <t>Biomass Fuels - Gaseous</t>
  </si>
  <si>
    <t>Landfill Gas</t>
  </si>
  <si>
    <t>Other Biomass Gases</t>
  </si>
  <si>
    <t>mmBtu per gallon</t>
  </si>
  <si>
    <t>kg CO2 per gallon</t>
  </si>
  <si>
    <t>g CH4 per gallon</t>
  </si>
  <si>
    <t>g N2O per gallon</t>
  </si>
  <si>
    <r>
      <t>kg CO</t>
    </r>
    <r>
      <rPr>
        <b/>
        <vertAlign val="subscript"/>
        <sz val="9"/>
        <rFont val="Arial"/>
        <family val="2"/>
      </rPr>
      <t>2</t>
    </r>
    <r>
      <rPr>
        <b/>
        <sz val="9"/>
        <rFont val="Arial"/>
        <family val="2"/>
      </rPr>
      <t xml:space="preserve"> per gallon</t>
    </r>
  </si>
  <si>
    <r>
      <t>g CH</t>
    </r>
    <r>
      <rPr>
        <b/>
        <vertAlign val="subscript"/>
        <sz val="9"/>
        <rFont val="Arial"/>
        <family val="2"/>
      </rPr>
      <t>4</t>
    </r>
    <r>
      <rPr>
        <b/>
        <sz val="9"/>
        <rFont val="Arial"/>
        <family val="2"/>
      </rPr>
      <t xml:space="preserve"> per gallon</t>
    </r>
  </si>
  <si>
    <r>
      <t>g N</t>
    </r>
    <r>
      <rPr>
        <b/>
        <vertAlign val="subscript"/>
        <sz val="9"/>
        <rFont val="Arial"/>
        <family val="2"/>
      </rPr>
      <t>2</t>
    </r>
    <r>
      <rPr>
        <b/>
        <sz val="9"/>
        <rFont val="Arial"/>
        <family val="2"/>
      </rPr>
      <t>O per gallon</t>
    </r>
  </si>
  <si>
    <t>MTCO2e/Gallon</t>
  </si>
  <si>
    <t>Petroleum Products</t>
  </si>
  <si>
    <t>Asphalt and Road Oil</t>
  </si>
  <si>
    <t>Aviation Gasoline</t>
  </si>
  <si>
    <t>Butane</t>
  </si>
  <si>
    <t>Butylene</t>
  </si>
  <si>
    <t>Crude Oil</t>
  </si>
  <si>
    <t>Distillate Fuel Oil No. 1</t>
  </si>
  <si>
    <t>Distillate Fuel Oil No. 2</t>
  </si>
  <si>
    <t>Distillate Fuel Oil No. 4</t>
  </si>
  <si>
    <t>Ethane</t>
  </si>
  <si>
    <t>Ethylene</t>
  </si>
  <si>
    <t>Heavy Gas Oils</t>
  </si>
  <si>
    <t>Isobutane</t>
  </si>
  <si>
    <t>Isobutylene</t>
  </si>
  <si>
    <t>Kerosene</t>
  </si>
  <si>
    <t>Kerosene-Type Jet Fuel</t>
  </si>
  <si>
    <t>Liquefied Petroleum Gases (LPG)</t>
  </si>
  <si>
    <t>Lubricants</t>
  </si>
  <si>
    <t>Motor Gasoline</t>
  </si>
  <si>
    <t>Naphtha (&lt;401 deg F)</t>
  </si>
  <si>
    <t>Natural Gasoline</t>
  </si>
  <si>
    <t>Other Oil (&gt;401 deg F)</t>
  </si>
  <si>
    <t>Pentanes Plus</t>
  </si>
  <si>
    <t>Petrochemical Feedstocks</t>
  </si>
  <si>
    <t>Propane</t>
  </si>
  <si>
    <t>Propylene</t>
  </si>
  <si>
    <t>Residual Fuel Oil No. 5</t>
  </si>
  <si>
    <t>Residual Fuel Oil No. 6</t>
  </si>
  <si>
    <t>Special Naphtha</t>
  </si>
  <si>
    <t>Unfinished Oils</t>
  </si>
  <si>
    <t>Used Oil</t>
  </si>
  <si>
    <t>Biomass Fuels - Liquid</t>
  </si>
  <si>
    <t>Biodiesel (100%)</t>
  </si>
  <si>
    <t>Ethanol (100%)</t>
  </si>
  <si>
    <t>Rendered Animal Fat</t>
  </si>
  <si>
    <t>Vegetable Oil</t>
  </si>
  <si>
    <t>Biomass Fuels - 
Kraft Pulping Liquor, by Wood Furnish</t>
  </si>
  <si>
    <t>North American Softwood</t>
  </si>
  <si>
    <t>North American Hardwood</t>
  </si>
  <si>
    <t>Bagasse</t>
  </si>
  <si>
    <t>Bamboo</t>
  </si>
  <si>
    <t>Straw</t>
  </si>
  <si>
    <t xml:space="preserve">Federal Register EPA; 40 CFR Part 98; e-CFR, (see link below). Table C-1 and Table C-2 (78 FR 71950, Nov. 29, 2013, as amended at 81 FR 89252, Dec. 9, 2016), Table AA-1 (78 FR 71965, Nov. 29, 2013).  </t>
  </si>
  <si>
    <t>https://www.ecfr.gov/current/title-40/chapter-I/subchapter-C/part-98</t>
  </si>
  <si>
    <t xml:space="preserve">Notes: </t>
  </si>
  <si>
    <r>
      <rPr>
        <b/>
        <sz val="9"/>
        <rFont val="Arial"/>
        <family val="2"/>
      </rPr>
      <t>Notes:</t>
    </r>
    <r>
      <rPr>
        <sz val="9"/>
        <rFont val="Arial"/>
        <family val="2"/>
      </rPr>
      <t xml:space="preserve"> </t>
    </r>
  </si>
  <si>
    <t>Emission factors are per unit of heat content using higher heating values (HHV). If heat content is available from the fuel supplier, it is preferable to use that value. If not, default heat contents are provided.</t>
  </si>
  <si>
    <t>The factors represented in the table above represent combustion emissions only (tank-to-wheel) and do not represent upstream emissions or well-to-wheel emissions.</t>
  </si>
  <si>
    <t>Table 2</t>
  </si>
  <si>
    <t xml:space="preserve">   Mobile Combustion CO2</t>
  </si>
  <si>
    <r>
      <t xml:space="preserve">   Mobile Combustion CO</t>
    </r>
    <r>
      <rPr>
        <b/>
        <vertAlign val="subscript"/>
        <sz val="12"/>
        <rFont val="Arial"/>
        <family val="2"/>
      </rPr>
      <t>2</t>
    </r>
  </si>
  <si>
    <t>kg CO2 per unit</t>
  </si>
  <si>
    <r>
      <t>kg CO</t>
    </r>
    <r>
      <rPr>
        <b/>
        <vertAlign val="subscript"/>
        <sz val="10"/>
        <rFont val="Arial"/>
        <family val="2"/>
      </rPr>
      <t>2</t>
    </r>
    <r>
      <rPr>
        <b/>
        <sz val="10"/>
        <rFont val="Arial"/>
        <family val="2"/>
      </rPr>
      <t xml:space="preserve"> per unit</t>
    </r>
  </si>
  <si>
    <t>gallon</t>
  </si>
  <si>
    <t>Compressed Natural Gas (CNG)</t>
  </si>
  <si>
    <t>scf</t>
  </si>
  <si>
    <t>Diesel Fuel</t>
  </si>
  <si>
    <t>Liquefied Natural Gas (LNG)</t>
  </si>
  <si>
    <t>Residual Fuel Oil</t>
  </si>
  <si>
    <t>Federal Register EPA; 40 CFR Part 98; e-CFR, (see link below). Table C-1 (78 FR 71950, Nov. 29, 2013, as amended at 81 FR 89252, Dec. 9, 2016)</t>
  </si>
  <si>
    <t>LNG:  The factor was developed based on the CO2 factor for Natural Gas factor and LNG fuel density from GREET1_2022.xlsx Model, Argonne National Laboratory (Fuel_Specs worksheet).</t>
  </si>
  <si>
    <r>
      <t>LNG:  The factor was developed based on the CO</t>
    </r>
    <r>
      <rPr>
        <vertAlign val="subscript"/>
        <sz val="9"/>
        <rFont val="Arial"/>
        <family val="2"/>
      </rPr>
      <t>2</t>
    </r>
    <r>
      <rPr>
        <sz val="9"/>
        <rFont val="Arial"/>
        <family val="2"/>
      </rPr>
      <t xml:space="preserve"> factor for Natural Gas factor and LNG fuel density from GREET1_2022.xlsx Model, Argonne National Laboratory (Fuel_Specs worksheet).</t>
    </r>
  </si>
  <si>
    <t>Table 3</t>
  </si>
  <si>
    <t xml:space="preserve">   Mobile Combustion CH4 and N2O for On-Road Gasoline Vehicles</t>
  </si>
  <si>
    <r>
      <t xml:space="preserve">   Mobile Combustion CH</t>
    </r>
    <r>
      <rPr>
        <b/>
        <vertAlign val="subscript"/>
        <sz val="12"/>
        <rFont val="Arial"/>
        <family val="2"/>
      </rPr>
      <t>4</t>
    </r>
    <r>
      <rPr>
        <b/>
        <sz val="12"/>
        <rFont val="Arial"/>
        <family val="2"/>
      </rPr>
      <t xml:space="preserve"> and N</t>
    </r>
    <r>
      <rPr>
        <b/>
        <vertAlign val="subscript"/>
        <sz val="12"/>
        <rFont val="Arial"/>
        <family val="2"/>
      </rPr>
      <t>2</t>
    </r>
    <r>
      <rPr>
        <b/>
        <sz val="12"/>
        <rFont val="Arial"/>
        <family val="2"/>
      </rPr>
      <t>O for On-Road Gasoline Vehicles</t>
    </r>
  </si>
  <si>
    <t>Year</t>
  </si>
  <si>
    <t>CH4 Factor 
(g / mile)</t>
  </si>
  <si>
    <t>N2O Factor 
(g / mile)</t>
  </si>
  <si>
    <r>
      <t>CH</t>
    </r>
    <r>
      <rPr>
        <b/>
        <vertAlign val="subscript"/>
        <sz val="10"/>
        <rFont val="Arial"/>
        <family val="2"/>
      </rPr>
      <t>4</t>
    </r>
    <r>
      <rPr>
        <b/>
        <sz val="10"/>
        <rFont val="Arial"/>
        <family val="2"/>
      </rPr>
      <t xml:space="preserve"> Factor 
(g / mile)</t>
    </r>
  </si>
  <si>
    <r>
      <t>N</t>
    </r>
    <r>
      <rPr>
        <b/>
        <vertAlign val="subscript"/>
        <sz val="10"/>
        <rFont val="Arial"/>
        <family val="2"/>
      </rPr>
      <t>2</t>
    </r>
    <r>
      <rPr>
        <b/>
        <sz val="10"/>
        <rFont val="Arial"/>
        <family val="2"/>
      </rPr>
      <t>O Factor 
(g / mile)</t>
    </r>
  </si>
  <si>
    <t>Gasoline Passenger Cars</t>
  </si>
  <si>
    <t xml:space="preserve"> 1973-1974  </t>
  </si>
  <si>
    <t xml:space="preserve"> 1975 </t>
  </si>
  <si>
    <t xml:space="preserve"> 1976-1977 </t>
  </si>
  <si>
    <t xml:space="preserve"> 1978-1979 </t>
  </si>
  <si>
    <t xml:space="preserve"> 1980 </t>
  </si>
  <si>
    <t xml:space="preserve"> 1981 </t>
  </si>
  <si>
    <t xml:space="preserve"> 1982 </t>
  </si>
  <si>
    <t xml:space="preserve"> 1983 </t>
  </si>
  <si>
    <t xml:space="preserve"> 1984-1993  </t>
  </si>
  <si>
    <t xml:space="preserve"> 1994  </t>
  </si>
  <si>
    <t xml:space="preserve"> 1995  </t>
  </si>
  <si>
    <t xml:space="preserve"> 1996  </t>
  </si>
  <si>
    <t xml:space="preserve"> 1997  </t>
  </si>
  <si>
    <t xml:space="preserve"> 1998  </t>
  </si>
  <si>
    <t xml:space="preserve"> 1999  </t>
  </si>
  <si>
    <t xml:space="preserve"> 2000  </t>
  </si>
  <si>
    <t xml:space="preserve"> 2001  </t>
  </si>
  <si>
    <t xml:space="preserve"> 2002  </t>
  </si>
  <si>
    <t xml:space="preserve"> 2003 </t>
  </si>
  <si>
    <t xml:space="preserve"> 2004 </t>
  </si>
  <si>
    <t xml:space="preserve"> 2005 </t>
  </si>
  <si>
    <t xml:space="preserve"> 2006 </t>
  </si>
  <si>
    <t xml:space="preserve"> 2007 </t>
  </si>
  <si>
    <t xml:space="preserve"> 2008 </t>
  </si>
  <si>
    <t xml:space="preserve"> 2009</t>
  </si>
  <si>
    <t xml:space="preserve"> 2010</t>
  </si>
  <si>
    <t xml:space="preserve"> 2011</t>
  </si>
  <si>
    <t xml:space="preserve"> 2012</t>
  </si>
  <si>
    <t xml:space="preserve"> 2013</t>
  </si>
  <si>
    <t xml:space="preserve"> 2014</t>
  </si>
  <si>
    <t xml:space="preserve"> 2015</t>
  </si>
  <si>
    <t xml:space="preserve"> 2016</t>
  </si>
  <si>
    <t xml:space="preserve"> 2017</t>
  </si>
  <si>
    <t xml:space="preserve"> 2018</t>
  </si>
  <si>
    <t xml:space="preserve"> 2019</t>
  </si>
  <si>
    <t xml:space="preserve"> 2020</t>
  </si>
  <si>
    <t>Gasoline Light-Duty Trucks</t>
  </si>
  <si>
    <t xml:space="preserve"> 1973-1974 </t>
  </si>
  <si>
    <t>(Vans, Pickup Trucks, SUVs)</t>
  </si>
  <si>
    <t xml:space="preserve"> 1976 </t>
  </si>
  <si>
    <t xml:space="preserve"> 1977-1978 </t>
  </si>
  <si>
    <t xml:space="preserve"> 1979-1980 </t>
  </si>
  <si>
    <t xml:space="preserve"> 1984 </t>
  </si>
  <si>
    <t xml:space="preserve"> 1985 </t>
  </si>
  <si>
    <t xml:space="preserve"> 1986 </t>
  </si>
  <si>
    <t xml:space="preserve"> 1987-1993 </t>
  </si>
  <si>
    <t xml:space="preserve"> 1994 </t>
  </si>
  <si>
    <t xml:space="preserve"> 1995 </t>
  </si>
  <si>
    <t xml:space="preserve"> 1996 </t>
  </si>
  <si>
    <t xml:space="preserve"> 1997 </t>
  </si>
  <si>
    <t xml:space="preserve"> 1998 </t>
  </si>
  <si>
    <t xml:space="preserve"> 1999 </t>
  </si>
  <si>
    <t xml:space="preserve"> 2000 </t>
  </si>
  <si>
    <t xml:space="preserve"> 2001 </t>
  </si>
  <si>
    <t xml:space="preserve"> 2002 </t>
  </si>
  <si>
    <t>Gasoline Heavy-Duty Vehicles</t>
  </si>
  <si>
    <t xml:space="preserve"> ≤1980</t>
  </si>
  <si>
    <t xml:space="preserve"> 1981-1984 </t>
  </si>
  <si>
    <t xml:space="preserve"> 1985-1986 </t>
  </si>
  <si>
    <t xml:space="preserve"> 1987 </t>
  </si>
  <si>
    <t xml:space="preserve"> 1988-1989 </t>
  </si>
  <si>
    <t xml:space="preserve"> 1990-1995 </t>
  </si>
  <si>
    <t>Gasoline Motorcycles</t>
  </si>
  <si>
    <t xml:space="preserve"> 1960-1995 </t>
  </si>
  <si>
    <t xml:space="preserve"> 1996-2005</t>
  </si>
  <si>
    <t xml:space="preserve">0 </t>
  </si>
  <si>
    <t xml:space="preserve"> 2006-2020</t>
  </si>
  <si>
    <t>Source: EPA (2022) Inventory of U.S. Greenhouse Gas Emissions and Sinks: 1990-2020 (Annexes). All values are calculated from Tables A-84 through A-88.</t>
  </si>
  <si>
    <r>
      <rPr>
        <b/>
        <sz val="9"/>
        <rFont val="Arial"/>
        <family val="2"/>
      </rPr>
      <t>Source</t>
    </r>
    <r>
      <rPr>
        <sz val="9"/>
        <rFont val="Arial"/>
        <family val="2"/>
      </rPr>
      <t>: EPA (2022) Inventory of U.S. Greenhouse Gas Emissions and Sinks: 1990-2020 (Annexes). All values are calculated from Tables A-84 through A-88.</t>
    </r>
  </si>
  <si>
    <t>Notes: 
Emission factor updates due to a methodology change. 
The factors represented in the table above represent combustion emissions only (tank-to-wheel) and do not represent upstream emissions or well-to-wheel emissions.</t>
  </si>
  <si>
    <r>
      <rPr>
        <b/>
        <sz val="9"/>
        <rFont val="Arial"/>
        <family val="2"/>
      </rPr>
      <t>Notes</t>
    </r>
    <r>
      <rPr>
        <sz val="9"/>
        <rFont val="Arial"/>
        <family val="2"/>
      </rPr>
      <t>: 
Emission factor updates due to a methodology change. 
The factors represented in the table above represent combustion emissions only (tank-to-wheel) and do not represent upstream emissions or well-to-wheel emissions.</t>
    </r>
  </si>
  <si>
    <t>Table 4</t>
  </si>
  <si>
    <t xml:space="preserve">    Mobile Combustion CH4 and N2O for On-Road Diesel and Alternative Fuel Vehicles</t>
  </si>
  <si>
    <r>
      <t xml:space="preserve">    Mobile Combustion CH</t>
    </r>
    <r>
      <rPr>
        <b/>
        <vertAlign val="subscript"/>
        <sz val="12"/>
        <rFont val="Arial"/>
        <family val="2"/>
      </rPr>
      <t>4</t>
    </r>
    <r>
      <rPr>
        <b/>
        <sz val="12"/>
        <rFont val="Arial"/>
        <family val="2"/>
      </rPr>
      <t xml:space="preserve"> and N</t>
    </r>
    <r>
      <rPr>
        <b/>
        <vertAlign val="subscript"/>
        <sz val="12"/>
        <rFont val="Arial"/>
        <family val="2"/>
      </rPr>
      <t>2</t>
    </r>
    <r>
      <rPr>
        <b/>
        <sz val="12"/>
        <rFont val="Arial"/>
        <family val="2"/>
      </rPr>
      <t>O for On-Road Diesel and Alternative Fuel Vehicles</t>
    </r>
  </si>
  <si>
    <t>Vehicle Year</t>
  </si>
  <si>
    <r>
      <t>CH</t>
    </r>
    <r>
      <rPr>
        <b/>
        <vertAlign val="subscript"/>
        <sz val="10"/>
        <rFont val="Arial"/>
        <family val="2"/>
      </rPr>
      <t xml:space="preserve">4 </t>
    </r>
    <r>
      <rPr>
        <b/>
        <sz val="10"/>
        <rFont val="Arial"/>
        <family val="2"/>
      </rPr>
      <t>Factor 
(g / mile)</t>
    </r>
  </si>
  <si>
    <t>Passenger Cars</t>
  </si>
  <si>
    <t>1960-1982</t>
  </si>
  <si>
    <t>1983-2006</t>
  </si>
  <si>
    <t>2007-2020</t>
  </si>
  <si>
    <t>Light-Duty Trucks</t>
  </si>
  <si>
    <t>Medium- and Heavy-Duty Vehicles</t>
  </si>
  <si>
    <t>1960-2006</t>
  </si>
  <si>
    <t>Light-Duty Cars</t>
  </si>
  <si>
    <t>Methanol</t>
  </si>
  <si>
    <t>Ethanol</t>
  </si>
  <si>
    <t>CNG</t>
  </si>
  <si>
    <t>Biodiesel</t>
  </si>
  <si>
    <t>LNG</t>
  </si>
  <si>
    <t>Medium-Duty Trucks</t>
  </si>
  <si>
    <t>Heavy-Duty Trucks</t>
  </si>
  <si>
    <t>Buses</t>
  </si>
  <si>
    <t>Source: EPA (2022) Inventory of U.S. Greenhouse Gas Emissions and Sinks: 1990-2020 (Annexes). All values are calculated from Tables A-88 through A-90.</t>
  </si>
  <si>
    <t>https://www.epa.gov/ghgemissions/inventory-us-greenhouse-gas-emissions-and-sinks</t>
  </si>
  <si>
    <t>Table 5</t>
  </si>
  <si>
    <t xml:space="preserve">    Mobile Combustion CH4 and N2O for Non-Road Vehicles</t>
  </si>
  <si>
    <r>
      <t xml:space="preserve">    Mobile Combustion CH</t>
    </r>
    <r>
      <rPr>
        <b/>
        <vertAlign val="subscript"/>
        <sz val="12"/>
        <rFont val="Arial"/>
        <family val="2"/>
      </rPr>
      <t>4</t>
    </r>
    <r>
      <rPr>
        <b/>
        <sz val="12"/>
        <rFont val="Arial"/>
        <family val="2"/>
      </rPr>
      <t xml:space="preserve"> and N</t>
    </r>
    <r>
      <rPr>
        <b/>
        <vertAlign val="subscript"/>
        <sz val="12"/>
        <rFont val="Arial"/>
        <family val="2"/>
      </rPr>
      <t>2</t>
    </r>
    <r>
      <rPr>
        <b/>
        <sz val="12"/>
        <rFont val="Arial"/>
        <family val="2"/>
      </rPr>
      <t>O for Non-Road Vehicles</t>
    </r>
  </si>
  <si>
    <t xml:space="preserve">CH4 Factor 
(g / gallon) </t>
  </si>
  <si>
    <t xml:space="preserve">N2O Factor 
(g / gallon) </t>
  </si>
  <si>
    <r>
      <t>CH</t>
    </r>
    <r>
      <rPr>
        <b/>
        <vertAlign val="subscript"/>
        <sz val="10"/>
        <rFont val="Arial"/>
        <family val="2"/>
      </rPr>
      <t xml:space="preserve">4 </t>
    </r>
    <r>
      <rPr>
        <b/>
        <sz val="10"/>
        <rFont val="Arial"/>
        <family val="2"/>
      </rPr>
      <t xml:space="preserve">Factor 
(g / gallon) </t>
    </r>
  </si>
  <si>
    <r>
      <t>N</t>
    </r>
    <r>
      <rPr>
        <b/>
        <vertAlign val="subscript"/>
        <sz val="10"/>
        <rFont val="Arial"/>
        <family val="2"/>
      </rPr>
      <t>2</t>
    </r>
    <r>
      <rPr>
        <b/>
        <sz val="10"/>
        <rFont val="Arial"/>
        <family val="2"/>
      </rPr>
      <t xml:space="preserve">O Factor 
(g / gallon) </t>
    </r>
  </si>
  <si>
    <t>Ships and Boats</t>
  </si>
  <si>
    <t>Gasoline (2 stroke)</t>
  </si>
  <si>
    <t>Gasoline (4 stroke)</t>
  </si>
  <si>
    <t>Locomotives</t>
  </si>
  <si>
    <t>Aircraft</t>
  </si>
  <si>
    <t>Jet Fuel</t>
  </si>
  <si>
    <t>Agricultural EquipmentA</t>
  </si>
  <si>
    <r>
      <t>Agricultural Equipment</t>
    </r>
    <r>
      <rPr>
        <vertAlign val="superscript"/>
        <sz val="10"/>
        <rFont val="Arial"/>
        <family val="2"/>
      </rPr>
      <t>A</t>
    </r>
  </si>
  <si>
    <t>Gasoline Off-Road Trucks</t>
  </si>
  <si>
    <t>Diesel Equipment</t>
  </si>
  <si>
    <t>Diesel Off-Road Trucks</t>
  </si>
  <si>
    <t>Construction/Mining EquipmentB</t>
  </si>
  <si>
    <r>
      <t>Construction/Mining Equipment</t>
    </r>
    <r>
      <rPr>
        <vertAlign val="superscript"/>
        <sz val="10"/>
        <rFont val="Arial"/>
        <family val="2"/>
      </rPr>
      <t>B</t>
    </r>
  </si>
  <si>
    <t>Lawn and Garden Equipment</t>
  </si>
  <si>
    <t>Airport Equipment</t>
  </si>
  <si>
    <t>Industrial/Commercial Equipment</t>
  </si>
  <si>
    <t>Logging Equipment</t>
  </si>
  <si>
    <t>Railroad Equipment</t>
  </si>
  <si>
    <t>Recreational Equipment</t>
  </si>
  <si>
    <t>Source: EPA (2022) Inventory of U.S. Greenhouse Gas Emissions and Sinks: 1990-2020 (Annexes). All values are calculated from Tables A-91 through A-92.</t>
  </si>
  <si>
    <t xml:space="preserve">Notes: 
Emission factor updates due to a methodology change. 
The factors represented in the table above represent combustion emissions only (tank-to-wheel) and do not represent upstream emissions or well-to-wheel emissions.
A Includes equipment, such as tractors and combines, as well as fuel consumption from trucks that are used off-road in agriculture.   
B Includes equipment, such as cranes, dumpers, and excavators, as well as fuel consumption from trucks that are used off-road in construction. </t>
  </si>
  <si>
    <r>
      <rPr>
        <b/>
        <sz val="9"/>
        <rFont val="Arial"/>
        <family val="2"/>
      </rPr>
      <t xml:space="preserve">Notes: 
</t>
    </r>
    <r>
      <rPr>
        <sz val="9"/>
        <rFont val="Arial"/>
        <family val="2"/>
      </rPr>
      <t xml:space="preserve">Emission factor updates due to a methodology change. </t>
    </r>
    <r>
      <rPr>
        <sz val="9"/>
        <color rgb="FFFF0000"/>
        <rFont val="Arial"/>
        <family val="2"/>
      </rPr>
      <t xml:space="preserve">
</t>
    </r>
    <r>
      <rPr>
        <sz val="9"/>
        <rFont val="Arial"/>
        <family val="2"/>
      </rPr>
      <t xml:space="preserve">The factors represented in the table above represent combustion emissions only (tank-to-wheel) and do not represent upstream emissions or well-to-wheel emissions.
</t>
    </r>
    <r>
      <rPr>
        <vertAlign val="superscript"/>
        <sz val="9"/>
        <rFont val="Arial"/>
        <family val="2"/>
      </rPr>
      <t>A</t>
    </r>
    <r>
      <rPr>
        <sz val="9"/>
        <rFont val="Arial"/>
        <family val="2"/>
      </rPr>
      <t xml:space="preserve"> Includes equipment, such as tractors and combines, as well as fuel consumption from trucks that are used off-road in agriculture.   
</t>
    </r>
    <r>
      <rPr>
        <vertAlign val="superscript"/>
        <sz val="9"/>
        <rFont val="Arial"/>
        <family val="2"/>
      </rPr>
      <t>B</t>
    </r>
    <r>
      <rPr>
        <sz val="9"/>
        <rFont val="Arial"/>
        <family val="2"/>
      </rPr>
      <t xml:space="preserve"> Includes equipment, such as cranes, dumpers, and excavators, as well as fuel consumption from trucks that are used off-road in construction. </t>
    </r>
  </si>
  <si>
    <t>Table 6</t>
  </si>
  <si>
    <t xml:space="preserve">   Electricity</t>
  </si>
  <si>
    <t>Total Output Emission Factors</t>
  </si>
  <si>
    <t>Non-Baseload Emission Factors</t>
  </si>
  <si>
    <t>eGRID Subregion Acronym</t>
  </si>
  <si>
    <t>eGRID Subregion Name</t>
  </si>
  <si>
    <t>CO2E/MWh</t>
  </si>
  <si>
    <t>CO2e/kWh</t>
  </si>
  <si>
    <t>(lb / MWh)</t>
  </si>
  <si>
    <t>AKGD</t>
  </si>
  <si>
    <t>AKGD (ASCC Alaska Grid)</t>
  </si>
  <si>
    <t>AKMS</t>
  </si>
  <si>
    <t>AKMS (ASCC Miscellaneous)</t>
  </si>
  <si>
    <t>AZNM</t>
  </si>
  <si>
    <t>AZNM (WECC Southwest)</t>
  </si>
  <si>
    <t>CAMX</t>
  </si>
  <si>
    <t>CAMX (WECC California)</t>
  </si>
  <si>
    <t>ERCT</t>
  </si>
  <si>
    <t>ERCT (ERCOT All)</t>
  </si>
  <si>
    <t>FRCC</t>
  </si>
  <si>
    <t>FRCC (FRCC All)</t>
  </si>
  <si>
    <t>HIMS</t>
  </si>
  <si>
    <t>HIMS (HICC Miscellaneous)</t>
  </si>
  <si>
    <t>HIOA</t>
  </si>
  <si>
    <t>HIOA (HICC Oahu)</t>
  </si>
  <si>
    <t>MROE</t>
  </si>
  <si>
    <t>MROE (MRO East)</t>
  </si>
  <si>
    <t>MROW</t>
  </si>
  <si>
    <t>MROW (MRO West)</t>
  </si>
  <si>
    <t>NEWE</t>
  </si>
  <si>
    <t>NEWE (NPCC New England)</t>
  </si>
  <si>
    <t>NWPP</t>
  </si>
  <si>
    <t>NWPP (WECC Northwest)</t>
  </si>
  <si>
    <t>NYCW</t>
  </si>
  <si>
    <t>NYCW (NPCC NYC/Westchester)</t>
  </si>
  <si>
    <t>NYLI</t>
  </si>
  <si>
    <t>NYLI (NPCC Long Island)</t>
  </si>
  <si>
    <t>NYUP</t>
  </si>
  <si>
    <t>NYUP (NPCC Upstate NY)</t>
  </si>
  <si>
    <t>PRMS</t>
  </si>
  <si>
    <t>PRMS (Puerto Rico Miscellaneous)</t>
  </si>
  <si>
    <t>RFCE</t>
  </si>
  <si>
    <t>RFCE (RFC East)</t>
  </si>
  <si>
    <t>RFCM</t>
  </si>
  <si>
    <t>RFCM (RFC Michigan)</t>
  </si>
  <si>
    <t>RFCW</t>
  </si>
  <si>
    <t>RFCW (RFC West)</t>
  </si>
  <si>
    <t>RMPA</t>
  </si>
  <si>
    <t>RMPA (WECC Rockies)</t>
  </si>
  <si>
    <t>SPNO</t>
  </si>
  <si>
    <t>SPNO (SPP North)</t>
  </si>
  <si>
    <t>SPSO</t>
  </si>
  <si>
    <t>SPSO (SPP South)</t>
  </si>
  <si>
    <t>SRMV</t>
  </si>
  <si>
    <t>SRMV (SERC Mississippi Valley)</t>
  </si>
  <si>
    <t>SRMW</t>
  </si>
  <si>
    <t>SRMW (SERC Midwest)</t>
  </si>
  <si>
    <t>SRSO</t>
  </si>
  <si>
    <t>SRSO (SERC South)</t>
  </si>
  <si>
    <t>SRTV</t>
  </si>
  <si>
    <t>SRTV (SERC Tennessee Valley)</t>
  </si>
  <si>
    <t>SRVC</t>
  </si>
  <si>
    <t>SRVC (SERC Virginia/Carolina)</t>
  </si>
  <si>
    <t>US Average</t>
  </si>
  <si>
    <t>Source: EPA eGRID2021, February 2023 (Table 1. Subregion Output Emission Rates)</t>
  </si>
  <si>
    <r>
      <rPr>
        <b/>
        <sz val="9"/>
        <rFont val="Arial"/>
        <family val="2"/>
      </rPr>
      <t xml:space="preserve">Source: </t>
    </r>
    <r>
      <rPr>
        <sz val="9"/>
        <rFont val="Arial"/>
        <family val="2"/>
      </rPr>
      <t>EPA eGRID2021, February 2023 (Table 1. Subregion Output Emission Rates)</t>
    </r>
  </si>
  <si>
    <t>https://www.epa.gov/egrid/download-data</t>
  </si>
  <si>
    <t>Notes:</t>
  </si>
  <si>
    <t>Total output emission factors can be used as default factors for estimating GHG emissions from electricity use when developing a carbon footprint or emissions inventory. Annual non-baseload output emission factors should not be used when developing a carbon footprint or emissions inventory, but can be used to estimate GHG emissions reductions on the grid from changes in electricity use. 
For technical information, reference the EPA's eGRID Technical Guide</t>
  </si>
  <si>
    <t xml:space="preserve">https://www.epa.gov/system/files/documents/2023-01/eGRID2021_technical_guide.pdf </t>
  </si>
  <si>
    <t>2022 NYS Statewide GHG Emissions Report</t>
  </si>
  <si>
    <t>Upstream Emissions Rates</t>
  </si>
  <si>
    <t>g/mmbtu</t>
  </si>
  <si>
    <t>Diesel/Distillate Fuel</t>
  </si>
  <si>
    <t>Gasoline (E85)</t>
  </si>
  <si>
    <t>High Heating Value</t>
  </si>
  <si>
    <t>HHV</t>
  </si>
  <si>
    <t>mmbtu/SCF</t>
  </si>
  <si>
    <t>mmbtu/gallon</t>
  </si>
  <si>
    <t>CLCPA Emission Factors for Greenhouse Gas Inventories</t>
  </si>
  <si>
    <t>NYSERDA Fossil and Biogenic Fuel Greenhouse Gas Emission Factors, May 2023</t>
  </si>
  <si>
    <t>MT/mmBtu</t>
  </si>
  <si>
    <t>MT/gallon</t>
  </si>
  <si>
    <t>Residential and Commercial Buildings</t>
  </si>
  <si>
    <t>Heating Oil - Fossil</t>
  </si>
  <si>
    <t>Electricity Generation</t>
  </si>
  <si>
    <t>Motor Diesel</t>
  </si>
  <si>
    <t>Conversions</t>
  </si>
  <si>
    <t>mmBtu to gallon</t>
  </si>
  <si>
    <t>Dollar per building</t>
  </si>
  <si>
    <t>Total Implementation Cost</t>
  </si>
  <si>
    <t>3. Use average cost per ton of waste to determine Total Implementation Cost</t>
  </si>
  <si>
    <t>CPRG funding need</t>
  </si>
  <si>
    <t>Electricity savings (kWh/sq ft)</t>
  </si>
  <si>
    <t>Fuel savings (kWh/sq ft)</t>
  </si>
  <si>
    <t>Fuel savings (MMBtu/sq ft)</t>
  </si>
  <si>
    <t>LargeOffice</t>
  </si>
  <si>
    <t>Energy Impact of ASHPs - ComStock NY, Measure 3 (Measure 1 + 2)</t>
  </si>
  <si>
    <t>NECESSARY ASSUMPTIONS:</t>
  </si>
  <si>
    <t>LocalSmallOffice</t>
  </si>
  <si>
    <t>Warehouse</t>
  </si>
  <si>
    <t>Electricity consumption (kWh/sqft)</t>
  </si>
  <si>
    <t>Fuel consumption (kWh/sqft)</t>
  </si>
  <si>
    <t>Baseline fuel consumption (MMBtu/sqft)</t>
  </si>
  <si>
    <t>Energy Impact of ASHPs - CBECS</t>
  </si>
  <si>
    <t>Energy Impact of EE - ComStock NY, Measure 1</t>
  </si>
  <si>
    <t>local</t>
  </si>
  <si>
    <t>state</t>
  </si>
  <si>
    <t>Energy Impact of EE - CBECs</t>
  </si>
  <si>
    <t>See Funding Matrix tab</t>
  </si>
  <si>
    <t>Average Building Size (sqft)</t>
  </si>
  <si>
    <t>Standard assumption: Included</t>
  </si>
  <si>
    <t>Standard assumption: CLCPA (Combined) - Fed GWP</t>
  </si>
  <si>
    <t>CPRG Attribution</t>
  </si>
  <si>
    <t>Annual LIDAC Co-Pollutant Reductions (CRPG)</t>
  </si>
  <si>
    <t>1. Organics Recycling</t>
  </si>
  <si>
    <t>2. Natural Refrigerants</t>
  </si>
  <si>
    <t>3. CoolingHeating Centers</t>
  </si>
  <si>
    <t>4. Advanced EPCs</t>
  </si>
  <si>
    <t>Attachment C: GHG Emission Reduction Calculations Spreadsheet</t>
  </si>
  <si>
    <t xml:space="preserve">NYS Grid emissions factor forecast based on NYS Scoping Plan trajectory and EPA GWP guidance </t>
  </si>
  <si>
    <t>Full System Replacement Cost</t>
  </si>
  <si>
    <t>Partial System Replacement Cost</t>
  </si>
  <si>
    <t>Average System Replacement Cost</t>
  </si>
  <si>
    <t>Agency Input/CARB F-gas Reduction Incentive Program User Guide</t>
  </si>
  <si>
    <t>Measure Summary Matrix</t>
  </si>
  <si>
    <t xml:space="preserve">High Level Summary of proposed Measures </t>
  </si>
  <si>
    <t>Quantification of benefits to low-income and disadvantaged communities by measure</t>
  </si>
  <si>
    <t>Building energy demand, renovation cost, and funding inputs for measure 3 &amp; 4</t>
  </si>
  <si>
    <t>100-year GWP</t>
  </si>
  <si>
    <t>20-year GWP</t>
  </si>
  <si>
    <t>GWP</t>
  </si>
  <si>
    <t>Cumulative Annual Emission Reductions</t>
  </si>
  <si>
    <t>Annual Emission Reductions</t>
  </si>
  <si>
    <t>GHG Reductions 2025-2030 
(MT CO2e)</t>
  </si>
  <si>
    <t>GHG Reductions 2025-2050 
(MT CO2e)</t>
  </si>
  <si>
    <t>Waste and Materials Management</t>
  </si>
  <si>
    <t>Emissions factors and GWPs based on CLCPA accounting</t>
  </si>
  <si>
    <t>NYS Grid emissions factor forecast based on Scoping Plan trajectory and CLCPA accounting</t>
  </si>
  <si>
    <t>EPA Grid Emission Factors</t>
  </si>
  <si>
    <t>EPA Emission Factors Hub</t>
  </si>
  <si>
    <t>NYS Upstream Emission Factors</t>
  </si>
  <si>
    <t>Climate Leadership and Community Protection Act (CLCPA) Grid Emission Factors</t>
  </si>
  <si>
    <t>CLCPA Emission Factors Hub</t>
  </si>
  <si>
    <t>Number of grants awarded during first round of Organics Recycling Grants</t>
  </si>
  <si>
    <t>Number of grants awarded during second round of Organics Recycling Grants</t>
  </si>
  <si>
    <t>Average CPRG funds invested per supermarket conversion</t>
  </si>
  <si>
    <t>Number of community buildings that have a combination of heat pump, shell upgrade, and onsite solar installed</t>
  </si>
  <si>
    <t>Measure 1</t>
  </si>
  <si>
    <t>Measure 2</t>
  </si>
  <si>
    <t>1. Insert number and size of grants to be given to organics recycling projects</t>
  </si>
  <si>
    <t>Organics Recycling Grants - 1st Round</t>
  </si>
  <si>
    <t>Organics Recycling Grants - 2nd Round</t>
  </si>
  <si>
    <t>1. Set how the funds will be split between full system and partial system replacement projects</t>
  </si>
  <si>
    <t>3. Reference CARB F-gas Reduction Incentive program for system specifications</t>
  </si>
  <si>
    <t>Funding Available to NYS</t>
  </si>
  <si>
    <t>https://hcr.ny.gov/climate-friendly-homes-fund</t>
  </si>
  <si>
    <r>
      <t>CO</t>
    </r>
    <r>
      <rPr>
        <vertAlign val="subscript"/>
        <sz val="10"/>
        <rFont val="Arial"/>
        <family val="2"/>
      </rPr>
      <t>2</t>
    </r>
  </si>
  <si>
    <t xml:space="preserve">Typically, greenhouse gas emissions are reported in units of carbon dioxide equivalent (CO2e). Gases are converted to CO2e by multiplying by their global warming potential (GWP). The emission factors listed in this document have not been converted to CO2e. To do so, multiply the emissions by the corresponding GWP listed in the table below.  </t>
  </si>
  <si>
    <t>Partially Targeted Program*</t>
  </si>
  <si>
    <t>*40 buildings in LIDAC communities, remaining 260 evenly distributed through the state</t>
  </si>
  <si>
    <t>100-year GWP - R507A (counterfactual)</t>
  </si>
  <si>
    <t>100-year GWP - R744 (measure)</t>
  </si>
  <si>
    <t>20-year GWP - R507A (counterfactual)</t>
  </si>
  <si>
    <t>20-year GWP - R744 (measure)</t>
  </si>
  <si>
    <t>Average upfront cost to convert supermarkets from R507A to R744 refrigerant</t>
  </si>
  <si>
    <t>Average emissions factor of electricity in NYS</t>
  </si>
  <si>
    <t>Cooling/Heating Centers &amp; Advanced EPCs</t>
  </si>
  <si>
    <t>Calculations not intended to be modified by user</t>
  </si>
  <si>
    <t>Summary to data names, definitions, and attributes</t>
  </si>
  <si>
    <t>lb./dollar</t>
  </si>
  <si>
    <t>Organics diverted per grant dollar spent (lb./dollar)</t>
  </si>
  <si>
    <t>USDA Conservation Practice Overview (2020)</t>
  </si>
  <si>
    <t>Cost of renovation at a building that receives shell upgrade, and ASHP and additional cooling/heating center improvements</t>
  </si>
  <si>
    <t>Starting refrigerant (lb.)</t>
  </si>
  <si>
    <t>Ending refrigerant (lb.)</t>
  </si>
  <si>
    <t>natural gas</t>
  </si>
  <si>
    <t>fuel oil</t>
  </si>
  <si>
    <t>Accelerated depreciation - designers claim on behalf of municipality. $5/sqft can accelerate depreciation. 25-30% is actually recovered by municipality as a cost decline. Would ultimately be negotiated between municipality and ESCO.</t>
  </si>
  <si>
    <t>Building Community Resilience Through GHG Emission Reductions, NYSDEC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</si>
</sst>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_);[Red]\(&quot;$&quot;#,##0\)"/>
    <numFmt numFmtId="44" formatCode="_(&quot;$&quot;* #,##0.00_);_(&quot;$&quot;* \(#,##0.00\);_(&quot;$&quot;* &quot;-&quot;??_);_(@_)"/>
    <numFmt numFmtId="43" formatCode="_(* #,##0.00_);_(* \(#,##0.00\);_(* &quot;-&quot;??_);_(@_)"/>
    <numFmt numFmtId="164" formatCode="&quot;$&quot;#,##0.00"/>
    <numFmt numFmtId="165" formatCode="&quot;$&quot;#,##0"/>
    <numFmt numFmtId="166" formatCode="0.0%"/>
    <numFmt numFmtId="167" formatCode="0.0"/>
    <numFmt numFmtId="168" formatCode="_(* #,##0_);_(* \(#,##0\);_(* &quot;-&quot;??_);_(@_)"/>
    <numFmt numFmtId="169" formatCode="_(* #,##0.000_);_(* \(#,##0.000\);_(* &quot;-&quot;??_);_(@_)"/>
    <numFmt numFmtId="170" formatCode="m/d/yyyy\ hh:mm"/>
    <numFmt numFmtId="171" formatCode="_(* #,##0.000000_);_(* \(#,##0.000000\);_(* &quot;-&quot;??_);_(@_)"/>
    <numFmt numFmtId="172" formatCode="_(* #,##0.00000_);_(* \(#,##0.00000\);_(* &quot;-&quot;??_);_(@_)"/>
    <numFmt numFmtId="173" formatCode="_(&quot;$&quot;* #,##0_);_(&quot;$&quot;* \(#,##0\);_(&quot;$&quot;* &quot;-&quot;??_);_(@_)"/>
    <numFmt numFmtId="174" formatCode="_(* #,##0.0_);_(* \(#,##0.0\);_(* &quot;-&quot;??_);_(@_)"/>
    <numFmt numFmtId="175" formatCode="_(* #,##0.0000_);_(* \(#,##0.0000\);_(* &quot;-&quot;??_);_(@_)"/>
    <numFmt numFmtId="176" formatCode="0.000"/>
    <numFmt numFmtId="177" formatCode="0.0000"/>
    <numFmt numFmtId="178" formatCode="0.000000"/>
    <numFmt numFmtId="179" formatCode="_(* #,##0.0000000_);_(* \(#,##0.0000000\);_(* &quot;-&quot;??_);_(@_)"/>
    <numFmt numFmtId="180" formatCode="#,##0.000000"/>
    <numFmt numFmtId="181" formatCode="_(* #,##0.00000000_);_(* \(#,##0.00000000\);_(* &quot;-&quot;??_);_(@_)"/>
    <numFmt numFmtId="182" formatCode="#,##0;\-#,##0;\-"/>
  </numFmts>
  <fonts count="122">
    <font>
      <sz val="11"/>
      <color theme="1"/>
      <name val="Calibri"/>
      <family val="2"/>
      <scheme val="minor"/>
    </font>
    <font>
      <sz val="12"/>
      <color theme="1"/>
      <name val="Calibri"/>
      <family val="2"/>
      <scheme val="minor"/>
    </font>
    <font>
      <b/>
      <sz val="11"/>
      <color theme="1"/>
      <name val="Calibri"/>
      <family val="2"/>
      <scheme val="minor"/>
    </font>
    <font>
      <i/>
      <sz val="11"/>
      <color rgb="FFFF0000"/>
      <name val="Calibri"/>
      <family val="2"/>
      <scheme val="minor"/>
    </font>
    <font>
      <sz val="11"/>
      <color theme="1"/>
      <name val="Calibri"/>
      <family val="2"/>
      <scheme val="minor"/>
    </font>
    <font>
      <b/>
      <sz val="11"/>
      <color theme="0"/>
      <name val="Calibri"/>
      <family val="2"/>
      <scheme val="minor"/>
    </font>
    <font>
      <b/>
      <sz val="16"/>
      <color theme="1"/>
      <name val="Calibri"/>
      <family val="2"/>
      <scheme val="minor"/>
    </font>
    <font>
      <b/>
      <sz val="14"/>
      <color theme="1"/>
      <name val="Calibri"/>
      <family val="2"/>
      <scheme val="minor"/>
    </font>
    <font>
      <u/>
      <sz val="11"/>
      <color theme="10"/>
      <name val="Calibri"/>
      <family val="2"/>
      <scheme val="minor"/>
    </font>
    <font>
      <i/>
      <sz val="11"/>
      <color theme="1"/>
      <name val="Calibri"/>
      <family val="2"/>
      <scheme val="minor"/>
    </font>
    <font>
      <b/>
      <sz val="18"/>
      <color theme="1"/>
      <name val="Calibri"/>
      <family val="2"/>
      <scheme val="minor"/>
    </font>
    <font>
      <sz val="14"/>
      <color theme="1"/>
      <name val="Calibri"/>
      <family val="2"/>
      <scheme val="minor"/>
    </font>
    <font>
      <i/>
      <sz val="12"/>
      <color theme="1"/>
      <name val="Calibri"/>
      <family val="2"/>
      <scheme val="minor"/>
    </font>
    <font>
      <i/>
      <u/>
      <sz val="11"/>
      <color theme="10"/>
      <name val="Calibri"/>
      <family val="2"/>
      <scheme val="minor"/>
    </font>
    <font>
      <b/>
      <sz val="10"/>
      <color theme="0"/>
      <name val="Arial"/>
      <family val="2"/>
    </font>
    <font>
      <sz val="9"/>
      <color theme="1"/>
      <name val="Arial"/>
      <family val="2"/>
    </font>
    <font>
      <i/>
      <sz val="9"/>
      <name val="Calibri"/>
      <family val="2"/>
      <scheme val="minor"/>
    </font>
    <font>
      <b/>
      <sz val="10"/>
      <color rgb="FFFFFFFF"/>
      <name val="Arial"/>
      <family val="2"/>
    </font>
    <font>
      <sz val="9"/>
      <color rgb="FF000000"/>
      <name val="Arial"/>
      <family val="2"/>
    </font>
    <font>
      <sz val="9"/>
      <name val="Arial"/>
      <family val="2"/>
    </font>
    <font>
      <sz val="9"/>
      <name val="Calibri"/>
      <family val="2"/>
      <scheme val="minor"/>
    </font>
    <font>
      <i/>
      <sz val="16"/>
      <color rgb="FFFF0000"/>
      <name val="Calibri"/>
      <family val="2"/>
      <scheme val="minor"/>
    </font>
    <font>
      <sz val="10"/>
      <name val="P-AVGARD"/>
    </font>
    <font>
      <sz val="11"/>
      <name val="Calibri"/>
      <family val="2"/>
      <scheme val="minor"/>
    </font>
    <font>
      <b/>
      <sz val="9"/>
      <color theme="1"/>
      <name val="Arial"/>
      <family val="2"/>
    </font>
    <font>
      <b/>
      <sz val="13"/>
      <color theme="3"/>
      <name val="Calibri"/>
      <family val="2"/>
      <scheme val="minor"/>
    </font>
    <font>
      <b/>
      <sz val="11"/>
      <color theme="3"/>
      <name val="Calibri"/>
      <family val="2"/>
      <scheme val="minor"/>
    </font>
    <font>
      <sz val="9"/>
      <color rgb="FF9C0006"/>
      <name val="Calibri"/>
      <family val="2"/>
      <scheme val="minor"/>
    </font>
    <font>
      <b/>
      <sz val="9"/>
      <color theme="0"/>
      <name val="Calibri"/>
      <family val="2"/>
      <scheme val="minor"/>
    </font>
    <font>
      <sz val="10"/>
      <color theme="1"/>
      <name val="Calibri"/>
      <family val="2"/>
      <scheme val="minor"/>
    </font>
    <font>
      <i/>
      <sz val="9"/>
      <color theme="1" tint="0.499984740745262"/>
      <name val="Calibri"/>
      <family val="2"/>
      <scheme val="minor"/>
    </font>
    <font>
      <sz val="9"/>
      <color rgb="FF006100"/>
      <name val="Calibri"/>
      <family val="2"/>
      <scheme val="minor"/>
    </font>
    <font>
      <b/>
      <sz val="14"/>
      <name val="Calibri"/>
      <family val="2"/>
      <scheme val="minor"/>
    </font>
    <font>
      <b/>
      <i/>
      <sz val="10"/>
      <color theme="3"/>
      <name val="Calibri"/>
      <family val="2"/>
      <scheme val="minor"/>
    </font>
    <font>
      <b/>
      <i/>
      <u/>
      <sz val="9"/>
      <color theme="9"/>
      <name val="Arial"/>
      <family val="2"/>
    </font>
    <font>
      <sz val="9"/>
      <color rgb="FFE85F31"/>
      <name val="Calibri"/>
      <family val="2"/>
      <scheme val="minor"/>
    </font>
    <font>
      <sz val="9"/>
      <color rgb="FF9C5700"/>
      <name val="Calibri"/>
      <family val="2"/>
      <scheme val="minor"/>
    </font>
    <font>
      <b/>
      <i/>
      <sz val="9"/>
      <color theme="1"/>
      <name val="Arial"/>
      <family val="2"/>
    </font>
    <font>
      <b/>
      <i/>
      <u val="double"/>
      <sz val="9"/>
      <color theme="0"/>
      <name val="Calibri"/>
      <family val="2"/>
      <scheme val="minor"/>
    </font>
    <font>
      <b/>
      <sz val="22"/>
      <color theme="3"/>
      <name val="Calibri Light"/>
      <family val="2"/>
      <scheme val="major"/>
    </font>
    <font>
      <b/>
      <sz val="9"/>
      <color theme="1"/>
      <name val="Calibri"/>
      <family val="2"/>
      <scheme val="minor"/>
    </font>
    <font>
      <b/>
      <i/>
      <sz val="9"/>
      <color theme="6" tint="-0.24994659260841701"/>
      <name val="Calibri"/>
      <family val="2"/>
      <scheme val="minor"/>
    </font>
    <font>
      <i/>
      <sz val="9"/>
      <color theme="1"/>
      <name val="Arial"/>
      <family val="2"/>
    </font>
    <font>
      <sz val="10"/>
      <color indexed="8"/>
      <name val="Arial"/>
      <family val="2"/>
    </font>
    <font>
      <b/>
      <sz val="11"/>
      <color indexed="8"/>
      <name val="Calibri"/>
      <family val="2"/>
    </font>
    <font>
      <sz val="11"/>
      <color indexed="8"/>
      <name val="Calibri"/>
      <family val="2"/>
    </font>
    <font>
      <sz val="11"/>
      <color rgb="FF3F3F76"/>
      <name val="Calibri"/>
      <family val="2"/>
      <scheme val="minor"/>
    </font>
    <font>
      <b/>
      <sz val="11"/>
      <color rgb="FFFA7D00"/>
      <name val="Calibri"/>
      <family val="2"/>
      <scheme val="minor"/>
    </font>
    <font>
      <sz val="11"/>
      <color theme="0"/>
      <name val="Calibri"/>
      <family val="2"/>
      <scheme val="minor"/>
    </font>
    <font>
      <i/>
      <sz val="9"/>
      <name val="Arial"/>
      <family val="2"/>
    </font>
    <font>
      <b/>
      <sz val="9"/>
      <color rgb="FF000000"/>
      <name val="Arial"/>
      <family val="2"/>
    </font>
    <font>
      <sz val="10"/>
      <name val="Verdana"/>
      <family val="2"/>
    </font>
    <font>
      <u/>
      <sz val="10"/>
      <color indexed="12"/>
      <name val="Verdana"/>
      <family val="2"/>
    </font>
    <font>
      <sz val="10"/>
      <name val="Arial"/>
      <family val="2"/>
    </font>
    <font>
      <b/>
      <sz val="16"/>
      <name val="Arial"/>
      <family val="2"/>
    </font>
    <font>
      <b/>
      <sz val="14"/>
      <color rgb="FF0070C0"/>
      <name val="Arial"/>
      <family val="2"/>
    </font>
    <font>
      <sz val="10"/>
      <color rgb="FFFF0000"/>
      <name val="Arial"/>
      <family val="2"/>
    </font>
    <font>
      <b/>
      <sz val="10"/>
      <name val="Arial"/>
      <family val="2"/>
    </font>
    <font>
      <b/>
      <sz val="12"/>
      <name val="Arial"/>
      <family val="2"/>
    </font>
    <font>
      <b/>
      <sz val="10"/>
      <color theme="5"/>
      <name val="Arial"/>
      <family val="2"/>
    </font>
    <font>
      <b/>
      <sz val="9"/>
      <name val="Arial"/>
      <family val="2"/>
    </font>
    <font>
      <sz val="9"/>
      <color indexed="10"/>
      <name val="Arial"/>
      <family val="2"/>
    </font>
    <font>
      <u/>
      <sz val="9"/>
      <color indexed="12"/>
      <name val="Arial"/>
      <family val="2"/>
    </font>
    <font>
      <u/>
      <sz val="10"/>
      <name val="Arial"/>
      <family val="2"/>
    </font>
    <font>
      <sz val="10"/>
      <color rgb="FF0070C0"/>
      <name val="Arial"/>
      <family val="2"/>
    </font>
    <font>
      <sz val="10"/>
      <color rgb="FF00B050"/>
      <name val="Arial"/>
      <family val="2"/>
    </font>
    <font>
      <sz val="9"/>
      <color rgb="FFFF0000"/>
      <name val="Arial"/>
      <family val="2"/>
    </font>
    <font>
      <sz val="10"/>
      <color rgb="FFFF0000"/>
      <name val="Verdana"/>
      <family val="2"/>
    </font>
    <font>
      <i/>
      <sz val="8"/>
      <name val="Arial"/>
      <family val="2"/>
    </font>
    <font>
      <sz val="4"/>
      <name val="Arial"/>
      <family val="2"/>
    </font>
    <font>
      <vertAlign val="subscript"/>
      <sz val="10"/>
      <name val="Arial"/>
      <family val="2"/>
    </font>
    <font>
      <b/>
      <vertAlign val="subscript"/>
      <sz val="10"/>
      <name val="Arial"/>
      <family val="2"/>
    </font>
    <font>
      <b/>
      <vertAlign val="subscript"/>
      <sz val="9"/>
      <name val="Arial"/>
      <family val="2"/>
    </font>
    <font>
      <b/>
      <vertAlign val="subscript"/>
      <sz val="12"/>
      <name val="Arial"/>
      <family val="2"/>
    </font>
    <font>
      <vertAlign val="subscript"/>
      <sz val="9"/>
      <name val="Arial"/>
      <family val="2"/>
    </font>
    <font>
      <vertAlign val="superscript"/>
      <sz val="10"/>
      <name val="Arial"/>
      <family val="2"/>
    </font>
    <font>
      <vertAlign val="superscript"/>
      <sz val="9"/>
      <name val="Arial"/>
      <family val="2"/>
    </font>
    <font>
      <b/>
      <i/>
      <sz val="9"/>
      <name val="Arial"/>
      <family val="2"/>
    </font>
    <font>
      <sz val="11"/>
      <color rgb="FFFF0000"/>
      <name val="Calibri"/>
      <family val="2"/>
      <scheme val="minor"/>
    </font>
    <font>
      <i/>
      <sz val="12"/>
      <color theme="0"/>
      <name val="Calibri"/>
      <family val="2"/>
      <scheme val="minor"/>
    </font>
    <font>
      <b/>
      <sz val="12"/>
      <color theme="0"/>
      <name val="Calibri"/>
      <family val="2"/>
      <scheme val="minor"/>
    </font>
    <font>
      <i/>
      <sz val="11"/>
      <color theme="0"/>
      <name val="Calibri"/>
      <family val="2"/>
      <scheme val="minor"/>
    </font>
    <font>
      <b/>
      <sz val="11"/>
      <name val="Calibri"/>
      <family val="2"/>
      <scheme val="minor"/>
    </font>
    <font>
      <b/>
      <i/>
      <sz val="11"/>
      <color theme="0"/>
      <name val="Calibri"/>
      <family val="2"/>
      <scheme val="minor"/>
    </font>
    <font>
      <sz val="10"/>
      <color theme="1"/>
      <name val="Arial"/>
      <family val="2"/>
    </font>
    <font>
      <b/>
      <sz val="10"/>
      <color theme="1"/>
      <name val="Arial"/>
      <family val="2"/>
    </font>
    <font>
      <i/>
      <sz val="10"/>
      <color theme="1"/>
      <name val="Arial"/>
      <family val="2"/>
    </font>
    <font>
      <b/>
      <sz val="18"/>
      <color theme="3"/>
      <name val="Calibri"/>
      <family val="2"/>
      <scheme val="minor"/>
    </font>
    <font>
      <b/>
      <sz val="15"/>
      <color theme="3"/>
      <name val="Calibri"/>
      <family val="2"/>
      <scheme val="minor"/>
    </font>
    <font>
      <sz val="12"/>
      <color rgb="FFFF0000"/>
      <name val="Calibri"/>
      <family val="2"/>
      <scheme val="minor"/>
    </font>
    <font>
      <b/>
      <sz val="11"/>
      <color theme="0"/>
      <name val="Arial"/>
      <family val="2"/>
    </font>
    <font>
      <b/>
      <sz val="12"/>
      <color theme="0"/>
      <name val="Arial"/>
      <family val="2"/>
    </font>
    <font>
      <sz val="12"/>
      <name val="Arial"/>
      <family val="2"/>
    </font>
    <font>
      <b/>
      <sz val="14"/>
      <color theme="0"/>
      <name val="Arial"/>
      <family val="2"/>
    </font>
    <font>
      <b/>
      <sz val="16"/>
      <color theme="0"/>
      <name val="Arial"/>
      <family val="2"/>
    </font>
    <font>
      <b/>
      <sz val="12"/>
      <color theme="1"/>
      <name val="Arial"/>
      <family val="2"/>
    </font>
    <font>
      <i/>
      <sz val="12"/>
      <color rgb="FFFF0000"/>
      <name val="Calibri"/>
      <family val="2"/>
      <scheme val="minor"/>
    </font>
    <font>
      <sz val="10"/>
      <name val="Calibri"/>
      <family val="2"/>
      <scheme val="minor"/>
    </font>
    <font>
      <sz val="8"/>
      <name val="Calibri"/>
      <family val="2"/>
      <scheme val="minor"/>
    </font>
    <font>
      <b/>
      <i/>
      <u/>
      <sz val="11"/>
      <color theme="9"/>
      <name val="Calibri"/>
      <family val="2"/>
      <scheme val="minor"/>
    </font>
    <font>
      <sz val="11"/>
      <color theme="0" tint="-0.249977111117893"/>
      <name val="Calibri"/>
      <family val="2"/>
      <scheme val="minor"/>
    </font>
    <font>
      <sz val="10"/>
      <color theme="0"/>
      <name val="Arial"/>
      <family val="2"/>
    </font>
    <font>
      <b/>
      <sz val="9"/>
      <name val="Calibri"/>
      <family val="2"/>
      <scheme val="minor"/>
    </font>
    <font>
      <i/>
      <sz val="9"/>
      <color theme="1"/>
      <name val="Calibri"/>
      <family val="2"/>
      <scheme val="minor"/>
    </font>
    <font>
      <b/>
      <i/>
      <sz val="9"/>
      <color theme="1"/>
      <name val="Calibri"/>
      <family val="2"/>
      <scheme val="minor"/>
    </font>
    <font>
      <sz val="10"/>
      <color theme="1"/>
      <name val="Arial"/>
      <family val="2"/>
    </font>
    <font>
      <b/>
      <sz val="10"/>
      <color theme="0"/>
      <name val="Arial"/>
      <family val="2"/>
    </font>
    <font>
      <i/>
      <sz val="11"/>
      <color theme="0" tint="-0.14999847407452621"/>
      <name val="Calibri"/>
      <family val="2"/>
      <scheme val="minor"/>
    </font>
    <font>
      <b/>
      <sz val="12"/>
      <color theme="1"/>
      <name val="Calibri"/>
      <family val="2"/>
      <scheme val="minor"/>
    </font>
    <font>
      <sz val="11"/>
      <color theme="1"/>
      <name val="Arial"/>
      <family val="2"/>
    </font>
    <font>
      <b/>
      <sz val="12"/>
      <color theme="0"/>
      <name val="Arial"/>
      <family val="2"/>
    </font>
    <font>
      <sz val="11"/>
      <color rgb="FF000000"/>
      <name val="Calibri"/>
      <family val="2"/>
    </font>
    <font>
      <sz val="9"/>
      <color theme="1"/>
      <name val="Calibri"/>
      <family val="2"/>
      <scheme val="minor"/>
    </font>
    <font>
      <i/>
      <sz val="11"/>
      <color theme="0" tint="-0.499984740745262"/>
      <name val="Calibri"/>
      <family val="2"/>
      <scheme val="minor"/>
    </font>
    <font>
      <sz val="11"/>
      <color theme="0" tint="-0.499984740745262"/>
      <name val="Calibri"/>
      <family val="2"/>
      <scheme val="minor"/>
    </font>
    <font>
      <sz val="11"/>
      <color rgb="FF000000"/>
      <name val="Calibri"/>
      <family val="2"/>
      <scheme val="minor"/>
    </font>
    <font>
      <b/>
      <i/>
      <u/>
      <sz val="9"/>
      <color theme="9"/>
      <name val="Arial"/>
      <family val="2"/>
    </font>
    <font>
      <sz val="9"/>
      <color theme="1"/>
      <name val="Arial"/>
      <family val="2"/>
    </font>
    <font>
      <b/>
      <sz val="12"/>
      <color theme="0"/>
      <name val="Arial"/>
      <family val="2"/>
    </font>
    <font>
      <b/>
      <sz val="10"/>
      <color theme="0"/>
      <name val="Arial"/>
      <family val="2"/>
    </font>
    <font>
      <sz val="11"/>
      <color theme="1"/>
      <name val="Arial"/>
      <family val="2"/>
    </font>
    <font>
      <b/>
      <sz val="11"/>
      <color theme="1"/>
      <name val="Arial"/>
      <family val="2"/>
    </font>
  </fonts>
  <fills count="48">
    <fill>
      <patternFill patternType="none"/>
    </fill>
    <fill>
      <patternFill patternType="gray125"/>
    </fill>
    <fill>
      <patternFill patternType="solid">
        <fgColor theme="3"/>
        <bgColor indexed="64"/>
      </patternFill>
    </fill>
    <fill>
      <patternFill patternType="solid">
        <fgColor rgb="FFFFFFCC"/>
      </patternFill>
    </fill>
    <fill>
      <patternFill patternType="solid">
        <fgColor rgb="FFFFFFCC"/>
        <bgColor indexed="64"/>
      </patternFill>
    </fill>
    <fill>
      <patternFill patternType="solid">
        <fgColor theme="4"/>
        <bgColor indexed="64"/>
      </patternFill>
    </fill>
    <fill>
      <patternFill patternType="solid">
        <fgColor theme="0"/>
        <bgColor indexed="64"/>
      </patternFill>
    </fill>
    <fill>
      <patternFill patternType="solid">
        <fgColor theme="2"/>
        <bgColor indexed="64"/>
      </patternFill>
    </fill>
    <fill>
      <patternFill patternType="solid">
        <fgColor theme="0" tint="-0.499984740745262"/>
        <bgColor indexed="64"/>
      </patternFill>
    </fill>
    <fill>
      <patternFill patternType="solid">
        <fgColor theme="3" tint="0.39997558519241921"/>
        <bgColor indexed="64"/>
      </patternFill>
    </fill>
    <fill>
      <patternFill patternType="solid">
        <fgColor theme="4" tint="0.59996337778862885"/>
        <bgColor indexed="64"/>
      </patternFill>
    </fill>
    <fill>
      <patternFill patternType="solid">
        <fgColor rgb="FFEEECE1"/>
        <bgColor rgb="FF000000"/>
      </patternFill>
    </fill>
    <fill>
      <patternFill patternType="solid">
        <fgColor theme="7" tint="0.79998168889431442"/>
        <bgColor indexed="64"/>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0" tint="-4.9989318521683403E-2"/>
        <bgColor indexed="64"/>
      </patternFill>
    </fill>
    <fill>
      <patternFill patternType="solid">
        <fgColor theme="0" tint="-0.24994659260841701"/>
        <bgColor indexed="64"/>
      </patternFill>
    </fill>
    <fill>
      <patternFill patternType="solid">
        <fgColor theme="9" tint="0.79998168889431442"/>
        <bgColor indexed="64"/>
      </patternFill>
    </fill>
    <fill>
      <patternFill patternType="solid">
        <fgColor theme="5" tint="0.39994506668294322"/>
        <bgColor indexed="64"/>
      </patternFill>
    </fill>
    <fill>
      <patternFill patternType="solid">
        <fgColor rgb="FF7030A0"/>
        <bgColor indexed="64"/>
      </patternFill>
    </fill>
    <fill>
      <patternFill patternType="solid">
        <fgColor theme="9" tint="0.59999389629810485"/>
        <bgColor indexed="0"/>
      </patternFill>
    </fill>
    <fill>
      <patternFill patternType="solid">
        <fgColor rgb="FFFFCC99"/>
      </patternFill>
    </fill>
    <fill>
      <patternFill patternType="solid">
        <fgColor rgb="FFF2F2F2"/>
      </patternFill>
    </fill>
    <fill>
      <patternFill patternType="solid">
        <fgColor rgb="FFFFFFCC"/>
        <bgColor rgb="FF000000"/>
      </patternFill>
    </fill>
    <fill>
      <patternFill patternType="solid">
        <fgColor rgb="FFF2F2F2"/>
        <bgColor rgb="FF000000"/>
      </patternFill>
    </fill>
    <fill>
      <patternFill patternType="solid">
        <fgColor indexed="9"/>
        <bgColor indexed="64"/>
      </patternFill>
    </fill>
    <fill>
      <patternFill patternType="solid">
        <fgColor indexed="51"/>
        <bgColor indexed="64"/>
      </patternFill>
    </fill>
    <fill>
      <patternFill patternType="solid">
        <fgColor theme="0" tint="-0.249977111117893"/>
        <bgColor indexed="64"/>
      </patternFill>
    </fill>
    <fill>
      <patternFill patternType="solid">
        <fgColor indexed="45"/>
        <bgColor indexed="64"/>
      </patternFill>
    </fill>
    <fill>
      <patternFill patternType="solid">
        <fgColor indexed="43"/>
        <bgColor indexed="64"/>
      </patternFill>
    </fill>
    <fill>
      <patternFill patternType="solid">
        <fgColor indexed="44"/>
        <bgColor indexed="64"/>
      </patternFill>
    </fill>
    <fill>
      <patternFill patternType="solid">
        <fgColor indexed="22"/>
        <bgColor indexed="64"/>
      </patternFill>
    </fill>
    <fill>
      <patternFill patternType="solid">
        <fgColor indexed="41"/>
        <bgColor indexed="64"/>
      </patternFill>
    </fill>
    <fill>
      <patternFill patternType="solid">
        <fgColor theme="6"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0" tint="-4.9989318521683403E-2"/>
        <bgColor rgb="FF000000"/>
      </patternFill>
    </fill>
    <fill>
      <patternFill patternType="solid">
        <fgColor theme="0" tint="-0.249977111117893"/>
        <bgColor rgb="FF000000"/>
      </patternFill>
    </fill>
    <fill>
      <patternFill patternType="solid">
        <fgColor theme="0" tint="-0.249977111117893"/>
        <bgColor indexed="0"/>
      </patternFill>
    </fill>
    <fill>
      <patternFill patternType="solid">
        <fgColor theme="5" tint="0.79998168889431442"/>
        <bgColor indexed="64"/>
      </patternFill>
    </fill>
    <fill>
      <patternFill patternType="solid">
        <fgColor theme="3"/>
        <bgColor rgb="FF000000"/>
      </patternFill>
    </fill>
    <fill>
      <patternFill patternType="solid">
        <fgColor theme="5" tint="0.39997558519241921"/>
        <bgColor indexed="64"/>
      </patternFill>
    </fill>
    <fill>
      <patternFill patternType="solid">
        <fgColor theme="0" tint="-0.34998626667073579"/>
        <bgColor indexed="64"/>
      </patternFill>
    </fill>
    <fill>
      <patternFill patternType="solid">
        <fgColor rgb="FF00B0F0"/>
        <bgColor indexed="64"/>
      </patternFill>
    </fill>
    <fill>
      <patternFill patternType="solid">
        <fgColor theme="2" tint="-0.249977111117893"/>
        <bgColor indexed="64"/>
      </patternFill>
    </fill>
  </fills>
  <borders count="138">
    <border>
      <left/>
      <right/>
      <top/>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
      <left/>
      <right/>
      <top style="medium">
        <color theme="3"/>
      </top>
      <bottom/>
      <diagonal/>
    </border>
    <border>
      <left style="thin">
        <color rgb="FFB2B2B2"/>
      </left>
      <right style="thin">
        <color rgb="FFB2B2B2"/>
      </right>
      <top/>
      <bottom style="thin">
        <color rgb="FFB2B2B2"/>
      </bottom>
      <diagonal/>
    </border>
    <border>
      <left style="thin">
        <color rgb="FFB2B2B2"/>
      </left>
      <right style="thin">
        <color rgb="FFB2B2B2"/>
      </right>
      <top style="thin">
        <color rgb="FFB2B2B2"/>
      </top>
      <bottom/>
      <diagonal/>
    </border>
    <border>
      <left/>
      <right style="thin">
        <color rgb="FFB2B2B2"/>
      </right>
      <top style="thin">
        <color rgb="FFB2B2B2"/>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3"/>
      </left>
      <right style="thin">
        <color theme="3"/>
      </right>
      <top style="thin">
        <color theme="3"/>
      </top>
      <bottom style="thin">
        <color theme="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034E6E"/>
      </left>
      <right style="thin">
        <color rgb="FF034E6E"/>
      </right>
      <top style="thin">
        <color rgb="FF034E6E"/>
      </top>
      <bottom style="thin">
        <color rgb="FF034E6E"/>
      </bottom>
      <diagonal/>
    </border>
    <border>
      <left style="thin">
        <color rgb="FF808080"/>
      </left>
      <right style="thin">
        <color rgb="FF808080"/>
      </right>
      <top style="thin">
        <color rgb="FF808080"/>
      </top>
      <bottom style="thin">
        <color rgb="FF808080"/>
      </bottom>
      <diagonal/>
    </border>
    <border>
      <left style="thin">
        <color theme="3"/>
      </left>
      <right/>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right/>
      <top/>
      <bottom style="medium">
        <color theme="3"/>
      </bottom>
      <diagonal/>
    </border>
    <border>
      <left/>
      <right/>
      <top/>
      <bottom style="medium">
        <color theme="4"/>
      </bottom>
      <diagonal/>
    </border>
    <border>
      <left/>
      <right/>
      <top/>
      <bottom style="medium">
        <color theme="3" tint="0.39994506668294322"/>
      </bottom>
      <diagonal/>
    </border>
    <border>
      <left/>
      <right/>
      <top style="thin">
        <color theme="3"/>
      </top>
      <bottom style="double">
        <color theme="3"/>
      </bottom>
      <diagonal/>
    </border>
    <border>
      <left style="thin">
        <color theme="3"/>
      </left>
      <right style="thin">
        <color theme="3"/>
      </right>
      <top/>
      <bottom/>
      <diagonal/>
    </border>
    <border>
      <left style="thin">
        <color rgb="FF7F7F7F"/>
      </left>
      <right style="thin">
        <color rgb="FF7F7F7F"/>
      </right>
      <top style="thin">
        <color rgb="FF7F7F7F"/>
      </top>
      <bottom style="thin">
        <color rgb="FF7F7F7F"/>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style="thin">
        <color auto="1"/>
      </right>
      <top/>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bottom style="medium">
        <color auto="1"/>
      </bottom>
      <diagonal/>
    </border>
    <border>
      <left/>
      <right/>
      <top style="medium">
        <color auto="1"/>
      </top>
      <bottom/>
      <diagonal/>
    </border>
    <border>
      <left/>
      <right/>
      <top style="thin">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rgb="FF808080"/>
      </left>
      <right style="thin">
        <color rgb="FF808080"/>
      </right>
      <top/>
      <bottom/>
      <diagonal/>
    </border>
    <border>
      <left/>
      <right/>
      <top style="thin">
        <color rgb="FF808080"/>
      </top>
      <bottom style="thin">
        <color indexed="64"/>
      </bottom>
      <diagonal/>
    </border>
    <border>
      <left style="thin">
        <color theme="3"/>
      </left>
      <right/>
      <top/>
      <bottom style="thin">
        <color theme="3"/>
      </bottom>
      <diagonal/>
    </border>
    <border>
      <left style="thin">
        <color theme="3"/>
      </left>
      <right style="thin">
        <color theme="3"/>
      </right>
      <top/>
      <bottom style="thin">
        <color theme="3"/>
      </bottom>
      <diagonal/>
    </border>
    <border>
      <left style="thin">
        <color theme="0" tint="-0.499984740745262"/>
      </left>
      <right style="thin">
        <color theme="0" tint="-0.499984740745262"/>
      </right>
      <top style="thin">
        <color theme="0" tint="-0.499984740745262"/>
      </top>
      <bottom/>
      <diagonal/>
    </border>
    <border>
      <left style="thin">
        <color rgb="FF808080"/>
      </left>
      <right style="thin">
        <color rgb="FF808080"/>
      </right>
      <top/>
      <bottom style="thin">
        <color rgb="FF808080"/>
      </bottom>
      <diagonal/>
    </border>
    <border>
      <left style="thin">
        <color theme="0" tint="-0.499984740745262"/>
      </left>
      <right style="thin">
        <color theme="0" tint="-0.499984740745262"/>
      </right>
      <top/>
      <bottom style="thin">
        <color theme="0" tint="-0.499984740745262"/>
      </bottom>
      <diagonal/>
    </border>
    <border>
      <left style="thin">
        <color theme="3"/>
      </left>
      <right style="thin">
        <color theme="3"/>
      </right>
      <top style="thin">
        <color theme="3"/>
      </top>
      <bottom/>
      <diagonal/>
    </border>
    <border>
      <left/>
      <right style="thin">
        <color theme="3"/>
      </right>
      <top style="thin">
        <color theme="3"/>
      </top>
      <bottom style="thin">
        <color theme="3"/>
      </bottom>
      <diagonal/>
    </border>
    <border>
      <left/>
      <right style="thin">
        <color theme="0" tint="-0.499984740745262"/>
      </right>
      <top style="thin">
        <color theme="0" tint="-0.499984740745262"/>
      </top>
      <bottom style="thin">
        <color theme="0" tint="-0.499984740745262"/>
      </bottom>
      <diagonal/>
    </border>
    <border>
      <left/>
      <right style="thin">
        <color rgb="FFB2B2B2"/>
      </right>
      <top/>
      <bottom/>
      <diagonal/>
    </border>
    <border>
      <left style="thin">
        <color rgb="FFB2B2B2"/>
      </left>
      <right/>
      <top style="thin">
        <color rgb="FFB2B2B2"/>
      </top>
      <bottom/>
      <diagonal/>
    </border>
    <border>
      <left style="thin">
        <color rgb="FF034E6E"/>
      </left>
      <right style="thin">
        <color rgb="FF034E6E"/>
      </right>
      <top style="thin">
        <color rgb="FF034E6E"/>
      </top>
      <bottom/>
      <diagonal/>
    </border>
    <border>
      <left/>
      <right/>
      <top/>
      <bottom style="thick">
        <color theme="4"/>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style="thin">
        <color theme="0" tint="-0.499984740745262"/>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3"/>
      </right>
      <top style="medium">
        <color indexed="64"/>
      </top>
      <bottom style="thin">
        <color theme="3"/>
      </bottom>
      <diagonal/>
    </border>
    <border>
      <left style="thin">
        <color theme="3"/>
      </left>
      <right style="medium">
        <color indexed="64"/>
      </right>
      <top style="medium">
        <color indexed="64"/>
      </top>
      <bottom style="thin">
        <color theme="3"/>
      </bottom>
      <diagonal/>
    </border>
    <border>
      <left style="medium">
        <color indexed="64"/>
      </left>
      <right style="thin">
        <color theme="0" tint="-0.499984740745262"/>
      </right>
      <top style="medium">
        <color indexed="64"/>
      </top>
      <bottom style="medium">
        <color indexed="64"/>
      </bottom>
      <diagonal/>
    </border>
    <border>
      <left style="thin">
        <color theme="0" tint="-0.499984740745262"/>
      </left>
      <right style="thin">
        <color theme="0" tint="-0.499984740745262"/>
      </right>
      <top style="medium">
        <color indexed="64"/>
      </top>
      <bottom style="medium">
        <color indexed="64"/>
      </bottom>
      <diagonal/>
    </border>
    <border>
      <left style="thin">
        <color theme="0" tint="-0.499984740745262"/>
      </left>
      <right style="medium">
        <color indexed="64"/>
      </right>
      <top style="medium">
        <color indexed="64"/>
      </top>
      <bottom style="medium">
        <color indexed="64"/>
      </bottom>
      <diagonal/>
    </border>
    <border>
      <left style="thin">
        <color theme="0" tint="-0.499984740745262"/>
      </left>
      <right/>
      <top style="medium">
        <color indexed="64"/>
      </top>
      <bottom style="medium">
        <color indexed="64"/>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thin">
        <color theme="0" tint="-0.499984740745262"/>
      </left>
      <right style="medium">
        <color indexed="64"/>
      </right>
      <top/>
      <bottom style="medium">
        <color indexed="64"/>
      </bottom>
      <diagonal/>
    </border>
    <border>
      <left style="medium">
        <color indexed="64"/>
      </left>
      <right style="thin">
        <color theme="3"/>
      </right>
      <top style="medium">
        <color indexed="64"/>
      </top>
      <bottom style="medium">
        <color indexed="64"/>
      </bottom>
      <diagonal/>
    </border>
    <border>
      <left style="thin">
        <color theme="3"/>
      </left>
      <right style="thin">
        <color theme="3"/>
      </right>
      <top style="medium">
        <color indexed="64"/>
      </top>
      <bottom style="medium">
        <color indexed="64"/>
      </bottom>
      <diagonal/>
    </border>
    <border>
      <left style="thin">
        <color theme="3"/>
      </left>
      <right style="medium">
        <color indexed="64"/>
      </right>
      <top style="medium">
        <color indexed="64"/>
      </top>
      <bottom style="medium">
        <color indexed="64"/>
      </bottom>
      <diagonal/>
    </border>
    <border>
      <left style="thin">
        <color rgb="FF315361"/>
      </left>
      <right style="thin">
        <color rgb="FF315361"/>
      </right>
      <top style="thin">
        <color rgb="FF315361"/>
      </top>
      <bottom style="thin">
        <color rgb="FF315361"/>
      </bottom>
      <diagonal/>
    </border>
    <border>
      <left style="thin">
        <color theme="3"/>
      </left>
      <right style="thin">
        <color theme="3"/>
      </right>
      <top style="thin">
        <color theme="3"/>
      </top>
      <bottom style="medium">
        <color theme="3"/>
      </bottom>
      <diagonal/>
    </border>
    <border>
      <left style="thin">
        <color theme="0" tint="-0.249977111117893"/>
      </left>
      <right style="thin">
        <color theme="0" tint="-0.249977111117893"/>
      </right>
      <top style="thin">
        <color theme="0" tint="-0.249977111117893"/>
      </top>
      <bottom/>
      <diagonal/>
    </border>
    <border>
      <left style="thin">
        <color rgb="FFB2B2B2"/>
      </left>
      <right style="thin">
        <color rgb="FFB2B2B2"/>
      </right>
      <top/>
      <bottom/>
      <diagonal/>
    </border>
    <border>
      <left/>
      <right style="thin">
        <color theme="3"/>
      </right>
      <top style="thin">
        <color theme="3"/>
      </top>
      <bottom/>
      <diagonal/>
    </border>
    <border>
      <left style="thin">
        <color theme="0" tint="-0.499984740745262"/>
      </left>
      <right style="medium">
        <color indexed="64"/>
      </right>
      <top style="thin">
        <color indexed="64"/>
      </top>
      <bottom style="thin">
        <color theme="0" tint="-0.499984740745262"/>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style="thin">
        <color theme="3"/>
      </left>
      <right style="thin">
        <color theme="3"/>
      </right>
      <top style="thin">
        <color theme="3"/>
      </top>
      <bottom style="medium">
        <color indexed="64"/>
      </bottom>
      <diagonal/>
    </border>
    <border>
      <left style="thin">
        <color theme="3"/>
      </left>
      <right style="thin">
        <color theme="3"/>
      </right>
      <top/>
      <bottom style="medium">
        <color indexed="64"/>
      </bottom>
      <diagonal/>
    </border>
    <border>
      <left style="thin">
        <color indexed="64"/>
      </left>
      <right style="thin">
        <color theme="3"/>
      </right>
      <top style="thin">
        <color theme="3"/>
      </top>
      <bottom style="medium">
        <color indexed="64"/>
      </bottom>
      <diagonal/>
    </border>
    <border>
      <left style="thin">
        <color theme="3"/>
      </left>
      <right style="thin">
        <color indexed="64"/>
      </right>
      <top style="thin">
        <color theme="3"/>
      </top>
      <bottom style="medium">
        <color indexed="64"/>
      </bottom>
      <diagonal/>
    </border>
    <border>
      <left style="thin">
        <color theme="0" tint="-0.499984740745262"/>
      </left>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auto="1"/>
      </left>
      <right/>
      <top/>
      <bottom style="medium">
        <color auto="1"/>
      </bottom>
      <diagonal/>
    </border>
    <border>
      <left style="thin">
        <color auto="1"/>
      </left>
      <right/>
      <top style="thin">
        <color auto="1"/>
      </top>
      <bottom style="medium">
        <color auto="1"/>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ck">
        <color theme="4"/>
      </top>
      <bottom style="medium">
        <color indexed="64"/>
      </bottom>
      <diagonal/>
    </border>
    <border>
      <left/>
      <right style="medium">
        <color indexed="64"/>
      </right>
      <top style="thick">
        <color theme="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top style="thin">
        <color auto="1"/>
      </top>
      <bottom/>
      <diagonal/>
    </border>
    <border>
      <left/>
      <right style="thin">
        <color indexed="64"/>
      </right>
      <top style="thin">
        <color indexed="64"/>
      </top>
      <bottom/>
      <diagonal/>
    </border>
    <border>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thin">
        <color indexed="64"/>
      </right>
      <top/>
      <bottom/>
      <diagonal/>
    </border>
    <border>
      <left style="medium">
        <color indexed="64"/>
      </left>
      <right/>
      <top style="thin">
        <color auto="1"/>
      </top>
      <bottom/>
      <diagonal/>
    </border>
    <border>
      <left style="thin">
        <color auto="1"/>
      </left>
      <right style="medium">
        <color auto="1"/>
      </right>
      <top/>
      <bottom/>
      <diagonal/>
    </border>
    <border>
      <left/>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auto="1"/>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auto="1"/>
      </top>
      <bottom/>
      <diagonal/>
    </border>
    <border>
      <left style="thin">
        <color indexed="64"/>
      </left>
      <right style="thin">
        <color indexed="64"/>
      </right>
      <top style="thin">
        <color indexed="64"/>
      </top>
      <bottom style="thin">
        <color indexed="64"/>
      </bottom>
      <diagonal/>
    </border>
    <border>
      <left style="thin">
        <color rgb="FF808080"/>
      </left>
      <right/>
      <top style="thin">
        <color rgb="FF808080"/>
      </top>
      <bottom style="thin">
        <color rgb="FF808080"/>
      </bottom>
      <diagonal/>
    </border>
    <border>
      <left style="thin">
        <color rgb="FF808080"/>
      </left>
      <right style="thin">
        <color indexed="64"/>
      </right>
      <top style="thin">
        <color rgb="FF808080"/>
      </top>
      <bottom style="thin">
        <color rgb="FF808080"/>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thin">
        <color auto="1"/>
      </top>
      <bottom style="thin">
        <color auto="1"/>
      </bottom>
      <diagonal/>
    </border>
  </borders>
  <cellStyleXfs count="51">
    <xf numFmtId="0" fontId="0" fillId="0" borderId="0"/>
    <xf numFmtId="9" fontId="4" fillId="0" borderId="0" applyFont="0" applyFill="0" applyBorder="0" applyAlignment="0" applyProtection="0"/>
    <xf numFmtId="0" fontId="4" fillId="3" borderId="2" applyNumberFormat="0" applyFont="0" applyAlignment="0" applyProtection="0"/>
    <xf numFmtId="0" fontId="8" fillId="0" borderId="0" applyNumberFormat="0" applyFill="0" applyBorder="0" applyAlignment="0" applyProtection="0"/>
    <xf numFmtId="43" fontId="4" fillId="0" borderId="0" applyFont="0" applyFill="0" applyBorder="0" applyAlignment="0" applyProtection="0"/>
    <xf numFmtId="0" fontId="14" fillId="2" borderId="8" applyNumberFormat="0">
      <alignment vertical="center"/>
    </xf>
    <xf numFmtId="0" fontId="15" fillId="10" borderId="9" applyNumberFormat="0">
      <alignment vertical="center"/>
    </xf>
    <xf numFmtId="0" fontId="16" fillId="12" borderId="9" applyNumberFormat="0">
      <alignment vertical="center"/>
    </xf>
    <xf numFmtId="0" fontId="84" fillId="7" borderId="9" applyAlignment="0">
      <alignment horizontal="left"/>
    </xf>
    <xf numFmtId="0" fontId="4" fillId="0" borderId="0"/>
    <xf numFmtId="37" fontId="22" fillId="0" borderId="0"/>
    <xf numFmtId="0" fontId="4" fillId="0" borderId="0"/>
    <xf numFmtId="0" fontId="20" fillId="13" borderId="9" applyNumberFormat="0">
      <alignment vertical="center"/>
    </xf>
    <xf numFmtId="0" fontId="4" fillId="0" borderId="0"/>
    <xf numFmtId="44" fontId="4" fillId="0" borderId="0" applyFont="0" applyFill="0" applyBorder="0" applyAlignment="0" applyProtection="0"/>
    <xf numFmtId="0" fontId="27" fillId="15" borderId="0" applyNumberFormat="0" applyBorder="0" applyProtection="0">
      <alignment vertical="center"/>
    </xf>
    <xf numFmtId="0" fontId="16" fillId="18" borderId="9" applyNumberFormat="0">
      <alignment vertical="center"/>
    </xf>
    <xf numFmtId="0" fontId="16" fillId="19" borderId="9" applyNumberFormat="0">
      <alignment vertical="center"/>
    </xf>
    <xf numFmtId="0" fontId="28" fillId="17" borderId="14" applyNumberFormat="0">
      <alignment vertical="center"/>
    </xf>
    <xf numFmtId="43" fontId="29" fillId="0" borderId="0" applyFont="0" applyFill="0" applyBorder="0" applyAlignment="0" applyProtection="0">
      <protection locked="0"/>
    </xf>
    <xf numFmtId="44" fontId="15" fillId="0" borderId="0" applyFont="0" applyFill="0" applyBorder="0" applyAlignment="0" applyProtection="0">
      <protection locked="0"/>
    </xf>
    <xf numFmtId="170" fontId="15" fillId="0" borderId="0" applyFont="0" applyFill="0" applyBorder="0" applyProtection="0">
      <alignment vertical="center"/>
      <protection locked="0"/>
    </xf>
    <xf numFmtId="0" fontId="30" fillId="0" borderId="0" applyNumberFormat="0" applyFill="0" applyBorder="0" applyAlignment="0"/>
    <xf numFmtId="0" fontId="31" fillId="14" borderId="0" applyNumberFormat="0" applyBorder="0" applyProtection="0">
      <alignment vertical="center"/>
    </xf>
    <xf numFmtId="0" fontId="32" fillId="0" borderId="15" applyNumberFormat="0" applyAlignment="0"/>
    <xf numFmtId="0" fontId="25" fillId="0" borderId="16" applyNumberFormat="0" applyAlignment="0">
      <alignment vertical="center"/>
    </xf>
    <xf numFmtId="0" fontId="26" fillId="0" borderId="17" applyNumberFormat="0" applyAlignment="0"/>
    <xf numFmtId="0" fontId="33" fillId="0" borderId="18" applyNumberFormat="0" applyAlignment="0"/>
    <xf numFmtId="0" fontId="34" fillId="20" borderId="9" applyNumberFormat="0" applyProtection="0">
      <alignment vertical="center"/>
    </xf>
    <xf numFmtId="0" fontId="35" fillId="0" borderId="13" applyNumberFormat="0">
      <alignment vertical="center"/>
    </xf>
    <xf numFmtId="0" fontId="36" fillId="16" borderId="0" applyNumberFormat="0" applyBorder="0" applyProtection="0">
      <alignment vertical="center"/>
    </xf>
    <xf numFmtId="0" fontId="15" fillId="0" borderId="0">
      <alignment vertical="center"/>
    </xf>
    <xf numFmtId="0" fontId="37" fillId="21" borderId="9" applyNumberFormat="0">
      <alignment vertical="center"/>
    </xf>
    <xf numFmtId="9" fontId="29" fillId="0" borderId="0" applyFont="0" applyFill="0" applyBorder="0" applyAlignment="0" applyProtection="0">
      <protection locked="0"/>
    </xf>
    <xf numFmtId="0" fontId="38" fillId="22" borderId="9" applyNumberFormat="0" applyAlignment="0" applyProtection="0">
      <alignment vertical="center"/>
    </xf>
    <xf numFmtId="0" fontId="97" fillId="4" borderId="9" applyNumberFormat="0">
      <alignment vertical="center"/>
    </xf>
    <xf numFmtId="0" fontId="39" fillId="0" borderId="16" applyNumberFormat="0" applyAlignment="0"/>
    <xf numFmtId="0" fontId="40" fillId="0" borderId="19" applyNumberFormat="0">
      <alignment vertical="center"/>
    </xf>
    <xf numFmtId="0" fontId="41" fillId="0" borderId="0" applyNumberFormat="0" applyFill="0" applyBorder="0">
      <alignment vertical="center"/>
    </xf>
    <xf numFmtId="0" fontId="43" fillId="0" borderId="0"/>
    <xf numFmtId="0" fontId="46" fillId="24" borderId="21" applyNumberFormat="0" applyAlignment="0" applyProtection="0"/>
    <xf numFmtId="0" fontId="47" fillId="25" borderId="21" applyNumberFormat="0" applyAlignment="0" applyProtection="0"/>
    <xf numFmtId="0" fontId="51" fillId="0" borderId="0"/>
    <xf numFmtId="43" fontId="51" fillId="0" borderId="0" applyFont="0" applyFill="0" applyBorder="0" applyAlignment="0" applyProtection="0"/>
    <xf numFmtId="0" fontId="52" fillId="0" borderId="0" applyNumberFormat="0" applyFill="0" applyBorder="0" applyAlignment="0" applyProtection="0">
      <alignment vertical="top"/>
      <protection locked="0"/>
    </xf>
    <xf numFmtId="9" fontId="51" fillId="0" borderId="0" applyFont="0" applyFill="0" applyBorder="0" applyAlignment="0" applyProtection="0"/>
    <xf numFmtId="0" fontId="51" fillId="0" borderId="0"/>
    <xf numFmtId="0" fontId="88" fillId="0" borderId="62" applyNumberFormat="0" applyFill="0" applyAlignment="0" applyProtection="0"/>
    <xf numFmtId="0" fontId="89" fillId="0" borderId="0" applyNumberFormat="0" applyFill="0" applyBorder="0" applyAlignment="0" applyProtection="0"/>
    <xf numFmtId="0" fontId="53" fillId="0" borderId="9" applyNumberFormat="0">
      <alignment vertical="center"/>
    </xf>
    <xf numFmtId="182" fontId="102" fillId="46" borderId="9">
      <alignment vertical="center"/>
    </xf>
  </cellStyleXfs>
  <cellXfs count="831">
    <xf numFmtId="0" fontId="0" fillId="0" borderId="0" xfId="0"/>
    <xf numFmtId="0" fontId="6" fillId="0" borderId="0" xfId="0" applyFont="1"/>
    <xf numFmtId="0" fontId="7" fillId="0" borderId="3" xfId="0" applyFont="1" applyBorder="1"/>
    <xf numFmtId="0" fontId="0" fillId="0" borderId="3" xfId="0" applyBorder="1"/>
    <xf numFmtId="0" fontId="2" fillId="0" borderId="0" xfId="0" applyFont="1"/>
    <xf numFmtId="0" fontId="5" fillId="2" borderId="0" xfId="0" applyFont="1" applyFill="1"/>
    <xf numFmtId="0" fontId="3" fillId="0" borderId="0" xfId="0" applyFont="1"/>
    <xf numFmtId="0" fontId="0" fillId="6" borderId="0" xfId="0" applyFill="1"/>
    <xf numFmtId="0" fontId="12" fillId="0" borderId="0" xfId="0" applyFont="1"/>
    <xf numFmtId="0" fontId="11" fillId="0" borderId="3" xfId="0" applyFont="1" applyBorder="1"/>
    <xf numFmtId="0" fontId="13" fillId="0" borderId="0" xfId="3" applyFont="1"/>
    <xf numFmtId="165" fontId="0" fillId="0" borderId="0" xfId="0" applyNumberFormat="1" applyAlignment="1">
      <alignment horizontal="center"/>
    </xf>
    <xf numFmtId="0" fontId="0" fillId="0" borderId="0" xfId="0" applyAlignment="1">
      <alignment wrapText="1"/>
    </xf>
    <xf numFmtId="0" fontId="0" fillId="0" borderId="3" xfId="0" applyBorder="1" applyAlignment="1">
      <alignment wrapText="1"/>
    </xf>
    <xf numFmtId="0" fontId="0" fillId="6" borderId="0" xfId="0" applyFill="1" applyAlignment="1">
      <alignment vertical="top"/>
    </xf>
    <xf numFmtId="0" fontId="14" fillId="2" borderId="8" xfId="5">
      <alignment vertical="center"/>
    </xf>
    <xf numFmtId="0" fontId="15" fillId="0" borderId="0" xfId="0" applyFont="1" applyAlignment="1">
      <alignment vertical="center"/>
    </xf>
    <xf numFmtId="0" fontId="9" fillId="0" borderId="0" xfId="0" applyFont="1"/>
    <xf numFmtId="0" fontId="9" fillId="0" borderId="0" xfId="0" applyFont="1" applyAlignment="1">
      <alignment horizontal="center"/>
    </xf>
    <xf numFmtId="0" fontId="11" fillId="0" borderId="0" xfId="0" applyFont="1"/>
    <xf numFmtId="164" fontId="0" fillId="0" borderId="0" xfId="0" applyNumberFormat="1"/>
    <xf numFmtId="0" fontId="21" fillId="0" borderId="0" xfId="0" applyFont="1"/>
    <xf numFmtId="0" fontId="2" fillId="0" borderId="0" xfId="2" applyFont="1" applyFill="1" applyBorder="1"/>
    <xf numFmtId="43" fontId="0" fillId="0" borderId="0" xfId="4" applyFont="1"/>
    <xf numFmtId="165" fontId="9" fillId="0" borderId="0" xfId="0" applyNumberFormat="1" applyFont="1"/>
    <xf numFmtId="43" fontId="9" fillId="0" borderId="0" xfId="4" applyFont="1" applyAlignment="1">
      <alignment horizontal="center"/>
    </xf>
    <xf numFmtId="9" fontId="23" fillId="4" borderId="9" xfId="1" applyFont="1" applyFill="1" applyBorder="1" applyAlignment="1">
      <alignment vertical="center"/>
    </xf>
    <xf numFmtId="0" fontId="14" fillId="2" borderId="20" xfId="5" applyBorder="1">
      <alignment vertical="center"/>
    </xf>
    <xf numFmtId="43" fontId="9" fillId="0" borderId="0" xfId="0" applyNumberFormat="1" applyFont="1"/>
    <xf numFmtId="44" fontId="0" fillId="0" borderId="0" xfId="14" applyFont="1"/>
    <xf numFmtId="0" fontId="23" fillId="0" borderId="0" xfId="35" applyFont="1" applyFill="1" applyBorder="1">
      <alignment vertical="center"/>
    </xf>
    <xf numFmtId="43" fontId="9" fillId="0" borderId="0" xfId="4" applyFont="1" applyFill="1" applyBorder="1" applyAlignment="1">
      <alignment horizontal="center"/>
    </xf>
    <xf numFmtId="43" fontId="0" fillId="0" borderId="0" xfId="0" applyNumberFormat="1"/>
    <xf numFmtId="9" fontId="0" fillId="0" borderId="0" xfId="1" applyFont="1"/>
    <xf numFmtId="44" fontId="9" fillId="0" borderId="0" xfId="14" applyFont="1"/>
    <xf numFmtId="0" fontId="14" fillId="2" borderId="8" xfId="5" applyAlignment="1">
      <alignment vertical="center" wrapText="1"/>
    </xf>
    <xf numFmtId="9" fontId="9" fillId="0" borderId="0" xfId="1" applyFont="1"/>
    <xf numFmtId="0" fontId="0" fillId="4" borderId="8" xfId="0" applyFill="1" applyBorder="1"/>
    <xf numFmtId="43" fontId="0" fillId="0" borderId="3" xfId="0" applyNumberFormat="1" applyBorder="1"/>
    <xf numFmtId="168" fontId="0" fillId="0" borderId="0" xfId="0" applyNumberFormat="1"/>
    <xf numFmtId="2" fontId="0" fillId="0" borderId="0" xfId="0" applyNumberFormat="1"/>
    <xf numFmtId="0" fontId="53" fillId="28" borderId="0" xfId="42" applyFont="1" applyFill="1" applyAlignment="1">
      <alignment horizontal="center"/>
    </xf>
    <xf numFmtId="0" fontId="53" fillId="6" borderId="0" xfId="42" applyFont="1" applyFill="1" applyAlignment="1">
      <alignment horizontal="center" vertical="center"/>
    </xf>
    <xf numFmtId="0" fontId="53" fillId="0" borderId="0" xfId="42" applyFont="1" applyAlignment="1">
      <alignment horizontal="center" vertical="center"/>
    </xf>
    <xf numFmtId="0" fontId="55" fillId="28" borderId="0" xfId="42" applyFont="1" applyFill="1" applyAlignment="1">
      <alignment vertical="center"/>
    </xf>
    <xf numFmtId="0" fontId="56" fillId="28" borderId="0" xfId="42" applyFont="1" applyFill="1"/>
    <xf numFmtId="0" fontId="57" fillId="30" borderId="22" xfId="42" applyFont="1" applyFill="1" applyBorder="1" applyAlignment="1">
      <alignment horizontal="center" vertical="center"/>
    </xf>
    <xf numFmtId="0" fontId="57" fillId="30" borderId="23" xfId="42" applyFont="1" applyFill="1" applyBorder="1" applyAlignment="1">
      <alignment horizontal="center" vertical="center"/>
    </xf>
    <xf numFmtId="0" fontId="53" fillId="28" borderId="24" xfId="42" applyFont="1" applyFill="1" applyBorder="1" applyAlignment="1">
      <alignment horizontal="center" vertical="center"/>
    </xf>
    <xf numFmtId="168" fontId="53" fillId="28" borderId="25" xfId="42" applyNumberFormat="1" applyFont="1" applyFill="1" applyBorder="1" applyAlignment="1">
      <alignment horizontal="center" vertical="center"/>
    </xf>
    <xf numFmtId="0" fontId="53" fillId="28" borderId="0" xfId="42" applyFont="1" applyFill="1" applyAlignment="1">
      <alignment vertical="center"/>
    </xf>
    <xf numFmtId="0" fontId="57" fillId="33" borderId="24" xfId="42" applyFont="1" applyFill="1" applyBorder="1" applyAlignment="1">
      <alignment horizontal="center" vertical="center"/>
    </xf>
    <xf numFmtId="0" fontId="57" fillId="33" borderId="26" xfId="42" applyFont="1" applyFill="1" applyBorder="1" applyAlignment="1">
      <alignment horizontal="center" vertical="center" wrapText="1"/>
    </xf>
    <xf numFmtId="0" fontId="57" fillId="33" borderId="25" xfId="42" applyFont="1" applyFill="1" applyBorder="1" applyAlignment="1">
      <alignment horizontal="center" vertical="center" wrapText="1"/>
    </xf>
    <xf numFmtId="0" fontId="59" fillId="28" borderId="0" xfId="42" applyFont="1" applyFill="1"/>
    <xf numFmtId="0" fontId="53" fillId="28" borderId="0" xfId="42" applyFont="1" applyFill="1" applyAlignment="1">
      <alignment horizontal="center" vertical="center" wrapText="1"/>
    </xf>
    <xf numFmtId="0" fontId="57" fillId="34" borderId="27" xfId="42" applyFont="1" applyFill="1" applyBorder="1" applyAlignment="1">
      <alignment horizontal="center" vertical="center" wrapText="1"/>
    </xf>
    <xf numFmtId="0" fontId="57" fillId="34" borderId="0" xfId="42" applyFont="1" applyFill="1" applyAlignment="1">
      <alignment horizontal="center" vertical="center" wrapText="1"/>
    </xf>
    <xf numFmtId="0" fontId="57" fillId="34" borderId="28" xfId="42" applyFont="1" applyFill="1" applyBorder="1" applyAlignment="1">
      <alignment horizontal="center" vertical="center" wrapText="1"/>
    </xf>
    <xf numFmtId="175" fontId="53" fillId="28" borderId="0" xfId="42" applyNumberFormat="1" applyFont="1" applyFill="1"/>
    <xf numFmtId="169" fontId="53" fillId="28" borderId="0" xfId="42" applyNumberFormat="1" applyFont="1" applyFill="1"/>
    <xf numFmtId="0" fontId="57" fillId="33" borderId="29" xfId="42" applyFont="1" applyFill="1" applyBorder="1" applyAlignment="1">
      <alignment horizontal="center"/>
    </xf>
    <xf numFmtId="169" fontId="57" fillId="34" borderId="0" xfId="43" applyNumberFormat="1" applyFont="1" applyFill="1"/>
    <xf numFmtId="168" fontId="57" fillId="34" borderId="0" xfId="43" applyNumberFormat="1" applyFont="1" applyFill="1"/>
    <xf numFmtId="174" fontId="57" fillId="34" borderId="0" xfId="43" applyNumberFormat="1" applyFont="1" applyFill="1"/>
    <xf numFmtId="168" fontId="57" fillId="34" borderId="28" xfId="43" applyNumberFormat="1" applyFont="1" applyFill="1" applyBorder="1"/>
    <xf numFmtId="168" fontId="57" fillId="34" borderId="0" xfId="42" applyNumberFormat="1" applyFont="1" applyFill="1"/>
    <xf numFmtId="168" fontId="57" fillId="34" borderId="28" xfId="42" applyNumberFormat="1" applyFont="1" applyFill="1" applyBorder="1"/>
    <xf numFmtId="169" fontId="61" fillId="34" borderId="0" xfId="43" applyNumberFormat="1" applyFont="1" applyFill="1"/>
    <xf numFmtId="174" fontId="53" fillId="34" borderId="0" xfId="43" applyNumberFormat="1" applyFont="1" applyFill="1"/>
    <xf numFmtId="0" fontId="53" fillId="34" borderId="0" xfId="42" applyFont="1" applyFill="1"/>
    <xf numFmtId="0" fontId="53" fillId="34" borderId="28" xfId="42" applyFont="1" applyFill="1" applyBorder="1"/>
    <xf numFmtId="43" fontId="53" fillId="28" borderId="0" xfId="42" applyNumberFormat="1" applyFont="1" applyFill="1"/>
    <xf numFmtId="43" fontId="57" fillId="33" borderId="29" xfId="43" applyFont="1" applyFill="1" applyBorder="1" applyAlignment="1">
      <alignment horizontal="center"/>
    </xf>
    <xf numFmtId="171" fontId="53" fillId="34" borderId="0" xfId="43" applyNumberFormat="1" applyFont="1" applyFill="1"/>
    <xf numFmtId="172" fontId="57" fillId="34" borderId="0" xfId="43" applyNumberFormat="1" applyFont="1" applyFill="1"/>
    <xf numFmtId="171" fontId="57" fillId="34" borderId="0" xfId="43" applyNumberFormat="1" applyFont="1" applyFill="1"/>
    <xf numFmtId="171" fontId="57" fillId="34" borderId="28" xfId="43" applyNumberFormat="1" applyFont="1" applyFill="1" applyBorder="1"/>
    <xf numFmtId="169" fontId="53" fillId="34" borderId="0" xfId="43" applyNumberFormat="1" applyFont="1" applyFill="1"/>
    <xf numFmtId="0" fontId="53" fillId="28" borderId="0" xfId="42" applyFont="1" applyFill="1" applyAlignment="1">
      <alignment horizontal="center" vertical="center"/>
    </xf>
    <xf numFmtId="0" fontId="53" fillId="34" borderId="0" xfId="42" applyFont="1" applyFill="1" applyAlignment="1">
      <alignment vertical="center"/>
    </xf>
    <xf numFmtId="0" fontId="53" fillId="34" borderId="28" xfId="42" applyFont="1" applyFill="1" applyBorder="1" applyAlignment="1">
      <alignment vertical="center"/>
    </xf>
    <xf numFmtId="43" fontId="53" fillId="34" borderId="0" xfId="42" applyNumberFormat="1" applyFont="1" applyFill="1" applyAlignment="1">
      <alignment vertical="center"/>
    </xf>
    <xf numFmtId="0" fontId="60" fillId="28" borderId="0" xfId="42" applyFont="1" applyFill="1" applyAlignment="1">
      <alignment vertical="center"/>
    </xf>
    <xf numFmtId="43" fontId="53" fillId="28" borderId="0" xfId="42" applyNumberFormat="1" applyFont="1" applyFill="1" applyAlignment="1">
      <alignment vertical="center"/>
    </xf>
    <xf numFmtId="0" fontId="62" fillId="28" borderId="0" xfId="44" applyFont="1" applyFill="1" applyAlignment="1" applyProtection="1"/>
    <xf numFmtId="0" fontId="53" fillId="6" borderId="0" xfId="42" applyFont="1" applyFill="1"/>
    <xf numFmtId="0" fontId="57" fillId="30" borderId="31" xfId="42" applyFont="1" applyFill="1" applyBorder="1" applyAlignment="1">
      <alignment horizontal="center" vertical="top"/>
    </xf>
    <xf numFmtId="0" fontId="57" fillId="30" borderId="32" xfId="42" applyFont="1" applyFill="1" applyBorder="1" applyAlignment="1">
      <alignment horizontal="center" vertical="top" wrapText="1"/>
    </xf>
    <xf numFmtId="0" fontId="57" fillId="30" borderId="33" xfId="42" applyFont="1" applyFill="1" applyBorder="1" applyAlignment="1">
      <alignment horizontal="center" vertical="top" wrapText="1"/>
    </xf>
    <xf numFmtId="43" fontId="53" fillId="6" borderId="0" xfId="43" applyFont="1" applyFill="1"/>
    <xf numFmtId="11" fontId="53" fillId="6" borderId="0" xfId="42" applyNumberFormat="1" applyFont="1" applyFill="1"/>
    <xf numFmtId="0" fontId="57" fillId="28" borderId="0" xfId="42" applyFont="1" applyFill="1"/>
    <xf numFmtId="172" fontId="53" fillId="28" borderId="0" xfId="43" applyNumberFormat="1" applyFont="1" applyFill="1"/>
    <xf numFmtId="43" fontId="63" fillId="6" borderId="0" xfId="44" applyNumberFormat="1" applyFont="1" applyFill="1" applyAlignment="1" applyProtection="1"/>
    <xf numFmtId="0" fontId="53" fillId="6" borderId="0" xfId="42" applyFont="1" applyFill="1" applyAlignment="1">
      <alignment vertical="center"/>
    </xf>
    <xf numFmtId="0" fontId="57" fillId="34" borderId="31" xfId="42" applyFont="1" applyFill="1" applyBorder="1" applyAlignment="1">
      <alignment horizontal="center" vertical="center"/>
    </xf>
    <xf numFmtId="0" fontId="57" fillId="34" borderId="32" xfId="42" applyFont="1" applyFill="1" applyBorder="1" applyAlignment="1">
      <alignment horizontal="center" vertical="center"/>
    </xf>
    <xf numFmtId="0" fontId="57" fillId="34" borderId="32" xfId="42" applyFont="1" applyFill="1" applyBorder="1" applyAlignment="1">
      <alignment horizontal="center" vertical="center" wrapText="1"/>
    </xf>
    <xf numFmtId="0" fontId="57" fillId="34" borderId="33" xfId="42" applyFont="1" applyFill="1" applyBorder="1" applyAlignment="1">
      <alignment horizontal="center" vertical="center" wrapText="1"/>
    </xf>
    <xf numFmtId="175" fontId="56" fillId="28" borderId="0" xfId="42" applyNumberFormat="1" applyFont="1" applyFill="1"/>
    <xf numFmtId="0" fontId="53" fillId="28" borderId="34" xfId="42" applyFont="1" applyFill="1" applyBorder="1"/>
    <xf numFmtId="0" fontId="53" fillId="28" borderId="26" xfId="42" applyFont="1" applyFill="1" applyBorder="1" applyAlignment="1">
      <alignment horizontal="left"/>
    </xf>
    <xf numFmtId="175" fontId="53" fillId="0" borderId="26" xfId="43" applyNumberFormat="1" applyFont="1" applyBorder="1"/>
    <xf numFmtId="175" fontId="53" fillId="0" borderId="25" xfId="43" applyNumberFormat="1" applyFont="1" applyBorder="1"/>
    <xf numFmtId="0" fontId="53" fillId="28" borderId="27" xfId="42" applyFont="1" applyFill="1" applyBorder="1"/>
    <xf numFmtId="0" fontId="53" fillId="28" borderId="35" xfId="42" applyFont="1" applyFill="1" applyBorder="1"/>
    <xf numFmtId="175" fontId="64" fillId="28" borderId="26" xfId="43" applyNumberFormat="1" applyFont="1" applyFill="1" applyBorder="1" applyAlignment="1">
      <alignment horizontal="right"/>
    </xf>
    <xf numFmtId="175" fontId="64" fillId="28" borderId="25" xfId="43" applyNumberFormat="1" applyFont="1" applyFill="1" applyBorder="1" applyAlignment="1">
      <alignment horizontal="right"/>
    </xf>
    <xf numFmtId="0" fontId="57" fillId="34" borderId="37" xfId="42" applyFont="1" applyFill="1" applyBorder="1" applyAlignment="1">
      <alignment horizontal="center" vertical="center" wrapText="1"/>
    </xf>
    <xf numFmtId="0" fontId="53" fillId="28" borderId="0" xfId="42" applyFont="1" applyFill="1" applyAlignment="1">
      <alignment horizontal="left"/>
    </xf>
    <xf numFmtId="0" fontId="65" fillId="28" borderId="0" xfId="42" applyFont="1" applyFill="1"/>
    <xf numFmtId="0" fontId="53" fillId="28" borderId="28" xfId="42" applyFont="1" applyFill="1" applyBorder="1"/>
    <xf numFmtId="0" fontId="53" fillId="28" borderId="39" xfId="42" applyFont="1" applyFill="1" applyBorder="1"/>
    <xf numFmtId="0" fontId="53" fillId="34" borderId="39" xfId="42" applyFont="1" applyFill="1" applyBorder="1"/>
    <xf numFmtId="0" fontId="62" fillId="28" borderId="0" xfId="44" applyFont="1" applyFill="1" applyAlignment="1" applyProtection="1">
      <alignment vertical="center"/>
    </xf>
    <xf numFmtId="0" fontId="66" fillId="6" borderId="0" xfId="42" applyFont="1" applyFill="1" applyAlignment="1">
      <alignment horizontal="left" vertical="top"/>
    </xf>
    <xf numFmtId="0" fontId="57" fillId="34" borderId="31" xfId="42" applyFont="1" applyFill="1" applyBorder="1" applyAlignment="1">
      <alignment horizontal="center" vertical="center" wrapText="1"/>
    </xf>
    <xf numFmtId="0" fontId="53" fillId="28" borderId="1" xfId="42" applyFont="1" applyFill="1" applyBorder="1"/>
    <xf numFmtId="0" fontId="67" fillId="0" borderId="0" xfId="42" applyFont="1" applyAlignment="1">
      <alignment wrapText="1"/>
    </xf>
    <xf numFmtId="0" fontId="57" fillId="30" borderId="34" xfId="42" applyFont="1" applyFill="1" applyBorder="1"/>
    <xf numFmtId="0" fontId="57" fillId="30" borderId="25" xfId="42" applyFont="1" applyFill="1" applyBorder="1"/>
    <xf numFmtId="0" fontId="57" fillId="34" borderId="27" xfId="42" applyFont="1" applyFill="1" applyBorder="1" applyAlignment="1">
      <alignment horizontal="center"/>
    </xf>
    <xf numFmtId="0" fontId="57" fillId="34" borderId="35" xfId="42" applyFont="1" applyFill="1" applyBorder="1" applyAlignment="1">
      <alignment horizontal="center" wrapText="1"/>
    </xf>
    <xf numFmtId="0" fontId="57" fillId="34" borderId="43" xfId="42" applyFont="1" applyFill="1" applyBorder="1" applyAlignment="1">
      <alignment horizontal="center" wrapText="1"/>
    </xf>
    <xf numFmtId="0" fontId="57" fillId="34" borderId="36" xfId="42" applyFont="1" applyFill="1" applyBorder="1" applyAlignment="1">
      <alignment horizontal="center" vertical="center" wrapText="1"/>
    </xf>
    <xf numFmtId="0" fontId="57" fillId="34" borderId="39" xfId="42" applyFont="1" applyFill="1" applyBorder="1" applyAlignment="1">
      <alignment horizontal="center" vertical="center" wrapText="1"/>
    </xf>
    <xf numFmtId="0" fontId="57" fillId="34" borderId="43" xfId="42" applyFont="1" applyFill="1" applyBorder="1" applyAlignment="1">
      <alignment horizontal="center" vertical="center" wrapText="1"/>
    </xf>
    <xf numFmtId="0" fontId="53" fillId="28" borderId="40" xfId="42" applyFont="1" applyFill="1" applyBorder="1"/>
    <xf numFmtId="0" fontId="53" fillId="28" borderId="25" xfId="42" applyFont="1" applyFill="1" applyBorder="1"/>
    <xf numFmtId="174" fontId="64" fillId="0" borderId="24" xfId="43" applyNumberFormat="1" applyFont="1" applyBorder="1"/>
    <xf numFmtId="169" fontId="64" fillId="0" borderId="26" xfId="43" applyNumberFormat="1" applyFont="1" applyBorder="1"/>
    <xf numFmtId="169" fontId="64" fillId="0" borderId="41" xfId="43" applyNumberFormat="1" applyFont="1" applyBorder="1"/>
    <xf numFmtId="172" fontId="53" fillId="28" borderId="0" xfId="42" applyNumberFormat="1" applyFont="1" applyFill="1"/>
    <xf numFmtId="0" fontId="62" fillId="0" borderId="0" xfId="44" applyFont="1" applyAlignment="1" applyProtection="1">
      <alignment horizontal="left" vertical="top"/>
    </xf>
    <xf numFmtId="172" fontId="66" fillId="28" borderId="0" xfId="42" applyNumberFormat="1" applyFont="1" applyFill="1"/>
    <xf numFmtId="0" fontId="62" fillId="28" borderId="0" xfId="44" applyFont="1" applyFill="1" applyAlignment="1" applyProtection="1">
      <alignment horizontal="left" vertical="top"/>
    </xf>
    <xf numFmtId="0" fontId="68" fillId="28" borderId="0" xfId="42" applyFont="1" applyFill="1"/>
    <xf numFmtId="0" fontId="69" fillId="0" borderId="0" xfId="42" applyFont="1"/>
    <xf numFmtId="0" fontId="0" fillId="0" borderId="45" xfId="0" applyBorder="1"/>
    <xf numFmtId="0" fontId="6" fillId="0" borderId="45" xfId="0" applyFont="1" applyBorder="1"/>
    <xf numFmtId="0" fontId="50" fillId="11" borderId="11" xfId="0" applyFont="1" applyFill="1" applyBorder="1" applyAlignment="1">
      <alignment vertical="center"/>
    </xf>
    <xf numFmtId="0" fontId="2" fillId="0" borderId="50" xfId="0" applyFont="1" applyBorder="1"/>
    <xf numFmtId="0" fontId="0" fillId="30" borderId="50" xfId="0" applyFill="1" applyBorder="1"/>
    <xf numFmtId="172" fontId="0" fillId="12" borderId="50" xfId="4" applyNumberFormat="1" applyFont="1" applyFill="1" applyBorder="1"/>
    <xf numFmtId="0" fontId="0" fillId="30" borderId="0" xfId="0" applyFill="1"/>
    <xf numFmtId="172" fontId="0" fillId="0" borderId="0" xfId="4" applyNumberFormat="1" applyFont="1"/>
    <xf numFmtId="172" fontId="0" fillId="0" borderId="45" xfId="4" applyNumberFormat="1" applyFont="1" applyBorder="1"/>
    <xf numFmtId="0" fontId="50" fillId="0" borderId="0" xfId="0" applyFont="1" applyAlignment="1">
      <alignment vertical="center"/>
    </xf>
    <xf numFmtId="177" fontId="97" fillId="4" borderId="9" xfId="35" applyNumberFormat="1" applyAlignment="1">
      <alignment horizontal="center" vertical="center"/>
    </xf>
    <xf numFmtId="177" fontId="16" fillId="18" borderId="9" xfId="16" applyNumberFormat="1" applyAlignment="1">
      <alignment horizontal="center" vertical="center"/>
    </xf>
    <xf numFmtId="1" fontId="97" fillId="4" borderId="9" xfId="35" applyNumberFormat="1" applyAlignment="1">
      <alignment horizontal="center" vertical="center"/>
    </xf>
    <xf numFmtId="178" fontId="97" fillId="4" borderId="9" xfId="35" applyNumberFormat="1" applyAlignment="1">
      <alignment horizontal="center" vertical="center"/>
    </xf>
    <xf numFmtId="178" fontId="16" fillId="18" borderId="9" xfId="16" applyNumberFormat="1" applyAlignment="1">
      <alignment horizontal="center" vertical="center"/>
    </xf>
    <xf numFmtId="0" fontId="0" fillId="38" borderId="0" xfId="0" applyFill="1"/>
    <xf numFmtId="0" fontId="78" fillId="0" borderId="0" xfId="0" applyFont="1"/>
    <xf numFmtId="0" fontId="79" fillId="2" borderId="0" xfId="0" applyFont="1" applyFill="1"/>
    <xf numFmtId="0" fontId="81" fillId="2" borderId="0" xfId="0" applyFont="1" applyFill="1"/>
    <xf numFmtId="165" fontId="81" fillId="2" borderId="0" xfId="0" applyNumberFormat="1" applyFont="1" applyFill="1"/>
    <xf numFmtId="0" fontId="48" fillId="2" borderId="0" xfId="0" applyFont="1" applyFill="1"/>
    <xf numFmtId="0" fontId="53" fillId="0" borderId="0" xfId="5" applyFont="1" applyFill="1" applyBorder="1" applyAlignment="1">
      <alignment vertical="center" wrapText="1"/>
    </xf>
    <xf numFmtId="164" fontId="0" fillId="0" borderId="3" xfId="0" applyNumberFormat="1" applyBorder="1"/>
    <xf numFmtId="0" fontId="14" fillId="0" borderId="0" xfId="5" applyFill="1" applyBorder="1">
      <alignment vertical="center"/>
    </xf>
    <xf numFmtId="168" fontId="23" fillId="18" borderId="9" xfId="4" applyNumberFormat="1" applyFont="1" applyFill="1" applyBorder="1" applyAlignment="1">
      <alignment vertical="center"/>
    </xf>
    <xf numFmtId="165" fontId="23" fillId="0" borderId="0" xfId="35" applyNumberFormat="1" applyFont="1" applyFill="1" applyBorder="1">
      <alignment vertical="center"/>
    </xf>
    <xf numFmtId="168" fontId="23" fillId="0" borderId="0" xfId="4" applyNumberFormat="1" applyFont="1" applyFill="1" applyBorder="1" applyAlignment="1">
      <alignment vertical="center"/>
    </xf>
    <xf numFmtId="165" fontId="23" fillId="0" borderId="0" xfId="12" applyNumberFormat="1" applyFont="1" applyFill="1" applyBorder="1">
      <alignment vertical="center"/>
    </xf>
    <xf numFmtId="9" fontId="23" fillId="0" borderId="0" xfId="1" applyFont="1" applyFill="1" applyBorder="1" applyAlignment="1">
      <alignment vertical="center"/>
    </xf>
    <xf numFmtId="44" fontId="23" fillId="0" borderId="0" xfId="14" applyFont="1" applyFill="1" applyBorder="1" applyAlignment="1">
      <alignment vertical="center"/>
    </xf>
    <xf numFmtId="0" fontId="14" fillId="2" borderId="51" xfId="5" applyBorder="1">
      <alignment vertical="center"/>
    </xf>
    <xf numFmtId="0" fontId="14" fillId="2" borderId="52" xfId="5" applyBorder="1" applyAlignment="1">
      <alignment vertical="center" wrapText="1"/>
    </xf>
    <xf numFmtId="0" fontId="14" fillId="2" borderId="52" xfId="5" applyBorder="1">
      <alignment vertical="center"/>
    </xf>
    <xf numFmtId="0" fontId="7" fillId="0" borderId="0" xfId="0" applyFont="1"/>
    <xf numFmtId="0" fontId="0" fillId="0" borderId="0" xfId="0" applyAlignment="1">
      <alignment vertical="center"/>
    </xf>
    <xf numFmtId="0" fontId="8" fillId="20" borderId="9" xfId="3" applyFill="1" applyBorder="1" applyAlignment="1">
      <alignment vertical="center"/>
    </xf>
    <xf numFmtId="0" fontId="8" fillId="0" borderId="0" xfId="3"/>
    <xf numFmtId="43" fontId="0" fillId="0" borderId="0" xfId="0" applyNumberFormat="1" applyAlignment="1">
      <alignment vertical="center"/>
    </xf>
    <xf numFmtId="0" fontId="5" fillId="5" borderId="0" xfId="0" applyFont="1" applyFill="1"/>
    <xf numFmtId="0" fontId="9" fillId="2" borderId="0" xfId="0" applyFont="1" applyFill="1"/>
    <xf numFmtId="165" fontId="9" fillId="2" borderId="0" xfId="0" applyNumberFormat="1" applyFont="1" applyFill="1"/>
    <xf numFmtId="0" fontId="0" fillId="2" borderId="0" xfId="0" applyFill="1"/>
    <xf numFmtId="0" fontId="0" fillId="0" borderId="0" xfId="0" applyAlignment="1">
      <alignment horizontal="left"/>
    </xf>
    <xf numFmtId="168" fontId="2" fillId="0" borderId="0" xfId="0" applyNumberFormat="1" applyFont="1"/>
    <xf numFmtId="0" fontId="79" fillId="5" borderId="0" xfId="0" applyFont="1" applyFill="1"/>
    <xf numFmtId="0" fontId="81" fillId="5" borderId="0" xfId="0" applyFont="1" applyFill="1"/>
    <xf numFmtId="165" fontId="81" fillId="5" borderId="0" xfId="0" applyNumberFormat="1" applyFont="1" applyFill="1"/>
    <xf numFmtId="9" fontId="0" fillId="0" borderId="0" xfId="1" applyFont="1" applyFill="1" applyBorder="1"/>
    <xf numFmtId="168" fontId="9" fillId="0" borderId="0" xfId="4" applyNumberFormat="1" applyFont="1" applyFill="1" applyBorder="1" applyAlignment="1">
      <alignment horizontal="center"/>
    </xf>
    <xf numFmtId="0" fontId="0" fillId="0" borderId="0" xfId="2" applyFont="1" applyFill="1" applyBorder="1"/>
    <xf numFmtId="168" fontId="0" fillId="0" borderId="0" xfId="4" applyNumberFormat="1" applyFont="1" applyFill="1" applyBorder="1" applyAlignment="1">
      <alignment horizontal="right"/>
    </xf>
    <xf numFmtId="0" fontId="18" fillId="0" borderId="11" xfId="6" applyFont="1" applyFill="1" applyBorder="1">
      <alignment vertical="center"/>
    </xf>
    <xf numFmtId="168" fontId="49" fillId="27" borderId="54" xfId="41" applyNumberFormat="1" applyFont="1" applyFill="1" applyBorder="1" applyAlignment="1">
      <alignment vertical="center"/>
    </xf>
    <xf numFmtId="168" fontId="49" fillId="40" borderId="54" xfId="41" applyNumberFormat="1" applyFont="1" applyFill="1" applyBorder="1" applyAlignment="1">
      <alignment vertical="center"/>
    </xf>
    <xf numFmtId="0" fontId="82" fillId="0" borderId="9" xfId="35" applyFont="1" applyFill="1">
      <alignment vertical="center"/>
    </xf>
    <xf numFmtId="0" fontId="0" fillId="0" borderId="8" xfId="0" applyBorder="1"/>
    <xf numFmtId="0" fontId="53" fillId="0" borderId="8" xfId="5" applyFont="1" applyFill="1">
      <alignment vertical="center"/>
    </xf>
    <xf numFmtId="0" fontId="15" fillId="0" borderId="0" xfId="31" applyAlignment="1"/>
    <xf numFmtId="0" fontId="53" fillId="0" borderId="9" xfId="49">
      <alignment vertical="center"/>
    </xf>
    <xf numFmtId="9" fontId="23" fillId="0" borderId="0" xfId="1" applyFont="1" applyAlignment="1">
      <alignment vertical="center"/>
    </xf>
    <xf numFmtId="0" fontId="0" fillId="0" borderId="0" xfId="0" applyAlignment="1">
      <alignment horizontal="center" vertical="center" wrapText="1"/>
    </xf>
    <xf numFmtId="180" fontId="0" fillId="0" borderId="0" xfId="0" applyNumberFormat="1"/>
    <xf numFmtId="0" fontId="84" fillId="0" borderId="0" xfId="0" applyFont="1"/>
    <xf numFmtId="0" fontId="85" fillId="0" borderId="0" xfId="0" applyFont="1"/>
    <xf numFmtId="0" fontId="86" fillId="0" borderId="0" xfId="0" applyFont="1"/>
    <xf numFmtId="180" fontId="86" fillId="0" borderId="0" xfId="0" applyNumberFormat="1" applyFont="1"/>
    <xf numFmtId="175" fontId="84" fillId="0" borderId="0" xfId="0" applyNumberFormat="1" applyFont="1"/>
    <xf numFmtId="181" fontId="53" fillId="28" borderId="0" xfId="42" applyNumberFormat="1" applyFont="1" applyFill="1"/>
    <xf numFmtId="172" fontId="84" fillId="0" borderId="0" xfId="0" applyNumberFormat="1" applyFont="1"/>
    <xf numFmtId="0" fontId="0" fillId="38" borderId="0" xfId="6" applyFont="1" applyFill="1" applyBorder="1">
      <alignment vertical="center"/>
    </xf>
    <xf numFmtId="0" fontId="14" fillId="2" borderId="12" xfId="5" applyBorder="1">
      <alignment vertical="center"/>
    </xf>
    <xf numFmtId="0" fontId="5" fillId="5" borderId="60" xfId="2" applyFont="1" applyFill="1" applyBorder="1" applyAlignment="1">
      <alignment horizontal="center" wrapText="1"/>
    </xf>
    <xf numFmtId="0" fontId="17" fillId="43" borderId="10" xfId="5" applyFont="1" applyFill="1" applyBorder="1">
      <alignment vertical="center"/>
    </xf>
    <xf numFmtId="43" fontId="23" fillId="0" borderId="0" xfId="35" applyNumberFormat="1" applyFont="1" applyFill="1" applyBorder="1">
      <alignment vertical="center"/>
    </xf>
    <xf numFmtId="0" fontId="26" fillId="0" borderId="0" xfId="0" applyFont="1"/>
    <xf numFmtId="0" fontId="87" fillId="0" borderId="0" xfId="0" applyFont="1"/>
    <xf numFmtId="168" fontId="19" fillId="39" borderId="11" xfId="40" applyNumberFormat="1" applyFont="1" applyFill="1" applyBorder="1" applyAlignment="1">
      <alignment vertical="center"/>
    </xf>
    <xf numFmtId="0" fontId="17" fillId="43" borderId="61" xfId="5" applyFont="1" applyFill="1" applyBorder="1">
      <alignment vertical="center"/>
    </xf>
    <xf numFmtId="0" fontId="14" fillId="2" borderId="57" xfId="5" applyBorder="1">
      <alignment vertical="center"/>
    </xf>
    <xf numFmtId="0" fontId="14" fillId="2" borderId="56" xfId="5" applyBorder="1">
      <alignment vertical="center"/>
    </xf>
    <xf numFmtId="0" fontId="84" fillId="7" borderId="53" xfId="8" applyBorder="1" applyAlignment="1">
      <alignment vertical="center"/>
    </xf>
    <xf numFmtId="0" fontId="18" fillId="11" borderId="11" xfId="0" applyFont="1" applyFill="1" applyBorder="1" applyAlignment="1">
      <alignment vertical="center"/>
    </xf>
    <xf numFmtId="0" fontId="18" fillId="11" borderId="49" xfId="0" applyFont="1" applyFill="1" applyBorder="1" applyAlignment="1">
      <alignment vertical="center"/>
    </xf>
    <xf numFmtId="0" fontId="18" fillId="0" borderId="0" xfId="0" applyFont="1" applyAlignment="1">
      <alignment vertical="center"/>
    </xf>
    <xf numFmtId="0" fontId="18" fillId="0" borderId="45" xfId="0" applyFont="1" applyBorder="1" applyAlignment="1">
      <alignment vertical="center"/>
    </xf>
    <xf numFmtId="0" fontId="19" fillId="26" borderId="11" xfId="0" applyFont="1" applyFill="1" applyBorder="1" applyAlignment="1">
      <alignment vertical="center"/>
    </xf>
    <xf numFmtId="0" fontId="24" fillId="0" borderId="0" xfId="31" applyFont="1" applyAlignment="1"/>
    <xf numFmtId="0" fontId="51" fillId="0" borderId="0" xfId="42"/>
    <xf numFmtId="0" fontId="19" fillId="28" borderId="0" xfId="42" applyFont="1" applyFill="1" applyAlignment="1">
      <alignment horizontal="center" vertical="center"/>
    </xf>
    <xf numFmtId="0" fontId="19" fillId="28" borderId="0" xfId="42" applyFont="1" applyFill="1"/>
    <xf numFmtId="0" fontId="19" fillId="28" borderId="0" xfId="42" applyFont="1" applyFill="1" applyAlignment="1">
      <alignment horizontal="center"/>
    </xf>
    <xf numFmtId="0" fontId="19" fillId="28" borderId="0" xfId="42" applyFont="1" applyFill="1" applyAlignment="1">
      <alignment vertical="center"/>
    </xf>
    <xf numFmtId="174" fontId="19" fillId="28" borderId="0" xfId="42" applyNumberFormat="1" applyFont="1" applyFill="1"/>
    <xf numFmtId="169" fontId="19" fillId="34" borderId="0" xfId="43" applyNumberFormat="1" applyFont="1" applyFill="1"/>
    <xf numFmtId="43" fontId="19" fillId="28" borderId="0" xfId="42" applyNumberFormat="1" applyFont="1" applyFill="1" applyAlignment="1">
      <alignment horizontal="center"/>
    </xf>
    <xf numFmtId="43" fontId="19" fillId="28" borderId="0" xfId="42" applyNumberFormat="1" applyFont="1" applyFill="1" applyAlignment="1">
      <alignment horizontal="center" vertical="center"/>
    </xf>
    <xf numFmtId="43" fontId="19" fillId="34" borderId="0" xfId="43" applyFont="1" applyFill="1" applyAlignment="1">
      <alignment vertical="center"/>
    </xf>
    <xf numFmtId="43" fontId="19" fillId="34" borderId="28" xfId="43" applyFont="1" applyFill="1" applyBorder="1" applyAlignment="1">
      <alignment vertical="center"/>
    </xf>
    <xf numFmtId="43" fontId="19" fillId="34" borderId="15" xfId="43" applyFont="1" applyFill="1" applyBorder="1" applyAlignment="1">
      <alignment vertical="center"/>
    </xf>
    <xf numFmtId="43" fontId="19" fillId="34" borderId="30" xfId="43" applyFont="1" applyFill="1" applyBorder="1" applyAlignment="1">
      <alignment vertical="center"/>
    </xf>
    <xf numFmtId="175" fontId="19" fillId="28" borderId="0" xfId="42" applyNumberFormat="1" applyFont="1" applyFill="1"/>
    <xf numFmtId="172" fontId="19" fillId="28" borderId="0" xfId="42" applyNumberFormat="1" applyFont="1" applyFill="1"/>
    <xf numFmtId="10" fontId="19" fillId="28" borderId="0" xfId="45" applyNumberFormat="1" applyFont="1" applyFill="1"/>
    <xf numFmtId="0" fontId="19" fillId="28" borderId="0" xfId="42" applyFont="1" applyFill="1" applyAlignment="1">
      <alignment horizontal="left"/>
    </xf>
    <xf numFmtId="0" fontId="19" fillId="0" borderId="0" xfId="42" applyFont="1"/>
    <xf numFmtId="0" fontId="52" fillId="28" borderId="0" xfId="44" applyFill="1" applyAlignment="1" applyProtection="1">
      <alignment vertical="center"/>
    </xf>
    <xf numFmtId="0" fontId="19" fillId="0" borderId="44" xfId="42" applyFont="1" applyBorder="1" applyAlignment="1">
      <alignment horizontal="left" vertical="top"/>
    </xf>
    <xf numFmtId="0" fontId="19" fillId="0" borderId="44" xfId="42" applyFont="1" applyBorder="1" applyAlignment="1">
      <alignment horizontal="left" vertical="top" wrapText="1"/>
    </xf>
    <xf numFmtId="0" fontId="88" fillId="6" borderId="62" xfId="47" applyFill="1"/>
    <xf numFmtId="6" fontId="0" fillId="6" borderId="0" xfId="0" applyNumberFormat="1" applyFill="1"/>
    <xf numFmtId="0" fontId="8" fillId="6" borderId="0" xfId="3" applyFill="1"/>
    <xf numFmtId="0" fontId="10" fillId="6" borderId="0" xfId="0" applyFont="1" applyFill="1" applyAlignment="1">
      <alignment vertical="center"/>
    </xf>
    <xf numFmtId="0" fontId="9" fillId="6" borderId="0" xfId="0" applyFont="1" applyFill="1"/>
    <xf numFmtId="0" fontId="94" fillId="2" borderId="0" xfId="5" applyFont="1" applyBorder="1">
      <alignment vertical="center"/>
    </xf>
    <xf numFmtId="0" fontId="93" fillId="2" borderId="8" xfId="5" applyFont="1">
      <alignment vertical="center"/>
    </xf>
    <xf numFmtId="0" fontId="92" fillId="12" borderId="63" xfId="49" applyFont="1" applyFill="1" applyBorder="1">
      <alignment vertical="center"/>
    </xf>
    <xf numFmtId="0" fontId="92" fillId="0" borderId="64" xfId="49" applyFont="1" applyBorder="1">
      <alignment vertical="center"/>
    </xf>
    <xf numFmtId="0" fontId="92" fillId="38" borderId="63" xfId="49" applyFont="1" applyFill="1" applyBorder="1">
      <alignment vertical="center"/>
    </xf>
    <xf numFmtId="0" fontId="1" fillId="30" borderId="28" xfId="0" applyFont="1" applyFill="1" applyBorder="1" applyAlignment="1">
      <alignment vertical="top"/>
    </xf>
    <xf numFmtId="0" fontId="92" fillId="18" borderId="63" xfId="49" applyFont="1" applyFill="1" applyBorder="1">
      <alignment vertical="center"/>
    </xf>
    <xf numFmtId="0" fontId="92" fillId="18" borderId="65" xfId="49" applyFont="1" applyFill="1" applyBorder="1">
      <alignment vertical="center"/>
    </xf>
    <xf numFmtId="0" fontId="95" fillId="6" borderId="37" xfId="5" applyFont="1" applyFill="1" applyBorder="1">
      <alignment vertical="center"/>
    </xf>
    <xf numFmtId="0" fontId="95" fillId="6" borderId="33" xfId="5" applyFont="1" applyFill="1" applyBorder="1">
      <alignment vertical="center"/>
    </xf>
    <xf numFmtId="0" fontId="92" fillId="0" borderId="68" xfId="49" applyFont="1" applyBorder="1">
      <alignment vertical="center"/>
    </xf>
    <xf numFmtId="0" fontId="95" fillId="30" borderId="67" xfId="49" applyFont="1" applyFill="1" applyBorder="1">
      <alignment vertical="center"/>
    </xf>
    <xf numFmtId="0" fontId="92" fillId="12" borderId="67" xfId="49" applyFont="1" applyFill="1" applyBorder="1">
      <alignment vertical="center"/>
    </xf>
    <xf numFmtId="0" fontId="0" fillId="6" borderId="0" xfId="0" applyFill="1" applyAlignment="1">
      <alignment horizontal="center" vertical="center" wrapText="1"/>
    </xf>
    <xf numFmtId="0" fontId="14" fillId="8" borderId="75" xfId="8" applyFont="1" applyFill="1" applyBorder="1" applyAlignment="1">
      <alignment horizontal="left" vertical="center" wrapText="1"/>
    </xf>
    <xf numFmtId="0" fontId="14" fillId="8" borderId="76" xfId="8" applyFont="1" applyFill="1" applyBorder="1" applyAlignment="1">
      <alignment horizontal="left" vertical="center"/>
    </xf>
    <xf numFmtId="0" fontId="14" fillId="8" borderId="77" xfId="8" applyFont="1" applyFill="1" applyBorder="1" applyAlignment="1">
      <alignment horizontal="left" vertical="center"/>
    </xf>
    <xf numFmtId="168" fontId="53" fillId="0" borderId="67" xfId="49" applyNumberFormat="1" applyBorder="1">
      <alignment vertical="center"/>
    </xf>
    <xf numFmtId="168" fontId="53" fillId="0" borderId="55" xfId="49" applyNumberFormat="1" applyBorder="1">
      <alignment vertical="center"/>
    </xf>
    <xf numFmtId="168" fontId="53" fillId="0" borderId="68" xfId="49" applyNumberFormat="1" applyBorder="1">
      <alignment vertical="center"/>
    </xf>
    <xf numFmtId="168" fontId="57" fillId="0" borderId="71" xfId="49" applyNumberFormat="1" applyFont="1" applyBorder="1">
      <alignment vertical="center"/>
    </xf>
    <xf numFmtId="1" fontId="3" fillId="6" borderId="0" xfId="0" applyNumberFormat="1" applyFont="1" applyFill="1" applyAlignment="1">
      <alignment horizontal="center" vertical="center" wrapText="1"/>
    </xf>
    <xf numFmtId="0" fontId="3" fillId="6" borderId="0" xfId="0" applyFont="1" applyFill="1" applyAlignment="1">
      <alignment horizontal="center" vertical="center" wrapText="1"/>
    </xf>
    <xf numFmtId="1" fontId="3" fillId="6" borderId="0" xfId="0" applyNumberFormat="1" applyFont="1" applyFill="1"/>
    <xf numFmtId="0" fontId="3" fillId="6" borderId="0" xfId="0" applyFont="1" applyFill="1"/>
    <xf numFmtId="0" fontId="14" fillId="9" borderId="75" xfId="6" applyFont="1" applyFill="1" applyBorder="1" applyAlignment="1">
      <alignment horizontal="center" vertical="center"/>
    </xf>
    <xf numFmtId="0" fontId="14" fillId="9" borderId="76" xfId="6" applyFont="1" applyFill="1" applyBorder="1" applyAlignment="1">
      <alignment horizontal="center" vertical="center"/>
    </xf>
    <xf numFmtId="0" fontId="14" fillId="9" borderId="77" xfId="6" applyFont="1" applyFill="1" applyBorder="1" applyAlignment="1">
      <alignment horizontal="center" vertical="center"/>
    </xf>
    <xf numFmtId="0" fontId="90" fillId="8" borderId="75" xfId="8" applyFont="1" applyFill="1" applyBorder="1" applyAlignment="1">
      <alignment horizontal="left" vertical="center" wrapText="1"/>
    </xf>
    <xf numFmtId="0" fontId="90" fillId="8" borderId="76" xfId="8" applyFont="1" applyFill="1" applyBorder="1" applyAlignment="1">
      <alignment horizontal="left" vertical="center"/>
    </xf>
    <xf numFmtId="0" fontId="90" fillId="8" borderId="77" xfId="8" applyFont="1" applyFill="1" applyBorder="1" applyAlignment="1">
      <alignment horizontal="left" vertical="center"/>
    </xf>
    <xf numFmtId="0" fontId="90" fillId="9" borderId="71" xfId="6" applyFont="1" applyFill="1" applyBorder="1" applyAlignment="1">
      <alignment horizontal="center" vertical="center" wrapText="1"/>
    </xf>
    <xf numFmtId="0" fontId="90" fillId="9" borderId="73" xfId="6" applyFont="1" applyFill="1" applyBorder="1" applyAlignment="1">
      <alignment horizontal="center" vertical="center" wrapText="1"/>
    </xf>
    <xf numFmtId="165" fontId="53" fillId="0" borderId="63" xfId="49" applyNumberFormat="1" applyBorder="1" applyAlignment="1">
      <alignment horizontal="center" vertical="center" wrapText="1"/>
    </xf>
    <xf numFmtId="0" fontId="14" fillId="2" borderId="69" xfId="5" applyBorder="1">
      <alignment vertical="center"/>
    </xf>
    <xf numFmtId="0" fontId="14" fillId="2" borderId="70" xfId="5" applyBorder="1">
      <alignment vertical="center"/>
    </xf>
    <xf numFmtId="0" fontId="84" fillId="7" borderId="63" xfId="8" applyBorder="1" applyAlignment="1">
      <alignment vertical="center" wrapText="1"/>
    </xf>
    <xf numFmtId="0" fontId="20" fillId="13" borderId="64" xfId="12" applyBorder="1">
      <alignment vertical="center"/>
    </xf>
    <xf numFmtId="0" fontId="84" fillId="7" borderId="9" xfId="8" applyAlignment="1">
      <alignment horizontal="center" vertical="center"/>
    </xf>
    <xf numFmtId="0" fontId="84" fillId="7" borderId="67" xfId="8" applyBorder="1" applyAlignment="1">
      <alignment horizontal="center" vertical="center"/>
    </xf>
    <xf numFmtId="0" fontId="84" fillId="7" borderId="9" xfId="8" applyAlignment="1">
      <alignment horizontal="left" vertical="center"/>
    </xf>
    <xf numFmtId="165" fontId="82" fillId="0" borderId="0" xfId="35" applyNumberFormat="1" applyFont="1" applyFill="1" applyBorder="1">
      <alignment vertical="center"/>
    </xf>
    <xf numFmtId="168" fontId="82" fillId="0" borderId="0" xfId="4" applyNumberFormat="1" applyFont="1" applyFill="1" applyBorder="1" applyAlignment="1">
      <alignment vertical="center"/>
    </xf>
    <xf numFmtId="165" fontId="82" fillId="0" borderId="0" xfId="12" applyNumberFormat="1" applyFont="1" applyFill="1" applyBorder="1">
      <alignment vertical="center"/>
    </xf>
    <xf numFmtId="9" fontId="82" fillId="0" borderId="0" xfId="1" applyFont="1" applyFill="1" applyBorder="1" applyAlignment="1">
      <alignment vertical="center"/>
    </xf>
    <xf numFmtId="168" fontId="49" fillId="39" borderId="11" xfId="41" applyNumberFormat="1" applyFont="1" applyFill="1" applyBorder="1" applyAlignment="1">
      <alignment vertical="center"/>
    </xf>
    <xf numFmtId="0" fontId="92" fillId="6" borderId="64" xfId="49" applyFont="1" applyFill="1" applyBorder="1">
      <alignment vertical="center"/>
    </xf>
    <xf numFmtId="0" fontId="92" fillId="6" borderId="66" xfId="49" applyFont="1" applyFill="1" applyBorder="1">
      <alignment vertical="center"/>
    </xf>
    <xf numFmtId="0" fontId="53" fillId="18" borderId="9" xfId="49" applyFill="1">
      <alignment vertical="center"/>
    </xf>
    <xf numFmtId="173" fontId="53" fillId="18" borderId="9" xfId="14" applyNumberFormat="1" applyFont="1" applyFill="1" applyBorder="1" applyAlignment="1">
      <alignment vertical="center"/>
    </xf>
    <xf numFmtId="168" fontId="53" fillId="18" borderId="9" xfId="4" applyNumberFormat="1" applyFont="1" applyFill="1" applyBorder="1" applyAlignment="1">
      <alignment vertical="center"/>
    </xf>
    <xf numFmtId="0" fontId="53" fillId="4" borderId="9" xfId="49" applyFill="1">
      <alignment vertical="center"/>
    </xf>
    <xf numFmtId="0" fontId="53" fillId="7" borderId="9" xfId="49" applyFill="1">
      <alignment vertical="center"/>
    </xf>
    <xf numFmtId="1" fontId="53" fillId="18" borderId="9" xfId="49" applyNumberFormat="1" applyFill="1">
      <alignment vertical="center"/>
    </xf>
    <xf numFmtId="2" fontId="53" fillId="18" borderId="9" xfId="4" applyNumberFormat="1" applyFont="1" applyFill="1" applyBorder="1" applyAlignment="1">
      <alignment vertical="center"/>
    </xf>
    <xf numFmtId="176" fontId="53" fillId="18" borderId="9" xfId="4" applyNumberFormat="1" applyFont="1" applyFill="1" applyBorder="1" applyAlignment="1">
      <alignment vertical="center"/>
    </xf>
    <xf numFmtId="177" fontId="53" fillId="18" borderId="9" xfId="4" applyNumberFormat="1" applyFont="1" applyFill="1" applyBorder="1" applyAlignment="1">
      <alignment vertical="center"/>
    </xf>
    <xf numFmtId="0" fontId="5" fillId="2" borderId="0" xfId="0" applyFont="1" applyFill="1" applyAlignment="1">
      <alignment wrapText="1"/>
    </xf>
    <xf numFmtId="0" fontId="2" fillId="0" borderId="0" xfId="0" applyFont="1" applyAlignment="1">
      <alignment vertical="center"/>
    </xf>
    <xf numFmtId="0" fontId="99" fillId="20" borderId="9" xfId="28" applyFont="1">
      <alignment vertical="center"/>
    </xf>
    <xf numFmtId="165" fontId="100" fillId="0" borderId="0" xfId="35" applyNumberFormat="1" applyFont="1" applyFill="1" applyBorder="1">
      <alignment vertical="center"/>
    </xf>
    <xf numFmtId="168" fontId="100" fillId="0" borderId="0" xfId="4" applyNumberFormat="1" applyFont="1" applyFill="1" applyBorder="1" applyAlignment="1">
      <alignment vertical="center"/>
    </xf>
    <xf numFmtId="0" fontId="100" fillId="0" borderId="0" xfId="0" applyFont="1"/>
    <xf numFmtId="168" fontId="78" fillId="0" borderId="0" xfId="0" applyNumberFormat="1" applyFont="1"/>
    <xf numFmtId="43" fontId="78" fillId="0" borderId="0" xfId="0" applyNumberFormat="1" applyFont="1"/>
    <xf numFmtId="0" fontId="23" fillId="0" borderId="0" xfId="0" applyFont="1"/>
    <xf numFmtId="174" fontId="0" fillId="0" borderId="0" xfId="0" applyNumberFormat="1"/>
    <xf numFmtId="174" fontId="0" fillId="0" borderId="0" xfId="4" applyNumberFormat="1" applyFont="1"/>
    <xf numFmtId="168" fontId="0" fillId="18" borderId="8" xfId="0" applyNumberFormat="1" applyFill="1" applyBorder="1"/>
    <xf numFmtId="177" fontId="0" fillId="0" borderId="0" xfId="0" applyNumberFormat="1"/>
    <xf numFmtId="177" fontId="0" fillId="6" borderId="0" xfId="0" applyNumberFormat="1" applyFill="1"/>
    <xf numFmtId="177" fontId="2" fillId="0" borderId="0" xfId="0" applyNumberFormat="1" applyFont="1"/>
    <xf numFmtId="43" fontId="0" fillId="18" borderId="8" xfId="0" applyNumberFormat="1" applyFill="1" applyBorder="1"/>
    <xf numFmtId="168" fontId="0" fillId="4" borderId="8" xfId="4" applyNumberFormat="1" applyFont="1" applyFill="1" applyBorder="1"/>
    <xf numFmtId="175" fontId="0" fillId="0" borderId="0" xfId="4" applyNumberFormat="1" applyFont="1" applyAlignment="1">
      <alignment vertical="center"/>
    </xf>
    <xf numFmtId="0" fontId="53" fillId="0" borderId="8" xfId="49" applyBorder="1">
      <alignment vertical="center"/>
    </xf>
    <xf numFmtId="168" fontId="23" fillId="4" borderId="8" xfId="4" applyNumberFormat="1" applyFont="1" applyFill="1" applyBorder="1" applyAlignment="1">
      <alignment vertical="center"/>
    </xf>
    <xf numFmtId="9" fontId="23" fillId="18" borderId="8" xfId="1" applyFont="1" applyFill="1" applyBorder="1" applyAlignment="1">
      <alignment vertical="center"/>
    </xf>
    <xf numFmtId="9" fontId="20" fillId="13" borderId="8" xfId="12" applyNumberFormat="1" applyBorder="1">
      <alignment vertical="center"/>
    </xf>
    <xf numFmtId="9" fontId="23" fillId="4" borderId="8" xfId="1" applyFont="1" applyFill="1" applyBorder="1" applyAlignment="1">
      <alignment vertical="center"/>
    </xf>
    <xf numFmtId="0" fontId="84" fillId="7" borderId="8" xfId="8" applyBorder="1" applyAlignment="1">
      <alignment horizontal="center" vertical="center"/>
    </xf>
    <xf numFmtId="43" fontId="0" fillId="18" borderId="8" xfId="4" applyFont="1" applyFill="1" applyBorder="1" applyAlignment="1">
      <alignment horizontal="center"/>
    </xf>
    <xf numFmtId="0" fontId="2" fillId="0" borderId="52" xfId="0" applyFont="1" applyBorder="1"/>
    <xf numFmtId="43" fontId="2" fillId="18" borderId="52" xfId="4" applyFont="1" applyFill="1" applyBorder="1" applyAlignment="1">
      <alignment horizontal="center"/>
    </xf>
    <xf numFmtId="0" fontId="0" fillId="0" borderId="82" xfId="0" applyBorder="1"/>
    <xf numFmtId="165" fontId="0" fillId="0" borderId="8" xfId="0" applyNumberFormat="1" applyBorder="1" applyAlignment="1">
      <alignment horizontal="left"/>
    </xf>
    <xf numFmtId="2" fontId="0" fillId="18" borderId="8" xfId="0" applyNumberFormat="1" applyFill="1" applyBorder="1"/>
    <xf numFmtId="0" fontId="84" fillId="7" borderId="53" xfId="8" applyBorder="1" applyAlignment="1">
      <alignment horizontal="left" vertical="center"/>
    </xf>
    <xf numFmtId="0" fontId="0" fillId="0" borderId="8" xfId="2" applyFont="1" applyFill="1" applyBorder="1"/>
    <xf numFmtId="9" fontId="0" fillId="4" borderId="8" xfId="2" applyNumberFormat="1" applyFont="1" applyFill="1" applyBorder="1"/>
    <xf numFmtId="168" fontId="0" fillId="3" borderId="8" xfId="4" applyNumberFormat="1" applyFont="1" applyFill="1" applyBorder="1"/>
    <xf numFmtId="9" fontId="0" fillId="18" borderId="8" xfId="2" applyNumberFormat="1" applyFont="1" applyFill="1" applyBorder="1"/>
    <xf numFmtId="168" fontId="0" fillId="18" borderId="8" xfId="4" applyNumberFormat="1" applyFont="1" applyFill="1" applyBorder="1"/>
    <xf numFmtId="168" fontId="0" fillId="18" borderId="8" xfId="4" applyNumberFormat="1" applyFont="1" applyFill="1" applyBorder="1" applyAlignment="1">
      <alignment horizontal="right"/>
    </xf>
    <xf numFmtId="0" fontId="84" fillId="7" borderId="53" xfId="8" applyBorder="1" applyAlignment="1">
      <alignment horizontal="center" vertical="center"/>
    </xf>
    <xf numFmtId="0" fontId="0" fillId="30" borderId="8" xfId="0" applyFill="1" applyBorder="1"/>
    <xf numFmtId="0" fontId="0" fillId="18" borderId="8" xfId="0" applyFill="1" applyBorder="1"/>
    <xf numFmtId="168" fontId="2" fillId="30" borderId="52" xfId="0" applyNumberFormat="1" applyFont="1" applyFill="1" applyBorder="1"/>
    <xf numFmtId="168" fontId="2" fillId="18" borderId="52" xfId="0" applyNumberFormat="1" applyFont="1" applyFill="1" applyBorder="1"/>
    <xf numFmtId="1" fontId="0" fillId="30" borderId="8" xfId="0" applyNumberFormat="1" applyFill="1" applyBorder="1"/>
    <xf numFmtId="1" fontId="0" fillId="18" borderId="8" xfId="0" applyNumberFormat="1" applyFill="1" applyBorder="1"/>
    <xf numFmtId="1" fontId="0" fillId="30" borderId="82" xfId="0" applyNumberFormat="1" applyFill="1" applyBorder="1"/>
    <xf numFmtId="1" fontId="0" fillId="18" borderId="82" xfId="0" applyNumberFormat="1" applyFill="1" applyBorder="1"/>
    <xf numFmtId="174" fontId="0" fillId="0" borderId="8" xfId="4" applyNumberFormat="1" applyFont="1" applyBorder="1" applyAlignment="1">
      <alignment horizontal="left" indent="1"/>
    </xf>
    <xf numFmtId="174" fontId="0" fillId="18" borderId="8" xfId="4" applyNumberFormat="1" applyFont="1" applyFill="1" applyBorder="1"/>
    <xf numFmtId="174" fontId="0" fillId="30" borderId="8" xfId="4" applyNumberFormat="1" applyFont="1" applyFill="1" applyBorder="1"/>
    <xf numFmtId="168" fontId="2" fillId="18" borderId="8" xfId="4" applyNumberFormat="1" applyFont="1" applyFill="1" applyBorder="1"/>
    <xf numFmtId="168" fontId="0" fillId="18" borderId="8" xfId="4" applyNumberFormat="1" applyFont="1" applyFill="1" applyBorder="1" applyAlignment="1">
      <alignment horizontal="center"/>
    </xf>
    <xf numFmtId="0" fontId="0" fillId="3" borderId="8" xfId="2" applyFont="1" applyBorder="1"/>
    <xf numFmtId="168" fontId="0" fillId="3" borderId="8" xfId="4" applyNumberFormat="1" applyFont="1" applyFill="1" applyBorder="1" applyAlignment="1">
      <alignment horizontal="center"/>
    </xf>
    <xf numFmtId="0" fontId="18" fillId="11" borderId="8" xfId="8" applyFont="1" applyFill="1" applyBorder="1" applyAlignment="1">
      <alignment vertical="center"/>
    </xf>
    <xf numFmtId="43" fontId="0" fillId="18" borderId="8" xfId="2" applyNumberFormat="1" applyFont="1" applyFill="1" applyBorder="1" applyAlignment="1">
      <alignment horizontal="center"/>
    </xf>
    <xf numFmtId="169" fontId="0" fillId="3" borderId="8" xfId="4" applyNumberFormat="1" applyFont="1" applyFill="1" applyBorder="1" applyAlignment="1">
      <alignment horizontal="center"/>
    </xf>
    <xf numFmtId="0" fontId="18" fillId="0" borderId="8" xfId="6" applyFont="1" applyFill="1" applyBorder="1">
      <alignment vertical="center"/>
    </xf>
    <xf numFmtId="168" fontId="49" fillId="40" borderId="8" xfId="41" applyNumberFormat="1" applyFont="1" applyFill="1" applyBorder="1" applyAlignment="1">
      <alignment vertical="center"/>
    </xf>
    <xf numFmtId="168" fontId="49" fillId="27" borderId="8" xfId="41" applyNumberFormat="1" applyFont="1" applyFill="1" applyBorder="1" applyAlignment="1">
      <alignment vertical="center"/>
    </xf>
    <xf numFmtId="168" fontId="19" fillId="39" borderId="8" xfId="40" applyNumberFormat="1" applyFont="1" applyFill="1" applyBorder="1" applyAlignment="1">
      <alignment vertical="center"/>
    </xf>
    <xf numFmtId="0" fontId="99" fillId="20" borderId="58" xfId="28" applyFont="1" applyBorder="1">
      <alignment vertical="center"/>
    </xf>
    <xf numFmtId="164" fontId="0" fillId="18" borderId="8" xfId="14" applyNumberFormat="1" applyFont="1" applyFill="1" applyBorder="1" applyAlignment="1">
      <alignment horizontal="right"/>
    </xf>
    <xf numFmtId="168" fontId="0" fillId="4" borderId="8" xfId="4" applyNumberFormat="1" applyFont="1" applyFill="1" applyBorder="1" applyAlignment="1">
      <alignment horizontal="right"/>
    </xf>
    <xf numFmtId="0" fontId="0" fillId="0" borderId="4" xfId="2" applyFont="1" applyFill="1" applyBorder="1"/>
    <xf numFmtId="0" fontId="34" fillId="20" borderId="58" xfId="28" applyBorder="1">
      <alignment vertical="center"/>
    </xf>
    <xf numFmtId="43" fontId="4" fillId="18" borderId="8" xfId="4" applyFont="1" applyFill="1" applyBorder="1" applyAlignment="1">
      <alignment horizontal="center"/>
    </xf>
    <xf numFmtId="0" fontId="50" fillId="0" borderId="8" xfId="6" applyFont="1" applyFill="1" applyBorder="1">
      <alignment vertical="center"/>
    </xf>
    <xf numFmtId="9" fontId="2" fillId="18" borderId="8" xfId="1" applyFont="1" applyFill="1" applyBorder="1"/>
    <xf numFmtId="0" fontId="0" fillId="7" borderId="8" xfId="2" applyFont="1" applyFill="1" applyBorder="1" applyAlignment="1">
      <alignment wrapText="1"/>
    </xf>
    <xf numFmtId="0" fontId="4" fillId="4" borderId="8" xfId="2" applyFont="1" applyFill="1" applyBorder="1"/>
    <xf numFmtId="0" fontId="0" fillId="4" borderId="8" xfId="2" applyFont="1" applyFill="1" applyBorder="1"/>
    <xf numFmtId="2" fontId="0" fillId="4" borderId="8" xfId="2" applyNumberFormat="1" applyFont="1" applyFill="1" applyBorder="1"/>
    <xf numFmtId="0" fontId="34" fillId="20" borderId="53" xfId="28" applyBorder="1">
      <alignment vertical="center"/>
    </xf>
    <xf numFmtId="0" fontId="15" fillId="38" borderId="8" xfId="6" applyFill="1" applyBorder="1">
      <alignment vertical="center"/>
    </xf>
    <xf numFmtId="168" fontId="103" fillId="4" borderId="8" xfId="16" applyNumberFormat="1" applyFont="1" applyFill="1" applyBorder="1">
      <alignment vertical="center"/>
    </xf>
    <xf numFmtId="43" fontId="103" fillId="18" borderId="8" xfId="16" applyNumberFormat="1" applyFont="1" applyBorder="1">
      <alignment vertical="center"/>
    </xf>
    <xf numFmtId="168" fontId="16" fillId="4" borderId="8" xfId="16" applyNumberFormat="1" applyFill="1" applyBorder="1">
      <alignment vertical="center"/>
    </xf>
    <xf numFmtId="43" fontId="104" fillId="18" borderId="8" xfId="16" applyNumberFormat="1" applyFont="1" applyBorder="1">
      <alignment vertical="center"/>
    </xf>
    <xf numFmtId="0" fontId="0" fillId="38" borderId="8" xfId="6" applyFont="1" applyFill="1" applyBorder="1">
      <alignment vertical="center"/>
    </xf>
    <xf numFmtId="9" fontId="0" fillId="4" borderId="8" xfId="33" applyFont="1" applyFill="1" applyBorder="1" applyAlignment="1" applyProtection="1">
      <alignment vertical="center"/>
    </xf>
    <xf numFmtId="0" fontId="14" fillId="2" borderId="85" xfId="5" applyBorder="1">
      <alignment vertical="center"/>
    </xf>
    <xf numFmtId="0" fontId="0" fillId="4" borderId="8" xfId="6" applyFont="1" applyFill="1" applyBorder="1">
      <alignment vertical="center"/>
    </xf>
    <xf numFmtId="0" fontId="0" fillId="38" borderId="8" xfId="0" applyFill="1" applyBorder="1"/>
    <xf numFmtId="44" fontId="16" fillId="18" borderId="8" xfId="14" applyFont="1" applyFill="1" applyBorder="1" applyAlignment="1">
      <alignment vertical="center"/>
    </xf>
    <xf numFmtId="9" fontId="16" fillId="4" borderId="8" xfId="1" applyFont="1" applyFill="1" applyBorder="1" applyAlignment="1">
      <alignment vertical="center"/>
    </xf>
    <xf numFmtId="9" fontId="0" fillId="18" borderId="8" xfId="1" applyFont="1" applyFill="1" applyBorder="1"/>
    <xf numFmtId="0" fontId="20" fillId="13" borderId="9" xfId="12" applyAlignment="1">
      <alignment horizontal="left" vertical="center"/>
    </xf>
    <xf numFmtId="0" fontId="16" fillId="18" borderId="9" xfId="16" applyAlignment="1">
      <alignment horizontal="left" vertical="center"/>
    </xf>
    <xf numFmtId="0" fontId="16" fillId="19" borderId="9" xfId="17" applyAlignment="1">
      <alignment horizontal="left" vertical="center"/>
    </xf>
    <xf numFmtId="0" fontId="14" fillId="2" borderId="8" xfId="5" applyAlignment="1">
      <alignment horizontal="left" vertical="center"/>
    </xf>
    <xf numFmtId="0" fontId="46" fillId="4" borderId="21" xfId="40" applyFill="1" applyAlignment="1">
      <alignment horizontal="left" vertical="center"/>
    </xf>
    <xf numFmtId="0" fontId="15" fillId="38" borderId="9" xfId="6" applyFill="1" applyAlignment="1">
      <alignment horizontal="left" vertical="center"/>
    </xf>
    <xf numFmtId="0" fontId="32" fillId="6" borderId="15" xfId="24" applyFill="1" applyAlignment="1">
      <alignment vertical="center"/>
    </xf>
    <xf numFmtId="0" fontId="0" fillId="6" borderId="0" xfId="0" applyFill="1" applyAlignment="1">
      <alignment vertical="center"/>
    </xf>
    <xf numFmtId="0" fontId="42" fillId="6" borderId="0" xfId="0" applyFont="1" applyFill="1" applyAlignment="1">
      <alignment vertical="center"/>
    </xf>
    <xf numFmtId="43" fontId="2" fillId="18" borderId="52" xfId="0" applyNumberFormat="1" applyFont="1" applyFill="1" applyBorder="1"/>
    <xf numFmtId="0" fontId="92" fillId="0" borderId="86" xfId="49" applyFont="1" applyBorder="1">
      <alignment vertical="center"/>
    </xf>
    <xf numFmtId="0" fontId="53" fillId="28" borderId="87" xfId="42" applyFont="1" applyFill="1" applyBorder="1" applyAlignment="1">
      <alignment vertical="center"/>
    </xf>
    <xf numFmtId="0" fontId="53" fillId="28" borderId="88" xfId="42" applyFont="1" applyFill="1" applyBorder="1" applyAlignment="1">
      <alignment horizontal="center"/>
    </xf>
    <xf numFmtId="175" fontId="53" fillId="0" borderId="88" xfId="43" applyNumberFormat="1" applyFont="1" applyBorder="1"/>
    <xf numFmtId="43" fontId="53" fillId="0" borderId="88" xfId="42" applyNumberFormat="1" applyFont="1" applyBorder="1"/>
    <xf numFmtId="179" fontId="0" fillId="12" borderId="50" xfId="4" applyNumberFormat="1" applyFont="1" applyFill="1" applyBorder="1"/>
    <xf numFmtId="0" fontId="90" fillId="8" borderId="76" xfId="8" applyFont="1" applyFill="1" applyBorder="1" applyAlignment="1">
      <alignment horizontal="left" vertical="center" wrapText="1"/>
    </xf>
    <xf numFmtId="0" fontId="84" fillId="7" borderId="67" xfId="8" applyBorder="1" applyAlignment="1">
      <alignment horizontal="center" vertical="center" wrapText="1"/>
    </xf>
    <xf numFmtId="9" fontId="0" fillId="3" borderId="8" xfId="1" applyFont="1" applyFill="1" applyBorder="1"/>
    <xf numFmtId="0" fontId="14" fillId="5" borderId="56" xfId="5" applyFill="1" applyBorder="1">
      <alignment vertical="center"/>
    </xf>
    <xf numFmtId="0" fontId="14" fillId="5" borderId="20" xfId="5" applyFill="1" applyBorder="1">
      <alignment vertical="center"/>
    </xf>
    <xf numFmtId="0" fontId="84" fillId="7" borderId="64" xfId="8" applyBorder="1" applyAlignment="1">
      <alignment horizontal="left" vertical="center" wrapText="1"/>
    </xf>
    <xf numFmtId="165" fontId="53" fillId="0" borderId="64" xfId="49" applyNumberFormat="1" applyBorder="1" applyAlignment="1">
      <alignment horizontal="center" vertical="center" wrapText="1"/>
    </xf>
    <xf numFmtId="0" fontId="105" fillId="7" borderId="63" xfId="8" applyFont="1" applyBorder="1" applyAlignment="1">
      <alignment horizontal="center" vertical="center"/>
    </xf>
    <xf numFmtId="168" fontId="2" fillId="18" borderId="52" xfId="4" applyNumberFormat="1" applyFont="1" applyFill="1" applyBorder="1" applyAlignment="1">
      <alignment horizontal="center"/>
    </xf>
    <xf numFmtId="43" fontId="9" fillId="0" borderId="0" xfId="4" applyFont="1"/>
    <xf numFmtId="0" fontId="106" fillId="2" borderId="8" xfId="5" applyFont="1">
      <alignment vertical="center"/>
    </xf>
    <xf numFmtId="168" fontId="77" fillId="27" borderId="8" xfId="41" applyNumberFormat="1" applyFont="1" applyFill="1" applyBorder="1" applyAlignment="1">
      <alignment vertical="center"/>
    </xf>
    <xf numFmtId="0" fontId="18" fillId="0" borderId="8" xfId="8" applyFont="1" applyFill="1" applyBorder="1" applyAlignment="1">
      <alignment vertical="center"/>
    </xf>
    <xf numFmtId="43" fontId="2" fillId="0" borderId="0" xfId="0" applyNumberFormat="1" applyFont="1"/>
    <xf numFmtId="43" fontId="0" fillId="18" borderId="0" xfId="0" applyNumberFormat="1" applyFill="1"/>
    <xf numFmtId="169" fontId="0" fillId="18" borderId="8" xfId="1" applyNumberFormat="1" applyFont="1" applyFill="1" applyBorder="1" applyAlignment="1">
      <alignment horizontal="center"/>
    </xf>
    <xf numFmtId="169" fontId="0" fillId="18" borderId="8" xfId="4" applyNumberFormat="1" applyFont="1" applyFill="1" applyBorder="1" applyAlignment="1">
      <alignment horizontal="center"/>
    </xf>
    <xf numFmtId="43" fontId="18" fillId="0" borderId="8" xfId="8" applyNumberFormat="1" applyFont="1" applyFill="1" applyBorder="1" applyAlignment="1">
      <alignment vertical="center"/>
    </xf>
    <xf numFmtId="0" fontId="107" fillId="0" borderId="0" xfId="0" applyFont="1"/>
    <xf numFmtId="0" fontId="0" fillId="45" borderId="8" xfId="0" applyFill="1" applyBorder="1"/>
    <xf numFmtId="0" fontId="0" fillId="0" borderId="56" xfId="0" applyBorder="1"/>
    <xf numFmtId="1" fontId="0" fillId="30" borderId="56" xfId="0" applyNumberFormat="1" applyFill="1" applyBorder="1"/>
    <xf numFmtId="1" fontId="0" fillId="18" borderId="56" xfId="0" applyNumberFormat="1" applyFill="1" applyBorder="1"/>
    <xf numFmtId="0" fontId="0" fillId="0" borderId="91" xfId="0" applyBorder="1"/>
    <xf numFmtId="1" fontId="0" fillId="30" borderId="91" xfId="0" applyNumberFormat="1" applyFill="1" applyBorder="1"/>
    <xf numFmtId="1" fontId="0" fillId="18" borderId="91" xfId="0" applyNumberFormat="1" applyFill="1" applyBorder="1"/>
    <xf numFmtId="0" fontId="50" fillId="0" borderId="91" xfId="6" applyFont="1" applyFill="1" applyBorder="1">
      <alignment vertical="center"/>
    </xf>
    <xf numFmtId="168" fontId="0" fillId="30" borderId="52" xfId="0" applyNumberFormat="1" applyFill="1" applyBorder="1"/>
    <xf numFmtId="43" fontId="0" fillId="18" borderId="52" xfId="0" applyNumberFormat="1" applyFill="1" applyBorder="1"/>
    <xf numFmtId="168" fontId="0" fillId="30" borderId="94" xfId="0" applyNumberFormat="1" applyFill="1" applyBorder="1"/>
    <xf numFmtId="43" fontId="0" fillId="18" borderId="94" xfId="0" applyNumberFormat="1" applyFill="1" applyBorder="1"/>
    <xf numFmtId="43" fontId="0" fillId="45" borderId="8" xfId="4" applyFont="1" applyFill="1" applyBorder="1" applyAlignment="1">
      <alignment horizontal="center"/>
    </xf>
    <xf numFmtId="43" fontId="4" fillId="18" borderId="52" xfId="4" applyFont="1" applyFill="1" applyBorder="1" applyAlignment="1">
      <alignment horizontal="center"/>
    </xf>
    <xf numFmtId="43" fontId="4" fillId="8" borderId="8" xfId="4" applyFont="1" applyFill="1" applyBorder="1" applyAlignment="1">
      <alignment horizontal="center"/>
    </xf>
    <xf numFmtId="0" fontId="0" fillId="0" borderId="93" xfId="0" applyBorder="1"/>
    <xf numFmtId="43" fontId="4" fillId="18" borderId="93" xfId="4" applyFont="1" applyFill="1" applyBorder="1" applyAlignment="1">
      <alignment horizontal="center"/>
    </xf>
    <xf numFmtId="43" fontId="4" fillId="8" borderId="93" xfId="4" applyFont="1" applyFill="1" applyBorder="1" applyAlignment="1">
      <alignment horizontal="center"/>
    </xf>
    <xf numFmtId="43" fontId="4" fillId="18" borderId="94" xfId="4" applyFont="1" applyFill="1" applyBorder="1" applyAlignment="1">
      <alignment horizontal="center"/>
    </xf>
    <xf numFmtId="43" fontId="2" fillId="45" borderId="52" xfId="4" applyFont="1" applyFill="1" applyBorder="1" applyAlignment="1">
      <alignment horizontal="center"/>
    </xf>
    <xf numFmtId="43" fontId="2" fillId="45" borderId="94" xfId="4" applyFont="1" applyFill="1" applyBorder="1" applyAlignment="1">
      <alignment horizontal="center"/>
    </xf>
    <xf numFmtId="43" fontId="0" fillId="45" borderId="93" xfId="4" applyFont="1" applyFill="1" applyBorder="1" applyAlignment="1">
      <alignment horizontal="center"/>
    </xf>
    <xf numFmtId="168" fontId="4" fillId="18" borderId="52" xfId="4" applyNumberFormat="1" applyFont="1" applyFill="1" applyBorder="1" applyAlignment="1">
      <alignment horizontal="center"/>
    </xf>
    <xf numFmtId="168" fontId="4" fillId="18" borderId="95" xfId="4" applyNumberFormat="1" applyFont="1" applyFill="1" applyBorder="1" applyAlignment="1">
      <alignment horizontal="center"/>
    </xf>
    <xf numFmtId="168" fontId="4" fillId="18" borderId="96" xfId="4" applyNumberFormat="1" applyFont="1" applyFill="1" applyBorder="1" applyAlignment="1">
      <alignment horizontal="center"/>
    </xf>
    <xf numFmtId="165" fontId="23" fillId="0" borderId="0" xfId="14" applyNumberFormat="1" applyFont="1" applyFill="1" applyBorder="1" applyAlignment="1">
      <alignment vertical="center"/>
    </xf>
    <xf numFmtId="0" fontId="23" fillId="0" borderId="55" xfId="35" applyFont="1" applyFill="1" applyBorder="1">
      <alignment vertical="center"/>
    </xf>
    <xf numFmtId="9" fontId="0" fillId="18" borderId="8" xfId="1" applyFont="1" applyFill="1" applyBorder="1" applyAlignment="1">
      <alignment horizontal="center" vertical="center"/>
    </xf>
    <xf numFmtId="0" fontId="60" fillId="35" borderId="92" xfId="42" applyFont="1" applyFill="1" applyBorder="1" applyAlignment="1">
      <alignment horizontal="center" vertical="top" wrapText="1"/>
    </xf>
    <xf numFmtId="168" fontId="53" fillId="0" borderId="92" xfId="43" applyNumberFormat="1" applyFont="1" applyBorder="1"/>
    <xf numFmtId="168" fontId="57" fillId="34" borderId="0" xfId="43" applyNumberFormat="1" applyFont="1" applyFill="1" applyBorder="1"/>
    <xf numFmtId="0" fontId="60" fillId="35" borderId="92" xfId="42" applyFont="1" applyFill="1" applyBorder="1" applyAlignment="1">
      <alignment horizontal="center" vertical="center" wrapText="1"/>
    </xf>
    <xf numFmtId="172" fontId="53" fillId="0" borderId="92" xfId="43" applyNumberFormat="1" applyFont="1" applyBorder="1"/>
    <xf numFmtId="171" fontId="57" fillId="34" borderId="0" xfId="43" applyNumberFormat="1" applyFont="1" applyFill="1" applyBorder="1"/>
    <xf numFmtId="171" fontId="53" fillId="0" borderId="92" xfId="43" applyNumberFormat="1" applyFont="1" applyBorder="1"/>
    <xf numFmtId="43" fontId="53" fillId="0" borderId="92" xfId="43" applyFont="1" applyBorder="1"/>
    <xf numFmtId="43" fontId="19" fillId="34" borderId="0" xfId="43" applyFont="1" applyFill="1" applyBorder="1" applyAlignment="1">
      <alignment vertical="center"/>
    </xf>
    <xf numFmtId="0" fontId="53" fillId="6" borderId="0" xfId="42" applyFont="1" applyFill="1" applyAlignment="1">
      <alignment horizontal="center" vertical="center" wrapText="1"/>
    </xf>
    <xf numFmtId="0" fontId="60" fillId="6" borderId="100" xfId="42" applyFont="1" applyFill="1" applyBorder="1" applyAlignment="1">
      <alignment horizontal="center" vertical="center" wrapText="1"/>
    </xf>
    <xf numFmtId="0" fontId="53" fillId="6" borderId="100" xfId="42" applyFont="1" applyFill="1" applyBorder="1"/>
    <xf numFmtId="175" fontId="53" fillId="6" borderId="100" xfId="42" applyNumberFormat="1" applyFont="1" applyFill="1" applyBorder="1"/>
    <xf numFmtId="169" fontId="53" fillId="6" borderId="100" xfId="42" applyNumberFormat="1" applyFont="1" applyFill="1" applyBorder="1"/>
    <xf numFmtId="0" fontId="56" fillId="6" borderId="0" xfId="42" applyFont="1" applyFill="1"/>
    <xf numFmtId="0" fontId="57" fillId="34" borderId="101" xfId="42" applyFont="1" applyFill="1" applyBorder="1" applyAlignment="1">
      <alignment horizontal="center" vertical="center" wrapText="1"/>
    </xf>
    <xf numFmtId="169" fontId="64" fillId="0" borderId="48" xfId="43" applyNumberFormat="1" applyFont="1" applyBorder="1"/>
    <xf numFmtId="169" fontId="64" fillId="0" borderId="92" xfId="43" applyNumberFormat="1" applyFont="1" applyBorder="1"/>
    <xf numFmtId="169" fontId="64" fillId="0" borderId="102" xfId="43" applyNumberFormat="1" applyFont="1" applyBorder="1"/>
    <xf numFmtId="0" fontId="56" fillId="6" borderId="100" xfId="42" applyFont="1" applyFill="1" applyBorder="1"/>
    <xf numFmtId="0" fontId="57" fillId="6" borderId="100" xfId="42" applyFont="1" applyFill="1" applyBorder="1" applyAlignment="1">
      <alignment horizontal="center" vertical="center" wrapText="1"/>
    </xf>
    <xf numFmtId="43" fontId="53" fillId="6" borderId="100" xfId="42" applyNumberFormat="1" applyFont="1" applyFill="1" applyBorder="1"/>
    <xf numFmtId="0" fontId="51" fillId="6" borderId="0" xfId="42" applyFill="1"/>
    <xf numFmtId="0" fontId="53" fillId="8" borderId="87" xfId="42" applyFont="1" applyFill="1" applyBorder="1" applyAlignment="1">
      <alignment vertical="center"/>
    </xf>
    <xf numFmtId="0" fontId="53" fillId="8" borderId="88" xfId="42" applyFont="1" applyFill="1" applyBorder="1" applyAlignment="1">
      <alignment horizontal="center"/>
    </xf>
    <xf numFmtId="172" fontId="53" fillId="6" borderId="0" xfId="42" applyNumberFormat="1" applyFont="1" applyFill="1"/>
    <xf numFmtId="0" fontId="57" fillId="33" borderId="48" xfId="42" applyFont="1" applyFill="1" applyBorder="1" applyAlignment="1">
      <alignment horizontal="center" vertical="center" wrapText="1"/>
    </xf>
    <xf numFmtId="172" fontId="53" fillId="8" borderId="92" xfId="43" applyNumberFormat="1" applyFont="1" applyFill="1" applyBorder="1"/>
    <xf numFmtId="0" fontId="90" fillId="9" borderId="103" xfId="6" applyFont="1" applyFill="1" applyBorder="1" applyAlignment="1">
      <alignment horizontal="center" vertical="center" wrapText="1"/>
    </xf>
    <xf numFmtId="0" fontId="90" fillId="9" borderId="104" xfId="6" applyFont="1" applyFill="1" applyBorder="1" applyAlignment="1">
      <alignment horizontal="center" vertical="center" wrapText="1"/>
    </xf>
    <xf numFmtId="0" fontId="88" fillId="6" borderId="0" xfId="47" applyFill="1" applyBorder="1"/>
    <xf numFmtId="0" fontId="109" fillId="0" borderId="0" xfId="0" applyFont="1"/>
    <xf numFmtId="0" fontId="109" fillId="0" borderId="8" xfId="0" applyFont="1" applyBorder="1"/>
    <xf numFmtId="165" fontId="109" fillId="0" borderId="8" xfId="0" applyNumberFormat="1" applyFont="1" applyBorder="1" applyAlignment="1">
      <alignment horizontal="left"/>
    </xf>
    <xf numFmtId="0" fontId="88" fillId="0" borderId="62" xfId="47" applyFill="1"/>
    <xf numFmtId="0" fontId="14" fillId="9" borderId="97" xfId="6" applyFont="1" applyFill="1" applyBorder="1" applyAlignment="1">
      <alignment horizontal="center" vertical="center"/>
    </xf>
    <xf numFmtId="0" fontId="14" fillId="9" borderId="110" xfId="6" applyFont="1" applyFill="1" applyBorder="1" applyAlignment="1">
      <alignment horizontal="center" vertical="center"/>
    </xf>
    <xf numFmtId="174" fontId="109" fillId="0" borderId="40" xfId="4" applyNumberFormat="1" applyFont="1" applyFill="1" applyBorder="1"/>
    <xf numFmtId="174" fontId="109" fillId="0" borderId="111" xfId="4" applyNumberFormat="1" applyFont="1" applyFill="1" applyBorder="1"/>
    <xf numFmtId="174" fontId="109" fillId="0" borderId="112" xfId="4" applyNumberFormat="1" applyFont="1" applyFill="1" applyBorder="1"/>
    <xf numFmtId="174" fontId="109" fillId="0" borderId="109" xfId="4" applyNumberFormat="1" applyFont="1" applyFill="1" applyBorder="1"/>
    <xf numFmtId="174" fontId="109" fillId="0" borderId="113" xfId="4" applyNumberFormat="1" applyFont="1" applyFill="1" applyBorder="1"/>
    <xf numFmtId="2" fontId="108" fillId="6" borderId="31" xfId="0" applyNumberFormat="1" applyFont="1" applyFill="1" applyBorder="1" applyAlignment="1">
      <alignment horizontal="center" vertical="center" wrapText="1"/>
    </xf>
    <xf numFmtId="2" fontId="108" fillId="6" borderId="33" xfId="0" applyNumberFormat="1" applyFont="1" applyFill="1" applyBorder="1" applyAlignment="1">
      <alignment horizontal="center" vertical="center" wrapText="1"/>
    </xf>
    <xf numFmtId="1" fontId="108" fillId="6" borderId="31" xfId="0" applyNumberFormat="1" applyFont="1" applyFill="1" applyBorder="1" applyAlignment="1">
      <alignment horizontal="center" vertical="center" wrapText="1"/>
    </xf>
    <xf numFmtId="0" fontId="96" fillId="6" borderId="0" xfId="48" applyFont="1" applyFill="1" applyBorder="1"/>
    <xf numFmtId="166" fontId="88" fillId="6" borderId="0" xfId="47" applyNumberFormat="1" applyFill="1" applyBorder="1"/>
    <xf numFmtId="0" fontId="84" fillId="7" borderId="9" xfId="8" applyAlignment="1">
      <alignment horizontal="left" vertical="center" wrapText="1"/>
    </xf>
    <xf numFmtId="0" fontId="53" fillId="0" borderId="56" xfId="5" applyFont="1" applyFill="1" applyBorder="1">
      <alignment vertical="center"/>
    </xf>
    <xf numFmtId="9" fontId="23" fillId="4" borderId="56" xfId="1" applyFont="1" applyFill="1" applyBorder="1" applyAlignment="1">
      <alignment vertical="center"/>
    </xf>
    <xf numFmtId="0" fontId="53" fillId="28" borderId="0" xfId="42" applyFont="1" applyFill="1"/>
    <xf numFmtId="174" fontId="109" fillId="0" borderId="116" xfId="4" applyNumberFormat="1" applyFont="1" applyFill="1" applyBorder="1"/>
    <xf numFmtId="0" fontId="18" fillId="0" borderId="98" xfId="6" applyFont="1" applyFill="1" applyBorder="1">
      <alignment vertical="center"/>
    </xf>
    <xf numFmtId="0" fontId="0" fillId="0" borderId="98" xfId="0" applyBorder="1"/>
    <xf numFmtId="1" fontId="0" fillId="30" borderId="98" xfId="0" applyNumberFormat="1" applyFill="1" applyBorder="1"/>
    <xf numFmtId="1" fontId="0" fillId="18" borderId="98" xfId="0" applyNumberFormat="1" applyFill="1" applyBorder="1"/>
    <xf numFmtId="168" fontId="0" fillId="45" borderId="98" xfId="4" applyNumberFormat="1" applyFont="1" applyFill="1" applyBorder="1"/>
    <xf numFmtId="168" fontId="0" fillId="45" borderId="98" xfId="4" applyNumberFormat="1" applyFont="1" applyFill="1" applyBorder="1" applyAlignment="1">
      <alignment horizontal="center"/>
    </xf>
    <xf numFmtId="0" fontId="53" fillId="28" borderId="105" xfId="42" applyFont="1" applyFill="1" applyBorder="1" applyAlignment="1">
      <alignment horizontal="center" vertical="center"/>
    </xf>
    <xf numFmtId="168" fontId="53" fillId="28" borderId="106" xfId="42" applyNumberFormat="1" applyFont="1" applyFill="1" applyBorder="1" applyAlignment="1">
      <alignment horizontal="center" vertical="center"/>
    </xf>
    <xf numFmtId="0" fontId="58" fillId="32" borderId="92" xfId="42" applyFont="1" applyFill="1" applyBorder="1" applyAlignment="1">
      <alignment vertical="center"/>
    </xf>
    <xf numFmtId="0" fontId="58" fillId="32" borderId="119" xfId="42" applyFont="1" applyFill="1" applyBorder="1" applyAlignment="1">
      <alignment vertical="center"/>
    </xf>
    <xf numFmtId="0" fontId="53" fillId="32" borderId="119" xfId="42" applyFont="1" applyFill="1" applyBorder="1" applyAlignment="1">
      <alignment vertical="center"/>
    </xf>
    <xf numFmtId="0" fontId="53" fillId="32" borderId="90" xfId="42" applyFont="1" applyFill="1" applyBorder="1" applyAlignment="1">
      <alignment vertical="center"/>
    </xf>
    <xf numFmtId="0" fontId="57" fillId="33" borderId="120" xfId="42" applyFont="1" applyFill="1" applyBorder="1" applyAlignment="1">
      <alignment horizontal="center"/>
    </xf>
    <xf numFmtId="0" fontId="53" fillId="0" borderId="114" xfId="42" applyFont="1" applyBorder="1"/>
    <xf numFmtId="0" fontId="53" fillId="8" borderId="114" xfId="42" applyFont="1" applyFill="1" applyBorder="1"/>
    <xf numFmtId="168" fontId="53" fillId="8" borderId="115" xfId="43" applyNumberFormat="1" applyFont="1" applyFill="1" applyBorder="1"/>
    <xf numFmtId="0" fontId="60" fillId="35" borderId="115" xfId="42" applyFont="1" applyFill="1" applyBorder="1" applyAlignment="1">
      <alignment horizontal="center" vertical="center" wrapText="1"/>
    </xf>
    <xf numFmtId="0" fontId="60" fillId="36" borderId="115" xfId="42" applyFont="1" applyFill="1" applyBorder="1" applyAlignment="1">
      <alignment horizontal="center" vertical="center" wrapText="1"/>
    </xf>
    <xf numFmtId="0" fontId="57" fillId="33" borderId="120" xfId="42" applyFont="1" applyFill="1" applyBorder="1" applyAlignment="1">
      <alignment horizontal="center" vertical="center" wrapText="1"/>
    </xf>
    <xf numFmtId="0" fontId="53" fillId="18" borderId="114" xfId="42" applyFont="1" applyFill="1" applyBorder="1"/>
    <xf numFmtId="171" fontId="53" fillId="8" borderId="115" xfId="43" applyNumberFormat="1" applyFont="1" applyFill="1" applyBorder="1"/>
    <xf numFmtId="0" fontId="53" fillId="0" borderId="114" xfId="42" applyFont="1" applyBorder="1" applyAlignment="1">
      <alignment vertical="center"/>
    </xf>
    <xf numFmtId="43" fontId="57" fillId="33" borderId="120" xfId="42" applyNumberFormat="1" applyFont="1" applyFill="1" applyBorder="1" applyAlignment="1">
      <alignment horizontal="center" vertical="center"/>
    </xf>
    <xf numFmtId="43" fontId="53" fillId="8" borderId="115" xfId="43" applyFont="1" applyFill="1" applyBorder="1"/>
    <xf numFmtId="43" fontId="57" fillId="33" borderId="120" xfId="42" applyNumberFormat="1" applyFont="1" applyFill="1" applyBorder="1" applyAlignment="1">
      <alignment horizontal="center" vertical="center" wrapText="1"/>
    </xf>
    <xf numFmtId="0" fontId="53" fillId="0" borderId="105" xfId="42" applyFont="1" applyBorder="1"/>
    <xf numFmtId="174" fontId="53" fillId="0" borderId="98" xfId="43" applyNumberFormat="1" applyFont="1" applyBorder="1"/>
    <xf numFmtId="43" fontId="53" fillId="0" borderId="98" xfId="43" applyFont="1" applyBorder="1"/>
    <xf numFmtId="0" fontId="53" fillId="8" borderId="105" xfId="42" applyFont="1" applyFill="1" applyBorder="1"/>
    <xf numFmtId="174" fontId="53" fillId="8" borderId="98" xfId="43" applyNumberFormat="1" applyFont="1" applyFill="1" applyBorder="1"/>
    <xf numFmtId="43" fontId="53" fillId="8" borderId="98" xfId="43" applyFont="1" applyFill="1" applyBorder="1"/>
    <xf numFmtId="43" fontId="53" fillId="0" borderId="91" xfId="43" applyFont="1" applyBorder="1" applyAlignment="1">
      <alignment vertical="center"/>
    </xf>
    <xf numFmtId="43" fontId="53" fillId="8" borderId="91" xfId="43" applyFont="1" applyFill="1" applyBorder="1" applyAlignment="1">
      <alignment vertical="center"/>
    </xf>
    <xf numFmtId="0" fontId="53" fillId="28" borderId="114" xfId="42" applyFont="1" applyFill="1" applyBorder="1" applyAlignment="1">
      <alignment vertical="center"/>
    </xf>
    <xf numFmtId="0" fontId="53" fillId="0" borderId="115" xfId="42" applyFont="1" applyBorder="1" applyAlignment="1">
      <alignment horizontal="center"/>
    </xf>
    <xf numFmtId="0" fontId="53" fillId="8" borderId="114" xfId="42" applyFont="1" applyFill="1" applyBorder="1" applyAlignment="1">
      <alignment vertical="center"/>
    </xf>
    <xf numFmtId="0" fontId="53" fillId="8" borderId="115" xfId="42" applyFont="1" applyFill="1" applyBorder="1" applyAlignment="1">
      <alignment horizontal="center"/>
    </xf>
    <xf numFmtId="0" fontId="53" fillId="28" borderId="115" xfId="42" applyFont="1" applyFill="1" applyBorder="1" applyAlignment="1">
      <alignment horizontal="center"/>
    </xf>
    <xf numFmtId="0" fontId="53" fillId="28" borderId="105" xfId="42" applyFont="1" applyFill="1" applyBorder="1" applyAlignment="1">
      <alignment vertical="center"/>
    </xf>
    <xf numFmtId="43" fontId="53" fillId="0" borderId="98" xfId="43" applyFont="1" applyBorder="1" applyAlignment="1">
      <alignment vertical="center"/>
    </xf>
    <xf numFmtId="0" fontId="53" fillId="28" borderId="106" xfId="42" applyFont="1" applyFill="1" applyBorder="1" applyAlignment="1">
      <alignment horizontal="center"/>
    </xf>
    <xf numFmtId="0" fontId="53" fillId="8" borderId="105" xfId="42" applyFont="1" applyFill="1" applyBorder="1" applyAlignment="1">
      <alignment vertical="center"/>
    </xf>
    <xf numFmtId="43" fontId="53" fillId="8" borderId="98" xfId="43" applyFont="1" applyFill="1" applyBorder="1" applyAlignment="1">
      <alignment vertical="center"/>
    </xf>
    <xf numFmtId="0" fontId="53" fillId="8" borderId="106" xfId="42" applyFont="1" applyFill="1" applyBorder="1" applyAlignment="1">
      <alignment horizontal="center"/>
    </xf>
    <xf numFmtId="0" fontId="58" fillId="37" borderId="92" xfId="42" applyFont="1" applyFill="1" applyBorder="1"/>
    <xf numFmtId="0" fontId="53" fillId="37" borderId="119" xfId="42" applyFont="1" applyFill="1" applyBorder="1"/>
    <xf numFmtId="0" fontId="53" fillId="32" borderId="119" xfId="42" applyFont="1" applyFill="1" applyBorder="1"/>
    <xf numFmtId="0" fontId="53" fillId="32" borderId="90" xfId="42" applyFont="1" applyFill="1" applyBorder="1"/>
    <xf numFmtId="0" fontId="53" fillId="28" borderId="91" xfId="42" applyFont="1" applyFill="1" applyBorder="1" applyAlignment="1">
      <alignment horizontal="left"/>
    </xf>
    <xf numFmtId="175" fontId="53" fillId="0" borderId="91" xfId="43" applyNumberFormat="1" applyFont="1" applyBorder="1"/>
    <xf numFmtId="175" fontId="53" fillId="0" borderId="115" xfId="43" applyNumberFormat="1" applyFont="1" applyBorder="1"/>
    <xf numFmtId="175" fontId="53" fillId="0" borderId="121" xfId="43" applyNumberFormat="1" applyFont="1" applyBorder="1"/>
    <xf numFmtId="175" fontId="53" fillId="0" borderId="122" xfId="43" applyNumberFormat="1" applyFont="1" applyBorder="1"/>
    <xf numFmtId="175" fontId="53" fillId="0" borderId="98" xfId="43" applyNumberFormat="1" applyFont="1" applyBorder="1"/>
    <xf numFmtId="175" fontId="53" fillId="0" borderId="106" xfId="43" applyNumberFormat="1" applyFont="1" applyBorder="1"/>
    <xf numFmtId="0" fontId="64" fillId="28" borderId="91" xfId="42" applyFont="1" applyFill="1" applyBorder="1" applyAlignment="1">
      <alignment horizontal="left"/>
    </xf>
    <xf numFmtId="1" fontId="64" fillId="28" borderId="91" xfId="43" quotePrefix="1" applyNumberFormat="1" applyFont="1" applyFill="1" applyBorder="1" applyAlignment="1">
      <alignment horizontal="right"/>
    </xf>
    <xf numFmtId="1" fontId="64" fillId="28" borderId="115" xfId="43" quotePrefix="1" applyNumberFormat="1" applyFont="1" applyFill="1" applyBorder="1" applyAlignment="1">
      <alignment horizontal="right"/>
    </xf>
    <xf numFmtId="0" fontId="64" fillId="28" borderId="98" xfId="42" applyFont="1" applyFill="1" applyBorder="1" applyAlignment="1">
      <alignment horizontal="left"/>
    </xf>
    <xf numFmtId="175" fontId="64" fillId="28" borderId="98" xfId="43" applyNumberFormat="1" applyFont="1" applyFill="1" applyBorder="1" applyAlignment="1">
      <alignment horizontal="right"/>
    </xf>
    <xf numFmtId="175" fontId="64" fillId="28" borderId="106" xfId="43" applyNumberFormat="1" applyFont="1" applyFill="1" applyBorder="1" applyAlignment="1">
      <alignment horizontal="right"/>
    </xf>
    <xf numFmtId="175" fontId="53" fillId="0" borderId="115" xfId="43" applyNumberFormat="1" applyFont="1" applyBorder="1" applyAlignment="1">
      <alignment horizontal="right"/>
    </xf>
    <xf numFmtId="0" fontId="53" fillId="28" borderId="90" xfId="42" applyFont="1" applyFill="1" applyBorder="1"/>
    <xf numFmtId="175" fontId="64" fillId="0" borderId="115" xfId="43" applyNumberFormat="1" applyFont="1" applyBorder="1"/>
    <xf numFmtId="0" fontId="57" fillId="32" borderId="119" xfId="42" applyFont="1" applyFill="1" applyBorder="1"/>
    <xf numFmtId="43" fontId="53" fillId="0" borderId="91" xfId="42" applyNumberFormat="1" applyFont="1" applyBorder="1"/>
    <xf numFmtId="43" fontId="53" fillId="0" borderId="115" xfId="42" applyNumberFormat="1" applyFont="1" applyBorder="1"/>
    <xf numFmtId="0" fontId="53" fillId="28" borderId="114" xfId="42" applyFont="1" applyFill="1" applyBorder="1"/>
    <xf numFmtId="1" fontId="53" fillId="28" borderId="91" xfId="43" quotePrefix="1" applyNumberFormat="1" applyFont="1" applyFill="1" applyBorder="1" applyAlignment="1">
      <alignment horizontal="right"/>
    </xf>
    <xf numFmtId="43" fontId="64" fillId="0" borderId="115" xfId="42" applyNumberFormat="1" applyFont="1" applyBorder="1"/>
    <xf numFmtId="0" fontId="53" fillId="28" borderId="118" xfId="42" applyFont="1" applyFill="1" applyBorder="1"/>
    <xf numFmtId="0" fontId="53" fillId="28" borderId="99" xfId="42" applyFont="1" applyFill="1" applyBorder="1"/>
    <xf numFmtId="43" fontId="64" fillId="0" borderId="98" xfId="42" applyNumberFormat="1" applyFont="1" applyBorder="1"/>
    <xf numFmtId="43" fontId="64" fillId="0" borderId="106" xfId="42" applyNumberFormat="1" applyFont="1" applyBorder="1"/>
    <xf numFmtId="0" fontId="57" fillId="34" borderId="125" xfId="42" applyFont="1" applyFill="1" applyBorder="1" applyAlignment="1">
      <alignment horizontal="center"/>
    </xf>
    <xf numFmtId="0" fontId="57" fillId="34" borderId="120" xfId="42" applyFont="1" applyFill="1" applyBorder="1" applyAlignment="1">
      <alignment horizontal="center" vertical="center" wrapText="1"/>
    </xf>
    <xf numFmtId="0" fontId="57" fillId="34" borderId="117" xfId="42" applyFont="1" applyFill="1" applyBorder="1" applyAlignment="1">
      <alignment horizontal="center" vertical="center" wrapText="1"/>
    </xf>
    <xf numFmtId="0" fontId="57" fillId="34" borderId="122" xfId="42" applyFont="1" applyFill="1" applyBorder="1" applyAlignment="1">
      <alignment horizontal="center" vertical="center" wrapText="1"/>
    </xf>
    <xf numFmtId="0" fontId="57" fillId="36" borderId="122" xfId="42" applyFont="1" applyFill="1" applyBorder="1" applyAlignment="1">
      <alignment horizontal="center" vertical="center" wrapText="1"/>
    </xf>
    <xf numFmtId="0" fontId="53" fillId="28" borderId="116" xfId="42" applyFont="1" applyFill="1" applyBorder="1"/>
    <xf numFmtId="0" fontId="53" fillId="28" borderId="115" xfId="42" applyFont="1" applyFill="1" applyBorder="1"/>
    <xf numFmtId="174" fontId="64" fillId="0" borderId="114" xfId="43" applyNumberFormat="1" applyFont="1" applyBorder="1"/>
    <xf numFmtId="169" fontId="64" fillId="0" borderId="119" xfId="43" applyNumberFormat="1" applyFont="1" applyBorder="1"/>
    <xf numFmtId="0" fontId="53" fillId="28" borderId="109" xfId="42" applyFont="1" applyFill="1" applyBorder="1"/>
    <xf numFmtId="0" fontId="53" fillId="28" borderId="106" xfId="42" applyFont="1" applyFill="1" applyBorder="1"/>
    <xf numFmtId="174" fontId="64" fillId="0" borderId="105" xfId="43" applyNumberFormat="1" applyFont="1" applyBorder="1"/>
    <xf numFmtId="169" fontId="64" fillId="0" borderId="98" xfId="43" applyNumberFormat="1" applyFont="1" applyBorder="1"/>
    <xf numFmtId="169" fontId="64" fillId="0" borderId="126" xfId="43" applyNumberFormat="1" applyFont="1" applyBorder="1"/>
    <xf numFmtId="174" fontId="109" fillId="0" borderId="127" xfId="4" applyNumberFormat="1" applyFont="1" applyBorder="1"/>
    <xf numFmtId="0" fontId="0" fillId="0" borderId="127" xfId="0" applyBorder="1"/>
    <xf numFmtId="168" fontId="23" fillId="18" borderId="127" xfId="4" applyNumberFormat="1" applyFont="1" applyFill="1" applyBorder="1" applyAlignment="1">
      <alignment vertical="center"/>
    </xf>
    <xf numFmtId="0" fontId="5" fillId="2" borderId="128" xfId="0" applyFont="1" applyFill="1" applyBorder="1"/>
    <xf numFmtId="0" fontId="48" fillId="2" borderId="128" xfId="0" applyFont="1" applyFill="1" applyBorder="1"/>
    <xf numFmtId="0" fontId="53" fillId="0" borderId="127" xfId="5" applyFont="1" applyFill="1" applyBorder="1">
      <alignment vertical="center"/>
    </xf>
    <xf numFmtId="43" fontId="23" fillId="18" borderId="127" xfId="4" applyFont="1" applyFill="1" applyBorder="1" applyAlignment="1">
      <alignment vertical="center"/>
    </xf>
    <xf numFmtId="0" fontId="5" fillId="2" borderId="128" xfId="0" applyFont="1" applyFill="1" applyBorder="1" applyAlignment="1">
      <alignment wrapText="1"/>
    </xf>
    <xf numFmtId="44" fontId="48" fillId="2" borderId="128" xfId="14" applyFont="1" applyFill="1" applyBorder="1"/>
    <xf numFmtId="164" fontId="48" fillId="2" borderId="128" xfId="0" applyNumberFormat="1" applyFont="1" applyFill="1" applyBorder="1"/>
    <xf numFmtId="0" fontId="18" fillId="0" borderId="127" xfId="6" applyFont="1" applyFill="1" applyBorder="1">
      <alignment vertical="center"/>
    </xf>
    <xf numFmtId="0" fontId="50" fillId="0" borderId="127" xfId="6" applyFont="1" applyFill="1" applyBorder="1">
      <alignment vertical="center"/>
    </xf>
    <xf numFmtId="168" fontId="2" fillId="30" borderId="127" xfId="0" applyNumberFormat="1" applyFont="1" applyFill="1" applyBorder="1"/>
    <xf numFmtId="168" fontId="2" fillId="18" borderId="127" xfId="0" applyNumberFormat="1" applyFont="1" applyFill="1" applyBorder="1"/>
    <xf numFmtId="0" fontId="23" fillId="4" borderId="127" xfId="35" applyFont="1" applyBorder="1">
      <alignment vertical="center"/>
    </xf>
    <xf numFmtId="173" fontId="23" fillId="4" borderId="127" xfId="14" applyNumberFormat="1" applyFont="1" applyFill="1" applyBorder="1" applyAlignment="1">
      <alignment vertical="center"/>
    </xf>
    <xf numFmtId="0" fontId="82" fillId="0" borderId="127" xfId="35" applyFont="1" applyFill="1" applyBorder="1">
      <alignment vertical="center"/>
    </xf>
    <xf numFmtId="9" fontId="23" fillId="18" borderId="127" xfId="1" applyFont="1" applyFill="1" applyBorder="1" applyAlignment="1">
      <alignment vertical="center"/>
    </xf>
    <xf numFmtId="168" fontId="0" fillId="45" borderId="127" xfId="4" applyNumberFormat="1" applyFont="1" applyFill="1" applyBorder="1"/>
    <xf numFmtId="168" fontId="0" fillId="45" borderId="127" xfId="4" applyNumberFormat="1" applyFont="1" applyFill="1" applyBorder="1" applyAlignment="1">
      <alignment horizontal="center"/>
    </xf>
    <xf numFmtId="0" fontId="5" fillId="5" borderId="128" xfId="0" applyFont="1" applyFill="1" applyBorder="1"/>
    <xf numFmtId="0" fontId="48" fillId="5" borderId="128" xfId="0" applyFont="1" applyFill="1" applyBorder="1"/>
    <xf numFmtId="0" fontId="83" fillId="5" borderId="128" xfId="0" applyFont="1" applyFill="1" applyBorder="1"/>
    <xf numFmtId="0" fontId="83" fillId="5" borderId="128" xfId="0" applyFont="1" applyFill="1" applyBorder="1" applyAlignment="1">
      <alignment horizontal="center"/>
    </xf>
    <xf numFmtId="0" fontId="5" fillId="5" borderId="128" xfId="2" applyFont="1" applyFill="1" applyBorder="1"/>
    <xf numFmtId="0" fontId="0" fillId="0" borderId="127" xfId="2" applyFont="1" applyFill="1" applyBorder="1"/>
    <xf numFmtId="168" fontId="0" fillId="18" borderId="127" xfId="4" applyNumberFormat="1" applyFont="1" applyFill="1" applyBorder="1"/>
    <xf numFmtId="168" fontId="2" fillId="18" borderId="127" xfId="4" applyNumberFormat="1" applyFont="1" applyFill="1" applyBorder="1"/>
    <xf numFmtId="9" fontId="23" fillId="4" borderId="127" xfId="1" applyFont="1" applyFill="1" applyBorder="1" applyAlignment="1">
      <alignment vertical="center"/>
    </xf>
    <xf numFmtId="0" fontId="23" fillId="18" borderId="127" xfId="35" applyFont="1" applyFill="1" applyBorder="1">
      <alignment vertical="center"/>
    </xf>
    <xf numFmtId="165" fontId="23" fillId="18" borderId="127" xfId="35" applyNumberFormat="1" applyFont="1" applyFill="1" applyBorder="1">
      <alignment vertical="center"/>
    </xf>
    <xf numFmtId="165" fontId="23" fillId="4" borderId="127" xfId="35" applyNumberFormat="1" applyFont="1" applyBorder="1">
      <alignment vertical="center"/>
    </xf>
    <xf numFmtId="165" fontId="23" fillId="18" borderId="127" xfId="14" applyNumberFormat="1" applyFont="1" applyFill="1" applyBorder="1" applyAlignment="1">
      <alignment vertical="center"/>
    </xf>
    <xf numFmtId="9" fontId="82" fillId="18" borderId="127" xfId="1" applyFont="1" applyFill="1" applyBorder="1" applyAlignment="1">
      <alignment vertical="center"/>
    </xf>
    <xf numFmtId="0" fontId="80" fillId="2" borderId="127" xfId="0" applyFont="1" applyFill="1" applyBorder="1" applyAlignment="1">
      <alignment horizontal="center" vertical="center" wrapText="1"/>
    </xf>
    <xf numFmtId="173" fontId="0" fillId="0" borderId="127" xfId="14" applyNumberFormat="1" applyFont="1" applyBorder="1"/>
    <xf numFmtId="0" fontId="0" fillId="0" borderId="127" xfId="0" applyBorder="1" applyAlignment="1">
      <alignment wrapText="1"/>
    </xf>
    <xf numFmtId="173" fontId="0" fillId="0" borderId="127" xfId="14" applyNumberFormat="1" applyFont="1" applyFill="1" applyBorder="1"/>
    <xf numFmtId="9" fontId="0" fillId="0" borderId="127" xfId="1" applyFont="1" applyFill="1" applyBorder="1"/>
    <xf numFmtId="44" fontId="0" fillId="0" borderId="127" xfId="14" applyFont="1" applyFill="1" applyBorder="1"/>
    <xf numFmtId="0" fontId="53" fillId="18" borderId="127" xfId="42" applyFont="1" applyFill="1" applyBorder="1"/>
    <xf numFmtId="0" fontId="53" fillId="18" borderId="127" xfId="42" applyFont="1" applyFill="1" applyBorder="1" applyAlignment="1">
      <alignment horizontal="left"/>
    </xf>
    <xf numFmtId="0" fontId="53" fillId="6" borderId="128" xfId="42" applyFont="1" applyFill="1" applyBorder="1"/>
    <xf numFmtId="0" fontId="58" fillId="31" borderId="127" xfId="42" applyFont="1" applyFill="1" applyBorder="1" applyAlignment="1">
      <alignment horizontal="center" vertical="center"/>
    </xf>
    <xf numFmtId="0" fontId="60" fillId="35" borderId="127" xfId="42" applyFont="1" applyFill="1" applyBorder="1" applyAlignment="1">
      <alignment horizontal="center" vertical="top" wrapText="1"/>
    </xf>
    <xf numFmtId="43" fontId="53" fillId="0" borderId="127" xfId="43" applyFont="1" applyBorder="1"/>
    <xf numFmtId="168" fontId="53" fillId="0" borderId="127" xfId="43" applyNumberFormat="1" applyFont="1" applyBorder="1"/>
    <xf numFmtId="174" fontId="53" fillId="0" borderId="127" xfId="43" applyNumberFormat="1" applyFont="1" applyBorder="1"/>
    <xf numFmtId="43" fontId="53" fillId="8" borderId="127" xfId="43" applyFont="1" applyFill="1" applyBorder="1"/>
    <xf numFmtId="168" fontId="53" fillId="8" borderId="127" xfId="43" applyNumberFormat="1" applyFont="1" applyFill="1" applyBorder="1"/>
    <xf numFmtId="174" fontId="53" fillId="8" borderId="127" xfId="43" applyNumberFormat="1" applyFont="1" applyFill="1" applyBorder="1"/>
    <xf numFmtId="0" fontId="60" fillId="35" borderId="127" xfId="42" applyFont="1" applyFill="1" applyBorder="1" applyAlignment="1">
      <alignment horizontal="center" vertical="center" wrapText="1"/>
    </xf>
    <xf numFmtId="171" fontId="53" fillId="0" borderId="127" xfId="43" applyNumberFormat="1" applyFont="1" applyBorder="1"/>
    <xf numFmtId="172" fontId="53" fillId="0" borderId="127" xfId="43" applyNumberFormat="1" applyFont="1" applyBorder="1"/>
    <xf numFmtId="171" fontId="53" fillId="8" borderId="127" xfId="43" applyNumberFormat="1" applyFont="1" applyFill="1" applyBorder="1"/>
    <xf numFmtId="43" fontId="53" fillId="18" borderId="127" xfId="43" applyFont="1" applyFill="1" applyBorder="1"/>
    <xf numFmtId="174" fontId="53" fillId="18" borderId="127" xfId="43" applyNumberFormat="1" applyFont="1" applyFill="1" applyBorder="1"/>
    <xf numFmtId="172" fontId="53" fillId="8" borderId="127" xfId="43" applyNumberFormat="1" applyFont="1" applyFill="1" applyBorder="1"/>
    <xf numFmtId="175" fontId="53" fillId="18" borderId="127" xfId="42" applyNumberFormat="1" applyFont="1" applyFill="1" applyBorder="1"/>
    <xf numFmtId="169" fontId="53" fillId="0" borderId="127" xfId="43" applyNumberFormat="1" applyFont="1" applyBorder="1"/>
    <xf numFmtId="169" fontId="53" fillId="8" borderId="127" xfId="43" applyNumberFormat="1" applyFont="1" applyFill="1" applyBorder="1"/>
    <xf numFmtId="43" fontId="53" fillId="0" borderId="127" xfId="43" applyFont="1" applyBorder="1" applyAlignment="1">
      <alignment horizontal="center"/>
    </xf>
    <xf numFmtId="43" fontId="53" fillId="8" borderId="127" xfId="43" applyFont="1" applyFill="1" applyBorder="1" applyAlignment="1">
      <alignment horizontal="center"/>
    </xf>
    <xf numFmtId="171" fontId="53" fillId="0" borderId="127" xfId="43" applyNumberFormat="1" applyFont="1" applyBorder="1" applyAlignment="1">
      <alignment vertical="center"/>
    </xf>
    <xf numFmtId="43" fontId="53" fillId="0" borderId="127" xfId="43" applyFont="1" applyBorder="1" applyAlignment="1">
      <alignment vertical="center"/>
    </xf>
    <xf numFmtId="174" fontId="53" fillId="0" borderId="127" xfId="43" applyNumberFormat="1" applyFont="1" applyBorder="1" applyAlignment="1">
      <alignment vertical="center"/>
    </xf>
    <xf numFmtId="169" fontId="53" fillId="18" borderId="127" xfId="43" applyNumberFormat="1" applyFont="1" applyFill="1" applyBorder="1"/>
    <xf numFmtId="172" fontId="53" fillId="18" borderId="127" xfId="42" applyNumberFormat="1" applyFont="1" applyFill="1" applyBorder="1"/>
    <xf numFmtId="43" fontId="53" fillId="8" borderId="127" xfId="43" applyFont="1" applyFill="1" applyBorder="1" applyAlignment="1">
      <alignment vertical="center"/>
    </xf>
    <xf numFmtId="172" fontId="53" fillId="6" borderId="127" xfId="43" applyNumberFormat="1" applyFont="1" applyFill="1" applyBorder="1" applyAlignment="1">
      <alignment vertical="center"/>
    </xf>
    <xf numFmtId="172" fontId="53" fillId="8" borderId="127" xfId="43" applyNumberFormat="1" applyFont="1" applyFill="1" applyBorder="1" applyAlignment="1">
      <alignment vertical="center"/>
    </xf>
    <xf numFmtId="0" fontId="58" fillId="31" borderId="127" xfId="42" applyFont="1" applyFill="1" applyBorder="1" applyAlignment="1">
      <alignment horizontal="center"/>
    </xf>
    <xf numFmtId="0" fontId="53" fillId="28" borderId="127" xfId="42" applyFont="1" applyFill="1" applyBorder="1" applyAlignment="1">
      <alignment horizontal="left"/>
    </xf>
    <xf numFmtId="175" fontId="53" fillId="0" borderId="127" xfId="43" applyNumberFormat="1" applyFont="1" applyBorder="1"/>
    <xf numFmtId="0" fontId="53" fillId="28" borderId="127" xfId="42" quotePrefix="1" applyFont="1" applyFill="1" applyBorder="1" applyAlignment="1">
      <alignment horizontal="left"/>
    </xf>
    <xf numFmtId="175" fontId="53" fillId="0" borderId="127" xfId="43" applyNumberFormat="1" applyFont="1" applyBorder="1" applyAlignment="1">
      <alignment horizontal="right"/>
    </xf>
    <xf numFmtId="0" fontId="53" fillId="34" borderId="127" xfId="42" applyFont="1" applyFill="1" applyBorder="1"/>
    <xf numFmtId="175" fontId="64" fillId="0" borderId="127" xfId="43" applyNumberFormat="1" applyFont="1" applyBorder="1"/>
    <xf numFmtId="0" fontId="53" fillId="28" borderId="127" xfId="42" applyFont="1" applyFill="1" applyBorder="1"/>
    <xf numFmtId="43" fontId="64" fillId="0" borderId="127" xfId="42" applyNumberFormat="1" applyFont="1" applyBorder="1"/>
    <xf numFmtId="43" fontId="53" fillId="0" borderId="127" xfId="42" applyNumberFormat="1" applyFont="1" applyBorder="1"/>
    <xf numFmtId="43" fontId="53" fillId="28" borderId="127" xfId="42" applyNumberFormat="1" applyFont="1" applyFill="1" applyBorder="1"/>
    <xf numFmtId="172" fontId="53" fillId="28" borderId="127" xfId="42" applyNumberFormat="1" applyFont="1" applyFill="1" applyBorder="1"/>
    <xf numFmtId="169" fontId="64" fillId="0" borderId="127" xfId="43" applyNumberFormat="1" applyFont="1" applyBorder="1"/>
    <xf numFmtId="0" fontId="0" fillId="4" borderId="127" xfId="0" applyFill="1" applyBorder="1"/>
    <xf numFmtId="179" fontId="53" fillId="0" borderId="127" xfId="43" applyNumberFormat="1" applyFont="1" applyBorder="1"/>
    <xf numFmtId="43" fontId="57" fillId="0" borderId="127" xfId="43" applyFont="1" applyBorder="1" applyAlignment="1">
      <alignment horizontal="center" vertical="center"/>
    </xf>
    <xf numFmtId="172" fontId="53" fillId="0" borderId="127" xfId="43" applyNumberFormat="1" applyFont="1" applyBorder="1" applyAlignment="1">
      <alignment vertical="center"/>
    </xf>
    <xf numFmtId="179" fontId="53" fillId="0" borderId="127" xfId="43" applyNumberFormat="1" applyFont="1" applyBorder="1" applyAlignment="1">
      <alignment vertical="center"/>
    </xf>
    <xf numFmtId="0" fontId="5" fillId="5" borderId="84" xfId="2" applyFont="1" applyFill="1" applyBorder="1" applyAlignment="1">
      <alignment horizontal="center" wrapText="1"/>
    </xf>
    <xf numFmtId="0" fontId="19" fillId="0" borderId="0" xfId="42" applyFont="1" applyAlignment="1">
      <alignment horizontal="left" vertical="top" wrapText="1"/>
    </xf>
    <xf numFmtId="0" fontId="57" fillId="30" borderId="40" xfId="42" applyFont="1" applyFill="1" applyBorder="1" applyAlignment="1">
      <alignment horizontal="center"/>
    </xf>
    <xf numFmtId="0" fontId="57" fillId="30" borderId="41" xfId="42" applyFont="1" applyFill="1" applyBorder="1" applyAlignment="1">
      <alignment horizontal="center"/>
    </xf>
    <xf numFmtId="0" fontId="19" fillId="28" borderId="0" xfId="42" applyFont="1" applyFill="1" applyAlignment="1">
      <alignment horizontal="left" vertical="top" wrapText="1"/>
    </xf>
    <xf numFmtId="0" fontId="19" fillId="28" borderId="0" xfId="42" applyFont="1" applyFill="1" applyAlignment="1">
      <alignment horizontal="left" wrapText="1"/>
    </xf>
    <xf numFmtId="0" fontId="53" fillId="28" borderId="0" xfId="42" applyFont="1" applyFill="1" applyAlignment="1">
      <alignment horizontal="left" wrapText="1"/>
    </xf>
    <xf numFmtId="0" fontId="19" fillId="6" borderId="0" xfId="42" applyFont="1" applyFill="1" applyAlignment="1">
      <alignment horizontal="left" vertical="top" wrapText="1"/>
    </xf>
    <xf numFmtId="0" fontId="54" fillId="29" borderId="0" xfId="42" applyFont="1" applyFill="1" applyAlignment="1">
      <alignment horizontal="center" vertical="center"/>
    </xf>
    <xf numFmtId="0" fontId="57" fillId="30" borderId="42" xfId="42" applyFont="1" applyFill="1" applyBorder="1" applyAlignment="1">
      <alignment horizontal="center"/>
    </xf>
    <xf numFmtId="0" fontId="111" fillId="26" borderId="81" xfId="0" applyFont="1" applyFill="1" applyBorder="1"/>
    <xf numFmtId="43" fontId="16" fillId="4" borderId="8" xfId="16" applyNumberFormat="1" applyFill="1" applyBorder="1">
      <alignment vertical="center"/>
    </xf>
    <xf numFmtId="0" fontId="113" fillId="0" borderId="0" xfId="0" applyFont="1" applyAlignment="1">
      <alignment vertical="center"/>
    </xf>
    <xf numFmtId="0" fontId="114" fillId="0" borderId="0" xfId="0" applyFont="1" applyAlignment="1">
      <alignment vertical="center"/>
    </xf>
    <xf numFmtId="175" fontId="16" fillId="4" borderId="8" xfId="16" applyNumberFormat="1" applyFill="1" applyBorder="1">
      <alignment vertical="center"/>
    </xf>
    <xf numFmtId="175" fontId="104" fillId="18" borderId="8" xfId="16" applyNumberFormat="1" applyFont="1" applyBorder="1">
      <alignment vertical="center"/>
    </xf>
    <xf numFmtId="175" fontId="103" fillId="18" borderId="8" xfId="16" applyNumberFormat="1" applyFont="1" applyBorder="1">
      <alignment vertical="center"/>
    </xf>
    <xf numFmtId="0" fontId="115" fillId="26" borderId="81" xfId="0" applyFont="1" applyFill="1" applyBorder="1"/>
    <xf numFmtId="0" fontId="112" fillId="30" borderId="8" xfId="0" applyFont="1" applyFill="1" applyBorder="1"/>
    <xf numFmtId="43" fontId="103" fillId="4" borderId="8" xfId="16" applyNumberFormat="1" applyFont="1" applyFill="1" applyBorder="1">
      <alignment vertical="center"/>
    </xf>
    <xf numFmtId="0" fontId="106" fillId="2" borderId="56" xfId="5" applyFont="1" applyBorder="1">
      <alignment vertical="center"/>
    </xf>
    <xf numFmtId="0" fontId="116" fillId="20" borderId="53" xfId="28" applyFont="1" applyBorder="1">
      <alignment vertical="center"/>
    </xf>
    <xf numFmtId="0" fontId="105" fillId="7" borderId="53" xfId="8" applyFont="1" applyBorder="1" applyAlignment="1">
      <alignment vertical="center"/>
    </xf>
    <xf numFmtId="0" fontId="117" fillId="38" borderId="8" xfId="6" applyFont="1" applyFill="1" applyBorder="1">
      <alignment vertical="center"/>
    </xf>
    <xf numFmtId="168" fontId="0" fillId="6" borderId="0" xfId="0" applyNumberFormat="1" applyFill="1"/>
    <xf numFmtId="1" fontId="20" fillId="6" borderId="0" xfId="47" applyNumberFormat="1" applyFont="1" applyFill="1" applyBorder="1"/>
    <xf numFmtId="43" fontId="53" fillId="18" borderId="9" xfId="4" applyFont="1" applyFill="1" applyBorder="1" applyAlignment="1">
      <alignment vertical="center"/>
    </xf>
    <xf numFmtId="166" fontId="53" fillId="18" borderId="9" xfId="1" applyNumberFormat="1" applyFont="1" applyFill="1" applyBorder="1" applyAlignment="1">
      <alignment vertical="center"/>
    </xf>
    <xf numFmtId="168" fontId="92" fillId="42" borderId="63" xfId="49" applyNumberFormat="1" applyFont="1" applyFill="1" applyBorder="1">
      <alignment vertical="center"/>
    </xf>
    <xf numFmtId="0" fontId="91" fillId="2" borderId="78" xfId="5" applyFont="1" applyBorder="1" applyAlignment="1">
      <alignment horizontal="center" vertical="center" wrapText="1"/>
    </xf>
    <xf numFmtId="0" fontId="119" fillId="9" borderId="97" xfId="6" applyFont="1" applyFill="1" applyBorder="1" applyAlignment="1">
      <alignment horizontal="center" vertical="center"/>
    </xf>
    <xf numFmtId="0" fontId="119" fillId="9" borderId="110" xfId="6" applyFont="1" applyFill="1" applyBorder="1" applyAlignment="1">
      <alignment horizontal="center" vertical="center"/>
    </xf>
    <xf numFmtId="168" fontId="120" fillId="0" borderId="40" xfId="4" applyNumberFormat="1" applyFont="1" applyBorder="1"/>
    <xf numFmtId="168" fontId="120" fillId="0" borderId="111" xfId="4" applyNumberFormat="1" applyFont="1" applyBorder="1"/>
    <xf numFmtId="168" fontId="120" fillId="0" borderId="129" xfId="4" applyNumberFormat="1" applyFont="1" applyBorder="1"/>
    <xf numFmtId="168" fontId="120" fillId="0" borderId="130" xfId="4" applyNumberFormat="1" applyFont="1" applyBorder="1"/>
    <xf numFmtId="168" fontId="120" fillId="0" borderId="124" xfId="4" applyNumberFormat="1" applyFont="1" applyBorder="1"/>
    <xf numFmtId="168" fontId="120" fillId="0" borderId="132" xfId="4" applyNumberFormat="1" applyFont="1" applyBorder="1"/>
    <xf numFmtId="168" fontId="121" fillId="0" borderId="37" xfId="4" applyNumberFormat="1" applyFont="1" applyBorder="1"/>
    <xf numFmtId="168" fontId="121" fillId="0" borderId="131" xfId="4" applyNumberFormat="1" applyFont="1" applyBorder="1"/>
    <xf numFmtId="0" fontId="9" fillId="0" borderId="0" xfId="0" applyFont="1" applyAlignment="1">
      <alignment wrapText="1"/>
    </xf>
    <xf numFmtId="0" fontId="18" fillId="11" borderId="134" xfId="0" applyFont="1" applyFill="1" applyBorder="1" applyAlignment="1">
      <alignment vertical="center"/>
    </xf>
    <xf numFmtId="0" fontId="19" fillId="26" borderId="54" xfId="0" applyFont="1" applyFill="1" applyBorder="1" applyAlignment="1">
      <alignment vertical="center"/>
    </xf>
    <xf numFmtId="0" fontId="0" fillId="0" borderId="0" xfId="0" applyFill="1" applyBorder="1"/>
    <xf numFmtId="0" fontId="18" fillId="0" borderId="0" xfId="0" applyFont="1" applyFill="1" applyBorder="1" applyAlignment="1">
      <alignment vertical="center"/>
    </xf>
    <xf numFmtId="0" fontId="18" fillId="11" borderId="135" xfId="0" applyFont="1" applyFill="1" applyBorder="1" applyAlignment="1">
      <alignment vertical="center"/>
    </xf>
    <xf numFmtId="0" fontId="53" fillId="28" borderId="114" xfId="42" applyFont="1" applyFill="1" applyBorder="1" applyAlignment="1">
      <alignment horizontal="center" vertical="center"/>
    </xf>
    <xf numFmtId="168" fontId="53" fillId="28" borderId="136" xfId="42" applyNumberFormat="1" applyFont="1" applyFill="1" applyBorder="1" applyAlignment="1">
      <alignment horizontal="center" vertical="center"/>
    </xf>
    <xf numFmtId="0" fontId="0" fillId="0" borderId="133" xfId="0" applyBorder="1"/>
    <xf numFmtId="173" fontId="23" fillId="4" borderId="133" xfId="14" applyNumberFormat="1" applyFont="1" applyFill="1" applyBorder="1" applyAlignment="1">
      <alignment vertical="center"/>
    </xf>
    <xf numFmtId="0" fontId="99" fillId="20" borderId="9" xfId="28" applyFont="1" applyAlignment="1">
      <alignment horizontal="left" vertical="center"/>
    </xf>
    <xf numFmtId="0" fontId="53" fillId="28" borderId="0" xfId="42" applyFont="1" applyFill="1"/>
    <xf numFmtId="3" fontId="101" fillId="0" borderId="114" xfId="49" applyNumberFormat="1" applyFont="1" applyBorder="1" applyAlignment="1">
      <alignment horizontal="center" vertical="center" wrapText="1"/>
    </xf>
    <xf numFmtId="3" fontId="101" fillId="0" borderId="127" xfId="49" applyNumberFormat="1" applyFont="1" applyBorder="1" applyAlignment="1">
      <alignment horizontal="center" vertical="center" wrapText="1"/>
    </xf>
    <xf numFmtId="3" fontId="53" fillId="0" borderId="114" xfId="49" applyNumberFormat="1" applyBorder="1" applyAlignment="1">
      <alignment horizontal="center" vertical="center" wrapText="1"/>
    </xf>
    <xf numFmtId="3" fontId="53" fillId="0" borderId="127" xfId="49" applyNumberFormat="1" applyBorder="1" applyAlignment="1">
      <alignment horizontal="center" vertical="center" wrapText="1"/>
    </xf>
    <xf numFmtId="3" fontId="108" fillId="6" borderId="31" xfId="0" applyNumberFormat="1" applyFont="1" applyFill="1" applyBorder="1" applyAlignment="1">
      <alignment horizontal="center" vertical="center"/>
    </xf>
    <xf numFmtId="3" fontId="108" fillId="6" borderId="32" xfId="0" applyNumberFormat="1" applyFont="1" applyFill="1" applyBorder="1" applyAlignment="1">
      <alignment horizontal="center" vertical="center"/>
    </xf>
    <xf numFmtId="173" fontId="80" fillId="2" borderId="127" xfId="14" applyNumberFormat="1" applyFont="1" applyFill="1" applyBorder="1" applyAlignment="1">
      <alignment horizontal="center" vertical="center" wrapText="1"/>
    </xf>
    <xf numFmtId="173" fontId="0" fillId="0" borderId="0" xfId="14" applyNumberFormat="1" applyFont="1"/>
    <xf numFmtId="0" fontId="80" fillId="2" borderId="133" xfId="0" applyFont="1" applyFill="1" applyBorder="1" applyAlignment="1">
      <alignment horizontal="center" vertical="center" wrapText="1"/>
    </xf>
    <xf numFmtId="0" fontId="8" fillId="0" borderId="133" xfId="3" applyBorder="1" applyAlignment="1">
      <alignment wrapText="1"/>
    </xf>
    <xf numFmtId="0" fontId="0" fillId="0" borderId="133" xfId="0" applyBorder="1" applyAlignment="1">
      <alignment wrapText="1"/>
    </xf>
    <xf numFmtId="0" fontId="44" fillId="23" borderId="133" xfId="39" applyFont="1" applyFill="1" applyBorder="1" applyAlignment="1">
      <alignment horizontal="center" wrapText="1"/>
    </xf>
    <xf numFmtId="0" fontId="44" fillId="41" borderId="133" xfId="39" applyFont="1" applyFill="1" applyBorder="1" applyAlignment="1">
      <alignment horizontal="center" wrapText="1"/>
    </xf>
    <xf numFmtId="0" fontId="45" fillId="0" borderId="133" xfId="39" applyFont="1" applyBorder="1"/>
    <xf numFmtId="0" fontId="45" fillId="0" borderId="133" xfId="39" applyFont="1" applyBorder="1" applyAlignment="1">
      <alignment horizontal="right"/>
    </xf>
    <xf numFmtId="0" fontId="0" fillId="12" borderId="133" xfId="0" applyFill="1" applyBorder="1"/>
    <xf numFmtId="167" fontId="45" fillId="0" borderId="133" xfId="39" applyNumberFormat="1" applyFont="1" applyBorder="1" applyAlignment="1">
      <alignment horizontal="right"/>
    </xf>
    <xf numFmtId="2" fontId="0" fillId="0" borderId="133" xfId="0" applyNumberFormat="1" applyBorder="1"/>
    <xf numFmtId="0" fontId="53" fillId="28" borderId="137" xfId="42" applyFont="1" applyFill="1" applyBorder="1" applyAlignment="1">
      <alignment horizontal="center" vertical="center"/>
    </xf>
    <xf numFmtId="0" fontId="53" fillId="28" borderId="87" xfId="42" applyFont="1" applyFill="1" applyBorder="1" applyAlignment="1">
      <alignment horizontal="center" vertical="center"/>
    </xf>
    <xf numFmtId="168" fontId="53" fillId="28" borderId="88" xfId="42" applyNumberFormat="1" applyFont="1" applyFill="1" applyBorder="1" applyAlignment="1">
      <alignment horizontal="center" vertical="center"/>
    </xf>
    <xf numFmtId="0" fontId="57" fillId="30" borderId="31" xfId="42" applyFont="1" applyFill="1" applyBorder="1" applyAlignment="1">
      <alignment horizontal="center" vertical="center"/>
    </xf>
    <xf numFmtId="0" fontId="57" fillId="30" borderId="33" xfId="42" applyFont="1" applyFill="1" applyBorder="1" applyAlignment="1">
      <alignment horizontal="center" vertical="center"/>
    </xf>
    <xf numFmtId="0" fontId="51" fillId="0" borderId="0" xfId="42" applyBorder="1"/>
    <xf numFmtId="0" fontId="91" fillId="2" borderId="27" xfId="49" applyFont="1" applyFill="1" applyBorder="1" applyAlignment="1">
      <alignment horizontal="left" vertical="center"/>
    </xf>
    <xf numFmtId="0" fontId="91" fillId="2" borderId="28" xfId="49" applyFont="1" applyFill="1" applyBorder="1" applyAlignment="1">
      <alignment horizontal="left" vertical="center"/>
    </xf>
    <xf numFmtId="0" fontId="95" fillId="44" borderId="27" xfId="49" applyFont="1" applyFill="1" applyBorder="1" applyAlignment="1">
      <alignment horizontal="left" vertical="center"/>
    </xf>
    <xf numFmtId="0" fontId="95" fillId="44" borderId="28" xfId="49" applyFont="1" applyFill="1" applyBorder="1" applyAlignment="1">
      <alignment horizontal="left" vertical="center"/>
    </xf>
    <xf numFmtId="0" fontId="108" fillId="47" borderId="37" xfId="0" applyFont="1" applyFill="1" applyBorder="1" applyAlignment="1">
      <alignment horizontal="left" vertical="center"/>
    </xf>
    <xf numFmtId="0" fontId="108" fillId="47" borderId="46" xfId="0" applyFont="1" applyFill="1" applyBorder="1" applyAlignment="1">
      <alignment horizontal="left" vertical="center"/>
    </xf>
    <xf numFmtId="0" fontId="91" fillId="2" borderId="78" xfId="5" applyFont="1" applyBorder="1" applyAlignment="1">
      <alignment horizontal="center" vertical="center"/>
    </xf>
    <xf numFmtId="0" fontId="91" fillId="2" borderId="80" xfId="5" applyFont="1" applyBorder="1" applyAlignment="1">
      <alignment horizontal="center" vertical="center"/>
    </xf>
    <xf numFmtId="0" fontId="91" fillId="2" borderId="79" xfId="5" applyFont="1" applyBorder="1" applyAlignment="1">
      <alignment horizontal="center" vertical="center"/>
    </xf>
    <xf numFmtId="0" fontId="118" fillId="2" borderId="37" xfId="5" applyFont="1" applyBorder="1" applyAlignment="1">
      <alignment horizontal="center" vertical="center"/>
    </xf>
    <xf numFmtId="0" fontId="118" fillId="2" borderId="47" xfId="5" applyFont="1" applyBorder="1" applyAlignment="1">
      <alignment horizontal="center" vertical="center"/>
    </xf>
    <xf numFmtId="0" fontId="57" fillId="0" borderId="71" xfId="49" applyFont="1" applyBorder="1">
      <alignment vertical="center"/>
    </xf>
    <xf numFmtId="0" fontId="57" fillId="0" borderId="72" xfId="49" applyFont="1" applyBorder="1">
      <alignment vertical="center"/>
    </xf>
    <xf numFmtId="0" fontId="57" fillId="0" borderId="74" xfId="49" applyFont="1" applyBorder="1">
      <alignment vertical="center"/>
    </xf>
    <xf numFmtId="0" fontId="91" fillId="2" borderId="78" xfId="5" applyFont="1" applyBorder="1" applyAlignment="1">
      <alignment horizontal="left" vertical="center"/>
    </xf>
    <xf numFmtId="0" fontId="91" fillId="2" borderId="79" xfId="5" applyFont="1" applyBorder="1" applyAlignment="1">
      <alignment horizontal="left" vertical="center"/>
    </xf>
    <xf numFmtId="0" fontId="91" fillId="2" borderId="80" xfId="5" applyFont="1" applyBorder="1" applyAlignment="1">
      <alignment horizontal="left" vertical="center"/>
    </xf>
    <xf numFmtId="0" fontId="91" fillId="2" borderId="37" xfId="5" applyFont="1" applyBorder="1" applyAlignment="1">
      <alignment horizontal="center" vertical="center"/>
    </xf>
    <xf numFmtId="0" fontId="91" fillId="2" borderId="47" xfId="5" applyFont="1" applyBorder="1" applyAlignment="1">
      <alignment horizontal="center" vertical="center"/>
    </xf>
    <xf numFmtId="0" fontId="91" fillId="2" borderId="107" xfId="5" applyFont="1" applyBorder="1" applyAlignment="1">
      <alignment horizontal="center" vertical="center"/>
    </xf>
    <xf numFmtId="0" fontId="91" fillId="2" borderId="108" xfId="5" applyFont="1" applyBorder="1" applyAlignment="1">
      <alignment horizontal="center" vertical="center"/>
    </xf>
    <xf numFmtId="0" fontId="110" fillId="2" borderId="107" xfId="5" applyFont="1" applyBorder="1" applyAlignment="1">
      <alignment horizontal="center" vertical="center"/>
    </xf>
    <xf numFmtId="0" fontId="110" fillId="2" borderId="108" xfId="5" applyFont="1" applyBorder="1" applyAlignment="1">
      <alignment horizontal="center" vertical="center"/>
    </xf>
    <xf numFmtId="0" fontId="2" fillId="0" borderId="92" xfId="0" applyFont="1" applyBorder="1" applyAlignment="1">
      <alignment horizontal="center"/>
    </xf>
    <xf numFmtId="0" fontId="2" fillId="0" borderId="90" xfId="0" applyFont="1" applyBorder="1" applyAlignment="1">
      <alignment horizontal="center"/>
    </xf>
    <xf numFmtId="0" fontId="2" fillId="0" borderId="117" xfId="0" applyFont="1" applyBorder="1" applyAlignment="1">
      <alignment horizontal="center"/>
    </xf>
    <xf numFmtId="0" fontId="2" fillId="0" borderId="118" xfId="0" applyFont="1" applyBorder="1" applyAlignment="1">
      <alignment horizontal="center"/>
    </xf>
    <xf numFmtId="0" fontId="5" fillId="5" borderId="6" xfId="2" applyFont="1" applyFill="1" applyBorder="1" applyAlignment="1">
      <alignment horizontal="center"/>
    </xf>
    <xf numFmtId="0" fontId="5" fillId="5" borderId="59" xfId="2" applyFont="1" applyFill="1" applyBorder="1" applyAlignment="1">
      <alignment horizontal="center"/>
    </xf>
    <xf numFmtId="0" fontId="5" fillId="5" borderId="7" xfId="2" applyFont="1" applyFill="1" applyBorder="1" applyAlignment="1">
      <alignment horizontal="center"/>
    </xf>
    <xf numFmtId="0" fontId="5" fillId="5" borderId="83" xfId="2" applyFont="1" applyFill="1" applyBorder="1" applyAlignment="1">
      <alignment horizontal="center"/>
    </xf>
    <xf numFmtId="0" fontId="5" fillId="5" borderId="5" xfId="2" applyFont="1" applyFill="1" applyBorder="1" applyAlignment="1">
      <alignment horizontal="center" wrapText="1"/>
    </xf>
    <xf numFmtId="0" fontId="5" fillId="5" borderId="84" xfId="2" applyFont="1" applyFill="1" applyBorder="1" applyAlignment="1">
      <alignment horizontal="center" wrapText="1"/>
    </xf>
    <xf numFmtId="0" fontId="19" fillId="28" borderId="0" xfId="42" applyFont="1" applyFill="1" applyAlignment="1">
      <alignment horizontal="left" vertical="top" wrapText="1"/>
    </xf>
    <xf numFmtId="0" fontId="53" fillId="28" borderId="120" xfId="42" applyFont="1" applyFill="1" applyBorder="1" applyAlignment="1">
      <alignment horizontal="left" vertical="center"/>
    </xf>
    <xf numFmtId="0" fontId="53" fillId="28" borderId="29" xfId="42" applyFont="1" applyFill="1" applyBorder="1" applyAlignment="1">
      <alignment horizontal="left" vertical="center"/>
    </xf>
    <xf numFmtId="0" fontId="53" fillId="28" borderId="87" xfId="42" applyFont="1" applyFill="1" applyBorder="1" applyAlignment="1">
      <alignment horizontal="left" vertical="center"/>
    </xf>
    <xf numFmtId="0" fontId="53" fillId="28" borderId="36" xfId="42" applyFont="1" applyFill="1" applyBorder="1" applyAlignment="1">
      <alignment horizontal="left" vertical="center"/>
    </xf>
    <xf numFmtId="0" fontId="19" fillId="0" borderId="0" xfId="42" applyFont="1" applyAlignment="1">
      <alignment horizontal="left" vertical="top" wrapText="1"/>
    </xf>
    <xf numFmtId="0" fontId="57" fillId="30" borderId="40" xfId="42" applyFont="1" applyFill="1" applyBorder="1" applyAlignment="1">
      <alignment horizontal="center"/>
    </xf>
    <xf numFmtId="0" fontId="57" fillId="30" borderId="41" xfId="42" applyFont="1" applyFill="1" applyBorder="1" applyAlignment="1">
      <alignment horizontal="center"/>
    </xf>
    <xf numFmtId="0" fontId="57" fillId="30" borderId="42" xfId="42" applyFont="1" applyFill="1" applyBorder="1" applyAlignment="1">
      <alignment horizontal="center"/>
    </xf>
    <xf numFmtId="0" fontId="60" fillId="28" borderId="0" xfId="42" applyFont="1" applyFill="1" applyAlignment="1">
      <alignment horizontal="left" vertical="top" wrapText="1"/>
    </xf>
    <xf numFmtId="0" fontId="53" fillId="28" borderId="124" xfId="42" applyFont="1" applyFill="1" applyBorder="1" applyAlignment="1">
      <alignment horizontal="left" vertical="center"/>
    </xf>
    <xf numFmtId="0" fontId="53" fillId="28" borderId="27" xfId="42" applyFont="1" applyFill="1" applyBorder="1" applyAlignment="1">
      <alignment horizontal="left" vertical="center"/>
    </xf>
    <xf numFmtId="0" fontId="53" fillId="28" borderId="89" xfId="42" applyFont="1" applyFill="1" applyBorder="1" applyAlignment="1">
      <alignment horizontal="left" vertical="center"/>
    </xf>
    <xf numFmtId="0" fontId="53" fillId="28" borderId="121" xfId="42" applyFont="1" applyFill="1" applyBorder="1" applyAlignment="1">
      <alignment horizontal="left" vertical="center"/>
    </xf>
    <xf numFmtId="0" fontId="53" fillId="28" borderId="123" xfId="42" applyFont="1" applyFill="1" applyBorder="1" applyAlignment="1">
      <alignment horizontal="left" vertical="center"/>
    </xf>
    <xf numFmtId="0" fontId="53" fillId="28" borderId="91" xfId="42" applyFont="1" applyFill="1" applyBorder="1" applyAlignment="1">
      <alignment horizontal="left" vertical="center"/>
    </xf>
    <xf numFmtId="0" fontId="19" fillId="28" borderId="0" xfId="42" applyFont="1" applyFill="1" applyAlignment="1">
      <alignment horizontal="left" wrapText="1"/>
    </xf>
    <xf numFmtId="0" fontId="53" fillId="28" borderId="22" xfId="42" applyFont="1" applyFill="1" applyBorder="1" applyAlignment="1">
      <alignment horizontal="left" vertical="center"/>
    </xf>
    <xf numFmtId="0" fontId="53" fillId="28" borderId="34" xfId="42" applyFont="1" applyFill="1" applyBorder="1" applyAlignment="1">
      <alignment horizontal="left" vertical="center"/>
    </xf>
    <xf numFmtId="0" fontId="53" fillId="28" borderId="38" xfId="42" applyFont="1" applyFill="1" applyBorder="1" applyAlignment="1">
      <alignment horizontal="left" vertical="center"/>
    </xf>
    <xf numFmtId="0" fontId="54" fillId="29" borderId="92" xfId="42" applyFont="1" applyFill="1" applyBorder="1" applyAlignment="1">
      <alignment horizontal="center" vertical="center"/>
    </xf>
    <xf numFmtId="0" fontId="53" fillId="28" borderId="0" xfId="42" applyFont="1" applyFill="1"/>
    <xf numFmtId="0" fontId="53" fillId="28" borderId="0" xfId="42" applyFont="1" applyFill="1" applyAlignment="1">
      <alignment horizontal="left" wrapText="1"/>
    </xf>
    <xf numFmtId="0" fontId="19" fillId="6" borderId="0" xfId="42" applyFont="1" applyFill="1" applyAlignment="1">
      <alignment horizontal="left" vertical="top" wrapText="1"/>
    </xf>
    <xf numFmtId="0" fontId="54" fillId="29" borderId="0" xfId="42" applyFont="1" applyFill="1" applyAlignment="1">
      <alignment horizontal="center" vertical="center"/>
    </xf>
    <xf numFmtId="0" fontId="60" fillId="36" borderId="127" xfId="42" applyFont="1" applyFill="1" applyBorder="1" applyAlignment="1">
      <alignment horizontal="center" vertical="center" wrapText="1"/>
    </xf>
    <xf numFmtId="0" fontId="54" fillId="29" borderId="119" xfId="42" applyFont="1" applyFill="1" applyBorder="1" applyAlignment="1">
      <alignment horizontal="center" vertical="center"/>
    </xf>
    <xf numFmtId="0" fontId="54" fillId="29" borderId="90" xfId="42" applyFont="1" applyFill="1" applyBorder="1" applyAlignment="1">
      <alignment horizontal="center" vertical="center"/>
    </xf>
    <xf numFmtId="43" fontId="57" fillId="0" borderId="121" xfId="43" applyFont="1" applyBorder="1" applyAlignment="1">
      <alignment horizontal="center" vertical="center" wrapText="1"/>
    </xf>
    <xf numFmtId="43" fontId="57" fillId="0" borderId="91" xfId="43" applyFont="1" applyBorder="1" applyAlignment="1">
      <alignment horizontal="center" vertical="center" wrapText="1"/>
    </xf>
    <xf numFmtId="43" fontId="53" fillId="0" borderId="92" xfId="43" applyFont="1" applyBorder="1" applyAlignment="1">
      <alignment horizontal="center"/>
    </xf>
    <xf numFmtId="43" fontId="53" fillId="0" borderId="119" xfId="43" applyFont="1" applyBorder="1" applyAlignment="1">
      <alignment horizontal="center"/>
    </xf>
    <xf numFmtId="43" fontId="53" fillId="0" borderId="90" xfId="43" applyFont="1" applyBorder="1" applyAlignment="1">
      <alignment horizontal="center"/>
    </xf>
    <xf numFmtId="0" fontId="91" fillId="2" borderId="78" xfId="5" applyFont="1" applyBorder="1" applyAlignment="1">
      <alignment horizontal="center" vertical="center" wrapText="1"/>
    </xf>
    <xf numFmtId="0" fontId="91" fillId="2" borderId="79" xfId="5" applyFont="1" applyBorder="1" applyAlignment="1">
      <alignment horizontal="center" vertical="center" wrapText="1"/>
    </xf>
  </cellXfs>
  <cellStyles count="51">
    <cellStyle name="Bad 2" xfId="15" xr:uid="{8602FBB8-D44F-4169-85C1-5B59ABD18275}"/>
    <cellStyle name="Calculation" xfId="41" builtinId="22"/>
    <cellStyle name="Calculation 2" xfId="16" xr:uid="{4EAC1101-F8BC-48B1-8AE2-F875C61C5ECF}"/>
    <cellStyle name="Calculation with Different Formula" xfId="17" xr:uid="{DAE6FAB3-B67A-447D-8C25-36D8D194FD97}"/>
    <cellStyle name="Check Cell 2" xfId="18" xr:uid="{EDF81A1B-C47D-4563-A17A-A841694AD739}"/>
    <cellStyle name="Comma" xfId="4" builtinId="3"/>
    <cellStyle name="Comma 2" xfId="19" xr:uid="{3BC53186-9355-4885-918C-EBBE5A695AAA}"/>
    <cellStyle name="Comma 4" xfId="43" xr:uid="{0633256A-A5BD-46F3-89A3-B766F93E851D}"/>
    <cellStyle name="Currency" xfId="14" builtinId="4"/>
    <cellStyle name="Currency 2" xfId="20" xr:uid="{A88017BC-7CD9-4F39-9C67-594A4E4315FF}"/>
    <cellStyle name="Datetime Format" xfId="21" xr:uid="{BBAAF1BB-3720-481C-AFF4-159C3B405476}"/>
    <cellStyle name="Dropdown Input" xfId="12" xr:uid="{96C541B5-283A-4CD2-8A31-7B00F4D43681}"/>
    <cellStyle name="Explanatory Text 2" xfId="22" xr:uid="{5AB3A717-3301-495D-99D3-06C938F83D3B}"/>
    <cellStyle name="Good 2" xfId="23" xr:uid="{CD7C740A-F3EC-40EA-BBCA-312606940E2B}"/>
    <cellStyle name="Heading 1" xfId="47" builtinId="16"/>
    <cellStyle name="Heading 1 2" xfId="24" xr:uid="{441F4AFF-B1B6-4DCB-B211-47231D098A44}"/>
    <cellStyle name="Heading 2 2" xfId="25" xr:uid="{C9705EA5-87AD-4E7C-9852-926E0A1ECC32}"/>
    <cellStyle name="Heading 3 2" xfId="26" xr:uid="{1DBE408F-8875-4B1C-882B-0E184A6E9D81}"/>
    <cellStyle name="Heading 4 2" xfId="27" xr:uid="{A8F89361-2BD8-4B15-853F-7BFF7012CB71}"/>
    <cellStyle name="Hyperlink" xfId="3" builtinId="8"/>
    <cellStyle name="Hyperlink 2" xfId="28" xr:uid="{3C40DA89-A2EA-4886-9436-3F449EDBF1BA}"/>
    <cellStyle name="Hyperlink 4" xfId="44" xr:uid="{F11EE47E-B553-41E3-A9BE-9CC079022451}"/>
    <cellStyle name="Input" xfId="40" builtinId="20"/>
    <cellStyle name="Input 2" xfId="35" xr:uid="{ACDFB7C3-B3C0-4B02-8F0D-1AF3ED4E64D6}"/>
    <cellStyle name="Key Program Input" xfId="50" xr:uid="{91E218F4-5603-4DCC-9683-BF4562204BBD}"/>
    <cellStyle name="Linked Cell 2" xfId="29" xr:uid="{807E6681-3612-4EF8-A0A3-83F949234347}"/>
    <cellStyle name="Neutral 2" xfId="30" xr:uid="{61C6026F-B4A0-439B-974C-3D7D1F8DE3CA}"/>
    <cellStyle name="Normal" xfId="0" builtinId="0"/>
    <cellStyle name="Normal 128" xfId="46" xr:uid="{DA49E51D-2DE1-4383-9EEC-00FBD62303A7}"/>
    <cellStyle name="Normal 2" xfId="31" xr:uid="{4C0A887F-37B1-4422-A4BC-39143F0F8CFC}"/>
    <cellStyle name="Normal 3 2 4 2" xfId="9" xr:uid="{4A62DB8D-258F-422E-8129-F2F057EC9BB0}"/>
    <cellStyle name="Normal 4" xfId="42" xr:uid="{107DD41C-6523-456D-B17E-B0191FC76006}"/>
    <cellStyle name="Normal 5" xfId="10" xr:uid="{2C7EBC70-7731-4904-B7EB-A14760DEA616}"/>
    <cellStyle name="Normal 7" xfId="13" xr:uid="{2A65D3C3-5234-49D8-AEF0-4842C6C8098E}"/>
    <cellStyle name="Normal 8 2" xfId="11" xr:uid="{3FCE95A2-701C-4E8D-9FBC-C7E26A07B4AC}"/>
    <cellStyle name="Normal_Sheet1" xfId="39" xr:uid="{BF128045-AB62-4CDF-AC3F-F87A8F6C61AF}"/>
    <cellStyle name="Note" xfId="2" builtinId="10"/>
    <cellStyle name="Note 2" xfId="32" xr:uid="{675A20A4-6A13-4424-A412-E8AD27DB97F2}"/>
    <cellStyle name="Output 2" xfId="7" xr:uid="{C07DE0CE-EA92-4858-9914-4B2F981747B7}"/>
    <cellStyle name="Percent" xfId="1" builtinId="5"/>
    <cellStyle name="Percent 2" xfId="33" xr:uid="{4707720C-0214-44E4-8743-A78241586744}"/>
    <cellStyle name="Percent 4" xfId="45" xr:uid="{E5E44B31-C531-4752-AF3B-4DB51E38DDC1}"/>
    <cellStyle name="Placeholder Data" xfId="34" xr:uid="{E840CA53-902F-42FD-A92D-987B9625CCE9}"/>
    <cellStyle name="Table Header" xfId="5" xr:uid="{EB221C80-45C4-4E6F-83F3-68C909425BF0}"/>
    <cellStyle name="Table Index" xfId="6" xr:uid="{EF66EFFA-3DE1-4884-B52C-D96B74A2B5A3}"/>
    <cellStyle name="Table Sub-Header" xfId="8" xr:uid="{3F19E7B2-DB43-4910-84A5-28A63B3BDD57}"/>
    <cellStyle name="Table Value" xfId="49" xr:uid="{BAC05C6F-D6CF-49F4-8660-47E432FDB94E}"/>
    <cellStyle name="Title 2" xfId="36" xr:uid="{6282E85E-5762-4FDF-A8A4-CF9C031C276E}"/>
    <cellStyle name="Total 2" xfId="37" xr:uid="{BEC0F35D-E023-42D3-B15A-F68A3D8D3FAE}"/>
    <cellStyle name="Warning Text" xfId="48" builtinId="11"/>
    <cellStyle name="Warning Text 2" xfId="38" xr:uid="{FF7C06BC-574A-4DF3-95DC-176357AD4187}"/>
  </cellStyles>
  <dxfs count="0"/>
  <tableStyles count="0" defaultTableStyle="TableStyleMedium2" defaultPivotStyle="PivotStyleLight16"/>
  <colors>
    <mruColors>
      <color rgb="FFFFFFCC"/>
      <color rgb="FFFED274"/>
      <color rgb="FFB3DF37"/>
      <color rgb="FF9AC431"/>
      <color rgb="FFD0FF3E"/>
      <color rgb="FFFED26A"/>
      <color rgb="FFFFD47D"/>
      <color rgb="FFFFE689"/>
      <color rgb="FFFBC453"/>
      <color rgb="FFFBCC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32"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eetMetadata" Target="metadata.xml"/><Relationship Id="rId30"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5</xdr:col>
      <xdr:colOff>9525</xdr:colOff>
      <xdr:row>1</xdr:row>
      <xdr:rowOff>114300</xdr:rowOff>
    </xdr:from>
    <xdr:to>
      <xdr:col>20</xdr:col>
      <xdr:colOff>29893</xdr:colOff>
      <xdr:row>7</xdr:row>
      <xdr:rowOff>39180</xdr:rowOff>
    </xdr:to>
    <xdr:grpSp>
      <xdr:nvGrpSpPr>
        <xdr:cNvPr id="784" name="Group 3">
          <a:extLst>
            <a:ext uri="{FF2B5EF4-FFF2-40B4-BE49-F238E27FC236}">
              <a16:creationId xmlns:a16="http://schemas.microsoft.com/office/drawing/2014/main" id="{43951C3B-F76F-4527-8E02-DF59C0AB6C3B}"/>
            </a:ext>
          </a:extLst>
        </xdr:cNvPr>
        <xdr:cNvGrpSpPr/>
      </xdr:nvGrpSpPr>
      <xdr:grpSpPr>
        <a:xfrm>
          <a:off x="10515600" y="409575"/>
          <a:ext cx="15384193" cy="1086930"/>
          <a:chOff x="13798699" y="854652"/>
          <a:chExt cx="14331849" cy="1087666"/>
        </a:xfrm>
      </xdr:grpSpPr>
      <xdr:grpSp>
        <xdr:nvGrpSpPr>
          <xdr:cNvPr id="785" name="Group 5">
            <a:extLst>
              <a:ext uri="{FF2B5EF4-FFF2-40B4-BE49-F238E27FC236}">
                <a16:creationId xmlns:a16="http://schemas.microsoft.com/office/drawing/2014/main" id="{3E9E0E0E-5C96-AC0F-A682-1C357A4EA4D9}"/>
              </a:ext>
            </a:extLst>
          </xdr:cNvPr>
          <xdr:cNvGrpSpPr/>
        </xdr:nvGrpSpPr>
        <xdr:grpSpPr>
          <a:xfrm>
            <a:off x="13798699" y="854652"/>
            <a:ext cx="14331849" cy="1087666"/>
            <a:chOff x="11149019" y="854652"/>
            <a:chExt cx="14331849" cy="1087666"/>
          </a:xfrm>
        </xdr:grpSpPr>
        <xdr:sp macro="" textlink="">
          <xdr:nvSpPr>
            <xdr:cNvPr id="786" name="Equals 8">
              <a:extLst>
                <a:ext uri="{FF2B5EF4-FFF2-40B4-BE49-F238E27FC236}">
                  <a16:creationId xmlns:a16="http://schemas.microsoft.com/office/drawing/2014/main" id="{5804769F-30CC-2F18-2DA0-71244F36584A}"/>
                </a:ext>
              </a:extLst>
            </xdr:cNvPr>
            <xdr:cNvSpPr/>
          </xdr:nvSpPr>
          <xdr:spPr>
            <a:xfrm>
              <a:off x="23224660" y="934840"/>
              <a:ext cx="462871" cy="914400"/>
            </a:xfrm>
            <a:prstGeom prst="mathEqual">
              <a:avLst>
                <a:gd name="adj1" fmla="val 12062"/>
                <a:gd name="adj2" fmla="val 967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787" name="Freeform: Shape 9">
              <a:extLst>
                <a:ext uri="{FF2B5EF4-FFF2-40B4-BE49-F238E27FC236}">
                  <a16:creationId xmlns:a16="http://schemas.microsoft.com/office/drawing/2014/main" id="{4FFF2013-6E11-C494-694F-DC4269CCDB95}"/>
                </a:ext>
              </a:extLst>
            </xdr:cNvPr>
            <xdr:cNvSpPr/>
          </xdr:nvSpPr>
          <xdr:spPr>
            <a:xfrm>
              <a:off x="23746267" y="918966"/>
              <a:ext cx="173460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tCO2e Reduced each Year</a:t>
              </a:r>
            </a:p>
          </xdr:txBody>
        </xdr:sp>
        <xdr:grpSp>
          <xdr:nvGrpSpPr>
            <xdr:cNvPr id="788" name="Group 10">
              <a:extLst>
                <a:ext uri="{FF2B5EF4-FFF2-40B4-BE49-F238E27FC236}">
                  <a16:creationId xmlns:a16="http://schemas.microsoft.com/office/drawing/2014/main" id="{8E7000DA-DB52-DD50-4956-238BCD8C2B9E}"/>
                </a:ext>
              </a:extLst>
            </xdr:cNvPr>
            <xdr:cNvGrpSpPr/>
          </xdr:nvGrpSpPr>
          <xdr:grpSpPr>
            <a:xfrm>
              <a:off x="11149019" y="854652"/>
              <a:ext cx="9894901" cy="1050172"/>
              <a:chOff x="11149019" y="854652"/>
              <a:chExt cx="9894901" cy="1050172"/>
            </a:xfrm>
          </xdr:grpSpPr>
          <xdr:grpSp>
            <xdr:nvGrpSpPr>
              <xdr:cNvPr id="789" name="Group 11">
                <a:extLst>
                  <a:ext uri="{FF2B5EF4-FFF2-40B4-BE49-F238E27FC236}">
                    <a16:creationId xmlns:a16="http://schemas.microsoft.com/office/drawing/2014/main" id="{1B31F666-6235-8E2B-7CAD-33C1FC4FB082}"/>
                  </a:ext>
                </a:extLst>
              </xdr:cNvPr>
              <xdr:cNvGrpSpPr/>
            </xdr:nvGrpSpPr>
            <xdr:grpSpPr>
              <a:xfrm>
                <a:off x="15126297" y="1168788"/>
                <a:ext cx="4527336" cy="484278"/>
                <a:chOff x="4583828" y="941129"/>
                <a:chExt cx="4510518" cy="485813"/>
              </a:xfrm>
            </xdr:grpSpPr>
            <xdr:sp macro="" textlink="">
              <xdr:nvSpPr>
                <xdr:cNvPr id="790" name="Cross 21">
                  <a:extLst>
                    <a:ext uri="{FF2B5EF4-FFF2-40B4-BE49-F238E27FC236}">
                      <a16:creationId xmlns:a16="http://schemas.microsoft.com/office/drawing/2014/main" id="{4DB354EA-257E-D962-09CC-E48FA84E52A0}"/>
                    </a:ext>
                  </a:extLst>
                </xdr:cNvPr>
                <xdr:cNvSpPr/>
              </xdr:nvSpPr>
              <xdr:spPr>
                <a:xfrm rot="18886647">
                  <a:off x="4580653" y="966238"/>
                  <a:ext cx="457200" cy="45085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91" name="Cross 22">
                  <a:extLst>
                    <a:ext uri="{FF2B5EF4-FFF2-40B4-BE49-F238E27FC236}">
                      <a16:creationId xmlns:a16="http://schemas.microsoft.com/office/drawing/2014/main" id="{477D3C33-8025-996B-56E9-E89707BD97AE}"/>
                    </a:ext>
                  </a:extLst>
                </xdr:cNvPr>
                <xdr:cNvSpPr/>
              </xdr:nvSpPr>
              <xdr:spPr>
                <a:xfrm rot="18886647">
                  <a:off x="8637146" y="941129"/>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792" name="Cross 23">
                  <a:extLst>
                    <a:ext uri="{FF2B5EF4-FFF2-40B4-BE49-F238E27FC236}">
                      <a16:creationId xmlns:a16="http://schemas.microsoft.com/office/drawing/2014/main" id="{6B487806-8B94-5DE7-A521-6981F348B007}"/>
                    </a:ext>
                  </a:extLst>
                </xdr:cNvPr>
                <xdr:cNvSpPr/>
              </xdr:nvSpPr>
              <xdr:spPr>
                <a:xfrm rot="18886647">
                  <a:off x="6528257" y="970932"/>
                  <a:ext cx="457200" cy="454819"/>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793" name="Group 12">
                <a:extLst>
                  <a:ext uri="{FF2B5EF4-FFF2-40B4-BE49-F238E27FC236}">
                    <a16:creationId xmlns:a16="http://schemas.microsoft.com/office/drawing/2014/main" id="{E133D3BF-857A-B22F-C417-D20DEBC2AC99}"/>
                  </a:ext>
                </a:extLst>
              </xdr:cNvPr>
              <xdr:cNvGrpSpPr/>
            </xdr:nvGrpSpPr>
            <xdr:grpSpPr>
              <a:xfrm>
                <a:off x="11149019" y="854652"/>
                <a:ext cx="9894901" cy="1050172"/>
                <a:chOff x="11149019" y="854652"/>
                <a:chExt cx="9894901" cy="1050172"/>
              </a:xfrm>
            </xdr:grpSpPr>
            <xdr:grpSp>
              <xdr:nvGrpSpPr>
                <xdr:cNvPr id="794" name="Group 13">
                  <a:extLst>
                    <a:ext uri="{FF2B5EF4-FFF2-40B4-BE49-F238E27FC236}">
                      <a16:creationId xmlns:a16="http://schemas.microsoft.com/office/drawing/2014/main" id="{1F0D107E-FA69-7DC6-2B10-C4D24CF8602A}"/>
                    </a:ext>
                  </a:extLst>
                </xdr:cNvPr>
                <xdr:cNvGrpSpPr/>
              </xdr:nvGrpSpPr>
              <xdr:grpSpPr>
                <a:xfrm>
                  <a:off x="11149019" y="860879"/>
                  <a:ext cx="5893552" cy="1039385"/>
                  <a:chOff x="968960" y="645638"/>
                  <a:chExt cx="5861821" cy="1034038"/>
                </a:xfrm>
              </xdr:grpSpPr>
              <xdr:grpSp>
                <xdr:nvGrpSpPr>
                  <xdr:cNvPr id="795" name="Group 17">
                    <a:extLst>
                      <a:ext uri="{FF2B5EF4-FFF2-40B4-BE49-F238E27FC236}">
                        <a16:creationId xmlns:a16="http://schemas.microsoft.com/office/drawing/2014/main" id="{FA43E366-B57B-BD0C-CDEB-CD9EC584CAF3}"/>
                      </a:ext>
                    </a:extLst>
                  </xdr:cNvPr>
                  <xdr:cNvGrpSpPr/>
                </xdr:nvGrpSpPr>
                <xdr:grpSpPr>
                  <a:xfrm>
                    <a:off x="968960" y="645638"/>
                    <a:ext cx="5861821" cy="1034038"/>
                    <a:chOff x="972423" y="643400"/>
                    <a:chExt cx="5858584" cy="1029390"/>
                  </a:xfrm>
                </xdr:grpSpPr>
                <xdr:sp macro="" textlink="">
                  <xdr:nvSpPr>
                    <xdr:cNvPr id="796" name="Freeform: Shape 19">
                      <a:extLst>
                        <a:ext uri="{FF2B5EF4-FFF2-40B4-BE49-F238E27FC236}">
                          <a16:creationId xmlns:a16="http://schemas.microsoft.com/office/drawing/2014/main" id="{E5F60F3C-B432-A8FD-31E3-817E14EABB93}"/>
                        </a:ext>
                      </a:extLst>
                    </xdr:cNvPr>
                    <xdr:cNvSpPr/>
                  </xdr:nvSpPr>
                  <xdr:spPr>
                    <a:xfrm>
                      <a:off x="972423" y="643400"/>
                      <a:ext cx="1946875"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Active</a:t>
                      </a:r>
                      <a:r>
                        <a:rPr lang="en-US" sz="1500" kern="1200" baseline="0"/>
                        <a:t> Organic Diversion Grants each Year</a:t>
                      </a:r>
                      <a:endParaRPr lang="en-US" sz="1500" kern="1200"/>
                    </a:p>
                  </xdr:txBody>
                </xdr:sp>
                <xdr:sp macro="" textlink="">
                  <xdr:nvSpPr>
                    <xdr:cNvPr id="797" name="Freeform: Shape 20">
                      <a:extLst>
                        <a:ext uri="{FF2B5EF4-FFF2-40B4-BE49-F238E27FC236}">
                          <a16:creationId xmlns:a16="http://schemas.microsoft.com/office/drawing/2014/main" id="{435A64E3-962B-B057-6AAA-EC1C7F9928ED}"/>
                        </a:ext>
                      </a:extLst>
                    </xdr:cNvPr>
                    <xdr:cNvSpPr/>
                  </xdr:nvSpPr>
                  <xdr:spPr>
                    <a:xfrm>
                      <a:off x="5449266" y="649438"/>
                      <a:ext cx="138174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Average</a:t>
                      </a:r>
                      <a:r>
                        <a:rPr lang="en-US" sz="1500" kern="1200" baseline="0"/>
                        <a:t> Grant Amount (DEC)</a:t>
                      </a:r>
                      <a:endParaRPr lang="en-US" sz="1500" kern="1200"/>
                    </a:p>
                  </xdr:txBody>
                </xdr:sp>
              </xdr:grpSp>
              <xdr:sp macro="" textlink="">
                <xdr:nvSpPr>
                  <xdr:cNvPr id="798" name="Cross 18">
                    <a:extLst>
                      <a:ext uri="{FF2B5EF4-FFF2-40B4-BE49-F238E27FC236}">
                        <a16:creationId xmlns:a16="http://schemas.microsoft.com/office/drawing/2014/main" id="{148A4405-6FEF-036E-8344-4789C559E88A}"/>
                      </a:ext>
                    </a:extLst>
                  </xdr:cNvPr>
                  <xdr:cNvSpPr/>
                </xdr:nvSpPr>
                <xdr:spPr>
                  <a:xfrm rot="18886647">
                    <a:off x="2960241" y="944315"/>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799" name="Freeform: Shape 14">
                  <a:extLst>
                    <a:ext uri="{FF2B5EF4-FFF2-40B4-BE49-F238E27FC236}">
                      <a16:creationId xmlns:a16="http://schemas.microsoft.com/office/drawing/2014/main" id="{6086E016-425B-7DFE-10D0-C2016D242963}"/>
                    </a:ext>
                  </a:extLst>
                </xdr:cNvPr>
                <xdr:cNvSpPr/>
              </xdr:nvSpPr>
              <xdr:spPr>
                <a:xfrm>
                  <a:off x="13690530" y="876877"/>
                  <a:ext cx="1392451"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lb./$ Diversion Cost (DEC)</a:t>
                  </a:r>
                </a:p>
              </xdr:txBody>
            </xdr:sp>
            <xdr:sp macro="" textlink="">
              <xdr:nvSpPr>
                <xdr:cNvPr id="800" name="Freeform: Shape 15">
                  <a:extLst>
                    <a:ext uri="{FF2B5EF4-FFF2-40B4-BE49-F238E27FC236}">
                      <a16:creationId xmlns:a16="http://schemas.microsoft.com/office/drawing/2014/main" id="{89E8AB75-03D5-F0CA-9CCD-94B9194981C4}"/>
                    </a:ext>
                  </a:extLst>
                </xdr:cNvPr>
                <xdr:cNvSpPr/>
              </xdr:nvSpPr>
              <xdr:spPr>
                <a:xfrm>
                  <a:off x="17567783" y="854652"/>
                  <a:ext cx="1578779"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lb./short</a:t>
                  </a:r>
                  <a:r>
                    <a:rPr lang="en-US" sz="1500" kern="1200" baseline="0"/>
                    <a:t> ton</a:t>
                  </a:r>
                  <a:endParaRPr lang="en-US" sz="1500" kern="1200"/>
                </a:p>
              </xdr:txBody>
            </xdr:sp>
            <xdr:sp macro="" textlink="">
              <xdr:nvSpPr>
                <xdr:cNvPr id="801" name="Freeform: Shape 16">
                  <a:extLst>
                    <a:ext uri="{FF2B5EF4-FFF2-40B4-BE49-F238E27FC236}">
                      <a16:creationId xmlns:a16="http://schemas.microsoft.com/office/drawing/2014/main" id="{6DD63FE0-45ED-6E3B-B255-0DF3F2F0E173}"/>
                    </a:ext>
                  </a:extLst>
                </xdr:cNvPr>
                <xdr:cNvSpPr/>
              </xdr:nvSpPr>
              <xdr:spPr>
                <a:xfrm>
                  <a:off x="19652436" y="857852"/>
                  <a:ext cx="1391484" cy="1032589"/>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tCO2e/short</a:t>
                  </a:r>
                  <a:r>
                    <a:rPr lang="en-US" sz="1500" kern="1200" baseline="0"/>
                    <a:t> ton of composted organics (EPA)</a:t>
                  </a:r>
                  <a:endParaRPr lang="en-US" sz="1500" kern="1200"/>
                </a:p>
              </xdr:txBody>
            </xdr:sp>
          </xdr:grpSp>
        </xdr:grpSp>
      </xdr:grpSp>
      <xdr:sp macro="" textlink="">
        <xdr:nvSpPr>
          <xdr:cNvPr id="802" name="Freeform: Shape 6">
            <a:extLst>
              <a:ext uri="{FF2B5EF4-FFF2-40B4-BE49-F238E27FC236}">
                <a16:creationId xmlns:a16="http://schemas.microsoft.com/office/drawing/2014/main" id="{7D66C26A-7E2E-1E0C-3A24-8969DBE91FE5}"/>
              </a:ext>
            </a:extLst>
          </xdr:cNvPr>
          <xdr:cNvSpPr/>
        </xdr:nvSpPr>
        <xdr:spPr>
          <a:xfrm>
            <a:off x="24239595" y="859866"/>
            <a:ext cx="1530686" cy="1022196"/>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CPRG Portion</a:t>
            </a:r>
            <a:r>
              <a:rPr lang="en-US" sz="1500" kern="1200" baseline="0"/>
              <a:t> of Funding</a:t>
            </a:r>
            <a:endParaRPr lang="en-US" sz="1500" kern="1200"/>
          </a:p>
        </xdr:txBody>
      </xdr:sp>
      <xdr:sp macro="" textlink="">
        <xdr:nvSpPr>
          <xdr:cNvPr id="803" name="Cross 7">
            <a:extLst>
              <a:ext uri="{FF2B5EF4-FFF2-40B4-BE49-F238E27FC236}">
                <a16:creationId xmlns:a16="http://schemas.microsoft.com/office/drawing/2014/main" id="{F25E623D-CADD-DA63-C4FE-35B0410B58F8}"/>
              </a:ext>
            </a:extLst>
          </xdr:cNvPr>
          <xdr:cNvSpPr/>
        </xdr:nvSpPr>
        <xdr:spPr>
          <a:xfrm rot="18886647">
            <a:off x="23741455" y="1141335"/>
            <a:ext cx="457200" cy="454498"/>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416247</xdr:colOff>
      <xdr:row>2</xdr:row>
      <xdr:rowOff>79260</xdr:rowOff>
    </xdr:from>
    <xdr:to>
      <xdr:col>20</xdr:col>
      <xdr:colOff>463284</xdr:colOff>
      <xdr:row>13</xdr:row>
      <xdr:rowOff>72538</xdr:rowOff>
    </xdr:to>
    <xdr:grpSp>
      <xdr:nvGrpSpPr>
        <xdr:cNvPr id="3590" name="Group 35">
          <a:extLst>
            <a:ext uri="{FF2B5EF4-FFF2-40B4-BE49-F238E27FC236}">
              <a16:creationId xmlns:a16="http://schemas.microsoft.com/office/drawing/2014/main" id="{E103BC9E-5FF1-0460-C680-99E8567B0078}"/>
            </a:ext>
          </a:extLst>
        </xdr:cNvPr>
        <xdr:cNvGrpSpPr/>
      </xdr:nvGrpSpPr>
      <xdr:grpSpPr>
        <a:xfrm>
          <a:off x="8512497" y="574560"/>
          <a:ext cx="16049037" cy="2088778"/>
          <a:chOff x="10501318" y="787444"/>
          <a:chExt cx="14589539" cy="2079253"/>
        </a:xfrm>
      </xdr:grpSpPr>
      <xdr:grpSp>
        <xdr:nvGrpSpPr>
          <xdr:cNvPr id="3591" name="Group 5">
            <a:extLst>
              <a:ext uri="{FF2B5EF4-FFF2-40B4-BE49-F238E27FC236}">
                <a16:creationId xmlns:a16="http://schemas.microsoft.com/office/drawing/2014/main" id="{2337916A-619B-4DC2-9880-1BFA37F8A99C}"/>
              </a:ext>
            </a:extLst>
          </xdr:cNvPr>
          <xdr:cNvGrpSpPr/>
        </xdr:nvGrpSpPr>
        <xdr:grpSpPr>
          <a:xfrm>
            <a:off x="10501318" y="787444"/>
            <a:ext cx="14589539" cy="2079253"/>
            <a:chOff x="13781958" y="442941"/>
            <a:chExt cx="14653015" cy="2080662"/>
          </a:xfrm>
        </xdr:grpSpPr>
        <xdr:grpSp>
          <xdr:nvGrpSpPr>
            <xdr:cNvPr id="3592" name="Group 6">
              <a:extLst>
                <a:ext uri="{FF2B5EF4-FFF2-40B4-BE49-F238E27FC236}">
                  <a16:creationId xmlns:a16="http://schemas.microsoft.com/office/drawing/2014/main" id="{6DC6314F-9219-74BF-17BC-9D45CCB03ECF}"/>
                </a:ext>
              </a:extLst>
            </xdr:cNvPr>
            <xdr:cNvGrpSpPr/>
          </xdr:nvGrpSpPr>
          <xdr:grpSpPr>
            <a:xfrm>
              <a:off x="13781958" y="442941"/>
              <a:ext cx="14653015" cy="2080662"/>
              <a:chOff x="11132278" y="442941"/>
              <a:chExt cx="14653015" cy="2080662"/>
            </a:xfrm>
          </xdr:grpSpPr>
          <xdr:sp macro="" textlink="">
            <xdr:nvSpPr>
              <xdr:cNvPr id="3593" name="Equals 9">
                <a:extLst>
                  <a:ext uri="{FF2B5EF4-FFF2-40B4-BE49-F238E27FC236}">
                    <a16:creationId xmlns:a16="http://schemas.microsoft.com/office/drawing/2014/main" id="{BA60CCB9-FD45-98A3-2C09-7DB2CA51669E}"/>
                  </a:ext>
                </a:extLst>
              </xdr:cNvPr>
              <xdr:cNvSpPr/>
            </xdr:nvSpPr>
            <xdr:spPr>
              <a:xfrm>
                <a:off x="23529090" y="1013475"/>
                <a:ext cx="462871" cy="914400"/>
              </a:xfrm>
              <a:prstGeom prst="mathEqual">
                <a:avLst>
                  <a:gd name="adj1" fmla="val 12062"/>
                  <a:gd name="adj2" fmla="val 967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3594" name="Freeform: Shape 10">
                <a:extLst>
                  <a:ext uri="{FF2B5EF4-FFF2-40B4-BE49-F238E27FC236}">
                    <a16:creationId xmlns:a16="http://schemas.microsoft.com/office/drawing/2014/main" id="{0E82EF79-82D2-EF7E-5215-AE982E92FD54}"/>
                  </a:ext>
                </a:extLst>
              </xdr:cNvPr>
              <xdr:cNvSpPr/>
            </xdr:nvSpPr>
            <xdr:spPr>
              <a:xfrm>
                <a:off x="24050692" y="997602"/>
                <a:ext cx="173460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tCO2e Reduced per Year</a:t>
                </a:r>
              </a:p>
            </xdr:txBody>
          </xdr:sp>
          <xdr:grpSp>
            <xdr:nvGrpSpPr>
              <xdr:cNvPr id="3595" name="Group 11">
                <a:extLst>
                  <a:ext uri="{FF2B5EF4-FFF2-40B4-BE49-F238E27FC236}">
                    <a16:creationId xmlns:a16="http://schemas.microsoft.com/office/drawing/2014/main" id="{FC70F05A-9AB3-2432-B2E4-4864B124F973}"/>
                  </a:ext>
                </a:extLst>
              </xdr:cNvPr>
              <xdr:cNvGrpSpPr/>
            </xdr:nvGrpSpPr>
            <xdr:grpSpPr>
              <a:xfrm>
                <a:off x="11132278" y="442941"/>
                <a:ext cx="10113158" cy="2080662"/>
                <a:chOff x="11132278" y="442941"/>
                <a:chExt cx="10113158" cy="2080662"/>
              </a:xfrm>
            </xdr:grpSpPr>
            <xdr:sp macro="" textlink="">
              <xdr:nvSpPr>
                <xdr:cNvPr id="3596" name="Cross 31">
                  <a:extLst>
                    <a:ext uri="{FF2B5EF4-FFF2-40B4-BE49-F238E27FC236}">
                      <a16:creationId xmlns:a16="http://schemas.microsoft.com/office/drawing/2014/main" id="{FF97810B-6D8B-B3F4-D3B4-55CF43AC3057}"/>
                    </a:ext>
                  </a:extLst>
                </xdr:cNvPr>
                <xdr:cNvSpPr/>
              </xdr:nvSpPr>
              <xdr:spPr>
                <a:xfrm rot="18886647">
                  <a:off x="15076853" y="1192266"/>
                  <a:ext cx="455756" cy="452531"/>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3597" name="Group 16">
                  <a:extLst>
                    <a:ext uri="{FF2B5EF4-FFF2-40B4-BE49-F238E27FC236}">
                      <a16:creationId xmlns:a16="http://schemas.microsoft.com/office/drawing/2014/main" id="{32878CBD-6127-2E2D-9C7E-6BFD748F1569}"/>
                    </a:ext>
                  </a:extLst>
                </xdr:cNvPr>
                <xdr:cNvGrpSpPr/>
              </xdr:nvGrpSpPr>
              <xdr:grpSpPr>
                <a:xfrm>
                  <a:off x="11132278" y="442941"/>
                  <a:ext cx="10113158" cy="2080662"/>
                  <a:chOff x="11132278" y="442941"/>
                  <a:chExt cx="10113158" cy="2080662"/>
                </a:xfrm>
              </xdr:grpSpPr>
              <xdr:grpSp>
                <xdr:nvGrpSpPr>
                  <xdr:cNvPr id="3598" name="Group 18">
                    <a:extLst>
                      <a:ext uri="{FF2B5EF4-FFF2-40B4-BE49-F238E27FC236}">
                        <a16:creationId xmlns:a16="http://schemas.microsoft.com/office/drawing/2014/main" id="{4B829D53-1574-7654-1B21-7E5803DD80E9}"/>
                      </a:ext>
                    </a:extLst>
                  </xdr:cNvPr>
                  <xdr:cNvGrpSpPr/>
                </xdr:nvGrpSpPr>
                <xdr:grpSpPr>
                  <a:xfrm>
                    <a:off x="11132278" y="442941"/>
                    <a:ext cx="10113158" cy="2080662"/>
                    <a:chOff x="952311" y="229850"/>
                    <a:chExt cx="10058716" cy="2069959"/>
                  </a:xfrm>
                </xdr:grpSpPr>
                <xdr:grpSp>
                  <xdr:nvGrpSpPr>
                    <xdr:cNvPr id="3599" name="Group 23">
                      <a:extLst>
                        <a:ext uri="{FF2B5EF4-FFF2-40B4-BE49-F238E27FC236}">
                          <a16:creationId xmlns:a16="http://schemas.microsoft.com/office/drawing/2014/main" id="{ECB1B51B-C3F1-3A26-A220-80B2D85C66CA}"/>
                        </a:ext>
                      </a:extLst>
                    </xdr:cNvPr>
                    <xdr:cNvGrpSpPr/>
                  </xdr:nvGrpSpPr>
                  <xdr:grpSpPr>
                    <a:xfrm>
                      <a:off x="952311" y="564538"/>
                      <a:ext cx="8058085" cy="1128038"/>
                      <a:chOff x="955781" y="562665"/>
                      <a:chExt cx="8053638" cy="1122967"/>
                    </a:xfrm>
                  </xdr:grpSpPr>
                  <xdr:sp macro="" textlink="">
                    <xdr:nvSpPr>
                      <xdr:cNvPr id="3600" name="Freeform: Shape 28">
                        <a:extLst>
                          <a:ext uri="{FF2B5EF4-FFF2-40B4-BE49-F238E27FC236}">
                            <a16:creationId xmlns:a16="http://schemas.microsoft.com/office/drawing/2014/main" id="{A2E74413-B31D-779E-82CB-33A7C6D334E6}"/>
                          </a:ext>
                        </a:extLst>
                      </xdr:cNvPr>
                      <xdr:cNvSpPr/>
                    </xdr:nvSpPr>
                    <xdr:spPr>
                      <a:xfrm>
                        <a:off x="955781" y="662280"/>
                        <a:ext cx="1946875"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Complete </a:t>
                        </a:r>
                        <a:r>
                          <a:rPr lang="en-US" sz="1500" kern="1200" baseline="0"/>
                          <a:t>Refrigerant Conversions Active each Year</a:t>
                        </a:r>
                        <a:endParaRPr lang="en-US" sz="1500" kern="1200"/>
                      </a:p>
                    </xdr:txBody>
                  </xdr:sp>
                  <xdr:sp macro="" textlink="">
                    <xdr:nvSpPr>
                      <xdr:cNvPr id="3601" name="Freeform: Shape 29">
                        <a:extLst>
                          <a:ext uri="{FF2B5EF4-FFF2-40B4-BE49-F238E27FC236}">
                            <a16:creationId xmlns:a16="http://schemas.microsoft.com/office/drawing/2014/main" id="{974226C6-DA44-19C0-A20A-CCF6A1469232}"/>
                          </a:ext>
                        </a:extLst>
                      </xdr:cNvPr>
                      <xdr:cNvSpPr/>
                    </xdr:nvSpPr>
                    <xdr:spPr>
                      <a:xfrm>
                        <a:off x="7627678" y="562665"/>
                        <a:ext cx="1381741" cy="1110125"/>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GWP Counterfactual</a:t>
                        </a:r>
                        <a:r>
                          <a:rPr lang="en-US" sz="1500" kern="1200" baseline="0"/>
                          <a:t> Refrigerant Impact</a:t>
                        </a:r>
                        <a:r>
                          <a:rPr lang="en-US" sz="1500" kern="1200"/>
                          <a:t> (R507A</a:t>
                        </a:r>
                        <a:r>
                          <a:rPr lang="en-US" sz="1500" kern="1200" baseline="0"/>
                          <a:t> EPA)</a:t>
                        </a:r>
                        <a:endParaRPr lang="en-US" sz="1500" kern="1200"/>
                      </a:p>
                    </xdr:txBody>
                  </xdr:sp>
                </xdr:grpSp>
                <xdr:sp macro="" textlink="">
                  <xdr:nvSpPr>
                    <xdr:cNvPr id="3602" name="Cross 24">
                      <a:extLst>
                        <a:ext uri="{FF2B5EF4-FFF2-40B4-BE49-F238E27FC236}">
                          <a16:creationId xmlns:a16="http://schemas.microsoft.com/office/drawing/2014/main" id="{F48346A7-3422-57F3-D23F-53E5D1339ED1}"/>
                        </a:ext>
                      </a:extLst>
                    </xdr:cNvPr>
                    <xdr:cNvSpPr/>
                  </xdr:nvSpPr>
                  <xdr:spPr>
                    <a:xfrm rot="18886647">
                      <a:off x="2943587" y="963280"/>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603" name="Right Bracket 26">
                      <a:extLst>
                        <a:ext uri="{FF2B5EF4-FFF2-40B4-BE49-F238E27FC236}">
                          <a16:creationId xmlns:a16="http://schemas.microsoft.com/office/drawing/2014/main" id="{2AF2FC15-175B-F58C-0335-17BBAA570082}"/>
                        </a:ext>
                      </a:extLst>
                    </xdr:cNvPr>
                    <xdr:cNvSpPr/>
                  </xdr:nvSpPr>
                  <xdr:spPr>
                    <a:xfrm>
                      <a:off x="10953877" y="251934"/>
                      <a:ext cx="57150" cy="2047875"/>
                    </a:xfrm>
                    <a:prstGeom prst="rightBracket">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3604" name="Right Bracket 27">
                      <a:extLst>
                        <a:ext uri="{FF2B5EF4-FFF2-40B4-BE49-F238E27FC236}">
                          <a16:creationId xmlns:a16="http://schemas.microsoft.com/office/drawing/2014/main" id="{F49DC5A1-3624-AA75-7165-5982E43205C2}"/>
                        </a:ext>
                      </a:extLst>
                    </xdr:cNvPr>
                    <xdr:cNvSpPr/>
                  </xdr:nvSpPr>
                  <xdr:spPr>
                    <a:xfrm flipH="1">
                      <a:off x="7550013" y="229850"/>
                      <a:ext cx="57150" cy="2047875"/>
                    </a:xfrm>
                    <a:prstGeom prst="rightBracket">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sp macro="" textlink="">
                <xdr:nvSpPr>
                  <xdr:cNvPr id="3605" name="Freeform: Shape 20">
                    <a:extLst>
                      <a:ext uri="{FF2B5EF4-FFF2-40B4-BE49-F238E27FC236}">
                        <a16:creationId xmlns:a16="http://schemas.microsoft.com/office/drawing/2014/main" id="{C74758F2-D582-3FD7-EFAE-8AC16BA79D44}"/>
                      </a:ext>
                    </a:extLst>
                  </xdr:cNvPr>
                  <xdr:cNvSpPr/>
                </xdr:nvSpPr>
                <xdr:spPr>
                  <a:xfrm>
                    <a:off x="13642701" y="876877"/>
                    <a:ext cx="1392450"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Annual Leakage Rate</a:t>
                    </a:r>
                  </a:p>
                </xdr:txBody>
              </xdr:sp>
              <xdr:sp macro="" textlink="">
                <xdr:nvSpPr>
                  <xdr:cNvPr id="3606" name="Freeform: Shape 21">
                    <a:extLst>
                      <a:ext uri="{FF2B5EF4-FFF2-40B4-BE49-F238E27FC236}">
                        <a16:creationId xmlns:a16="http://schemas.microsoft.com/office/drawing/2014/main" id="{E2CE927B-66DD-3A69-124A-7DBFDCA69150}"/>
                      </a:ext>
                    </a:extLst>
                  </xdr:cNvPr>
                  <xdr:cNvSpPr/>
                </xdr:nvSpPr>
                <xdr:spPr>
                  <a:xfrm>
                    <a:off x="19759185" y="854652"/>
                    <a:ext cx="1393894"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GWP Measure Refrigerant (R744</a:t>
                    </a:r>
                    <a:r>
                      <a:rPr lang="en-US" sz="1500" kern="1200" baseline="0"/>
                      <a:t> EPA)</a:t>
                    </a:r>
                    <a:endParaRPr lang="en-US" sz="1500" kern="1200"/>
                  </a:p>
                </xdr:txBody>
              </xdr:sp>
            </xdr:grpSp>
          </xdr:grpSp>
        </xdr:grpSp>
        <xdr:sp macro="" textlink="">
          <xdr:nvSpPr>
            <xdr:cNvPr id="3607" name="Freeform: Shape 7">
              <a:extLst>
                <a:ext uri="{FF2B5EF4-FFF2-40B4-BE49-F238E27FC236}">
                  <a16:creationId xmlns:a16="http://schemas.microsoft.com/office/drawing/2014/main" id="{2935C32C-8F6E-CFC1-F414-9BC4CA0BC1B9}"/>
                </a:ext>
              </a:extLst>
            </xdr:cNvPr>
            <xdr:cNvSpPr/>
          </xdr:nvSpPr>
          <xdr:spPr>
            <a:xfrm>
              <a:off x="24544021" y="938503"/>
              <a:ext cx="1530686" cy="1022196"/>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CPRG Portion</a:t>
              </a:r>
              <a:r>
                <a:rPr lang="en-US" sz="1500" kern="1200" baseline="0"/>
                <a:t> of Funding</a:t>
              </a:r>
              <a:endParaRPr lang="en-US" sz="1500" kern="1200"/>
            </a:p>
          </xdr:txBody>
        </xdr:sp>
        <xdr:sp macro="" textlink="">
          <xdr:nvSpPr>
            <xdr:cNvPr id="3608" name="Cross 8">
              <a:extLst>
                <a:ext uri="{FF2B5EF4-FFF2-40B4-BE49-F238E27FC236}">
                  <a16:creationId xmlns:a16="http://schemas.microsoft.com/office/drawing/2014/main" id="{F14B945B-D672-81CB-F6E4-55AEEBC0CCDD}"/>
                </a:ext>
              </a:extLst>
            </xdr:cNvPr>
            <xdr:cNvSpPr/>
          </xdr:nvSpPr>
          <xdr:spPr>
            <a:xfrm rot="18886647">
              <a:off x="24045878" y="1219971"/>
              <a:ext cx="457200" cy="454498"/>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3609" name="Minus Sign 34">
            <a:extLst>
              <a:ext uri="{FF2B5EF4-FFF2-40B4-BE49-F238E27FC236}">
                <a16:creationId xmlns:a16="http://schemas.microsoft.com/office/drawing/2014/main" id="{EE649542-21CB-40C8-859B-12324AF3875D}"/>
              </a:ext>
            </a:extLst>
          </xdr:cNvPr>
          <xdr:cNvSpPr/>
        </xdr:nvSpPr>
        <xdr:spPr>
          <a:xfrm>
            <a:off x="18588730" y="1273969"/>
            <a:ext cx="459468" cy="914400"/>
          </a:xfrm>
          <a:prstGeom prst="mathMinus">
            <a:avLst>
              <a:gd name="adj1" fmla="val 11020"/>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9</xdr:col>
      <xdr:colOff>231530</xdr:colOff>
      <xdr:row>6</xdr:row>
      <xdr:rowOff>43684</xdr:rowOff>
    </xdr:from>
    <xdr:to>
      <xdr:col>9</xdr:col>
      <xdr:colOff>711777</xdr:colOff>
      <xdr:row>8</xdr:row>
      <xdr:rowOff>165399</xdr:rowOff>
    </xdr:to>
    <xdr:sp macro="" textlink="">
      <xdr:nvSpPr>
        <xdr:cNvPr id="5" name="Cross 31">
          <a:extLst>
            <a:ext uri="{FF2B5EF4-FFF2-40B4-BE49-F238E27FC236}">
              <a16:creationId xmlns:a16="http://schemas.microsoft.com/office/drawing/2014/main" id="{C1095A19-D81B-4377-A11B-6A5DB6DF1F09}"/>
            </a:ext>
          </a:extLst>
        </xdr:cNvPr>
        <xdr:cNvSpPr/>
      </xdr:nvSpPr>
      <xdr:spPr>
        <a:xfrm rot="18886647">
          <a:off x="14698296" y="1312218"/>
          <a:ext cx="502715" cy="480247"/>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29532</xdr:colOff>
      <xdr:row>4</xdr:row>
      <xdr:rowOff>119265</xdr:rowOff>
    </xdr:from>
    <xdr:to>
      <xdr:col>8</xdr:col>
      <xdr:colOff>1272557</xdr:colOff>
      <xdr:row>10</xdr:row>
      <xdr:rowOff>6317</xdr:rowOff>
    </xdr:to>
    <xdr:sp macro="" textlink="">
      <xdr:nvSpPr>
        <xdr:cNvPr id="4" name="Freeform: Shape 20">
          <a:extLst>
            <a:ext uri="{FF2B5EF4-FFF2-40B4-BE49-F238E27FC236}">
              <a16:creationId xmlns:a16="http://schemas.microsoft.com/office/drawing/2014/main" id="{1C2597B6-5114-4938-A745-6B461809AE0B}"/>
            </a:ext>
          </a:extLst>
        </xdr:cNvPr>
        <xdr:cNvSpPr/>
      </xdr:nvSpPr>
      <xdr:spPr>
        <a:xfrm>
          <a:off x="13202607" y="995565"/>
          <a:ext cx="1243025" cy="10300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kg of Refrigerant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209549</xdr:colOff>
      <xdr:row>2</xdr:row>
      <xdr:rowOff>152400</xdr:rowOff>
    </xdr:from>
    <xdr:to>
      <xdr:col>21</xdr:col>
      <xdr:colOff>519468</xdr:colOff>
      <xdr:row>14</xdr:row>
      <xdr:rowOff>112281</xdr:rowOff>
    </xdr:to>
    <xdr:grpSp>
      <xdr:nvGrpSpPr>
        <xdr:cNvPr id="9777" name="Group 114">
          <a:extLst>
            <a:ext uri="{FF2B5EF4-FFF2-40B4-BE49-F238E27FC236}">
              <a16:creationId xmlns:a16="http://schemas.microsoft.com/office/drawing/2014/main" id="{E9359FF0-BDAE-47CD-A2FA-2F978CE0B178}"/>
            </a:ext>
          </a:extLst>
        </xdr:cNvPr>
        <xdr:cNvGrpSpPr/>
      </xdr:nvGrpSpPr>
      <xdr:grpSpPr>
        <a:xfrm>
          <a:off x="8067674" y="647700"/>
          <a:ext cx="22112644" cy="2245881"/>
          <a:chOff x="13375719" y="3142673"/>
          <a:chExt cx="18977426" cy="2131581"/>
        </a:xfrm>
      </xdr:grpSpPr>
      <xdr:grpSp>
        <xdr:nvGrpSpPr>
          <xdr:cNvPr id="9778" name="Group 78">
            <a:extLst>
              <a:ext uri="{FF2B5EF4-FFF2-40B4-BE49-F238E27FC236}">
                <a16:creationId xmlns:a16="http://schemas.microsoft.com/office/drawing/2014/main" id="{61F39DDA-B157-C8F0-7353-36DD071B7D63}"/>
              </a:ext>
            </a:extLst>
          </xdr:cNvPr>
          <xdr:cNvGrpSpPr/>
        </xdr:nvGrpSpPr>
        <xdr:grpSpPr>
          <a:xfrm>
            <a:off x="13375719" y="3142673"/>
            <a:ext cx="18977426" cy="2131581"/>
            <a:chOff x="10729499" y="357909"/>
            <a:chExt cx="18977426" cy="2131581"/>
          </a:xfrm>
        </xdr:grpSpPr>
        <xdr:sp macro="" textlink="">
          <xdr:nvSpPr>
            <xdr:cNvPr id="9779" name="Equals 79">
              <a:extLst>
                <a:ext uri="{FF2B5EF4-FFF2-40B4-BE49-F238E27FC236}">
                  <a16:creationId xmlns:a16="http://schemas.microsoft.com/office/drawing/2014/main" id="{A098164F-042C-6591-FC93-95452E0C7B45}"/>
                </a:ext>
              </a:extLst>
            </xdr:cNvPr>
            <xdr:cNvSpPr/>
          </xdr:nvSpPr>
          <xdr:spPr>
            <a:xfrm>
              <a:off x="27416081" y="906246"/>
              <a:ext cx="462871" cy="914400"/>
            </a:xfrm>
            <a:prstGeom prst="mathEqual">
              <a:avLst>
                <a:gd name="adj1" fmla="val 12062"/>
                <a:gd name="adj2" fmla="val 967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9780" name="Freeform: Shape 80">
              <a:extLst>
                <a:ext uri="{FF2B5EF4-FFF2-40B4-BE49-F238E27FC236}">
                  <a16:creationId xmlns:a16="http://schemas.microsoft.com/office/drawing/2014/main" id="{F4A6F768-EDFE-A9C9-7F36-66B430BF094E}"/>
                </a:ext>
              </a:extLst>
            </xdr:cNvPr>
            <xdr:cNvSpPr/>
          </xdr:nvSpPr>
          <xdr:spPr>
            <a:xfrm>
              <a:off x="27972324" y="890371"/>
              <a:ext cx="173460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tCO2e Reduced per Year</a:t>
              </a:r>
            </a:p>
          </xdr:txBody>
        </xdr:sp>
        <xdr:grpSp>
          <xdr:nvGrpSpPr>
            <xdr:cNvPr id="9781" name="Group 81">
              <a:extLst>
                <a:ext uri="{FF2B5EF4-FFF2-40B4-BE49-F238E27FC236}">
                  <a16:creationId xmlns:a16="http://schemas.microsoft.com/office/drawing/2014/main" id="{FDA6D9AB-D468-2CAF-BDD2-2F59BD1C8346}"/>
                </a:ext>
              </a:extLst>
            </xdr:cNvPr>
            <xdr:cNvGrpSpPr/>
          </xdr:nvGrpSpPr>
          <xdr:grpSpPr>
            <a:xfrm>
              <a:off x="10729499" y="357909"/>
              <a:ext cx="14506842" cy="2131581"/>
              <a:chOff x="10729499" y="357909"/>
              <a:chExt cx="14506842" cy="2131581"/>
            </a:xfrm>
          </xdr:grpSpPr>
          <xdr:grpSp>
            <xdr:nvGrpSpPr>
              <xdr:cNvPr id="9782" name="Group 82">
                <a:extLst>
                  <a:ext uri="{FF2B5EF4-FFF2-40B4-BE49-F238E27FC236}">
                    <a16:creationId xmlns:a16="http://schemas.microsoft.com/office/drawing/2014/main" id="{4BB5A3BA-7679-91B7-CB31-CDFBF3D547D8}"/>
                  </a:ext>
                </a:extLst>
              </xdr:cNvPr>
              <xdr:cNvGrpSpPr/>
            </xdr:nvGrpSpPr>
            <xdr:grpSpPr>
              <a:xfrm>
                <a:off x="15126297" y="835677"/>
                <a:ext cx="9885246" cy="1018967"/>
                <a:chOff x="4583828" y="606962"/>
                <a:chExt cx="9848524" cy="1022196"/>
              </a:xfrm>
            </xdr:grpSpPr>
            <xdr:sp macro="" textlink="">
              <xdr:nvSpPr>
                <xdr:cNvPr id="9783" name="Freeform: Shape 100">
                  <a:extLst>
                    <a:ext uri="{FF2B5EF4-FFF2-40B4-BE49-F238E27FC236}">
                      <a16:creationId xmlns:a16="http://schemas.microsoft.com/office/drawing/2014/main" id="{1ED1DE30-16C3-5FBD-D07A-2B6E76F93423}"/>
                    </a:ext>
                  </a:extLst>
                </xdr:cNvPr>
                <xdr:cNvSpPr/>
              </xdr:nvSpPr>
              <xdr:spPr>
                <a:xfrm>
                  <a:off x="12777429" y="606962"/>
                  <a:ext cx="1654923" cy="1022196"/>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algn="ctr"/>
                  <a:r>
                    <a:rPr lang="en-US" sz="1500">
                      <a:solidFill>
                        <a:schemeClr val="lt1"/>
                      </a:solidFill>
                      <a:effectLst/>
                      <a:latin typeface="+mn-lt"/>
                      <a:ea typeface="+mn-ea"/>
                      <a:cs typeface="+mn-cs"/>
                    </a:rPr>
                    <a:t>Annual Electric </a:t>
                  </a:r>
                  <a:r>
                    <a:rPr lang="en-US" sz="1500" baseline="0">
                      <a:solidFill>
                        <a:schemeClr val="lt1"/>
                      </a:solidFill>
                      <a:effectLst/>
                      <a:latin typeface="+mn-lt"/>
                      <a:ea typeface="+mn-ea"/>
                      <a:cs typeface="+mn-cs"/>
                    </a:rPr>
                    <a:t>Emissions Factors (CLCPA trajectory +EPA accounting)</a:t>
                  </a:r>
                  <a:endParaRPr lang="en-US" sz="1500">
                    <a:effectLst/>
                  </a:endParaRPr>
                </a:p>
              </xdr:txBody>
            </xdr:sp>
            <xdr:sp macro="" textlink="">
              <xdr:nvSpPr>
                <xdr:cNvPr id="9784" name="Cross 101">
                  <a:extLst>
                    <a:ext uri="{FF2B5EF4-FFF2-40B4-BE49-F238E27FC236}">
                      <a16:creationId xmlns:a16="http://schemas.microsoft.com/office/drawing/2014/main" id="{E918ADF9-D353-98A0-5416-640081508F05}"/>
                    </a:ext>
                  </a:extLst>
                </xdr:cNvPr>
                <xdr:cNvSpPr/>
              </xdr:nvSpPr>
              <xdr:spPr>
                <a:xfrm rot="18886647">
                  <a:off x="4580653" y="966238"/>
                  <a:ext cx="457200" cy="45085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785" name="Cross 102">
                  <a:extLst>
                    <a:ext uri="{FF2B5EF4-FFF2-40B4-BE49-F238E27FC236}">
                      <a16:creationId xmlns:a16="http://schemas.microsoft.com/office/drawing/2014/main" id="{46E405CA-AA2E-A9A1-5ABA-36F38D83916E}"/>
                    </a:ext>
                  </a:extLst>
                </xdr:cNvPr>
                <xdr:cNvSpPr/>
              </xdr:nvSpPr>
              <xdr:spPr>
                <a:xfrm rot="18886647">
                  <a:off x="12230296" y="902882"/>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786" name="Cross 103">
                  <a:extLst>
                    <a:ext uri="{FF2B5EF4-FFF2-40B4-BE49-F238E27FC236}">
                      <a16:creationId xmlns:a16="http://schemas.microsoft.com/office/drawing/2014/main" id="{1F8F34B0-3C05-FC09-DBD7-E3A99EF823B7}"/>
                    </a:ext>
                  </a:extLst>
                </xdr:cNvPr>
                <xdr:cNvSpPr/>
              </xdr:nvSpPr>
              <xdr:spPr>
                <a:xfrm rot="18886647">
                  <a:off x="8434438" y="923123"/>
                  <a:ext cx="457200" cy="454819"/>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9787" name="Group 83">
                <a:extLst>
                  <a:ext uri="{FF2B5EF4-FFF2-40B4-BE49-F238E27FC236}">
                    <a16:creationId xmlns:a16="http://schemas.microsoft.com/office/drawing/2014/main" id="{2928D238-35D5-BA9C-EAF1-4324BCB855E6}"/>
                  </a:ext>
                </a:extLst>
              </xdr:cNvPr>
              <xdr:cNvGrpSpPr/>
            </xdr:nvGrpSpPr>
            <xdr:grpSpPr>
              <a:xfrm>
                <a:off x="10729499" y="357909"/>
                <a:ext cx="14506842" cy="2131581"/>
                <a:chOff x="10729499" y="357909"/>
                <a:chExt cx="14506842" cy="2131581"/>
              </a:xfrm>
            </xdr:grpSpPr>
            <xdr:grpSp>
              <xdr:nvGrpSpPr>
                <xdr:cNvPr id="9788" name="Group 84">
                  <a:extLst>
                    <a:ext uri="{FF2B5EF4-FFF2-40B4-BE49-F238E27FC236}">
                      <a16:creationId xmlns:a16="http://schemas.microsoft.com/office/drawing/2014/main" id="{89CD932B-EF79-3947-FF88-EF5691995AF2}"/>
                    </a:ext>
                  </a:extLst>
                </xdr:cNvPr>
                <xdr:cNvGrpSpPr/>
              </xdr:nvGrpSpPr>
              <xdr:grpSpPr>
                <a:xfrm>
                  <a:off x="10729499" y="357909"/>
                  <a:ext cx="14506842" cy="2131581"/>
                  <a:chOff x="10729499" y="357909"/>
                  <a:chExt cx="14506842" cy="2131581"/>
                </a:xfrm>
              </xdr:grpSpPr>
              <xdr:grpSp>
                <xdr:nvGrpSpPr>
                  <xdr:cNvPr id="9789" name="Group 86">
                    <a:extLst>
                      <a:ext uri="{FF2B5EF4-FFF2-40B4-BE49-F238E27FC236}">
                        <a16:creationId xmlns:a16="http://schemas.microsoft.com/office/drawing/2014/main" id="{59D80695-160B-3EA5-2064-A77C34FC9230}"/>
                      </a:ext>
                    </a:extLst>
                  </xdr:cNvPr>
                  <xdr:cNvGrpSpPr/>
                </xdr:nvGrpSpPr>
                <xdr:grpSpPr>
                  <a:xfrm>
                    <a:off x="10729499" y="357909"/>
                    <a:ext cx="14506842" cy="2131581"/>
                    <a:chOff x="10729499" y="357909"/>
                    <a:chExt cx="14506842" cy="2131581"/>
                  </a:xfrm>
                </xdr:grpSpPr>
                <xdr:grpSp>
                  <xdr:nvGrpSpPr>
                    <xdr:cNvPr id="9790" name="Group 88">
                      <a:extLst>
                        <a:ext uri="{FF2B5EF4-FFF2-40B4-BE49-F238E27FC236}">
                          <a16:creationId xmlns:a16="http://schemas.microsoft.com/office/drawing/2014/main" id="{AE491495-DD10-0F17-4992-E357AF333626}"/>
                        </a:ext>
                      </a:extLst>
                    </xdr:cNvPr>
                    <xdr:cNvGrpSpPr/>
                  </xdr:nvGrpSpPr>
                  <xdr:grpSpPr>
                    <a:xfrm>
                      <a:off x="10729499" y="357909"/>
                      <a:ext cx="14506842" cy="2131581"/>
                      <a:chOff x="551694" y="145256"/>
                      <a:chExt cx="14428742" cy="2120616"/>
                    </a:xfrm>
                  </xdr:grpSpPr>
                  <xdr:grpSp>
                    <xdr:nvGrpSpPr>
                      <xdr:cNvPr id="9791" name="Group 93">
                        <a:extLst>
                          <a:ext uri="{FF2B5EF4-FFF2-40B4-BE49-F238E27FC236}">
                            <a16:creationId xmlns:a16="http://schemas.microsoft.com/office/drawing/2014/main" id="{A675E205-E840-795F-C90F-577285B765F8}"/>
                          </a:ext>
                        </a:extLst>
                      </xdr:cNvPr>
                      <xdr:cNvGrpSpPr/>
                    </xdr:nvGrpSpPr>
                    <xdr:grpSpPr>
                      <a:xfrm>
                        <a:off x="551694" y="651703"/>
                        <a:ext cx="6279091" cy="1076848"/>
                        <a:chOff x="555390" y="649438"/>
                        <a:chExt cx="6275617" cy="1072007"/>
                      </a:xfrm>
                    </xdr:grpSpPr>
                    <xdr:sp macro="" textlink="">
                      <xdr:nvSpPr>
                        <xdr:cNvPr id="9792" name="Freeform: Shape 98">
                          <a:extLst>
                            <a:ext uri="{FF2B5EF4-FFF2-40B4-BE49-F238E27FC236}">
                              <a16:creationId xmlns:a16="http://schemas.microsoft.com/office/drawing/2014/main" id="{995DD7C5-9DBF-DA8C-0E25-D82003B8174D}"/>
                            </a:ext>
                          </a:extLst>
                        </xdr:cNvPr>
                        <xdr:cNvSpPr/>
                      </xdr:nvSpPr>
                      <xdr:spPr>
                        <a:xfrm>
                          <a:off x="555390" y="698093"/>
                          <a:ext cx="1946875"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a:t>
                          </a:r>
                          <a:r>
                            <a:rPr lang="en-US" sz="1500">
                              <a:solidFill>
                                <a:schemeClr val="lt1"/>
                              </a:solidFill>
                              <a:effectLst/>
                              <a:latin typeface="+mn-lt"/>
                              <a:ea typeface="+mn-ea"/>
                              <a:cs typeface="+mn-cs"/>
                            </a:rPr>
                            <a:t>Completed</a:t>
                          </a:r>
                          <a:r>
                            <a:rPr lang="en-US" sz="1500" baseline="0">
                              <a:solidFill>
                                <a:schemeClr val="lt1"/>
                              </a:solidFill>
                              <a:effectLst/>
                              <a:latin typeface="+mn-lt"/>
                              <a:ea typeface="+mn-ea"/>
                              <a:cs typeface="+mn-cs"/>
                            </a:rPr>
                            <a:t> Center Retrofits Active each Year</a:t>
                          </a:r>
                          <a:endParaRPr lang="en-US" sz="1500" kern="1200"/>
                        </a:p>
                      </xdr:txBody>
                    </xdr:sp>
                    <xdr:sp macro="" textlink="">
                      <xdr:nvSpPr>
                        <xdr:cNvPr id="9793" name="Freeform: Shape 99">
                          <a:extLst>
                            <a:ext uri="{FF2B5EF4-FFF2-40B4-BE49-F238E27FC236}">
                              <a16:creationId xmlns:a16="http://schemas.microsoft.com/office/drawing/2014/main" id="{BE6D0B74-5789-EBE3-0378-1EAAE3F237A6}"/>
                            </a:ext>
                          </a:extLst>
                        </xdr:cNvPr>
                        <xdr:cNvSpPr/>
                      </xdr:nvSpPr>
                      <xdr:spPr>
                        <a:xfrm>
                          <a:off x="5449266" y="649438"/>
                          <a:ext cx="138174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Fuel</a:t>
                          </a:r>
                          <a:r>
                            <a:rPr lang="en-US" sz="1500" kern="1200" baseline="0"/>
                            <a:t> Emissions Factors (EPA)</a:t>
                          </a:r>
                          <a:endParaRPr lang="en-US" sz="1500" kern="1200"/>
                        </a:p>
                      </xdr:txBody>
                    </xdr:sp>
                  </xdr:grpSp>
                  <xdr:sp macro="" textlink="">
                    <xdr:nvSpPr>
                      <xdr:cNvPr id="9794" name="Cross 94">
                        <a:extLst>
                          <a:ext uri="{FF2B5EF4-FFF2-40B4-BE49-F238E27FC236}">
                            <a16:creationId xmlns:a16="http://schemas.microsoft.com/office/drawing/2014/main" id="{B051184A-D1E1-E4CD-5385-F9FDA07A17E9}"/>
                          </a:ext>
                        </a:extLst>
                      </xdr:cNvPr>
                      <xdr:cNvSpPr/>
                    </xdr:nvSpPr>
                    <xdr:spPr>
                      <a:xfrm rot="18886647">
                        <a:off x="2598673" y="963280"/>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795" name="Cross 95">
                        <a:extLst>
                          <a:ext uri="{FF2B5EF4-FFF2-40B4-BE49-F238E27FC236}">
                            <a16:creationId xmlns:a16="http://schemas.microsoft.com/office/drawing/2014/main" id="{9C378AA3-8337-E6A4-E9A1-22C4E852F448}"/>
                          </a:ext>
                        </a:extLst>
                      </xdr:cNvPr>
                      <xdr:cNvSpPr/>
                    </xdr:nvSpPr>
                    <xdr:spPr>
                      <a:xfrm rot="18886647">
                        <a:off x="11167038" y="925181"/>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796" name="Right Bracket 96">
                        <a:extLst>
                          <a:ext uri="{FF2B5EF4-FFF2-40B4-BE49-F238E27FC236}">
                            <a16:creationId xmlns:a16="http://schemas.microsoft.com/office/drawing/2014/main" id="{DE41FF5B-A945-5A47-740B-0FA5A9A756A5}"/>
                          </a:ext>
                        </a:extLst>
                      </xdr:cNvPr>
                      <xdr:cNvSpPr/>
                    </xdr:nvSpPr>
                    <xdr:spPr>
                      <a:xfrm>
                        <a:off x="14923286" y="145256"/>
                        <a:ext cx="57150" cy="2047875"/>
                      </a:xfrm>
                      <a:prstGeom prst="rightBracket">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9797" name="Right Bracket 97">
                        <a:extLst>
                          <a:ext uri="{FF2B5EF4-FFF2-40B4-BE49-F238E27FC236}">
                            <a16:creationId xmlns:a16="http://schemas.microsoft.com/office/drawing/2014/main" id="{A6C1700B-E954-7465-120D-71C919D6F990}"/>
                          </a:ext>
                        </a:extLst>
                      </xdr:cNvPr>
                      <xdr:cNvSpPr/>
                    </xdr:nvSpPr>
                    <xdr:spPr>
                      <a:xfrm flipH="1">
                        <a:off x="3122498" y="217997"/>
                        <a:ext cx="57150" cy="2047875"/>
                      </a:xfrm>
                      <a:prstGeom prst="rightBracket">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sp macro="" textlink="">
                  <xdr:nvSpPr>
                    <xdr:cNvPr id="9798" name="Freeform: Shape 89">
                      <a:extLst>
                        <a:ext uri="{FF2B5EF4-FFF2-40B4-BE49-F238E27FC236}">
                          <a16:creationId xmlns:a16="http://schemas.microsoft.com/office/drawing/2014/main" id="{78623C3B-8B95-59B0-744E-6AF5C026C039}"/>
                        </a:ext>
                      </a:extLst>
                    </xdr:cNvPr>
                    <xdr:cNvSpPr/>
                  </xdr:nvSpPr>
                  <xdr:spPr>
                    <a:xfrm>
                      <a:off x="21357289" y="819727"/>
                      <a:ext cx="1393895"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kWh Change in Annual Electric Demand</a:t>
                      </a:r>
                      <a:r>
                        <a:rPr lang="en-US" sz="1500" kern="1200" baseline="0"/>
                        <a:t> per Building (ComStock)</a:t>
                      </a:r>
                      <a:endParaRPr lang="en-US" sz="1500" kern="1200"/>
                    </a:p>
                  </xdr:txBody>
                </xdr:sp>
                <xdr:sp macro="" textlink="">
                  <xdr:nvSpPr>
                    <xdr:cNvPr id="9799" name="Freeform: Shape 90">
                      <a:extLst>
                        <a:ext uri="{FF2B5EF4-FFF2-40B4-BE49-F238E27FC236}">
                          <a16:creationId xmlns:a16="http://schemas.microsoft.com/office/drawing/2014/main" id="{11672012-3CA7-6956-532E-761173EDB213}"/>
                        </a:ext>
                      </a:extLst>
                    </xdr:cNvPr>
                    <xdr:cNvSpPr/>
                  </xdr:nvSpPr>
                  <xdr:spPr>
                    <a:xfrm>
                      <a:off x="13690530" y="876877"/>
                      <a:ext cx="1392451"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MMBtu Natural</a:t>
                      </a:r>
                      <a:r>
                        <a:rPr lang="en-US" sz="1500" kern="1200" baseline="0"/>
                        <a:t> Gas Savings per Building (ComStock)</a:t>
                      </a:r>
                      <a:endParaRPr lang="en-US" sz="1500" kern="1200"/>
                    </a:p>
                  </xdr:txBody>
                </xdr:sp>
                <xdr:sp macro="" textlink="">
                  <xdr:nvSpPr>
                    <xdr:cNvPr id="9800" name="Freeform: Shape 91">
                      <a:extLst>
                        <a:ext uri="{FF2B5EF4-FFF2-40B4-BE49-F238E27FC236}">
                          <a16:creationId xmlns:a16="http://schemas.microsoft.com/office/drawing/2014/main" id="{802A0537-E0EE-1E8A-A393-D6F5FB83F6E5}"/>
                        </a:ext>
                      </a:extLst>
                    </xdr:cNvPr>
                    <xdr:cNvSpPr/>
                  </xdr:nvSpPr>
                  <xdr:spPr>
                    <a:xfrm>
                      <a:off x="17567783" y="854652"/>
                      <a:ext cx="1393894"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MMBtu </a:t>
                      </a:r>
                      <a:r>
                        <a:rPr lang="en-US" sz="1500" kern="1200" baseline="0"/>
                        <a:t>Oil Savings per Building (ComStock)</a:t>
                      </a:r>
                      <a:endParaRPr lang="en-US" sz="1500" kern="1200"/>
                    </a:p>
                  </xdr:txBody>
                </xdr:sp>
                <xdr:sp macro="" textlink="">
                  <xdr:nvSpPr>
                    <xdr:cNvPr id="9801" name="Freeform: Shape 92">
                      <a:extLst>
                        <a:ext uri="{FF2B5EF4-FFF2-40B4-BE49-F238E27FC236}">
                          <a16:creationId xmlns:a16="http://schemas.microsoft.com/office/drawing/2014/main" id="{C11E912B-DD05-E456-3BB4-DA7F852DBA2C}"/>
                        </a:ext>
                      </a:extLst>
                    </xdr:cNvPr>
                    <xdr:cNvSpPr/>
                  </xdr:nvSpPr>
                  <xdr:spPr>
                    <a:xfrm>
                      <a:off x="19489807" y="819727"/>
                      <a:ext cx="1391484" cy="1032589"/>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Fuel</a:t>
                      </a:r>
                      <a:r>
                        <a:rPr lang="en-US" sz="1500" kern="1200" baseline="0"/>
                        <a:t> Emissions Factors (EPA)</a:t>
                      </a:r>
                      <a:endParaRPr lang="en-US" sz="1500" kern="1200"/>
                    </a:p>
                  </xdr:txBody>
                </xdr:sp>
              </xdr:grpSp>
              <xdr:sp macro="" textlink="">
                <xdr:nvSpPr>
                  <xdr:cNvPr id="9802" name="Cross 87">
                    <a:extLst>
                      <a:ext uri="{FF2B5EF4-FFF2-40B4-BE49-F238E27FC236}">
                        <a16:creationId xmlns:a16="http://schemas.microsoft.com/office/drawing/2014/main" id="{BAAE683F-1508-96DA-6149-BB84D1E0C917}"/>
                      </a:ext>
                    </a:extLst>
                  </xdr:cNvPr>
                  <xdr:cNvSpPr/>
                </xdr:nvSpPr>
                <xdr:spPr>
                  <a:xfrm>
                    <a:off x="20905532" y="1116590"/>
                    <a:ext cx="464003"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9803" name="Cross 85">
                  <a:extLst>
                    <a:ext uri="{FF2B5EF4-FFF2-40B4-BE49-F238E27FC236}">
                      <a16:creationId xmlns:a16="http://schemas.microsoft.com/office/drawing/2014/main" id="{5E8BFD7B-1B26-A55F-C04D-1BA17C955A91}"/>
                    </a:ext>
                  </a:extLst>
                </xdr:cNvPr>
                <xdr:cNvSpPr/>
              </xdr:nvSpPr>
              <xdr:spPr>
                <a:xfrm>
                  <a:off x="17074750" y="1221365"/>
                  <a:ext cx="464003"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sp macro="" textlink="">
        <xdr:nvSpPr>
          <xdr:cNvPr id="9804" name="Freeform: Shape 112">
            <a:extLst>
              <a:ext uri="{FF2B5EF4-FFF2-40B4-BE49-F238E27FC236}">
                <a16:creationId xmlns:a16="http://schemas.microsoft.com/office/drawing/2014/main" id="{BF45D675-8122-70E9-F8DD-754198490BB2}"/>
              </a:ext>
            </a:extLst>
          </xdr:cNvPr>
          <xdr:cNvSpPr/>
        </xdr:nvSpPr>
        <xdr:spPr>
          <a:xfrm>
            <a:off x="28449687" y="3654136"/>
            <a:ext cx="1530686" cy="1022196"/>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CPRG Portion</a:t>
            </a:r>
            <a:r>
              <a:rPr lang="en-US" sz="1500" kern="1200" baseline="0"/>
              <a:t> of Funding</a:t>
            </a:r>
            <a:endParaRPr lang="en-US" sz="1500" kern="1200"/>
          </a:p>
        </xdr:txBody>
      </xdr:sp>
      <xdr:sp macro="" textlink="">
        <xdr:nvSpPr>
          <xdr:cNvPr id="9805" name="Cross 113">
            <a:extLst>
              <a:ext uri="{FF2B5EF4-FFF2-40B4-BE49-F238E27FC236}">
                <a16:creationId xmlns:a16="http://schemas.microsoft.com/office/drawing/2014/main" id="{92CE6516-B0B2-6716-4086-205EFD487DD4}"/>
              </a:ext>
            </a:extLst>
          </xdr:cNvPr>
          <xdr:cNvSpPr/>
        </xdr:nvSpPr>
        <xdr:spPr>
          <a:xfrm rot="18886647">
            <a:off x="27952897" y="3934254"/>
            <a:ext cx="454498"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44249</xdr:colOff>
      <xdr:row>3</xdr:row>
      <xdr:rowOff>79087</xdr:rowOff>
    </xdr:from>
    <xdr:to>
      <xdr:col>23</xdr:col>
      <xdr:colOff>554192</xdr:colOff>
      <xdr:row>15</xdr:row>
      <xdr:rowOff>38968</xdr:rowOff>
    </xdr:to>
    <xdr:grpSp>
      <xdr:nvGrpSpPr>
        <xdr:cNvPr id="1410" name="Group 114">
          <a:extLst>
            <a:ext uri="{FF2B5EF4-FFF2-40B4-BE49-F238E27FC236}">
              <a16:creationId xmlns:a16="http://schemas.microsoft.com/office/drawing/2014/main" id="{0661CA29-B79E-468D-A4DA-32C8C779FB36}"/>
            </a:ext>
          </a:extLst>
        </xdr:cNvPr>
        <xdr:cNvGrpSpPr/>
      </xdr:nvGrpSpPr>
      <xdr:grpSpPr>
        <a:xfrm>
          <a:off x="9264449" y="869662"/>
          <a:ext cx="27665718" cy="2245881"/>
          <a:chOff x="10678132" y="3142673"/>
          <a:chExt cx="21675013" cy="2131581"/>
        </a:xfrm>
      </xdr:grpSpPr>
      <xdr:grpSp>
        <xdr:nvGrpSpPr>
          <xdr:cNvPr id="1411" name="Group 106">
            <a:extLst>
              <a:ext uri="{FF2B5EF4-FFF2-40B4-BE49-F238E27FC236}">
                <a16:creationId xmlns:a16="http://schemas.microsoft.com/office/drawing/2014/main" id="{7522D86C-EDE1-64BB-647F-1331CC3745FA}"/>
              </a:ext>
            </a:extLst>
          </xdr:cNvPr>
          <xdr:cNvGrpSpPr/>
        </xdr:nvGrpSpPr>
        <xdr:grpSpPr>
          <a:xfrm>
            <a:off x="10678132" y="3142673"/>
            <a:ext cx="21675013" cy="2131581"/>
            <a:chOff x="8028448" y="3142673"/>
            <a:chExt cx="21675013" cy="2131581"/>
          </a:xfrm>
        </xdr:grpSpPr>
        <xdr:grpSp>
          <xdr:nvGrpSpPr>
            <xdr:cNvPr id="1412" name="Group 78">
              <a:extLst>
                <a:ext uri="{FF2B5EF4-FFF2-40B4-BE49-F238E27FC236}">
                  <a16:creationId xmlns:a16="http://schemas.microsoft.com/office/drawing/2014/main" id="{8727AB51-BB55-E456-8879-7D8BFD36BFC6}"/>
                </a:ext>
              </a:extLst>
            </xdr:cNvPr>
            <xdr:cNvGrpSpPr/>
          </xdr:nvGrpSpPr>
          <xdr:grpSpPr>
            <a:xfrm>
              <a:off x="8028448" y="3142673"/>
              <a:ext cx="21675013" cy="2131581"/>
              <a:chOff x="8031912" y="357909"/>
              <a:chExt cx="21675013" cy="2131581"/>
            </a:xfrm>
          </xdr:grpSpPr>
          <xdr:sp macro="" textlink="">
            <xdr:nvSpPr>
              <xdr:cNvPr id="1413" name="Equals 79">
                <a:extLst>
                  <a:ext uri="{FF2B5EF4-FFF2-40B4-BE49-F238E27FC236}">
                    <a16:creationId xmlns:a16="http://schemas.microsoft.com/office/drawing/2014/main" id="{2BFD3D08-BC38-7128-4078-4E45B0E2BC74}"/>
                  </a:ext>
                </a:extLst>
              </xdr:cNvPr>
              <xdr:cNvSpPr/>
            </xdr:nvSpPr>
            <xdr:spPr>
              <a:xfrm>
                <a:off x="27416081" y="906246"/>
                <a:ext cx="462871" cy="914400"/>
              </a:xfrm>
              <a:prstGeom prst="mathEqual">
                <a:avLst>
                  <a:gd name="adj1" fmla="val 12062"/>
                  <a:gd name="adj2" fmla="val 967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414" name="Freeform: Shape 80">
                <a:extLst>
                  <a:ext uri="{FF2B5EF4-FFF2-40B4-BE49-F238E27FC236}">
                    <a16:creationId xmlns:a16="http://schemas.microsoft.com/office/drawing/2014/main" id="{B58945D2-D21E-93B6-B0BE-BE91A3B802A7}"/>
                  </a:ext>
                </a:extLst>
              </xdr:cNvPr>
              <xdr:cNvSpPr/>
            </xdr:nvSpPr>
            <xdr:spPr>
              <a:xfrm>
                <a:off x="27972324" y="890371"/>
                <a:ext cx="173460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tCO2e Reduced per Year</a:t>
                </a:r>
              </a:p>
            </xdr:txBody>
          </xdr:sp>
          <xdr:grpSp>
            <xdr:nvGrpSpPr>
              <xdr:cNvPr id="1415" name="Group 81">
                <a:extLst>
                  <a:ext uri="{FF2B5EF4-FFF2-40B4-BE49-F238E27FC236}">
                    <a16:creationId xmlns:a16="http://schemas.microsoft.com/office/drawing/2014/main" id="{C7606A43-6D71-B5AA-B517-0960A57F4143}"/>
                  </a:ext>
                </a:extLst>
              </xdr:cNvPr>
              <xdr:cNvGrpSpPr/>
            </xdr:nvGrpSpPr>
            <xdr:grpSpPr>
              <a:xfrm>
                <a:off x="8031912" y="357909"/>
                <a:ext cx="17204429" cy="2131581"/>
                <a:chOff x="8031912" y="357909"/>
                <a:chExt cx="17204429" cy="2131581"/>
              </a:xfrm>
            </xdr:grpSpPr>
            <xdr:grpSp>
              <xdr:nvGrpSpPr>
                <xdr:cNvPr id="1416" name="Group 82">
                  <a:extLst>
                    <a:ext uri="{FF2B5EF4-FFF2-40B4-BE49-F238E27FC236}">
                      <a16:creationId xmlns:a16="http://schemas.microsoft.com/office/drawing/2014/main" id="{ACB9139F-10C5-D8EA-3475-0881F64D2D5F}"/>
                    </a:ext>
                  </a:extLst>
                </xdr:cNvPr>
                <xdr:cNvGrpSpPr/>
              </xdr:nvGrpSpPr>
              <xdr:grpSpPr>
                <a:xfrm>
                  <a:off x="15126297" y="835677"/>
                  <a:ext cx="9885246" cy="1018967"/>
                  <a:chOff x="4583828" y="606962"/>
                  <a:chExt cx="9848524" cy="1022196"/>
                </a:xfrm>
              </xdr:grpSpPr>
              <xdr:sp macro="" textlink="">
                <xdr:nvSpPr>
                  <xdr:cNvPr id="1417" name="Freeform: Shape 100">
                    <a:extLst>
                      <a:ext uri="{FF2B5EF4-FFF2-40B4-BE49-F238E27FC236}">
                        <a16:creationId xmlns:a16="http://schemas.microsoft.com/office/drawing/2014/main" id="{80328242-6E64-0C65-4E59-C31D5458385C}"/>
                      </a:ext>
                    </a:extLst>
                  </xdr:cNvPr>
                  <xdr:cNvSpPr/>
                </xdr:nvSpPr>
                <xdr:spPr>
                  <a:xfrm>
                    <a:off x="12777429" y="606962"/>
                    <a:ext cx="1654923" cy="1022196"/>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algn="ctr"/>
                    <a:r>
                      <a:rPr lang="en-US" sz="1500">
                        <a:solidFill>
                          <a:schemeClr val="lt1"/>
                        </a:solidFill>
                        <a:effectLst/>
                        <a:latin typeface="+mn-lt"/>
                        <a:ea typeface="+mn-ea"/>
                        <a:cs typeface="+mn-cs"/>
                      </a:rPr>
                      <a:t>Annual Electric </a:t>
                    </a:r>
                    <a:r>
                      <a:rPr lang="en-US" sz="1500" baseline="0">
                        <a:solidFill>
                          <a:schemeClr val="lt1"/>
                        </a:solidFill>
                        <a:effectLst/>
                        <a:latin typeface="+mn-lt"/>
                        <a:ea typeface="+mn-ea"/>
                        <a:cs typeface="+mn-cs"/>
                      </a:rPr>
                      <a:t>Emissions Factors (CLCPA trajectory +EPA accounting)</a:t>
                    </a:r>
                    <a:endParaRPr lang="en-US" sz="1500">
                      <a:effectLst/>
                    </a:endParaRPr>
                  </a:p>
                </xdr:txBody>
              </xdr:sp>
              <xdr:sp macro="" textlink="">
                <xdr:nvSpPr>
                  <xdr:cNvPr id="1418" name="Cross 101">
                    <a:extLst>
                      <a:ext uri="{FF2B5EF4-FFF2-40B4-BE49-F238E27FC236}">
                        <a16:creationId xmlns:a16="http://schemas.microsoft.com/office/drawing/2014/main" id="{4F79F0C7-7169-9E15-6826-1CE10C6A11D4}"/>
                      </a:ext>
                    </a:extLst>
                  </xdr:cNvPr>
                  <xdr:cNvSpPr/>
                </xdr:nvSpPr>
                <xdr:spPr>
                  <a:xfrm rot="18886647">
                    <a:off x="4580653" y="966238"/>
                    <a:ext cx="457200" cy="45085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19" name="Cross 102">
                    <a:extLst>
                      <a:ext uri="{FF2B5EF4-FFF2-40B4-BE49-F238E27FC236}">
                        <a16:creationId xmlns:a16="http://schemas.microsoft.com/office/drawing/2014/main" id="{391EAAF3-AEE4-4DAD-5428-5DAED3527DBE}"/>
                      </a:ext>
                    </a:extLst>
                  </xdr:cNvPr>
                  <xdr:cNvSpPr/>
                </xdr:nvSpPr>
                <xdr:spPr>
                  <a:xfrm rot="18886647">
                    <a:off x="12230296" y="902882"/>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20" name="Cross 103">
                    <a:extLst>
                      <a:ext uri="{FF2B5EF4-FFF2-40B4-BE49-F238E27FC236}">
                        <a16:creationId xmlns:a16="http://schemas.microsoft.com/office/drawing/2014/main" id="{E498C7CA-6A79-DEF4-7608-1405D9C3E250}"/>
                      </a:ext>
                    </a:extLst>
                  </xdr:cNvPr>
                  <xdr:cNvSpPr/>
                </xdr:nvSpPr>
                <xdr:spPr>
                  <a:xfrm rot="18886647">
                    <a:off x="8434438" y="923123"/>
                    <a:ext cx="457200" cy="454819"/>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nvGrpSpPr>
                <xdr:cNvPr id="1421" name="Group 83">
                  <a:extLst>
                    <a:ext uri="{FF2B5EF4-FFF2-40B4-BE49-F238E27FC236}">
                      <a16:creationId xmlns:a16="http://schemas.microsoft.com/office/drawing/2014/main" id="{6D736C25-03CA-C668-1DE5-539788381381}"/>
                    </a:ext>
                  </a:extLst>
                </xdr:cNvPr>
                <xdr:cNvGrpSpPr/>
              </xdr:nvGrpSpPr>
              <xdr:grpSpPr>
                <a:xfrm>
                  <a:off x="8031912" y="357909"/>
                  <a:ext cx="17204429" cy="2131581"/>
                  <a:chOff x="8031912" y="357909"/>
                  <a:chExt cx="17204429" cy="2131581"/>
                </a:xfrm>
              </xdr:grpSpPr>
              <xdr:grpSp>
                <xdr:nvGrpSpPr>
                  <xdr:cNvPr id="1422" name="Group 84">
                    <a:extLst>
                      <a:ext uri="{FF2B5EF4-FFF2-40B4-BE49-F238E27FC236}">
                        <a16:creationId xmlns:a16="http://schemas.microsoft.com/office/drawing/2014/main" id="{95E50590-A4D9-2CBF-AB17-02A2CD148ECA}"/>
                      </a:ext>
                    </a:extLst>
                  </xdr:cNvPr>
                  <xdr:cNvGrpSpPr/>
                </xdr:nvGrpSpPr>
                <xdr:grpSpPr>
                  <a:xfrm>
                    <a:off x="8031912" y="357909"/>
                    <a:ext cx="17204429" cy="2131581"/>
                    <a:chOff x="8031912" y="357909"/>
                    <a:chExt cx="17204429" cy="2131581"/>
                  </a:xfrm>
                </xdr:grpSpPr>
                <xdr:grpSp>
                  <xdr:nvGrpSpPr>
                    <xdr:cNvPr id="1423" name="Group 86">
                      <a:extLst>
                        <a:ext uri="{FF2B5EF4-FFF2-40B4-BE49-F238E27FC236}">
                          <a16:creationId xmlns:a16="http://schemas.microsoft.com/office/drawing/2014/main" id="{EA98260E-D755-5115-955C-FBFB3955153D}"/>
                        </a:ext>
                      </a:extLst>
                    </xdr:cNvPr>
                    <xdr:cNvGrpSpPr/>
                  </xdr:nvGrpSpPr>
                  <xdr:grpSpPr>
                    <a:xfrm>
                      <a:off x="8031912" y="357909"/>
                      <a:ext cx="17204429" cy="2131581"/>
                      <a:chOff x="8031912" y="357909"/>
                      <a:chExt cx="17204429" cy="2131581"/>
                    </a:xfrm>
                  </xdr:grpSpPr>
                  <xdr:grpSp>
                    <xdr:nvGrpSpPr>
                      <xdr:cNvPr id="1424" name="Group 88">
                        <a:extLst>
                          <a:ext uri="{FF2B5EF4-FFF2-40B4-BE49-F238E27FC236}">
                            <a16:creationId xmlns:a16="http://schemas.microsoft.com/office/drawing/2014/main" id="{1C3F4C09-14A3-A32D-A446-48A70FD69208}"/>
                          </a:ext>
                        </a:extLst>
                      </xdr:cNvPr>
                      <xdr:cNvGrpSpPr/>
                    </xdr:nvGrpSpPr>
                    <xdr:grpSpPr>
                      <a:xfrm>
                        <a:off x="8031912" y="357909"/>
                        <a:ext cx="17204429" cy="2131581"/>
                        <a:chOff x="-2131370" y="145256"/>
                        <a:chExt cx="17111806" cy="2120616"/>
                      </a:xfrm>
                    </xdr:grpSpPr>
                    <xdr:grpSp>
                      <xdr:nvGrpSpPr>
                        <xdr:cNvPr id="1425" name="Group 93">
                          <a:extLst>
                            <a:ext uri="{FF2B5EF4-FFF2-40B4-BE49-F238E27FC236}">
                              <a16:creationId xmlns:a16="http://schemas.microsoft.com/office/drawing/2014/main" id="{CFA963CB-0A4A-4F17-60BB-78973497ADC2}"/>
                            </a:ext>
                          </a:extLst>
                        </xdr:cNvPr>
                        <xdr:cNvGrpSpPr/>
                      </xdr:nvGrpSpPr>
                      <xdr:grpSpPr>
                        <a:xfrm>
                          <a:off x="-2131370" y="651703"/>
                          <a:ext cx="8962155" cy="1040873"/>
                          <a:chOff x="-2126190" y="649438"/>
                          <a:chExt cx="8957197" cy="1036194"/>
                        </a:xfrm>
                      </xdr:grpSpPr>
                      <xdr:sp macro="" textlink="">
                        <xdr:nvSpPr>
                          <xdr:cNvPr id="1426" name="Freeform: Shape 98">
                            <a:extLst>
                              <a:ext uri="{FF2B5EF4-FFF2-40B4-BE49-F238E27FC236}">
                                <a16:creationId xmlns:a16="http://schemas.microsoft.com/office/drawing/2014/main" id="{F95B878E-331C-2BF6-CA44-CC4BAEB2165F}"/>
                              </a:ext>
                            </a:extLst>
                          </xdr:cNvPr>
                          <xdr:cNvSpPr/>
                        </xdr:nvSpPr>
                        <xdr:spPr>
                          <a:xfrm>
                            <a:off x="-2126190" y="662280"/>
                            <a:ext cx="1946875"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Completed </a:t>
                            </a:r>
                            <a:r>
                              <a:rPr lang="en-US" sz="1500" kern="1200" baseline="0"/>
                              <a:t>EPC Portfolios Active each Year</a:t>
                            </a:r>
                            <a:endParaRPr lang="en-US" sz="1500" kern="1200"/>
                          </a:p>
                        </xdr:txBody>
                      </xdr:sp>
                      <xdr:sp macro="" textlink="">
                        <xdr:nvSpPr>
                          <xdr:cNvPr id="1427" name="Freeform: Shape 99">
                            <a:extLst>
                              <a:ext uri="{FF2B5EF4-FFF2-40B4-BE49-F238E27FC236}">
                                <a16:creationId xmlns:a16="http://schemas.microsoft.com/office/drawing/2014/main" id="{52549C2B-9D0B-1B16-2425-1BA4E061FAD2}"/>
                              </a:ext>
                            </a:extLst>
                          </xdr:cNvPr>
                          <xdr:cNvSpPr/>
                        </xdr:nvSpPr>
                        <xdr:spPr>
                          <a:xfrm>
                            <a:off x="5449266" y="649438"/>
                            <a:ext cx="1381741" cy="1023352"/>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Fuel</a:t>
                            </a:r>
                            <a:r>
                              <a:rPr lang="en-US" sz="1500" kern="1200" baseline="0"/>
                              <a:t> Emissions Factors (EPA)</a:t>
                            </a:r>
                            <a:endParaRPr lang="en-US" sz="1500" kern="1200"/>
                          </a:p>
                        </xdr:txBody>
                      </xdr:sp>
                    </xdr:grpSp>
                    <xdr:sp macro="" textlink="">
                      <xdr:nvSpPr>
                        <xdr:cNvPr id="1428" name="Cross 94">
                          <a:extLst>
                            <a:ext uri="{FF2B5EF4-FFF2-40B4-BE49-F238E27FC236}">
                              <a16:creationId xmlns:a16="http://schemas.microsoft.com/office/drawing/2014/main" id="{0B13B3FC-7B48-E100-8856-119AB6A854B2}"/>
                            </a:ext>
                          </a:extLst>
                        </xdr:cNvPr>
                        <xdr:cNvSpPr/>
                      </xdr:nvSpPr>
                      <xdr:spPr>
                        <a:xfrm rot="18886647">
                          <a:off x="2598673" y="963280"/>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29" name="Cross 95">
                          <a:extLst>
                            <a:ext uri="{FF2B5EF4-FFF2-40B4-BE49-F238E27FC236}">
                              <a16:creationId xmlns:a16="http://schemas.microsoft.com/office/drawing/2014/main" id="{279028E3-864D-3F7A-DB18-43F7217B8E47}"/>
                            </a:ext>
                          </a:extLst>
                        </xdr:cNvPr>
                        <xdr:cNvSpPr/>
                      </xdr:nvSpPr>
                      <xdr:spPr>
                        <a:xfrm rot="18886647">
                          <a:off x="11167038" y="925181"/>
                          <a:ext cx="457200"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30" name="Right Bracket 96">
                          <a:extLst>
                            <a:ext uri="{FF2B5EF4-FFF2-40B4-BE49-F238E27FC236}">
                              <a16:creationId xmlns:a16="http://schemas.microsoft.com/office/drawing/2014/main" id="{D037A2F7-8574-028E-CA91-0DEA7FC563F5}"/>
                            </a:ext>
                          </a:extLst>
                        </xdr:cNvPr>
                        <xdr:cNvSpPr/>
                      </xdr:nvSpPr>
                      <xdr:spPr>
                        <a:xfrm>
                          <a:off x="14923286" y="145256"/>
                          <a:ext cx="57150" cy="2047875"/>
                        </a:xfrm>
                        <a:prstGeom prst="rightBracket">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1431" name="Right Bracket 97">
                          <a:extLst>
                            <a:ext uri="{FF2B5EF4-FFF2-40B4-BE49-F238E27FC236}">
                              <a16:creationId xmlns:a16="http://schemas.microsoft.com/office/drawing/2014/main" id="{2465A0FA-1413-1E9E-C269-50315F55F772}"/>
                            </a:ext>
                          </a:extLst>
                        </xdr:cNvPr>
                        <xdr:cNvSpPr/>
                      </xdr:nvSpPr>
                      <xdr:spPr>
                        <a:xfrm flipH="1">
                          <a:off x="3122498" y="217997"/>
                          <a:ext cx="57150" cy="2047875"/>
                        </a:xfrm>
                        <a:prstGeom prst="rightBracket">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grpSp>
                  <xdr:sp macro="" textlink="">
                    <xdr:nvSpPr>
                      <xdr:cNvPr id="1432" name="Freeform: Shape 89">
                        <a:extLst>
                          <a:ext uri="{FF2B5EF4-FFF2-40B4-BE49-F238E27FC236}">
                            <a16:creationId xmlns:a16="http://schemas.microsoft.com/office/drawing/2014/main" id="{78A52781-E082-0619-45C3-80265C78BEB3}"/>
                          </a:ext>
                        </a:extLst>
                      </xdr:cNvPr>
                      <xdr:cNvSpPr/>
                    </xdr:nvSpPr>
                    <xdr:spPr>
                      <a:xfrm>
                        <a:off x="21357289" y="819727"/>
                        <a:ext cx="1393895"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kWh Change in Annual Electric Demand</a:t>
                        </a:r>
                        <a:r>
                          <a:rPr lang="en-US" sz="1500" kern="1200" baseline="0"/>
                          <a:t> per Building (ComStock)</a:t>
                        </a:r>
                        <a:endParaRPr lang="en-US" sz="1500" kern="1200"/>
                      </a:p>
                    </xdr:txBody>
                  </xdr:sp>
                  <xdr:sp macro="" textlink="">
                    <xdr:nvSpPr>
                      <xdr:cNvPr id="1433" name="Freeform: Shape 90">
                        <a:extLst>
                          <a:ext uri="{FF2B5EF4-FFF2-40B4-BE49-F238E27FC236}">
                            <a16:creationId xmlns:a16="http://schemas.microsoft.com/office/drawing/2014/main" id="{1935448B-3F1A-179D-0DE0-98678B854EB1}"/>
                          </a:ext>
                        </a:extLst>
                      </xdr:cNvPr>
                      <xdr:cNvSpPr/>
                    </xdr:nvSpPr>
                    <xdr:spPr>
                      <a:xfrm>
                        <a:off x="13690530" y="876877"/>
                        <a:ext cx="1392451"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MMBtu Natural</a:t>
                        </a:r>
                        <a:r>
                          <a:rPr lang="en-US" sz="1500" kern="1200" baseline="0"/>
                          <a:t> Gas Savings per Building (ComStock)</a:t>
                        </a:r>
                        <a:endParaRPr lang="en-US" sz="1500" kern="1200"/>
                      </a:p>
                    </xdr:txBody>
                  </xdr:sp>
                  <xdr:sp macro="" textlink="">
                    <xdr:nvSpPr>
                      <xdr:cNvPr id="1434" name="Freeform: Shape 91">
                        <a:extLst>
                          <a:ext uri="{FF2B5EF4-FFF2-40B4-BE49-F238E27FC236}">
                            <a16:creationId xmlns:a16="http://schemas.microsoft.com/office/drawing/2014/main" id="{CC42EF50-4D37-75F5-624E-B2919CBCCB22}"/>
                          </a:ext>
                        </a:extLst>
                      </xdr:cNvPr>
                      <xdr:cNvSpPr/>
                    </xdr:nvSpPr>
                    <xdr:spPr>
                      <a:xfrm>
                        <a:off x="17567783" y="854652"/>
                        <a:ext cx="1393894" cy="1027947"/>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MMBtu </a:t>
                        </a:r>
                        <a:r>
                          <a:rPr lang="en-US" sz="1500" kern="1200" baseline="0"/>
                          <a:t>Oil Savings per Building (ComStock)</a:t>
                        </a:r>
                        <a:endParaRPr lang="en-US" sz="1500" kern="1200"/>
                      </a:p>
                    </xdr:txBody>
                  </xdr:sp>
                  <xdr:sp macro="" textlink="">
                    <xdr:nvSpPr>
                      <xdr:cNvPr id="1435" name="Freeform: Shape 92">
                        <a:extLst>
                          <a:ext uri="{FF2B5EF4-FFF2-40B4-BE49-F238E27FC236}">
                            <a16:creationId xmlns:a16="http://schemas.microsoft.com/office/drawing/2014/main" id="{5290C54A-4509-9EB9-2784-E669C2F3B641}"/>
                          </a:ext>
                        </a:extLst>
                      </xdr:cNvPr>
                      <xdr:cNvSpPr/>
                    </xdr:nvSpPr>
                    <xdr:spPr>
                      <a:xfrm>
                        <a:off x="19489807" y="819727"/>
                        <a:ext cx="1391484" cy="1032589"/>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Fuel</a:t>
                        </a:r>
                        <a:r>
                          <a:rPr lang="en-US" sz="1500" kern="1200" baseline="0"/>
                          <a:t> Emissions Factors (EPA)</a:t>
                        </a:r>
                        <a:endParaRPr lang="en-US" sz="1500" kern="1200"/>
                      </a:p>
                    </xdr:txBody>
                  </xdr:sp>
                </xdr:grpSp>
                <xdr:sp macro="" textlink="">
                  <xdr:nvSpPr>
                    <xdr:cNvPr id="1436" name="Cross 87">
                      <a:extLst>
                        <a:ext uri="{FF2B5EF4-FFF2-40B4-BE49-F238E27FC236}">
                          <a16:creationId xmlns:a16="http://schemas.microsoft.com/office/drawing/2014/main" id="{F909A7B1-7486-4EF3-B46F-5782226FB511}"/>
                        </a:ext>
                      </a:extLst>
                    </xdr:cNvPr>
                    <xdr:cNvSpPr/>
                  </xdr:nvSpPr>
                  <xdr:spPr>
                    <a:xfrm>
                      <a:off x="20905532" y="1116590"/>
                      <a:ext cx="464003"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1437" name="Cross 85">
                    <a:extLst>
                      <a:ext uri="{FF2B5EF4-FFF2-40B4-BE49-F238E27FC236}">
                        <a16:creationId xmlns:a16="http://schemas.microsoft.com/office/drawing/2014/main" id="{340B2543-5FD4-8F73-F523-AE8778128ECE}"/>
                      </a:ext>
                    </a:extLst>
                  </xdr:cNvPr>
                  <xdr:cNvSpPr/>
                </xdr:nvSpPr>
                <xdr:spPr>
                  <a:xfrm>
                    <a:off x="17074750" y="1221365"/>
                    <a:ext cx="464003"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sp macro="" textlink="">
          <xdr:nvSpPr>
            <xdr:cNvPr id="1438" name="Freeform: Shape 104">
              <a:extLst>
                <a:ext uri="{FF2B5EF4-FFF2-40B4-BE49-F238E27FC236}">
                  <a16:creationId xmlns:a16="http://schemas.microsoft.com/office/drawing/2014/main" id="{5B464208-D63A-4135-D4F3-C40ABDFD000D}"/>
                </a:ext>
              </a:extLst>
            </xdr:cNvPr>
            <xdr:cNvSpPr/>
          </xdr:nvSpPr>
          <xdr:spPr>
            <a:xfrm>
              <a:off x="10802813" y="3648364"/>
              <a:ext cx="1958495" cy="1033288"/>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a:t>
              </a:r>
              <a:r>
                <a:rPr lang="en-US" sz="1500" kern="1200" baseline="0"/>
                <a:t>Buildings per Portfolio</a:t>
              </a:r>
              <a:endParaRPr lang="en-US" sz="1500" kern="1200"/>
            </a:p>
          </xdr:txBody>
        </xdr:sp>
        <xdr:sp macro="" textlink="">
          <xdr:nvSpPr>
            <xdr:cNvPr id="1439" name="Cross 105">
              <a:extLst>
                <a:ext uri="{FF2B5EF4-FFF2-40B4-BE49-F238E27FC236}">
                  <a16:creationId xmlns:a16="http://schemas.microsoft.com/office/drawing/2014/main" id="{7F478007-0EA4-CBF5-9A67-8F1F61733DC2}"/>
                </a:ext>
              </a:extLst>
            </xdr:cNvPr>
            <xdr:cNvSpPr/>
          </xdr:nvSpPr>
          <xdr:spPr>
            <a:xfrm rot="18886647">
              <a:off x="10172507" y="3965903"/>
              <a:ext cx="459675" cy="459564"/>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1440" name="Freeform: Shape 112">
            <a:extLst>
              <a:ext uri="{FF2B5EF4-FFF2-40B4-BE49-F238E27FC236}">
                <a16:creationId xmlns:a16="http://schemas.microsoft.com/office/drawing/2014/main" id="{B2BBFFA6-A208-4A19-7C5F-53898B4D707E}"/>
              </a:ext>
            </a:extLst>
          </xdr:cNvPr>
          <xdr:cNvSpPr/>
        </xdr:nvSpPr>
        <xdr:spPr>
          <a:xfrm>
            <a:off x="28449687" y="3654136"/>
            <a:ext cx="1530686" cy="1022196"/>
          </a:xfrm>
          <a:custGeom>
            <a:avLst/>
            <a:gdLst>
              <a:gd name="connsiteX0" fmla="*/ 0 w 1381741"/>
              <a:gd name="connsiteY0" fmla="*/ 102335 h 1023352"/>
              <a:gd name="connsiteX1" fmla="*/ 102335 w 1381741"/>
              <a:gd name="connsiteY1" fmla="*/ 0 h 1023352"/>
              <a:gd name="connsiteX2" fmla="*/ 1279406 w 1381741"/>
              <a:gd name="connsiteY2" fmla="*/ 0 h 1023352"/>
              <a:gd name="connsiteX3" fmla="*/ 1381741 w 1381741"/>
              <a:gd name="connsiteY3" fmla="*/ 102335 h 1023352"/>
              <a:gd name="connsiteX4" fmla="*/ 1381741 w 1381741"/>
              <a:gd name="connsiteY4" fmla="*/ 921017 h 1023352"/>
              <a:gd name="connsiteX5" fmla="*/ 1279406 w 1381741"/>
              <a:gd name="connsiteY5" fmla="*/ 1023352 h 1023352"/>
              <a:gd name="connsiteX6" fmla="*/ 102335 w 1381741"/>
              <a:gd name="connsiteY6" fmla="*/ 1023352 h 1023352"/>
              <a:gd name="connsiteX7" fmla="*/ 0 w 1381741"/>
              <a:gd name="connsiteY7" fmla="*/ 921017 h 1023352"/>
              <a:gd name="connsiteX8" fmla="*/ 0 w 1381741"/>
              <a:gd name="connsiteY8" fmla="*/ 102335 h 10233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381741" h="1023352">
                <a:moveTo>
                  <a:pt x="0" y="102335"/>
                </a:moveTo>
                <a:cubicBezTo>
                  <a:pt x="0" y="45817"/>
                  <a:pt x="45817" y="0"/>
                  <a:pt x="102335" y="0"/>
                </a:cubicBezTo>
                <a:lnTo>
                  <a:pt x="1279406" y="0"/>
                </a:lnTo>
                <a:cubicBezTo>
                  <a:pt x="1335924" y="0"/>
                  <a:pt x="1381741" y="45817"/>
                  <a:pt x="1381741" y="102335"/>
                </a:cubicBezTo>
                <a:lnTo>
                  <a:pt x="1381741" y="921017"/>
                </a:lnTo>
                <a:cubicBezTo>
                  <a:pt x="1381741" y="977535"/>
                  <a:pt x="1335924" y="1023352"/>
                  <a:pt x="1279406" y="1023352"/>
                </a:cubicBezTo>
                <a:lnTo>
                  <a:pt x="102335" y="1023352"/>
                </a:lnTo>
                <a:cubicBezTo>
                  <a:pt x="45817" y="1023352"/>
                  <a:pt x="0" y="977535"/>
                  <a:pt x="0" y="921017"/>
                </a:cubicBezTo>
                <a:lnTo>
                  <a:pt x="0" y="102335"/>
                </a:lnTo>
                <a:close/>
              </a:path>
            </a:pathLst>
          </a:custGeom>
        </xdr:spPr>
        <xdr:style>
          <a:lnRef idx="2">
            <a:schemeClr val="l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a:schemeClr val="lt1"/>
          </a:fontRef>
        </xdr:style>
        <xdr:txBody>
          <a:bodyPr spcFirstLastPara="0" vert="horz" wrap="square" lIns="87123" tIns="87123" rIns="87123" bIns="87123" numCol="1" spcCol="1270" anchor="ctr" anchorCtr="0">
            <a:noAutofit/>
          </a:bodyPr>
          <a:lstStyle/>
          <a:p>
            <a:pPr marL="0" lvl="0" indent="0" algn="ctr" defTabSz="666750">
              <a:lnSpc>
                <a:spcPct val="90000"/>
              </a:lnSpc>
              <a:spcBef>
                <a:spcPct val="0"/>
              </a:spcBef>
              <a:spcAft>
                <a:spcPct val="35000"/>
              </a:spcAft>
              <a:buNone/>
            </a:pPr>
            <a:r>
              <a:rPr lang="en-US" sz="1500" kern="1200"/>
              <a:t>% CPRG Portion</a:t>
            </a:r>
            <a:r>
              <a:rPr lang="en-US" sz="1500" kern="1200" baseline="0"/>
              <a:t> of Funding</a:t>
            </a:r>
            <a:endParaRPr lang="en-US" sz="1500" kern="1200"/>
          </a:p>
        </xdr:txBody>
      </xdr:sp>
      <xdr:sp macro="" textlink="">
        <xdr:nvSpPr>
          <xdr:cNvPr id="1441" name="Cross 113">
            <a:extLst>
              <a:ext uri="{FF2B5EF4-FFF2-40B4-BE49-F238E27FC236}">
                <a16:creationId xmlns:a16="http://schemas.microsoft.com/office/drawing/2014/main" id="{2CF9A83E-B291-4116-DC3F-8DF8D3097AC4}"/>
              </a:ext>
            </a:extLst>
          </xdr:cNvPr>
          <xdr:cNvSpPr/>
        </xdr:nvSpPr>
        <xdr:spPr>
          <a:xfrm rot="18886647">
            <a:off x="27952897" y="3934254"/>
            <a:ext cx="454498" cy="457200"/>
          </a:xfrm>
          <a:prstGeom prst="plus">
            <a:avLst>
              <a:gd name="adj" fmla="val 43942"/>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cofys.sharepoint.com/sites/S052/208798/WorkEnvironment/NYSERDA%20NYS%20datas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ysemail.sharepoint.com/sites/ExelonCarbonNeutral/Shared%20Documents/General/Analysis/DACCS%20Process%20Energy%20and%20Co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osal requests"/>
      <sheetName val="Tool"/>
      <sheetName val="Tool_Calc"/>
      <sheetName val="Proc_Emis_Sources"/>
      <sheetName val="Energy_Cost_&amp;_EF"/>
      <sheetName val="CCUS_Data"/>
      <sheetName val="CCUS_Input_Data---&gt;"/>
      <sheetName val="CC_Energy_Calc"/>
      <sheetName val="Enthal_Calc"/>
      <sheetName val="Sup_Calc"/>
      <sheetName val="Emis_Datasets---&gt;"/>
      <sheetName val="Merge_Emis_Sources"/>
      <sheetName val="NYS_Emis_Inventory"/>
      <sheetName val="EPA_Emis_Database"/>
      <sheetName val="Admin"/>
      <sheetName val="Old data emission mapping"/>
      <sheetName val="Admin_SIC"/>
      <sheetName val="Capture cost"/>
      <sheetName val="Emissions split 2015"/>
      <sheetName val="CO2 Storage Resources"/>
    </sheetNames>
    <sheetDataSet>
      <sheetData sheetId="0"/>
      <sheetData sheetId="1"/>
      <sheetData sheetId="2"/>
      <sheetData sheetId="3"/>
      <sheetData sheetId="4"/>
      <sheetData sheetId="5"/>
      <sheetData sheetId="6"/>
      <sheetData sheetId="7" refreshError="1"/>
      <sheetData sheetId="8" refreshError="1"/>
      <sheetData sheetId="9" refreshError="1"/>
      <sheetData sheetId="10"/>
      <sheetData sheetId="11" refreshError="1"/>
      <sheetData sheetId="12"/>
      <sheetData sheetId="13"/>
      <sheetData sheetId="14" refreshError="1"/>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puts"/>
      <sheetName val="BECCS Negative Emissions"/>
      <sheetName val="NAS Report"/>
      <sheetName val="T&amp;S Cost and Potential"/>
      <sheetName val="DAC Cost and Energy Requirement"/>
      <sheetName val="Industrial CCS Costs"/>
      <sheetName val="DAC Model"/>
      <sheetName val="Navigant - datasheet"/>
    </sheetNames>
    <sheetDataSet>
      <sheetData sheetId="0" refreshError="1"/>
      <sheetData sheetId="1"/>
      <sheetData sheetId="2" refreshError="1"/>
      <sheetData sheetId="3"/>
      <sheetData sheetId="4" refreshError="1"/>
      <sheetData sheetId="5"/>
      <sheetData sheetId="6"/>
      <sheetData sheetId="7"/>
    </sheetDataSet>
  </externalBook>
</externalLink>
</file>

<file path=xl/theme/theme1.xml><?xml version="1.0" encoding="utf-8"?>
<a:theme xmlns:a="http://schemas.openxmlformats.org/drawingml/2006/main" name="E3">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3" Type="http://schemas.openxmlformats.org/officeDocument/2006/relationships/hyperlink" Target="https://climate.ny.gov/Resources/Draft-Scoping-Plan" TargetMode="External"/><Relationship Id="rId2" Type="http://schemas.openxmlformats.org/officeDocument/2006/relationships/hyperlink" Target="https://climate.ny.gov/Resources/Draft-Scoping-Plan" TargetMode="External"/><Relationship Id="rId1" Type="http://schemas.openxmlformats.org/officeDocument/2006/relationships/hyperlink" Target="https://www.irs.gov/credits-deductions/energy-efficient-commercial-buildings-deduction" TargetMode="External"/><Relationship Id="rId5" Type="http://schemas.openxmlformats.org/officeDocument/2006/relationships/hyperlink" Target="https://www.eia.gov/consumption/commercial/data/2018/index.php?view=consumption" TargetMode="External"/><Relationship Id="rId4" Type="http://schemas.openxmlformats.org/officeDocument/2006/relationships/hyperlink" Target="https://www.eia.gov/consumption/commercial/data/2018/index.php?view=consumption"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www.epa.gov/greenhouse-gas-reduction-fund/solar-all" TargetMode="External"/><Relationship Id="rId3" Type="http://schemas.openxmlformats.org/officeDocument/2006/relationships/hyperlink" Target="https://hcr.ny.gov/climate-friendly-homes-fund" TargetMode="External"/><Relationship Id="rId7" Type="http://schemas.openxmlformats.org/officeDocument/2006/relationships/hyperlink" Target="https://www.utilitydive.com/news/new-york-incentives-electrification-efficiency-commercial-industrial/652980/" TargetMode="External"/><Relationship Id="rId2" Type="http://schemas.openxmlformats.org/officeDocument/2006/relationships/hyperlink" Target="https://www.energy.gov/scep/energy-efficiency-revolving-loan-fund-capitalization-grant-program" TargetMode="External"/><Relationship Id="rId1" Type="http://schemas.openxmlformats.org/officeDocument/2006/relationships/hyperlink" Target="https://www.hud.gov/GRRP" TargetMode="External"/><Relationship Id="rId6" Type="http://schemas.openxmlformats.org/officeDocument/2006/relationships/hyperlink" Target="https://www.epa.gov/climate-hfcs-reduction/background-hfcs-and-aim-act" TargetMode="External"/><Relationship Id="rId5" Type="http://schemas.openxmlformats.org/officeDocument/2006/relationships/hyperlink" Target="https://www.usda.gov/topics/urban/coop-agreements" TargetMode="External"/><Relationship Id="rId4" Type="http://schemas.openxmlformats.org/officeDocument/2006/relationships/hyperlink" Target="https://www.nyserda.ny.gov/All-Programs/NY-Sun/Contractors/Dashboards-and-incentives/Upstate-Dashboard"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2" Type="http://schemas.openxmlformats.org/officeDocument/2006/relationships/hyperlink" Target="https://www.epa.gov/climateleadership/ghg-emission-factors-hub" TargetMode="External"/><Relationship Id="rId1" Type="http://schemas.openxmlformats.org/officeDocument/2006/relationships/hyperlink" Target="https://www.nyserda.ny.gov/-/media/4559C4B977FC4D0AB4C93126F2686B69"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www.epa.gov/egrid/download-data" TargetMode="External"/><Relationship Id="rId7" Type="http://schemas.openxmlformats.org/officeDocument/2006/relationships/printerSettings" Target="../printerSettings/printerSettings8.bin"/><Relationship Id="rId2" Type="http://schemas.openxmlformats.org/officeDocument/2006/relationships/hyperlink" Target="https://www.ecfr.gov/current/title-40/chapter-I/subchapter-C/part-98" TargetMode="External"/><Relationship Id="rId1" Type="http://schemas.openxmlformats.org/officeDocument/2006/relationships/hyperlink" Target="https://www.ecfr.gov/current/title-40/chapter-I/subchapter-C/part-98" TargetMode="External"/><Relationship Id="rId6" Type="http://schemas.openxmlformats.org/officeDocument/2006/relationships/hyperlink" Target="https://www.epa.gov/system/files/documents/2023-01/eGRID2021_technical_guide.pdf" TargetMode="External"/><Relationship Id="rId5" Type="http://schemas.openxmlformats.org/officeDocument/2006/relationships/hyperlink" Target="https://www.epa.gov/ghgemissions/inventory-us-greenhouse-gas-emissions-and-sinks" TargetMode="External"/><Relationship Id="rId4" Type="http://schemas.openxmlformats.org/officeDocument/2006/relationships/hyperlink" Target="https://www.epa.gov/ghgemissions/inventory-us-greenhouse-gas-emissions-and-sinks" TargetMode="External"/></Relationships>
</file>

<file path=xl/worksheets/_rels/sheet19.xml.rels><?xml version="1.0" encoding="UTF-8" standalone="yes"?>
<Relationships xmlns="http://schemas.openxmlformats.org/package/2006/relationships"><Relationship Id="rId1" Type="http://schemas.openxmlformats.org/officeDocument/2006/relationships/hyperlink" Target="https://extapps.dec.ny.gov/docs/administration_pdf/ghgappxclcpaemissfctrs22.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hyperlink" Target="https://www.nyserda.ny.gov/-/media/4559C4B977FC4D0AB4C93126F2686B69" TargetMode="External"/><Relationship Id="rId1" Type="http://schemas.openxmlformats.org/officeDocument/2006/relationships/hyperlink" Target="https://www.epa.gov/climateleadership/ghg-emission-factors-hub" TargetMode="External"/></Relationships>
</file>

<file path=xl/worksheets/_rels/sheet21.xml.rels><?xml version="1.0" encoding="UTF-8" standalone="yes"?>
<Relationships xmlns="http://schemas.openxmlformats.org/package/2006/relationships"><Relationship Id="rId1" Type="http://schemas.openxmlformats.org/officeDocument/2006/relationships/hyperlink" Target="https://www.nyserda.ny.gov/-/media/Project/Nyserda/Files/Publications/Energy-Analysis/22-23-Fossil-and-Biogenic-Fuel-Greenhouse-Gas-Emission-Factors.pdf"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epa.gov/lmop/basic-information-about-landfill-gas" TargetMode="External"/><Relationship Id="rId7" Type="http://schemas.openxmlformats.org/officeDocument/2006/relationships/printerSettings" Target="../printerSettings/printerSettings3.bin"/><Relationship Id="rId2" Type="http://schemas.openxmlformats.org/officeDocument/2006/relationships/hyperlink" Target="https://www.epa.gov/lmop/basic-information-about-landfill-gas" TargetMode="External"/><Relationship Id="rId1" Type="http://schemas.openxmlformats.org/officeDocument/2006/relationships/hyperlink" Target="https://www.epa.gov/warm/versions-waste-reduction-model" TargetMode="External"/><Relationship Id="rId6" Type="http://schemas.openxmlformats.org/officeDocument/2006/relationships/hyperlink" Target="https://www.nrcs.usda.gov/sites/default/files/2022-09/Composting_Facility_317_Overview_9_2020.pdf" TargetMode="External"/><Relationship Id="rId5" Type="http://schemas.openxmlformats.org/officeDocument/2006/relationships/hyperlink" Target="https://www.epa.gov/warm/versions-waste-reduction-model" TargetMode="External"/><Relationship Id="rId4" Type="http://schemas.openxmlformats.org/officeDocument/2006/relationships/hyperlink" Target="https://www.epa.gov/warm/versions-waste-reduction-model" TargetMode="External"/></Relationships>
</file>

<file path=xl/worksheets/_rels/sheet8.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2.arb.ca.gov/sites/default/files/auction-proceeds/carb_frip_qm_userguide_final_2020.pdf" TargetMode="External"/><Relationship Id="rId7" Type="http://schemas.openxmlformats.org/officeDocument/2006/relationships/printerSettings" Target="../printerSettings/printerSettings4.bin"/><Relationship Id="rId2" Type="http://schemas.openxmlformats.org/officeDocument/2006/relationships/hyperlink" Target="https://ww2.arb.ca.gov/sites/default/files/auction-proceeds/carb_frip_qm_userguide_final_2020.pdf" TargetMode="External"/><Relationship Id="rId1" Type="http://schemas.openxmlformats.org/officeDocument/2006/relationships/hyperlink" Target="https://ww2.arb.ca.gov/sites/default/files/auction-proceeds/carb_frip_qm_userguide_final_2020.pdf" TargetMode="External"/><Relationship Id="rId6" Type="http://schemas.openxmlformats.org/officeDocument/2006/relationships/hyperlink" Target="https://www.epa.gov/climate-hfcs-reduction/technology-transitions-gwp-reference-table" TargetMode="External"/><Relationship Id="rId5" Type="http://schemas.openxmlformats.org/officeDocument/2006/relationships/hyperlink" Target="https://www.epa.gov/climate-hfcs-reduction/technology-transitions-gwp-reference-table" TargetMode="External"/><Relationship Id="rId4" Type="http://schemas.openxmlformats.org/officeDocument/2006/relationships/hyperlink" Target="https://www.epa.gov/climate-hfcs-reduction/technology-transitions-gwp-reference-tabl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2:E45"/>
  <sheetViews>
    <sheetView tabSelected="1" workbookViewId="0">
      <selection activeCell="D15" sqref="D15"/>
    </sheetView>
  </sheetViews>
  <sheetFormatPr defaultColWidth="8.42578125" defaultRowHeight="15"/>
  <cols>
    <col min="1" max="1" width="4.42578125" style="7" customWidth="1"/>
    <col min="2" max="2" width="62.5703125" style="7" customWidth="1"/>
    <col min="3" max="3" width="100.5703125" style="7" bestFit="1" customWidth="1"/>
    <col min="4" max="4" width="124.42578125" style="7" bestFit="1" customWidth="1"/>
    <col min="5" max="16384" width="8.42578125" style="7"/>
  </cols>
  <sheetData>
    <row r="2" spans="1:5" ht="26.1" customHeight="1">
      <c r="A2" s="250"/>
      <c r="B2" s="253" t="s">
        <v>940</v>
      </c>
      <c r="C2" s="252"/>
    </row>
    <row r="3" spans="1:5">
      <c r="B3" s="251" t="s">
        <v>1000</v>
      </c>
    </row>
    <row r="4" spans="1:5">
      <c r="B4" s="251"/>
    </row>
    <row r="5" spans="1:5" s="402" customFormat="1" ht="19.5" thickBot="1">
      <c r="B5" s="401" t="s">
        <v>0</v>
      </c>
      <c r="C5" s="401"/>
      <c r="D5" s="401"/>
      <c r="E5" s="401"/>
    </row>
    <row r="6" spans="1:5" ht="15.75" thickBot="1"/>
    <row r="7" spans="1:5" s="14" customFormat="1" ht="16.5" thickBot="1">
      <c r="B7" s="260" t="s">
        <v>1</v>
      </c>
      <c r="C7" s="261" t="s">
        <v>2</v>
      </c>
    </row>
    <row r="8" spans="1:5" s="14" customFormat="1" ht="16.5" customHeight="1">
      <c r="B8" s="254" t="s">
        <v>4</v>
      </c>
      <c r="C8" s="255" t="s">
        <v>947</v>
      </c>
    </row>
    <row r="9" spans="1:5" s="14" customFormat="1" ht="16.5" customHeight="1">
      <c r="B9" s="254" t="s">
        <v>5</v>
      </c>
      <c r="C9" s="255" t="s">
        <v>6</v>
      </c>
    </row>
    <row r="10" spans="1:5" s="14" customFormat="1" ht="16.5" customHeight="1">
      <c r="B10" s="254" t="s">
        <v>7</v>
      </c>
      <c r="C10" s="255" t="s">
        <v>8</v>
      </c>
    </row>
    <row r="11" spans="1:5" s="14" customFormat="1" ht="16.5" customHeight="1">
      <c r="B11" s="264" t="s">
        <v>3</v>
      </c>
      <c r="C11" s="262" t="s">
        <v>990</v>
      </c>
    </row>
    <row r="12" spans="1:5" s="14" customFormat="1" ht="16.5" customHeight="1">
      <c r="B12" s="763" t="s">
        <v>9</v>
      </c>
      <c r="C12" s="764"/>
    </row>
    <row r="13" spans="1:5" s="14" customFormat="1" ht="16.5" customHeight="1">
      <c r="B13" s="256" t="s">
        <v>936</v>
      </c>
      <c r="C13" s="405" t="s">
        <v>10</v>
      </c>
    </row>
    <row r="14" spans="1:5" s="14" customFormat="1" ht="16.5" customHeight="1">
      <c r="B14" s="256" t="s">
        <v>937</v>
      </c>
      <c r="C14" s="405" t="s">
        <v>11</v>
      </c>
    </row>
    <row r="15" spans="1:5" s="14" customFormat="1" ht="16.5" customHeight="1">
      <c r="B15" s="256" t="s">
        <v>938</v>
      </c>
      <c r="C15" s="405" t="s">
        <v>12</v>
      </c>
    </row>
    <row r="16" spans="1:5" s="14" customFormat="1" ht="16.5" customHeight="1">
      <c r="B16" s="256" t="s">
        <v>939</v>
      </c>
      <c r="C16" s="405" t="s">
        <v>13</v>
      </c>
    </row>
    <row r="17" spans="2:5" s="14" customFormat="1" ht="16.5" customHeight="1">
      <c r="B17" s="765" t="s">
        <v>14</v>
      </c>
      <c r="C17" s="766"/>
    </row>
    <row r="18" spans="2:5" s="14" customFormat="1">
      <c r="B18" s="715" t="s">
        <v>15</v>
      </c>
      <c r="C18" s="255" t="s">
        <v>948</v>
      </c>
    </row>
    <row r="19" spans="2:5" s="14" customFormat="1" ht="15.75">
      <c r="B19" s="263" t="s">
        <v>16</v>
      </c>
      <c r="C19" s="257"/>
    </row>
    <row r="20" spans="2:5" s="14" customFormat="1">
      <c r="B20" s="258" t="s">
        <v>17</v>
      </c>
      <c r="C20" s="298" t="s">
        <v>949</v>
      </c>
    </row>
    <row r="21" spans="2:5">
      <c r="B21" s="258" t="s">
        <v>18</v>
      </c>
      <c r="C21" s="298" t="s">
        <v>19</v>
      </c>
    </row>
    <row r="22" spans="2:5">
      <c r="B22" s="258" t="s">
        <v>20</v>
      </c>
      <c r="C22" s="298" t="s">
        <v>21</v>
      </c>
    </row>
    <row r="23" spans="2:5">
      <c r="B23" s="258" t="s">
        <v>960</v>
      </c>
      <c r="C23" s="298" t="s">
        <v>941</v>
      </c>
    </row>
    <row r="24" spans="2:5">
      <c r="B24" s="258" t="s">
        <v>961</v>
      </c>
      <c r="C24" s="298" t="s">
        <v>23</v>
      </c>
    </row>
    <row r="25" spans="2:5">
      <c r="B25" s="258" t="s">
        <v>962</v>
      </c>
      <c r="C25" s="298" t="s">
        <v>24</v>
      </c>
    </row>
    <row r="26" spans="2:5">
      <c r="B26" s="258" t="s">
        <v>963</v>
      </c>
      <c r="C26" s="298" t="s">
        <v>959</v>
      </c>
    </row>
    <row r="27" spans="2:5" ht="15.75" thickBot="1">
      <c r="B27" s="259" t="s">
        <v>964</v>
      </c>
      <c r="C27" s="299" t="s">
        <v>958</v>
      </c>
    </row>
    <row r="30" spans="2:5" s="402" customFormat="1" ht="19.5" thickBot="1">
      <c r="B30" s="401" t="s">
        <v>25</v>
      </c>
      <c r="C30" s="401"/>
      <c r="D30" s="401"/>
      <c r="E30" s="401"/>
    </row>
    <row r="31" spans="2:5" s="402" customFormat="1"/>
    <row r="32" spans="2:5" s="402" customFormat="1">
      <c r="B32" s="403" t="s">
        <v>26</v>
      </c>
    </row>
    <row r="33" spans="2:3" s="402" customFormat="1">
      <c r="B33" s="403"/>
    </row>
    <row r="34" spans="2:3" s="402" customFormat="1">
      <c r="B34" s="15" t="s">
        <v>27</v>
      </c>
      <c r="C34" s="15" t="s">
        <v>28</v>
      </c>
    </row>
    <row r="35" spans="2:3" s="402" customFormat="1">
      <c r="B35" s="173"/>
    </row>
    <row r="36" spans="2:3" s="402" customFormat="1">
      <c r="B36" s="311" t="s">
        <v>29</v>
      </c>
      <c r="C36" s="402" t="s">
        <v>30</v>
      </c>
    </row>
    <row r="37" spans="2:3" s="402" customFormat="1">
      <c r="B37" s="399" t="s">
        <v>31</v>
      </c>
      <c r="C37" s="402" t="s">
        <v>32</v>
      </c>
    </row>
    <row r="38" spans="2:3" s="402" customFormat="1">
      <c r="B38" s="395" t="s">
        <v>33</v>
      </c>
      <c r="C38" s="402" t="s">
        <v>34</v>
      </c>
    </row>
    <row r="39" spans="2:3" s="402" customFormat="1">
      <c r="B39" s="396" t="s">
        <v>35</v>
      </c>
      <c r="C39" s="402" t="s">
        <v>989</v>
      </c>
    </row>
    <row r="40" spans="2:3" s="402" customFormat="1">
      <c r="B40" s="397" t="s">
        <v>36</v>
      </c>
      <c r="C40" s="402" t="s">
        <v>989</v>
      </c>
    </row>
    <row r="41" spans="2:3" s="402" customFormat="1">
      <c r="B41" s="173"/>
    </row>
    <row r="42" spans="2:3" s="402" customFormat="1">
      <c r="B42" s="398" t="s">
        <v>37</v>
      </c>
    </row>
    <row r="43" spans="2:3" s="402" customFormat="1">
      <c r="B43" s="292" t="s">
        <v>38</v>
      </c>
    </row>
    <row r="44" spans="2:3" s="402" customFormat="1">
      <c r="B44" s="400" t="s">
        <v>39</v>
      </c>
    </row>
    <row r="45" spans="2:3" s="402" customFormat="1">
      <c r="B45" s="173"/>
    </row>
  </sheetData>
  <mergeCells count="2">
    <mergeCell ref="B12:C12"/>
    <mergeCell ref="B17:C17"/>
  </mergeCells>
  <phoneticPr fontId="98" type="noConversion"/>
  <pageMargins left="0.75" right="0.75" top="1" bottom="1" header="0.5" footer="0.5"/>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52DA6-64BC-44EC-92DB-75B9697B701D}">
  <sheetPr>
    <tabColor theme="3" tint="0.79998168889431442"/>
  </sheetPr>
  <dimension ref="A1:AB158"/>
  <sheetViews>
    <sheetView topLeftCell="A55" workbookViewId="0">
      <selection activeCell="D75" sqref="D75"/>
    </sheetView>
  </sheetViews>
  <sheetFormatPr defaultColWidth="8.42578125" defaultRowHeight="15"/>
  <cols>
    <col min="1" max="1" width="13.42578125" customWidth="1"/>
    <col min="2" max="2" width="54.42578125" customWidth="1"/>
    <col min="3" max="3" width="17.85546875" customWidth="1"/>
    <col min="4" max="4" width="25.42578125" customWidth="1"/>
    <col min="5" max="5" width="27.140625" customWidth="1"/>
    <col min="6" max="6" width="24.42578125" customWidth="1"/>
    <col min="7" max="7" width="18.42578125" customWidth="1"/>
    <col min="8" max="8" width="21.42578125" customWidth="1"/>
    <col min="9" max="9" width="37.42578125" bestFit="1" customWidth="1"/>
    <col min="10" max="10" width="29.85546875" bestFit="1" customWidth="1"/>
    <col min="11" max="12" width="21.42578125" customWidth="1"/>
    <col min="13" max="15" width="29" customWidth="1"/>
    <col min="16" max="18" width="23.42578125" customWidth="1"/>
    <col min="19" max="21" width="19.5703125" customWidth="1"/>
  </cols>
  <sheetData>
    <row r="1" spans="1:6" ht="23.25">
      <c r="A1" s="1" t="s">
        <v>252</v>
      </c>
      <c r="F1" s="214"/>
    </row>
    <row r="2" spans="1:6" ht="15.75">
      <c r="A2" s="8" t="s">
        <v>253</v>
      </c>
      <c r="B2" s="155"/>
      <c r="F2" s="213"/>
    </row>
    <row r="3" spans="1:6" ht="23.25">
      <c r="F3" s="214" t="s">
        <v>254</v>
      </c>
    </row>
    <row r="4" spans="1:6">
      <c r="B4" s="4" t="s">
        <v>255</v>
      </c>
      <c r="F4" s="213"/>
    </row>
    <row r="5" spans="1:6">
      <c r="A5" s="4"/>
      <c r="B5" s="317" t="s">
        <v>256</v>
      </c>
      <c r="F5" s="213"/>
    </row>
    <row r="6" spans="1:6">
      <c r="A6" s="4"/>
      <c r="B6" s="317" t="s">
        <v>257</v>
      </c>
      <c r="F6" s="213"/>
    </row>
    <row r="7" spans="1:6">
      <c r="A7" s="4"/>
      <c r="B7" s="317" t="s">
        <v>214</v>
      </c>
      <c r="F7" s="213"/>
    </row>
    <row r="8" spans="1:6">
      <c r="A8" s="4"/>
      <c r="B8" s="317"/>
      <c r="F8" s="213"/>
    </row>
    <row r="9" spans="1:6">
      <c r="A9" s="4"/>
      <c r="F9" s="213"/>
    </row>
    <row r="10" spans="1:6">
      <c r="A10" s="4"/>
      <c r="F10" s="213"/>
    </row>
    <row r="11" spans="1:6">
      <c r="A11" s="4"/>
      <c r="F11" s="213"/>
    </row>
    <row r="12" spans="1:6">
      <c r="A12" s="4"/>
      <c r="F12" s="213"/>
    </row>
    <row r="13" spans="1:6">
      <c r="A13" s="4"/>
      <c r="F13" s="213"/>
    </row>
    <row r="14" spans="1:6">
      <c r="A14" s="4"/>
      <c r="F14" s="213"/>
    </row>
    <row r="15" spans="1:6">
      <c r="A15" s="4"/>
    </row>
    <row r="16" spans="1:6">
      <c r="A16" s="4"/>
    </row>
    <row r="17" spans="1:10">
      <c r="A17" s="4"/>
    </row>
    <row r="18" spans="1:10" ht="15.75" thickBot="1">
      <c r="A18" s="4"/>
    </row>
    <row r="19" spans="1:10" s="3" customFormat="1" ht="18.75">
      <c r="A19" s="9" t="s">
        <v>172</v>
      </c>
      <c r="G19" s="2"/>
    </row>
    <row r="20" spans="1:10">
      <c r="C20" s="168"/>
      <c r="D20" s="164"/>
      <c r="E20" s="165"/>
      <c r="F20" s="294"/>
      <c r="G20" s="165"/>
      <c r="H20" s="166"/>
      <c r="I20" s="167"/>
      <c r="J20" s="166"/>
    </row>
    <row r="21" spans="1:10">
      <c r="B21" s="35" t="s">
        <v>258</v>
      </c>
      <c r="C21" s="169"/>
      <c r="D21" s="164"/>
      <c r="E21" s="165"/>
      <c r="F21" s="294"/>
      <c r="G21" s="165"/>
      <c r="H21" s="166"/>
      <c r="I21" s="167"/>
      <c r="J21" s="166"/>
    </row>
    <row r="22" spans="1:10">
      <c r="B22" s="327" t="s">
        <v>259</v>
      </c>
      <c r="C22" s="328">
        <v>50</v>
      </c>
      <c r="D22" s="212"/>
      <c r="E22" s="165"/>
      <c r="F22" s="294"/>
      <c r="G22" s="165"/>
      <c r="H22" s="166"/>
      <c r="I22" s="167"/>
      <c r="J22" s="166"/>
    </row>
    <row r="23" spans="1:10">
      <c r="B23" s="327" t="s">
        <v>260</v>
      </c>
      <c r="C23" s="328">
        <v>6</v>
      </c>
      <c r="D23" s="164"/>
      <c r="E23" s="165"/>
      <c r="F23" s="294"/>
      <c r="G23" s="165"/>
      <c r="H23" s="166"/>
      <c r="I23" s="167"/>
      <c r="J23" s="166"/>
    </row>
    <row r="24" spans="1:10">
      <c r="B24" s="327" t="s">
        <v>261</v>
      </c>
      <c r="C24" s="331">
        <v>0.5</v>
      </c>
      <c r="D24" s="164"/>
      <c r="E24" s="165"/>
      <c r="F24" s="165"/>
      <c r="G24" s="165"/>
      <c r="H24" s="166"/>
      <c r="I24" s="167"/>
      <c r="J24" s="166"/>
    </row>
    <row r="25" spans="1:10">
      <c r="A25" s="155"/>
      <c r="B25" s="327" t="s">
        <v>262</v>
      </c>
      <c r="C25" s="329">
        <f>1-C24</f>
        <v>0.5</v>
      </c>
      <c r="D25" s="198"/>
      <c r="E25" s="198"/>
      <c r="F25" s="165"/>
      <c r="G25" s="165"/>
      <c r="H25" s="166"/>
      <c r="I25" s="167"/>
      <c r="J25" s="166"/>
    </row>
    <row r="26" spans="1:10">
      <c r="A26" s="155"/>
      <c r="B26" s="327" t="s">
        <v>263</v>
      </c>
      <c r="C26" s="331">
        <v>0.75</v>
      </c>
      <c r="D26" s="198"/>
      <c r="E26" s="198"/>
      <c r="F26" s="165"/>
      <c r="G26" s="165"/>
      <c r="H26" s="166"/>
      <c r="I26" s="167"/>
      <c r="J26" s="166"/>
    </row>
    <row r="27" spans="1:10">
      <c r="A27" s="155"/>
      <c r="B27" s="327" t="s">
        <v>264</v>
      </c>
      <c r="C27" s="331">
        <f>1-C26</f>
        <v>0.25</v>
      </c>
      <c r="D27" s="198"/>
      <c r="E27" s="198"/>
      <c r="F27" s="165"/>
      <c r="G27" s="165"/>
      <c r="H27" s="166"/>
      <c r="I27" s="167"/>
      <c r="J27" s="166"/>
    </row>
    <row r="28" spans="1:10">
      <c r="A28" s="155"/>
      <c r="B28" s="327" t="s">
        <v>265</v>
      </c>
      <c r="C28" s="330" t="s">
        <v>266</v>
      </c>
      <c r="D28" s="198"/>
      <c r="E28" s="198"/>
      <c r="F28" s="165"/>
      <c r="G28" s="165"/>
      <c r="H28" s="166"/>
      <c r="I28" s="167"/>
      <c r="J28" s="166"/>
    </row>
    <row r="29" spans="1:10">
      <c r="B29" s="327" t="s">
        <v>267</v>
      </c>
      <c r="C29" s="330" t="s">
        <v>268</v>
      </c>
      <c r="D29" s="312"/>
      <c r="E29" s="313"/>
      <c r="F29" s="314"/>
      <c r="G29" s="165"/>
      <c r="H29" s="166"/>
      <c r="I29" s="167"/>
      <c r="J29" s="166"/>
    </row>
    <row r="30" spans="1:10">
      <c r="B30" s="4"/>
      <c r="C30" s="30"/>
      <c r="D30" s="164"/>
      <c r="E30" s="165"/>
      <c r="F30" s="165"/>
      <c r="G30" s="165"/>
      <c r="H30" s="166"/>
      <c r="I30" s="167"/>
      <c r="J30" s="166"/>
    </row>
    <row r="31" spans="1:10">
      <c r="B31" s="170" t="s">
        <v>934</v>
      </c>
      <c r="C31" s="171" t="s">
        <v>269</v>
      </c>
      <c r="E31" s="165"/>
      <c r="F31" s="165"/>
      <c r="G31" s="165"/>
      <c r="H31" s="166"/>
      <c r="I31" s="167"/>
      <c r="J31" s="166"/>
    </row>
    <row r="32" spans="1:10" s="4" customFormat="1">
      <c r="B32" s="193" t="s">
        <v>207</v>
      </c>
      <c r="C32" s="329">
        <v>1</v>
      </c>
      <c r="D32" s="293"/>
      <c r="E32" s="294"/>
      <c r="F32" s="294"/>
      <c r="G32" s="294"/>
      <c r="H32" s="295"/>
      <c r="I32" s="296"/>
      <c r="J32" s="295"/>
    </row>
    <row r="33" spans="1:8">
      <c r="A33" s="4"/>
      <c r="B33" s="30"/>
      <c r="C33" s="30"/>
    </row>
    <row r="34" spans="1:8" ht="14.1" customHeight="1">
      <c r="B34" s="156" t="s">
        <v>219</v>
      </c>
      <c r="C34" s="157"/>
      <c r="D34" s="157"/>
      <c r="E34" s="158"/>
      <c r="F34" s="158"/>
      <c r="G34" s="158"/>
      <c r="H34" s="158"/>
    </row>
    <row r="35" spans="1:8">
      <c r="A35" s="4"/>
      <c r="B35" s="327" t="s">
        <v>175</v>
      </c>
      <c r="C35" s="332">
        <v>2025</v>
      </c>
      <c r="D35" s="332">
        <v>2026</v>
      </c>
      <c r="E35" s="332">
        <v>2027</v>
      </c>
      <c r="F35" s="332">
        <v>2028</v>
      </c>
      <c r="G35" s="332">
        <v>2029</v>
      </c>
      <c r="H35" s="332">
        <v>2030</v>
      </c>
    </row>
    <row r="36" spans="1:8">
      <c r="A36" s="4"/>
      <c r="B36" s="195" t="s">
        <v>270</v>
      </c>
      <c r="C36" s="331">
        <v>0</v>
      </c>
      <c r="D36" s="331">
        <v>0</v>
      </c>
      <c r="E36" s="331">
        <v>0.5</v>
      </c>
      <c r="F36" s="331">
        <v>1</v>
      </c>
      <c r="G36" s="331">
        <v>1</v>
      </c>
      <c r="H36" s="331">
        <f>1</f>
        <v>1</v>
      </c>
    </row>
    <row r="37" spans="1:8">
      <c r="A37" s="4"/>
      <c r="B37" s="195" t="s">
        <v>271</v>
      </c>
      <c r="C37" s="163">
        <f t="shared" ref="C37:H37" si="0">C36*$C$22</f>
        <v>0</v>
      </c>
      <c r="D37" s="163">
        <f t="shared" si="0"/>
        <v>0</v>
      </c>
      <c r="E37" s="163">
        <f t="shared" si="0"/>
        <v>25</v>
      </c>
      <c r="F37" s="163">
        <f t="shared" si="0"/>
        <v>50</v>
      </c>
      <c r="G37" s="163">
        <f t="shared" si="0"/>
        <v>50</v>
      </c>
      <c r="H37" s="163">
        <f t="shared" si="0"/>
        <v>50</v>
      </c>
    </row>
    <row r="38" spans="1:8" ht="15.75" thickBot="1"/>
    <row r="39" spans="1:8" s="3" customFormat="1" ht="18.75">
      <c r="A39" s="9" t="s">
        <v>177</v>
      </c>
      <c r="G39" s="2"/>
    </row>
    <row r="41" spans="1:8">
      <c r="B41" s="4" t="s">
        <v>222</v>
      </c>
      <c r="D41" s="788" t="s">
        <v>178</v>
      </c>
      <c r="E41" s="789"/>
      <c r="F41" s="788" t="s">
        <v>179</v>
      </c>
      <c r="G41" s="789"/>
    </row>
    <row r="42" spans="1:8" s="12" customFormat="1" ht="30" customHeight="1">
      <c r="B42" s="5" t="s">
        <v>180</v>
      </c>
      <c r="C42" s="5" t="s">
        <v>158</v>
      </c>
      <c r="D42" s="309" t="s">
        <v>181</v>
      </c>
      <c r="E42" s="309" t="s">
        <v>223</v>
      </c>
      <c r="F42" s="309" t="s">
        <v>181</v>
      </c>
      <c r="G42" s="309" t="s">
        <v>223</v>
      </c>
    </row>
    <row r="43" spans="1:8">
      <c r="B43" s="194" t="s">
        <v>183</v>
      </c>
      <c r="C43" s="194" t="s">
        <v>162</v>
      </c>
      <c r="D43" s="443">
        <f>SUM($C$109:$H$109)*$C$32</f>
        <v>0</v>
      </c>
      <c r="E43" s="443">
        <f>SUM($C$109:$AB$109)*$C$32</f>
        <v>0</v>
      </c>
      <c r="F43" s="449"/>
      <c r="G43" s="449"/>
    </row>
    <row r="44" spans="1:8">
      <c r="B44" s="194" t="s">
        <v>272</v>
      </c>
      <c r="C44" s="194" t="s">
        <v>162</v>
      </c>
      <c r="D44" s="443">
        <f>SUM($C$115:$H$115)*$C$32</f>
        <v>0</v>
      </c>
      <c r="E44" s="443">
        <f>SUM($C$115:$AB$115)*$C$32</f>
        <v>0</v>
      </c>
      <c r="F44" s="449"/>
      <c r="G44" s="449"/>
    </row>
    <row r="45" spans="1:8" ht="15.75" thickBot="1">
      <c r="B45" s="445" t="s">
        <v>185</v>
      </c>
      <c r="C45" s="445" t="s">
        <v>162</v>
      </c>
      <c r="D45" s="448">
        <f>SUM($C$121:$H$121)*$C$32</f>
        <v>0</v>
      </c>
      <c r="E45" s="448">
        <f>SUM($C$121:$AB$121)*$C$32</f>
        <v>0</v>
      </c>
      <c r="F45" s="450"/>
      <c r="G45" s="450"/>
    </row>
    <row r="46" spans="1:8">
      <c r="B46" s="334" t="s">
        <v>186</v>
      </c>
      <c r="C46" s="334" t="s">
        <v>162</v>
      </c>
      <c r="D46" s="335">
        <f>SUM($C$127:$H$127)*$C$32</f>
        <v>0</v>
      </c>
      <c r="E46" s="335">
        <f>SUM($C$127:$AB$127)*$C$32</f>
        <v>0</v>
      </c>
      <c r="F46" s="335">
        <f>SUM($C$133:$H$133)*$C$32</f>
        <v>0</v>
      </c>
      <c r="G46" s="335">
        <f>SUM($C$133:$AB$133)*$C$32</f>
        <v>0</v>
      </c>
    </row>
    <row r="47" spans="1:8">
      <c r="D47" s="32"/>
      <c r="E47" s="318"/>
      <c r="F47" s="40"/>
    </row>
    <row r="48" spans="1:8">
      <c r="D48" s="40"/>
    </row>
    <row r="49" spans="2:13">
      <c r="B49" s="4" t="s">
        <v>187</v>
      </c>
      <c r="F49" s="4" t="s">
        <v>224</v>
      </c>
      <c r="J49" s="4" t="s">
        <v>225</v>
      </c>
    </row>
    <row r="50" spans="2:13" s="12" customFormat="1" ht="30">
      <c r="B50" s="309" t="s">
        <v>157</v>
      </c>
      <c r="C50" s="309" t="s">
        <v>158</v>
      </c>
      <c r="D50" s="309" t="s">
        <v>188</v>
      </c>
      <c r="F50" s="605" t="s">
        <v>157</v>
      </c>
      <c r="G50" s="605" t="s">
        <v>158</v>
      </c>
      <c r="H50" s="605" t="s">
        <v>188</v>
      </c>
      <c r="J50" s="605" t="s">
        <v>157</v>
      </c>
      <c r="K50" s="605" t="s">
        <v>158</v>
      </c>
      <c r="L50" s="605" t="s">
        <v>188</v>
      </c>
    </row>
    <row r="51" spans="2:13">
      <c r="B51" s="194" t="s">
        <v>161</v>
      </c>
      <c r="C51" s="337" t="s">
        <v>162</v>
      </c>
      <c r="D51" s="338">
        <f>SUM(C138:AB138)</f>
        <v>0</v>
      </c>
      <c r="E51" s="314" t="str">
        <f>ROUND(D51,2)&amp;" tonnes "&amp;B51&amp;", "</f>
        <v xml:space="preserve">0 tonnes NH3, </v>
      </c>
      <c r="F51" s="194" t="s">
        <v>161</v>
      </c>
      <c r="G51" s="337" t="s">
        <v>162</v>
      </c>
      <c r="H51" s="338">
        <f>D51*$C$32</f>
        <v>0</v>
      </c>
      <c r="I51" s="314" t="str">
        <f>ROUND(H51,2)&amp;" tonnes "&amp;F51&amp;", "</f>
        <v xml:space="preserve">0 tonnes NH3, </v>
      </c>
      <c r="J51" s="194" t="s">
        <v>161</v>
      </c>
      <c r="K51" s="337" t="s">
        <v>162</v>
      </c>
      <c r="L51" s="338">
        <f>H51*'LIDAC Analysis'!$D$11</f>
        <v>0</v>
      </c>
      <c r="M51" s="314" t="str">
        <f>ROUND(L51,2)&amp;" tonnes "&amp;J51&amp;", "</f>
        <v xml:space="preserve">0 tonnes NH3, </v>
      </c>
    </row>
    <row r="52" spans="2:13">
      <c r="B52" s="194" t="s">
        <v>204</v>
      </c>
      <c r="C52" s="337" t="s">
        <v>162</v>
      </c>
      <c r="D52" s="338">
        <f>SUM(C139:AB139)</f>
        <v>0</v>
      </c>
      <c r="E52" s="314" t="str">
        <f t="shared" ref="E52:E54" si="1">ROUND(D52,2)&amp;" tonnes "&amp;B52&amp;", "</f>
        <v xml:space="preserve">0 tonnes NOX, </v>
      </c>
      <c r="F52" s="194" t="s">
        <v>204</v>
      </c>
      <c r="G52" s="337" t="s">
        <v>162</v>
      </c>
      <c r="H52" s="338">
        <f>D52*$C$32</f>
        <v>0</v>
      </c>
      <c r="I52" s="314" t="str">
        <f t="shared" ref="I52:I54" si="2">ROUND(H52,2)&amp;" tonnes "&amp;F52&amp;", "</f>
        <v xml:space="preserve">0 tonnes NOX, </v>
      </c>
      <c r="J52" s="194" t="s">
        <v>204</v>
      </c>
      <c r="K52" s="337" t="s">
        <v>162</v>
      </c>
      <c r="L52" s="338">
        <f>H52*'LIDAC Analysis'!$D$11</f>
        <v>0</v>
      </c>
      <c r="M52" s="314" t="str">
        <f t="shared" ref="M52:M54" si="3">ROUND(L52,2)&amp;" tonnes "&amp;J52&amp;", "</f>
        <v xml:space="preserve">0 tonnes NOX, </v>
      </c>
    </row>
    <row r="53" spans="2:13">
      <c r="B53" s="194" t="s">
        <v>164</v>
      </c>
      <c r="C53" s="337" t="s">
        <v>162</v>
      </c>
      <c r="D53" s="338">
        <f>SUM(C140:AB140)</f>
        <v>0</v>
      </c>
      <c r="E53" s="314" t="str">
        <f t="shared" si="1"/>
        <v xml:space="preserve">0 tonnes PM2.5, </v>
      </c>
      <c r="F53" s="194" t="s">
        <v>164</v>
      </c>
      <c r="G53" s="337" t="s">
        <v>162</v>
      </c>
      <c r="H53" s="338">
        <f>D53*$C$32</f>
        <v>0</v>
      </c>
      <c r="I53" s="314" t="str">
        <f t="shared" si="2"/>
        <v xml:space="preserve">0 tonnes PM2.5, </v>
      </c>
      <c r="J53" s="194" t="s">
        <v>164</v>
      </c>
      <c r="K53" s="337" t="s">
        <v>162</v>
      </c>
      <c r="L53" s="338">
        <f>H53*'LIDAC Analysis'!$D$11</f>
        <v>0</v>
      </c>
      <c r="M53" s="314" t="str">
        <f t="shared" si="3"/>
        <v xml:space="preserve">0 tonnes PM2.5, </v>
      </c>
    </row>
    <row r="54" spans="2:13">
      <c r="B54" s="194" t="s">
        <v>165</v>
      </c>
      <c r="C54" s="337" t="s">
        <v>162</v>
      </c>
      <c r="D54" s="338">
        <f>SUM(C141:AB141)</f>
        <v>0</v>
      </c>
      <c r="E54" s="314" t="str">
        <f t="shared" si="1"/>
        <v xml:space="preserve">0 tonnes SO2, </v>
      </c>
      <c r="F54" s="194" t="s">
        <v>165</v>
      </c>
      <c r="G54" s="337" t="s">
        <v>162</v>
      </c>
      <c r="H54" s="338">
        <f>D54*$C$32</f>
        <v>0</v>
      </c>
      <c r="I54" s="314" t="str">
        <f t="shared" si="2"/>
        <v xml:space="preserve">0 tonnes SO2, </v>
      </c>
      <c r="J54" s="194" t="s">
        <v>165</v>
      </c>
      <c r="K54" s="337" t="s">
        <v>162</v>
      </c>
      <c r="L54" s="338">
        <f>H54*'LIDAC Analysis'!$D$11</f>
        <v>0</v>
      </c>
      <c r="M54" s="314" t="str">
        <f t="shared" si="3"/>
        <v xml:space="preserve">0 tonnes SO2, </v>
      </c>
    </row>
    <row r="55" spans="2:13">
      <c r="B55" s="194" t="s">
        <v>166</v>
      </c>
      <c r="C55" s="337" t="s">
        <v>162</v>
      </c>
      <c r="D55" s="338">
        <f>SUM(C142:AB142)</f>
        <v>0</v>
      </c>
      <c r="E55" s="314" t="str">
        <f>ROUND(D55,2)&amp;" tonnes "&amp;B55</f>
        <v>0 tonnes VOC</v>
      </c>
      <c r="F55" s="194" t="s">
        <v>166</v>
      </c>
      <c r="G55" s="337" t="s">
        <v>162</v>
      </c>
      <c r="H55" s="338">
        <f>D55*$C$32</f>
        <v>0</v>
      </c>
      <c r="I55" s="314" t="str">
        <f>ROUND(H55,2)&amp;" tonnes "&amp;F55</f>
        <v>0 tonnes VOC</v>
      </c>
      <c r="J55" s="194" t="s">
        <v>166</v>
      </c>
      <c r="K55" s="337" t="s">
        <v>162</v>
      </c>
      <c r="L55" s="338">
        <f>H55*'LIDAC Analysis'!$D$11</f>
        <v>0</v>
      </c>
      <c r="M55" s="314" t="str">
        <f>ROUND(L55,2)&amp;" tonnes "&amp;J55</f>
        <v>0 tonnes VOC</v>
      </c>
    </row>
    <row r="56" spans="2:13">
      <c r="D56" s="33"/>
      <c r="E56" s="314"/>
    </row>
    <row r="57" spans="2:13">
      <c r="B57" s="4" t="s">
        <v>189</v>
      </c>
      <c r="D57" s="33"/>
      <c r="E57" s="314"/>
      <c r="F57" s="4" t="s">
        <v>226</v>
      </c>
      <c r="J57" s="4" t="s">
        <v>227</v>
      </c>
    </row>
    <row r="58" spans="2:13" s="12" customFormat="1" ht="30">
      <c r="B58" s="605" t="s">
        <v>157</v>
      </c>
      <c r="C58" s="605" t="s">
        <v>158</v>
      </c>
      <c r="D58" s="605" t="s">
        <v>188</v>
      </c>
      <c r="F58" s="605" t="s">
        <v>157</v>
      </c>
      <c r="G58" s="605" t="s">
        <v>158</v>
      </c>
      <c r="H58" s="605" t="s">
        <v>188</v>
      </c>
      <c r="J58" s="605" t="s">
        <v>157</v>
      </c>
      <c r="K58" s="605" t="s">
        <v>158</v>
      </c>
      <c r="L58" s="605" t="s">
        <v>188</v>
      </c>
    </row>
    <row r="59" spans="2:13">
      <c r="B59" s="194" t="s">
        <v>161</v>
      </c>
      <c r="C59" s="337" t="s">
        <v>162</v>
      </c>
      <c r="D59" s="338">
        <f>H138</f>
        <v>0</v>
      </c>
      <c r="E59" s="314" t="str">
        <f>ROUND(D59,2)&amp;" tonnes "&amp;B59&amp;", "</f>
        <v xml:space="preserve">0 tonnes NH3, </v>
      </c>
      <c r="F59" s="194" t="s">
        <v>161</v>
      </c>
      <c r="G59" s="337" t="s">
        <v>162</v>
      </c>
      <c r="H59" s="338">
        <f>D59*$C$32</f>
        <v>0</v>
      </c>
      <c r="I59" s="314" t="str">
        <f>ROUND(H59,2)&amp;" tonnes "&amp;F59&amp;", "</f>
        <v xml:space="preserve">0 tonnes NH3, </v>
      </c>
      <c r="J59" s="194" t="s">
        <v>161</v>
      </c>
      <c r="K59" s="337" t="s">
        <v>162</v>
      </c>
      <c r="L59" s="338">
        <f>H59*'LIDAC Analysis'!$D$11</f>
        <v>0</v>
      </c>
      <c r="M59" s="314" t="str">
        <f>ROUND(L59,2)&amp;" tonnes "&amp;J59&amp;", "</f>
        <v xml:space="preserve">0 tonnes NH3, </v>
      </c>
    </row>
    <row r="60" spans="2:13">
      <c r="B60" s="194" t="s">
        <v>204</v>
      </c>
      <c r="C60" s="337" t="s">
        <v>162</v>
      </c>
      <c r="D60" s="338">
        <f t="shared" ref="D60:D63" si="4">H139</f>
        <v>0</v>
      </c>
      <c r="E60" s="314" t="str">
        <f t="shared" ref="E60:E62" si="5">ROUND(D60,2)&amp;" tonnes "&amp;B60&amp;", "</f>
        <v xml:space="preserve">0 tonnes NOX, </v>
      </c>
      <c r="F60" s="194" t="s">
        <v>204</v>
      </c>
      <c r="G60" s="337" t="s">
        <v>162</v>
      </c>
      <c r="H60" s="338">
        <f>D60*$C$32</f>
        <v>0</v>
      </c>
      <c r="I60" s="314" t="str">
        <f t="shared" ref="I60:I62" si="6">ROUND(H60,2)&amp;" tonnes "&amp;F60&amp;", "</f>
        <v xml:space="preserve">0 tonnes NOX, </v>
      </c>
      <c r="J60" s="194" t="s">
        <v>204</v>
      </c>
      <c r="K60" s="337" t="s">
        <v>162</v>
      </c>
      <c r="L60" s="338">
        <f>H60*'LIDAC Analysis'!$D$11</f>
        <v>0</v>
      </c>
      <c r="M60" s="314" t="str">
        <f t="shared" ref="M60:M62" si="7">ROUND(L60,2)&amp;" tonnes "&amp;J60&amp;", "</f>
        <v xml:space="preserve">0 tonnes NOX, </v>
      </c>
    </row>
    <row r="61" spans="2:13">
      <c r="B61" s="194" t="s">
        <v>164</v>
      </c>
      <c r="C61" s="337" t="s">
        <v>162</v>
      </c>
      <c r="D61" s="338">
        <f t="shared" si="4"/>
        <v>0</v>
      </c>
      <c r="E61" s="314" t="str">
        <f t="shared" si="5"/>
        <v xml:space="preserve">0 tonnes PM2.5, </v>
      </c>
      <c r="F61" s="194" t="s">
        <v>164</v>
      </c>
      <c r="G61" s="337" t="s">
        <v>162</v>
      </c>
      <c r="H61" s="338">
        <f>D61*$C$32</f>
        <v>0</v>
      </c>
      <c r="I61" s="314" t="str">
        <f t="shared" si="6"/>
        <v xml:space="preserve">0 tonnes PM2.5, </v>
      </c>
      <c r="J61" s="194" t="s">
        <v>164</v>
      </c>
      <c r="K61" s="337" t="s">
        <v>162</v>
      </c>
      <c r="L61" s="338">
        <f>H61*'LIDAC Analysis'!$D$11</f>
        <v>0</v>
      </c>
      <c r="M61" s="314" t="str">
        <f t="shared" si="7"/>
        <v xml:space="preserve">0 tonnes PM2.5, </v>
      </c>
    </row>
    <row r="62" spans="2:13">
      <c r="B62" s="194" t="s">
        <v>165</v>
      </c>
      <c r="C62" s="337" t="s">
        <v>162</v>
      </c>
      <c r="D62" s="338">
        <f t="shared" si="4"/>
        <v>0</v>
      </c>
      <c r="E62" s="314" t="str">
        <f t="shared" si="5"/>
        <v xml:space="preserve">0 tonnes SO2, </v>
      </c>
      <c r="F62" s="194" t="s">
        <v>165</v>
      </c>
      <c r="G62" s="337" t="s">
        <v>162</v>
      </c>
      <c r="H62" s="338">
        <f>D62*$C$32</f>
        <v>0</v>
      </c>
      <c r="I62" s="314" t="str">
        <f t="shared" si="6"/>
        <v xml:space="preserve">0 tonnes SO2, </v>
      </c>
      <c r="J62" s="194" t="s">
        <v>165</v>
      </c>
      <c r="K62" s="337" t="s">
        <v>162</v>
      </c>
      <c r="L62" s="338">
        <f>H62*'LIDAC Analysis'!$D$11</f>
        <v>0</v>
      </c>
      <c r="M62" s="314" t="str">
        <f t="shared" si="7"/>
        <v xml:space="preserve">0 tonnes SO2, </v>
      </c>
    </row>
    <row r="63" spans="2:13">
      <c r="B63" s="194" t="s">
        <v>166</v>
      </c>
      <c r="C63" s="337" t="s">
        <v>162</v>
      </c>
      <c r="D63" s="338">
        <f t="shared" si="4"/>
        <v>0</v>
      </c>
      <c r="E63" s="314" t="str">
        <f>ROUND(D63,2)&amp;" tonnes "&amp;B63</f>
        <v>0 tonnes VOC</v>
      </c>
      <c r="F63" s="194" t="s">
        <v>166</v>
      </c>
      <c r="G63" s="337" t="s">
        <v>162</v>
      </c>
      <c r="H63" s="338">
        <f>D63*$C$32</f>
        <v>0</v>
      </c>
      <c r="I63" s="314" t="str">
        <f>ROUND(H63,2)&amp;" tonnes "&amp;F63</f>
        <v>0 tonnes VOC</v>
      </c>
      <c r="J63" s="194" t="s">
        <v>166</v>
      </c>
      <c r="K63" s="337" t="s">
        <v>162</v>
      </c>
      <c r="L63" s="338">
        <f>H63*'LIDAC Analysis'!$D$11</f>
        <v>0</v>
      </c>
      <c r="M63" s="314" t="str">
        <f>ROUND(L63,2)&amp;" tonnes "&amp;J63</f>
        <v>0 tonnes VOC</v>
      </c>
    </row>
    <row r="65" spans="1:13">
      <c r="D65" s="40"/>
      <c r="E65" s="314"/>
      <c r="L65" s="40"/>
      <c r="M65" s="314"/>
    </row>
    <row r="67" spans="1:13" ht="15.75" thickBot="1"/>
    <row r="68" spans="1:13" s="3" customFormat="1" ht="18.75">
      <c r="A68" s="9" t="s">
        <v>191</v>
      </c>
    </row>
    <row r="70" spans="1:13">
      <c r="B70" s="601" t="s">
        <v>228</v>
      </c>
      <c r="C70" s="606"/>
      <c r="D70" s="606"/>
      <c r="E70" s="606"/>
      <c r="F70" s="607"/>
      <c r="G70" s="602"/>
      <c r="H70" s="602"/>
      <c r="I70" s="602"/>
      <c r="J70" s="602"/>
      <c r="K70" s="602"/>
    </row>
    <row r="71" spans="1:13" s="12" customFormat="1">
      <c r="B71" s="339" t="s">
        <v>229</v>
      </c>
      <c r="C71" s="339" t="s">
        <v>230</v>
      </c>
      <c r="D71" s="339" t="s">
        <v>231</v>
      </c>
      <c r="E71" s="339" t="s">
        <v>232</v>
      </c>
      <c r="F71" s="339" t="s">
        <v>233</v>
      </c>
      <c r="G71" s="339" t="s">
        <v>234</v>
      </c>
      <c r="H71" s="339" t="s">
        <v>40</v>
      </c>
      <c r="I71" s="339" t="s">
        <v>236</v>
      </c>
      <c r="J71" s="339" t="s">
        <v>237</v>
      </c>
      <c r="K71" s="339" t="s">
        <v>238</v>
      </c>
    </row>
    <row r="72" spans="1:13">
      <c r="B72" s="340" t="s">
        <v>273</v>
      </c>
      <c r="C72" s="341" t="s">
        <v>920</v>
      </c>
      <c r="D72" s="341" t="s">
        <v>997</v>
      </c>
      <c r="E72" s="341" t="s">
        <v>277</v>
      </c>
      <c r="F72" s="325">
        <v>16000</v>
      </c>
      <c r="G72" s="342">
        <v>16</v>
      </c>
      <c r="H72" s="343" t="str">
        <f>$C$28</f>
        <v>EE</v>
      </c>
      <c r="I72" s="344">
        <f>SUMIFS('Buildings Inputs'!$K$49:$K$91,'Buildings Inputs'!$A$49:$A$91,$C72,'Buildings Inputs'!$D$49:$D$91,$D72,'Buildings Inputs'!$E$49:$E$91,$E72)*F72</f>
        <v>0</v>
      </c>
      <c r="J72" s="344"/>
      <c r="K72" s="344">
        <f>SUMIFS('Buildings Inputs'!$I$49:$I$91,'Buildings Inputs'!$A$49:$A$91,$C72,'Buildings Inputs'!$D$49:$D$91,$D72,'Buildings Inputs'!$E$49:$E$91,$E72)*F72</f>
        <v>0</v>
      </c>
      <c r="L72" s="315"/>
      <c r="M72" s="316"/>
    </row>
    <row r="73" spans="1:13">
      <c r="B73" s="340" t="s">
        <v>274</v>
      </c>
      <c r="C73" s="341" t="s">
        <v>920</v>
      </c>
      <c r="D73" s="341" t="s">
        <v>998</v>
      </c>
      <c r="E73" s="341" t="s">
        <v>277</v>
      </c>
      <c r="F73" s="325">
        <v>16000</v>
      </c>
      <c r="G73" s="342">
        <v>16</v>
      </c>
      <c r="H73" s="343" t="str">
        <f>$C$29</f>
        <v>Basic Shell + ASHP</v>
      </c>
      <c r="I73" s="344"/>
      <c r="J73" s="344">
        <f>SUMIFS('Buildings Inputs'!$K$11:$K$45,'Buildings Inputs'!$A$11:$A$45,$C73,'Buildings Inputs'!$D$11:$D$45,$D73,'Buildings Inputs'!$E$11:$E$45,$E73)*$F73</f>
        <v>0</v>
      </c>
      <c r="K73" s="344">
        <f>SUMIFS('Buildings Inputs'!$I$11:$I$45,'Buildings Inputs'!$A$11:$A$45,$C73,'Buildings Inputs'!$D$11:$D$45,$D73,'Buildings Inputs'!$E$11:$E$45,$E73)*$F73</f>
        <v>0</v>
      </c>
      <c r="L73" s="315"/>
      <c r="M73" s="155"/>
    </row>
    <row r="74" spans="1:13">
      <c r="B74" s="340" t="s">
        <v>275</v>
      </c>
      <c r="C74" s="704" t="s">
        <v>276</v>
      </c>
      <c r="D74" s="704" t="s">
        <v>997</v>
      </c>
      <c r="E74" s="704" t="s">
        <v>277</v>
      </c>
      <c r="F74" s="325">
        <v>100000</v>
      </c>
      <c r="G74" s="342">
        <v>16</v>
      </c>
      <c r="H74" s="343" t="str">
        <f>$C$28</f>
        <v>EE</v>
      </c>
      <c r="I74" s="344">
        <f>SUMIFS('Buildings Inputs'!$K$49:$K$91,'Buildings Inputs'!$A$49:$A$91,$C74,'Buildings Inputs'!$D$49:$D$91,$D74,'Buildings Inputs'!$E$49:$E$91,$E74)*F74</f>
        <v>0</v>
      </c>
      <c r="J74" s="344"/>
      <c r="K74" s="344">
        <f>SUMIFS('Buildings Inputs'!$I$49:$I$91,'Buildings Inputs'!$A$49:$A$91,$C74,'Buildings Inputs'!$D$49:$D$91,$D74,'Buildings Inputs'!$E$49:$E$91,$E74)*F74</f>
        <v>0</v>
      </c>
      <c r="L74" s="315"/>
      <c r="M74" s="155"/>
    </row>
    <row r="75" spans="1:13">
      <c r="B75" s="340" t="s">
        <v>278</v>
      </c>
      <c r="C75" s="704" t="s">
        <v>276</v>
      </c>
      <c r="D75" s="704" t="s">
        <v>998</v>
      </c>
      <c r="E75" s="704" t="s">
        <v>240</v>
      </c>
      <c r="F75" s="325">
        <v>100000</v>
      </c>
      <c r="G75" s="342">
        <v>16</v>
      </c>
      <c r="H75" s="343" t="str">
        <f>$C$29</f>
        <v>Basic Shell + ASHP</v>
      </c>
      <c r="I75" s="344"/>
      <c r="J75" s="344">
        <f>SUMIFS('Buildings Inputs'!$K$11:$K$45,'Buildings Inputs'!$A$11:$A$45,$C75,'Buildings Inputs'!$D$11:$D$45,$D75,'Buildings Inputs'!$E$11:$E$45,$E75)*$F75</f>
        <v>0</v>
      </c>
      <c r="K75" s="344">
        <f>SUMIFS('Buildings Inputs'!$I$11:$I$45,'Buildings Inputs'!$A$11:$A$45,$C75,'Buildings Inputs'!$D$11:$D$45,$D75,'Buildings Inputs'!$E$11:$E$45,$E75)*$F75</f>
        <v>0</v>
      </c>
      <c r="L75" s="315"/>
      <c r="M75" s="155"/>
    </row>
    <row r="76" spans="1:13">
      <c r="C76" s="32"/>
      <c r="G76" s="32"/>
      <c r="H76" s="32"/>
      <c r="I76" s="32"/>
    </row>
    <row r="77" spans="1:13" ht="15.75" thickBot="1"/>
    <row r="78" spans="1:13" s="3" customFormat="1" ht="18.75">
      <c r="A78" s="9" t="s">
        <v>196</v>
      </c>
      <c r="D78" s="161"/>
    </row>
    <row r="81" spans="2:28">
      <c r="B81" s="601" t="s">
        <v>279</v>
      </c>
      <c r="C81" s="602"/>
      <c r="D81" s="602"/>
      <c r="E81" s="602"/>
      <c r="F81" s="602"/>
      <c r="G81" s="602"/>
      <c r="H81" s="602"/>
      <c r="I81" s="602"/>
      <c r="J81" s="602"/>
      <c r="K81" s="602"/>
      <c r="L81" s="602"/>
      <c r="M81" s="602"/>
      <c r="N81" s="602"/>
      <c r="O81" s="602"/>
      <c r="P81" s="602"/>
      <c r="Q81" s="602"/>
      <c r="R81" s="602"/>
      <c r="S81" s="602"/>
      <c r="T81" s="602"/>
      <c r="U81" s="602"/>
      <c r="V81" s="602"/>
      <c r="W81" s="602"/>
      <c r="X81" s="602"/>
      <c r="Y81" s="602"/>
      <c r="Z81" s="602"/>
      <c r="AA81" s="602"/>
      <c r="AB81" s="602"/>
    </row>
    <row r="82" spans="2:28" s="4" customFormat="1">
      <c r="B82" s="346"/>
      <c r="C82" s="346">
        <v>2025</v>
      </c>
      <c r="D82" s="346">
        <f>C82+1</f>
        <v>2026</v>
      </c>
      <c r="E82" s="346">
        <f t="shared" ref="E82:I82" si="8">D82+1</f>
        <v>2027</v>
      </c>
      <c r="F82" s="346">
        <f t="shared" si="8"/>
        <v>2028</v>
      </c>
      <c r="G82" s="346">
        <f t="shared" si="8"/>
        <v>2029</v>
      </c>
      <c r="H82" s="346">
        <f t="shared" si="8"/>
        <v>2030</v>
      </c>
      <c r="I82" s="346">
        <f t="shared" si="8"/>
        <v>2031</v>
      </c>
      <c r="J82" s="346">
        <f>I82+1</f>
        <v>2032</v>
      </c>
      <c r="K82" s="346">
        <f>J82+1</f>
        <v>2033</v>
      </c>
      <c r="L82" s="346">
        <f>K82+1</f>
        <v>2034</v>
      </c>
      <c r="M82" s="346">
        <f t="shared" ref="M82:AB82" si="9">L82+1</f>
        <v>2035</v>
      </c>
      <c r="N82" s="346">
        <f t="shared" si="9"/>
        <v>2036</v>
      </c>
      <c r="O82" s="346">
        <f t="shared" si="9"/>
        <v>2037</v>
      </c>
      <c r="P82" s="346">
        <f>O82+1</f>
        <v>2038</v>
      </c>
      <c r="Q82" s="346">
        <f>P82+1</f>
        <v>2039</v>
      </c>
      <c r="R82" s="346">
        <f t="shared" si="9"/>
        <v>2040</v>
      </c>
      <c r="S82" s="346">
        <f t="shared" si="9"/>
        <v>2041</v>
      </c>
      <c r="T82" s="346">
        <f>S82+1</f>
        <v>2042</v>
      </c>
      <c r="U82" s="346">
        <f t="shared" si="9"/>
        <v>2043</v>
      </c>
      <c r="V82" s="346">
        <f t="shared" si="9"/>
        <v>2044</v>
      </c>
      <c r="W82" s="346">
        <f t="shared" si="9"/>
        <v>2045</v>
      </c>
      <c r="X82" s="346">
        <f t="shared" si="9"/>
        <v>2046</v>
      </c>
      <c r="Y82" s="346">
        <f t="shared" si="9"/>
        <v>2047</v>
      </c>
      <c r="Z82" s="346">
        <f t="shared" si="9"/>
        <v>2048</v>
      </c>
      <c r="AA82" s="346">
        <f t="shared" si="9"/>
        <v>2049</v>
      </c>
      <c r="AB82" s="346">
        <f t="shared" si="9"/>
        <v>2050</v>
      </c>
    </row>
    <row r="83" spans="2:28">
      <c r="B83" s="194" t="s">
        <v>280</v>
      </c>
      <c r="C83" s="351"/>
      <c r="D83" s="352">
        <f>C98</f>
        <v>0</v>
      </c>
      <c r="E83" s="352">
        <f t="shared" ref="E83:T86" si="10">D98</f>
        <v>0</v>
      </c>
      <c r="F83" s="352">
        <f t="shared" si="10"/>
        <v>56.25</v>
      </c>
      <c r="G83" s="352">
        <f t="shared" si="10"/>
        <v>112.5</v>
      </c>
      <c r="H83" s="352">
        <f t="shared" si="10"/>
        <v>112.5</v>
      </c>
      <c r="I83" s="352">
        <f t="shared" si="10"/>
        <v>112.5</v>
      </c>
      <c r="J83" s="352">
        <f t="shared" si="10"/>
        <v>112.5</v>
      </c>
      <c r="K83" s="352">
        <f t="shared" si="10"/>
        <v>112.5</v>
      </c>
      <c r="L83" s="352">
        <f>K98</f>
        <v>112.5</v>
      </c>
      <c r="M83" s="352">
        <f t="shared" si="10"/>
        <v>112.5</v>
      </c>
      <c r="N83" s="352">
        <f t="shared" si="10"/>
        <v>112.5</v>
      </c>
      <c r="O83" s="352">
        <f t="shared" si="10"/>
        <v>112.5</v>
      </c>
      <c r="P83" s="352">
        <f t="shared" si="10"/>
        <v>112.5</v>
      </c>
      <c r="Q83" s="352">
        <f t="shared" si="10"/>
        <v>112.5</v>
      </c>
      <c r="R83" s="352">
        <f t="shared" si="10"/>
        <v>112.5</v>
      </c>
      <c r="S83" s="352">
        <f t="shared" si="10"/>
        <v>112.5</v>
      </c>
      <c r="T83" s="352">
        <f t="shared" si="10"/>
        <v>112.5</v>
      </c>
      <c r="U83" s="352">
        <f t="shared" ref="T83:AB86" si="11">T98</f>
        <v>112.5</v>
      </c>
      <c r="V83" s="352">
        <f t="shared" si="11"/>
        <v>56.25</v>
      </c>
      <c r="W83" s="352">
        <f t="shared" si="11"/>
        <v>0</v>
      </c>
      <c r="X83" s="352">
        <f t="shared" si="11"/>
        <v>0</v>
      </c>
      <c r="Y83" s="352">
        <f t="shared" si="11"/>
        <v>0</v>
      </c>
      <c r="Z83" s="352">
        <f t="shared" si="11"/>
        <v>0</v>
      </c>
      <c r="AA83" s="352">
        <f t="shared" si="11"/>
        <v>0</v>
      </c>
      <c r="AB83" s="352">
        <f t="shared" si="11"/>
        <v>0</v>
      </c>
    </row>
    <row r="84" spans="2:28">
      <c r="B84" s="194" t="s">
        <v>281</v>
      </c>
      <c r="C84" s="351"/>
      <c r="D84" s="352">
        <f t="shared" ref="D84:S86" si="12">C99</f>
        <v>0</v>
      </c>
      <c r="E84" s="352">
        <f t="shared" si="12"/>
        <v>0</v>
      </c>
      <c r="F84" s="352">
        <f>E99</f>
        <v>18.75</v>
      </c>
      <c r="G84" s="352">
        <f t="shared" si="12"/>
        <v>37.5</v>
      </c>
      <c r="H84" s="352">
        <f t="shared" si="12"/>
        <v>37.5</v>
      </c>
      <c r="I84" s="352">
        <f t="shared" si="12"/>
        <v>37.5</v>
      </c>
      <c r="J84" s="352">
        <f t="shared" si="12"/>
        <v>37.5</v>
      </c>
      <c r="K84" s="352">
        <f t="shared" si="12"/>
        <v>37.5</v>
      </c>
      <c r="L84" s="352">
        <f>K99</f>
        <v>37.5</v>
      </c>
      <c r="M84" s="352">
        <f t="shared" si="12"/>
        <v>37.5</v>
      </c>
      <c r="N84" s="352">
        <f t="shared" si="12"/>
        <v>37.5</v>
      </c>
      <c r="O84" s="352">
        <f t="shared" si="12"/>
        <v>37.5</v>
      </c>
      <c r="P84" s="352">
        <f t="shared" si="10"/>
        <v>37.5</v>
      </c>
      <c r="Q84" s="352">
        <f t="shared" si="10"/>
        <v>37.5</v>
      </c>
      <c r="R84" s="352">
        <f t="shared" si="12"/>
        <v>37.5</v>
      </c>
      <c r="S84" s="352">
        <f t="shared" si="12"/>
        <v>37.5</v>
      </c>
      <c r="T84" s="352">
        <f t="shared" si="11"/>
        <v>37.5</v>
      </c>
      <c r="U84" s="352">
        <f t="shared" si="11"/>
        <v>37.5</v>
      </c>
      <c r="V84" s="352">
        <f t="shared" si="11"/>
        <v>18.75</v>
      </c>
      <c r="W84" s="352">
        <f t="shared" si="11"/>
        <v>0</v>
      </c>
      <c r="X84" s="352">
        <f t="shared" si="11"/>
        <v>0</v>
      </c>
      <c r="Y84" s="352">
        <f t="shared" si="11"/>
        <v>0</v>
      </c>
      <c r="Z84" s="352">
        <f t="shared" si="11"/>
        <v>0</v>
      </c>
      <c r="AA84" s="352">
        <f t="shared" si="11"/>
        <v>0</v>
      </c>
      <c r="AB84" s="352">
        <f t="shared" si="11"/>
        <v>0</v>
      </c>
    </row>
    <row r="85" spans="2:28">
      <c r="B85" s="194" t="s">
        <v>282</v>
      </c>
      <c r="C85" s="351"/>
      <c r="D85" s="352">
        <f t="shared" si="12"/>
        <v>0</v>
      </c>
      <c r="E85" s="352">
        <f t="shared" si="12"/>
        <v>0</v>
      </c>
      <c r="F85" s="352">
        <f t="shared" si="12"/>
        <v>56.25</v>
      </c>
      <c r="G85" s="352">
        <f t="shared" si="12"/>
        <v>112.5</v>
      </c>
      <c r="H85" s="352">
        <f t="shared" si="12"/>
        <v>112.5</v>
      </c>
      <c r="I85" s="352">
        <f t="shared" si="12"/>
        <v>112.5</v>
      </c>
      <c r="J85" s="352">
        <f t="shared" si="12"/>
        <v>112.5</v>
      </c>
      <c r="K85" s="352">
        <f t="shared" si="12"/>
        <v>112.5</v>
      </c>
      <c r="L85" s="352">
        <f>K100</f>
        <v>112.5</v>
      </c>
      <c r="M85" s="352">
        <f t="shared" si="12"/>
        <v>112.5</v>
      </c>
      <c r="N85" s="352">
        <f t="shared" si="12"/>
        <v>112.5</v>
      </c>
      <c r="O85" s="352">
        <f t="shared" si="12"/>
        <v>112.5</v>
      </c>
      <c r="P85" s="352">
        <f t="shared" si="10"/>
        <v>112.5</v>
      </c>
      <c r="Q85" s="352">
        <f t="shared" si="10"/>
        <v>112.5</v>
      </c>
      <c r="R85" s="352">
        <f t="shared" si="12"/>
        <v>112.5</v>
      </c>
      <c r="S85" s="352">
        <f t="shared" si="12"/>
        <v>112.5</v>
      </c>
      <c r="T85" s="352">
        <f t="shared" si="11"/>
        <v>112.5</v>
      </c>
      <c r="U85" s="352">
        <f t="shared" si="11"/>
        <v>112.5</v>
      </c>
      <c r="V85" s="352">
        <f t="shared" si="11"/>
        <v>56.25</v>
      </c>
      <c r="W85" s="352">
        <f t="shared" si="11"/>
        <v>0</v>
      </c>
      <c r="X85" s="352">
        <f t="shared" si="11"/>
        <v>0</v>
      </c>
      <c r="Y85" s="352">
        <f t="shared" si="11"/>
        <v>0</v>
      </c>
      <c r="Z85" s="352">
        <f t="shared" si="11"/>
        <v>0</v>
      </c>
      <c r="AA85" s="352">
        <f t="shared" si="11"/>
        <v>0</v>
      </c>
      <c r="AB85" s="352">
        <f t="shared" si="11"/>
        <v>0</v>
      </c>
    </row>
    <row r="86" spans="2:28">
      <c r="B86" s="194" t="s">
        <v>283</v>
      </c>
      <c r="C86" s="351"/>
      <c r="D86" s="352">
        <f t="shared" si="12"/>
        <v>0</v>
      </c>
      <c r="E86" s="352">
        <f t="shared" si="12"/>
        <v>0</v>
      </c>
      <c r="F86" s="352">
        <f t="shared" si="12"/>
        <v>18.75</v>
      </c>
      <c r="G86" s="352">
        <f t="shared" si="12"/>
        <v>37.5</v>
      </c>
      <c r="H86" s="352">
        <f t="shared" si="12"/>
        <v>37.5</v>
      </c>
      <c r="I86" s="352">
        <f t="shared" si="12"/>
        <v>37.5</v>
      </c>
      <c r="J86" s="352">
        <f t="shared" si="12"/>
        <v>37.5</v>
      </c>
      <c r="K86" s="352">
        <f t="shared" si="12"/>
        <v>37.5</v>
      </c>
      <c r="L86" s="352">
        <f>K101</f>
        <v>37.5</v>
      </c>
      <c r="M86" s="352">
        <f t="shared" si="12"/>
        <v>37.5</v>
      </c>
      <c r="N86" s="352">
        <f t="shared" si="12"/>
        <v>37.5</v>
      </c>
      <c r="O86" s="352">
        <f t="shared" si="12"/>
        <v>37.5</v>
      </c>
      <c r="P86" s="352">
        <f t="shared" si="10"/>
        <v>37.5</v>
      </c>
      <c r="Q86" s="352">
        <f t="shared" si="10"/>
        <v>37.5</v>
      </c>
      <c r="R86" s="352">
        <f t="shared" si="12"/>
        <v>37.5</v>
      </c>
      <c r="S86" s="352">
        <f t="shared" si="12"/>
        <v>37.5</v>
      </c>
      <c r="T86" s="352">
        <f t="shared" si="11"/>
        <v>37.5</v>
      </c>
      <c r="U86" s="352">
        <f t="shared" si="11"/>
        <v>37.5</v>
      </c>
      <c r="V86" s="352">
        <f t="shared" si="11"/>
        <v>18.75</v>
      </c>
      <c r="W86" s="352">
        <f t="shared" si="11"/>
        <v>0</v>
      </c>
      <c r="X86" s="352">
        <f t="shared" si="11"/>
        <v>0</v>
      </c>
      <c r="Y86" s="352">
        <f t="shared" si="11"/>
        <v>0</v>
      </c>
      <c r="Z86" s="352">
        <f t="shared" si="11"/>
        <v>0</v>
      </c>
      <c r="AA86" s="352">
        <f t="shared" si="11"/>
        <v>0</v>
      </c>
      <c r="AB86" s="352">
        <f t="shared" si="11"/>
        <v>0</v>
      </c>
    </row>
    <row r="88" spans="2:28">
      <c r="B88" s="194" t="s">
        <v>284</v>
      </c>
      <c r="C88" s="351"/>
      <c r="D88" s="352">
        <f>(D$36-C$36)*$C$22*$C$23*$C$24*$C$26</f>
        <v>0</v>
      </c>
      <c r="E88" s="352">
        <f>(E$36-D$36)*$C$22*$C$23*$C$24*$C$26</f>
        <v>56.25</v>
      </c>
      <c r="F88" s="352">
        <f>(F$36-E$36)*$C$22*$C$23*$C$24*$C$26</f>
        <v>56.25</v>
      </c>
      <c r="G88" s="352">
        <f>(G$36-F$36)*$C$22*$C$23*$C$24*$C$26</f>
        <v>0</v>
      </c>
      <c r="H88" s="352">
        <f>(H$36-G$36)*$C$22*$C$23*$C$24*$C$26</f>
        <v>0</v>
      </c>
      <c r="I88" s="351"/>
      <c r="J88" s="351"/>
      <c r="K88" s="351"/>
      <c r="L88" s="351"/>
      <c r="M88" s="351"/>
      <c r="N88" s="351"/>
      <c r="O88" s="351"/>
      <c r="P88" s="351"/>
      <c r="Q88" s="351"/>
      <c r="R88" s="351"/>
      <c r="S88" s="351"/>
      <c r="T88" s="351"/>
      <c r="U88" s="351"/>
      <c r="V88" s="351"/>
      <c r="W88" s="351"/>
      <c r="X88" s="351"/>
      <c r="Y88" s="351"/>
      <c r="Z88" s="351"/>
      <c r="AA88" s="351"/>
      <c r="AB88" s="351"/>
    </row>
    <row r="89" spans="2:28">
      <c r="B89" s="194" t="s">
        <v>285</v>
      </c>
      <c r="C89" s="351"/>
      <c r="D89" s="352">
        <f>(D$36-C$36)*$C$22*$C$23*$C$24*$C$27</f>
        <v>0</v>
      </c>
      <c r="E89" s="352">
        <f>(E$36-D$36)*$C$22*$C$23*$C$24*$C$27</f>
        <v>18.75</v>
      </c>
      <c r="F89" s="352">
        <f>(F$36-E$36)*$C$22*$C$23*$C$24*$C$27</f>
        <v>18.75</v>
      </c>
      <c r="G89" s="352">
        <f>(G$36-F$36)*$C$22*$C$23*$C$24*$C$27</f>
        <v>0</v>
      </c>
      <c r="H89" s="352">
        <f>(H$36-G$36)*$C$22*$C$23*$C$24*$C$27</f>
        <v>0</v>
      </c>
      <c r="I89" s="351"/>
      <c r="J89" s="351"/>
      <c r="K89" s="351"/>
      <c r="L89" s="351"/>
      <c r="M89" s="351"/>
      <c r="N89" s="351"/>
      <c r="O89" s="351"/>
      <c r="P89" s="351"/>
      <c r="Q89" s="351"/>
      <c r="R89" s="351"/>
      <c r="S89" s="351"/>
      <c r="T89" s="351"/>
      <c r="U89" s="351"/>
      <c r="V89" s="351"/>
      <c r="W89" s="351"/>
      <c r="X89" s="351"/>
      <c r="Y89" s="351"/>
      <c r="Z89" s="351"/>
      <c r="AA89" s="351"/>
      <c r="AB89" s="351"/>
    </row>
    <row r="90" spans="2:28">
      <c r="B90" s="194" t="s">
        <v>286</v>
      </c>
      <c r="C90" s="351"/>
      <c r="D90" s="352">
        <f>(D$36-C$36)*$C$22*$C$23*$C$25*$C$26</f>
        <v>0</v>
      </c>
      <c r="E90" s="352">
        <f>(E$36-D$36)*$C$22*$C$23*$C$25*$C$26</f>
        <v>56.25</v>
      </c>
      <c r="F90" s="352">
        <f>(F$36-E$36)*$C$22*$C$23*$C$25*$C$26</f>
        <v>56.25</v>
      </c>
      <c r="G90" s="352">
        <f>(G$36-F$36)*$C$22*$C$23*$C$25*$C$26</f>
        <v>0</v>
      </c>
      <c r="H90" s="352">
        <f>(H$36-G$36)*$C$22*$C$23*$C$25*$C$26</f>
        <v>0</v>
      </c>
      <c r="I90" s="351"/>
      <c r="J90" s="351"/>
      <c r="K90" s="351"/>
      <c r="L90" s="351"/>
      <c r="M90" s="351"/>
      <c r="N90" s="351"/>
      <c r="O90" s="351"/>
      <c r="P90" s="351"/>
      <c r="Q90" s="351"/>
      <c r="R90" s="351"/>
      <c r="S90" s="351"/>
      <c r="T90" s="351"/>
      <c r="U90" s="351"/>
      <c r="V90" s="351"/>
      <c r="W90" s="351"/>
      <c r="X90" s="351"/>
      <c r="Y90" s="351"/>
      <c r="Z90" s="351"/>
      <c r="AA90" s="351"/>
      <c r="AB90" s="351"/>
    </row>
    <row r="91" spans="2:28">
      <c r="B91" s="194" t="s">
        <v>287</v>
      </c>
      <c r="C91" s="351"/>
      <c r="D91" s="352">
        <f>(D$36-C$36)*$C$22*$C$23*$C$25*$C$27</f>
        <v>0</v>
      </c>
      <c r="E91" s="352">
        <f>(E$36-D$36)*$C$22*$C$23*$C$25*$C$27</f>
        <v>18.75</v>
      </c>
      <c r="F91" s="352">
        <f>(F$36-E$36)*$C$22*$C$23*$C$25*$C$27</f>
        <v>18.75</v>
      </c>
      <c r="G91" s="352">
        <f>(G$36-F$36)*$C$22*$C$23*$C$25*$C$27</f>
        <v>0</v>
      </c>
      <c r="H91" s="352">
        <f>(H$36-G$36)*$C$22*$C$23*$C$25*$C$27</f>
        <v>0</v>
      </c>
      <c r="I91" s="351"/>
      <c r="J91" s="351"/>
      <c r="K91" s="351"/>
      <c r="L91" s="351"/>
      <c r="M91" s="351"/>
      <c r="N91" s="351"/>
      <c r="O91" s="351"/>
      <c r="P91" s="351"/>
      <c r="Q91" s="351"/>
      <c r="R91" s="351"/>
      <c r="S91" s="351"/>
      <c r="T91" s="351"/>
      <c r="U91" s="351"/>
      <c r="V91" s="351"/>
      <c r="W91" s="351"/>
      <c r="X91" s="351"/>
      <c r="Y91" s="351"/>
      <c r="Z91" s="351"/>
      <c r="AA91" s="351"/>
      <c r="AB91" s="351"/>
    </row>
    <row r="93" spans="2:28">
      <c r="B93" s="194" t="s">
        <v>288</v>
      </c>
      <c r="C93" s="351"/>
      <c r="D93" s="352">
        <f t="shared" ref="D93:H96" si="13">-IFERROR(INDEX($C88:$AB88,MATCH(D$82-$G72,$C$82:$AB$82,0)),0)</f>
        <v>0</v>
      </c>
      <c r="E93" s="352">
        <f t="shared" si="13"/>
        <v>0</v>
      </c>
      <c r="F93" s="352">
        <f t="shared" si="13"/>
        <v>0</v>
      </c>
      <c r="G93" s="352">
        <f t="shared" si="13"/>
        <v>0</v>
      </c>
      <c r="H93" s="352">
        <f t="shared" si="13"/>
        <v>0</v>
      </c>
      <c r="I93" s="352">
        <f t="shared" ref="I93:K93" si="14">-IFERROR(INDEX($C88:$AB88,MATCH(I$82-$G72,$C$82:$AB$82,0)),0)</f>
        <v>0</v>
      </c>
      <c r="J93" s="352">
        <f t="shared" si="14"/>
        <v>0</v>
      </c>
      <c r="K93" s="352">
        <f t="shared" si="14"/>
        <v>0</v>
      </c>
      <c r="L93" s="352">
        <f t="shared" ref="L93:AB93" si="15">-IFERROR(INDEX($C88:$AB88,MATCH(L$82-$G72,$C$82:$AB$82,0)),0)</f>
        <v>0</v>
      </c>
      <c r="M93" s="352">
        <f t="shared" si="15"/>
        <v>0</v>
      </c>
      <c r="N93" s="352">
        <f t="shared" si="15"/>
        <v>0</v>
      </c>
      <c r="O93" s="352">
        <f t="shared" si="15"/>
        <v>0</v>
      </c>
      <c r="P93" s="352">
        <f t="shared" si="15"/>
        <v>0</v>
      </c>
      <c r="Q93" s="352">
        <f t="shared" si="15"/>
        <v>0</v>
      </c>
      <c r="R93" s="352">
        <f t="shared" si="15"/>
        <v>0</v>
      </c>
      <c r="S93" s="352">
        <f t="shared" si="15"/>
        <v>0</v>
      </c>
      <c r="T93" s="352">
        <f t="shared" si="15"/>
        <v>0</v>
      </c>
      <c r="U93" s="352">
        <f t="shared" si="15"/>
        <v>-56.25</v>
      </c>
      <c r="V93" s="352">
        <f t="shared" si="15"/>
        <v>-56.25</v>
      </c>
      <c r="W93" s="352">
        <f t="shared" si="15"/>
        <v>0</v>
      </c>
      <c r="X93" s="352">
        <f t="shared" si="15"/>
        <v>0</v>
      </c>
      <c r="Y93" s="352">
        <f t="shared" si="15"/>
        <v>0</v>
      </c>
      <c r="Z93" s="352">
        <f t="shared" si="15"/>
        <v>0</v>
      </c>
      <c r="AA93" s="352">
        <f t="shared" si="15"/>
        <v>0</v>
      </c>
      <c r="AB93" s="352">
        <f t="shared" si="15"/>
        <v>0</v>
      </c>
    </row>
    <row r="94" spans="2:28">
      <c r="B94" s="194" t="s">
        <v>289</v>
      </c>
      <c r="C94" s="351"/>
      <c r="D94" s="352">
        <f t="shared" si="13"/>
        <v>0</v>
      </c>
      <c r="E94" s="352">
        <f t="shared" si="13"/>
        <v>0</v>
      </c>
      <c r="F94" s="352">
        <f t="shared" si="13"/>
        <v>0</v>
      </c>
      <c r="G94" s="352">
        <f t="shared" si="13"/>
        <v>0</v>
      </c>
      <c r="H94" s="352">
        <f t="shared" si="13"/>
        <v>0</v>
      </c>
      <c r="I94" s="352">
        <f t="shared" ref="I94:K94" si="16">-IFERROR(INDEX($C89:$AB89,MATCH(I$82-$G73,$C$82:$AB$82,0)),0)</f>
        <v>0</v>
      </c>
      <c r="J94" s="352">
        <f t="shared" si="16"/>
        <v>0</v>
      </c>
      <c r="K94" s="352">
        <f t="shared" si="16"/>
        <v>0</v>
      </c>
      <c r="L94" s="352">
        <f t="shared" ref="L94:AB94" si="17">-IFERROR(INDEX($C89:$AB89,MATCH(L$82-$G73,$C$82:$AB$82,0)),0)</f>
        <v>0</v>
      </c>
      <c r="M94" s="352">
        <f t="shared" si="17"/>
        <v>0</v>
      </c>
      <c r="N94" s="352">
        <f t="shared" si="17"/>
        <v>0</v>
      </c>
      <c r="O94" s="352">
        <f t="shared" si="17"/>
        <v>0</v>
      </c>
      <c r="P94" s="352">
        <f t="shared" si="17"/>
        <v>0</v>
      </c>
      <c r="Q94" s="352">
        <f t="shared" si="17"/>
        <v>0</v>
      </c>
      <c r="R94" s="352">
        <f t="shared" si="17"/>
        <v>0</v>
      </c>
      <c r="S94" s="352">
        <f t="shared" si="17"/>
        <v>0</v>
      </c>
      <c r="T94" s="352">
        <f t="shared" si="17"/>
        <v>0</v>
      </c>
      <c r="U94" s="352">
        <f t="shared" si="17"/>
        <v>-18.75</v>
      </c>
      <c r="V94" s="352">
        <f t="shared" si="17"/>
        <v>-18.75</v>
      </c>
      <c r="W94" s="352">
        <f t="shared" si="17"/>
        <v>0</v>
      </c>
      <c r="X94" s="352">
        <f t="shared" si="17"/>
        <v>0</v>
      </c>
      <c r="Y94" s="352">
        <f t="shared" si="17"/>
        <v>0</v>
      </c>
      <c r="Z94" s="352">
        <f t="shared" si="17"/>
        <v>0</v>
      </c>
      <c r="AA94" s="352">
        <f t="shared" si="17"/>
        <v>0</v>
      </c>
      <c r="AB94" s="352">
        <f t="shared" si="17"/>
        <v>0</v>
      </c>
    </row>
    <row r="95" spans="2:28">
      <c r="B95" s="194" t="s">
        <v>290</v>
      </c>
      <c r="C95" s="351"/>
      <c r="D95" s="352">
        <f t="shared" si="13"/>
        <v>0</v>
      </c>
      <c r="E95" s="352">
        <f t="shared" si="13"/>
        <v>0</v>
      </c>
      <c r="F95" s="352">
        <f t="shared" si="13"/>
        <v>0</v>
      </c>
      <c r="G95" s="352">
        <f t="shared" si="13"/>
        <v>0</v>
      </c>
      <c r="H95" s="352">
        <f t="shared" si="13"/>
        <v>0</v>
      </c>
      <c r="I95" s="352">
        <f t="shared" ref="I95:K95" si="18">-IFERROR(INDEX($C90:$AB90,MATCH(I$82-$G74,$C$82:$AB$82,0)),0)</f>
        <v>0</v>
      </c>
      <c r="J95" s="352">
        <f t="shared" si="18"/>
        <v>0</v>
      </c>
      <c r="K95" s="352">
        <f t="shared" si="18"/>
        <v>0</v>
      </c>
      <c r="L95" s="352">
        <f t="shared" ref="L95:AB95" si="19">-IFERROR(INDEX($C90:$AB90,MATCH(L$82-$G74,$C$82:$AB$82,0)),0)</f>
        <v>0</v>
      </c>
      <c r="M95" s="352">
        <f t="shared" si="19"/>
        <v>0</v>
      </c>
      <c r="N95" s="352">
        <f t="shared" si="19"/>
        <v>0</v>
      </c>
      <c r="O95" s="352">
        <f t="shared" si="19"/>
        <v>0</v>
      </c>
      <c r="P95" s="352">
        <f t="shared" si="19"/>
        <v>0</v>
      </c>
      <c r="Q95" s="352">
        <f t="shared" si="19"/>
        <v>0</v>
      </c>
      <c r="R95" s="352">
        <f t="shared" si="19"/>
        <v>0</v>
      </c>
      <c r="S95" s="352">
        <f t="shared" si="19"/>
        <v>0</v>
      </c>
      <c r="T95" s="352">
        <f t="shared" si="19"/>
        <v>0</v>
      </c>
      <c r="U95" s="352">
        <f t="shared" si="19"/>
        <v>-56.25</v>
      </c>
      <c r="V95" s="352">
        <f t="shared" si="19"/>
        <v>-56.25</v>
      </c>
      <c r="W95" s="352">
        <f t="shared" si="19"/>
        <v>0</v>
      </c>
      <c r="X95" s="352">
        <f t="shared" si="19"/>
        <v>0</v>
      </c>
      <c r="Y95" s="352">
        <f t="shared" si="19"/>
        <v>0</v>
      </c>
      <c r="Z95" s="352">
        <f t="shared" si="19"/>
        <v>0</v>
      </c>
      <c r="AA95" s="352">
        <f t="shared" si="19"/>
        <v>0</v>
      </c>
      <c r="AB95" s="352">
        <f t="shared" si="19"/>
        <v>0</v>
      </c>
    </row>
    <row r="96" spans="2:28">
      <c r="B96" s="194" t="s">
        <v>291</v>
      </c>
      <c r="C96" s="351"/>
      <c r="D96" s="352">
        <f t="shared" si="13"/>
        <v>0</v>
      </c>
      <c r="E96" s="352">
        <f t="shared" si="13"/>
        <v>0</v>
      </c>
      <c r="F96" s="352">
        <f t="shared" si="13"/>
        <v>0</v>
      </c>
      <c r="G96" s="352">
        <f t="shared" si="13"/>
        <v>0</v>
      </c>
      <c r="H96" s="352">
        <f t="shared" si="13"/>
        <v>0</v>
      </c>
      <c r="I96" s="352">
        <f t="shared" ref="I96:K96" si="20">-IFERROR(INDEX($C91:$AB91,MATCH(I$82-$G75,$C$82:$AB$82,0)),0)</f>
        <v>0</v>
      </c>
      <c r="J96" s="352">
        <f t="shared" si="20"/>
        <v>0</v>
      </c>
      <c r="K96" s="352">
        <f t="shared" si="20"/>
        <v>0</v>
      </c>
      <c r="L96" s="352">
        <f t="shared" ref="L96:AB96" si="21">-IFERROR(INDEX($C91:$AB91,MATCH(L$82-$G75,$C$82:$AB$82,0)),0)</f>
        <v>0</v>
      </c>
      <c r="M96" s="352">
        <f t="shared" si="21"/>
        <v>0</v>
      </c>
      <c r="N96" s="352">
        <f t="shared" si="21"/>
        <v>0</v>
      </c>
      <c r="O96" s="352">
        <f t="shared" si="21"/>
        <v>0</v>
      </c>
      <c r="P96" s="352">
        <f t="shared" si="21"/>
        <v>0</v>
      </c>
      <c r="Q96" s="352">
        <f t="shared" si="21"/>
        <v>0</v>
      </c>
      <c r="R96" s="352">
        <f t="shared" si="21"/>
        <v>0</v>
      </c>
      <c r="S96" s="352">
        <f t="shared" si="21"/>
        <v>0</v>
      </c>
      <c r="T96" s="352">
        <f t="shared" si="21"/>
        <v>0</v>
      </c>
      <c r="U96" s="352">
        <f t="shared" si="21"/>
        <v>-18.75</v>
      </c>
      <c r="V96" s="352">
        <f t="shared" si="21"/>
        <v>-18.75</v>
      </c>
      <c r="W96" s="352">
        <f t="shared" si="21"/>
        <v>0</v>
      </c>
      <c r="X96" s="352">
        <f t="shared" si="21"/>
        <v>0</v>
      </c>
      <c r="Y96" s="352">
        <f t="shared" si="21"/>
        <v>0</v>
      </c>
      <c r="Z96" s="352">
        <f t="shared" si="21"/>
        <v>0</v>
      </c>
      <c r="AA96" s="352">
        <f t="shared" si="21"/>
        <v>0</v>
      </c>
      <c r="AB96" s="352">
        <f t="shared" si="21"/>
        <v>0</v>
      </c>
    </row>
    <row r="98" spans="2:28">
      <c r="B98" s="194" t="s">
        <v>292</v>
      </c>
      <c r="C98" s="351"/>
      <c r="D98" s="352">
        <f t="shared" ref="D98:AB101" si="22">SUM(D83,D88,D93)</f>
        <v>0</v>
      </c>
      <c r="E98" s="352">
        <f t="shared" si="22"/>
        <v>56.25</v>
      </c>
      <c r="F98" s="352">
        <f t="shared" si="22"/>
        <v>112.5</v>
      </c>
      <c r="G98" s="352">
        <f t="shared" si="22"/>
        <v>112.5</v>
      </c>
      <c r="H98" s="352">
        <f t="shared" si="22"/>
        <v>112.5</v>
      </c>
      <c r="I98" s="352">
        <f t="shared" si="22"/>
        <v>112.5</v>
      </c>
      <c r="J98" s="352">
        <f t="shared" si="22"/>
        <v>112.5</v>
      </c>
      <c r="K98" s="352">
        <f t="shared" si="22"/>
        <v>112.5</v>
      </c>
      <c r="L98" s="352">
        <f t="shared" si="22"/>
        <v>112.5</v>
      </c>
      <c r="M98" s="352">
        <f t="shared" si="22"/>
        <v>112.5</v>
      </c>
      <c r="N98" s="352">
        <f t="shared" si="22"/>
        <v>112.5</v>
      </c>
      <c r="O98" s="352">
        <f t="shared" si="22"/>
        <v>112.5</v>
      </c>
      <c r="P98" s="352">
        <f t="shared" si="22"/>
        <v>112.5</v>
      </c>
      <c r="Q98" s="352">
        <f t="shared" si="22"/>
        <v>112.5</v>
      </c>
      <c r="R98" s="352">
        <f t="shared" si="22"/>
        <v>112.5</v>
      </c>
      <c r="S98" s="352">
        <f t="shared" si="22"/>
        <v>112.5</v>
      </c>
      <c r="T98" s="352">
        <f t="shared" si="22"/>
        <v>112.5</v>
      </c>
      <c r="U98" s="352">
        <f t="shared" si="22"/>
        <v>56.25</v>
      </c>
      <c r="V98" s="352">
        <f t="shared" si="22"/>
        <v>0</v>
      </c>
      <c r="W98" s="352">
        <f t="shared" si="22"/>
        <v>0</v>
      </c>
      <c r="X98" s="352">
        <f t="shared" si="22"/>
        <v>0</v>
      </c>
      <c r="Y98" s="352">
        <f t="shared" si="22"/>
        <v>0</v>
      </c>
      <c r="Z98" s="352">
        <f t="shared" si="22"/>
        <v>0</v>
      </c>
      <c r="AA98" s="352">
        <f t="shared" si="22"/>
        <v>0</v>
      </c>
      <c r="AB98" s="352">
        <f t="shared" si="22"/>
        <v>0</v>
      </c>
    </row>
    <row r="99" spans="2:28">
      <c r="B99" s="194" t="s">
        <v>293</v>
      </c>
      <c r="C99" s="351"/>
      <c r="D99" s="352">
        <f t="shared" si="22"/>
        <v>0</v>
      </c>
      <c r="E99" s="352">
        <f t="shared" si="22"/>
        <v>18.75</v>
      </c>
      <c r="F99" s="352">
        <f t="shared" si="22"/>
        <v>37.5</v>
      </c>
      <c r="G99" s="352">
        <f t="shared" si="22"/>
        <v>37.5</v>
      </c>
      <c r="H99" s="352">
        <f t="shared" si="22"/>
        <v>37.5</v>
      </c>
      <c r="I99" s="352">
        <f t="shared" si="22"/>
        <v>37.5</v>
      </c>
      <c r="J99" s="352">
        <f t="shared" si="22"/>
        <v>37.5</v>
      </c>
      <c r="K99" s="352">
        <f t="shared" si="22"/>
        <v>37.5</v>
      </c>
      <c r="L99" s="352">
        <f t="shared" si="22"/>
        <v>37.5</v>
      </c>
      <c r="M99" s="352">
        <f t="shared" si="22"/>
        <v>37.5</v>
      </c>
      <c r="N99" s="352">
        <f t="shared" si="22"/>
        <v>37.5</v>
      </c>
      <c r="O99" s="352">
        <f t="shared" si="22"/>
        <v>37.5</v>
      </c>
      <c r="P99" s="352">
        <f t="shared" si="22"/>
        <v>37.5</v>
      </c>
      <c r="Q99" s="352">
        <f t="shared" si="22"/>
        <v>37.5</v>
      </c>
      <c r="R99" s="352">
        <f t="shared" si="22"/>
        <v>37.5</v>
      </c>
      <c r="S99" s="352">
        <f t="shared" si="22"/>
        <v>37.5</v>
      </c>
      <c r="T99" s="352">
        <f t="shared" si="22"/>
        <v>37.5</v>
      </c>
      <c r="U99" s="352">
        <f t="shared" si="22"/>
        <v>18.75</v>
      </c>
      <c r="V99" s="352">
        <f t="shared" si="22"/>
        <v>0</v>
      </c>
      <c r="W99" s="352">
        <f t="shared" si="22"/>
        <v>0</v>
      </c>
      <c r="X99" s="352">
        <f t="shared" si="22"/>
        <v>0</v>
      </c>
      <c r="Y99" s="352">
        <f t="shared" si="22"/>
        <v>0</v>
      </c>
      <c r="Z99" s="352">
        <f t="shared" si="22"/>
        <v>0</v>
      </c>
      <c r="AA99" s="352">
        <f t="shared" si="22"/>
        <v>0</v>
      </c>
      <c r="AB99" s="352">
        <f t="shared" si="22"/>
        <v>0</v>
      </c>
    </row>
    <row r="100" spans="2:28">
      <c r="B100" s="194" t="s">
        <v>294</v>
      </c>
      <c r="C100" s="351"/>
      <c r="D100" s="352">
        <f t="shared" si="22"/>
        <v>0</v>
      </c>
      <c r="E100" s="352">
        <f t="shared" si="22"/>
        <v>56.25</v>
      </c>
      <c r="F100" s="352">
        <f t="shared" si="22"/>
        <v>112.5</v>
      </c>
      <c r="G100" s="352">
        <f t="shared" si="22"/>
        <v>112.5</v>
      </c>
      <c r="H100" s="352">
        <f t="shared" si="22"/>
        <v>112.5</v>
      </c>
      <c r="I100" s="352">
        <f t="shared" si="22"/>
        <v>112.5</v>
      </c>
      <c r="J100" s="352">
        <f t="shared" si="22"/>
        <v>112.5</v>
      </c>
      <c r="K100" s="352">
        <f t="shared" si="22"/>
        <v>112.5</v>
      </c>
      <c r="L100" s="352">
        <f t="shared" si="22"/>
        <v>112.5</v>
      </c>
      <c r="M100" s="352">
        <f t="shared" si="22"/>
        <v>112.5</v>
      </c>
      <c r="N100" s="352">
        <f t="shared" si="22"/>
        <v>112.5</v>
      </c>
      <c r="O100" s="352">
        <f t="shared" si="22"/>
        <v>112.5</v>
      </c>
      <c r="P100" s="352">
        <f t="shared" si="22"/>
        <v>112.5</v>
      </c>
      <c r="Q100" s="352">
        <f t="shared" si="22"/>
        <v>112.5</v>
      </c>
      <c r="R100" s="352">
        <f t="shared" si="22"/>
        <v>112.5</v>
      </c>
      <c r="S100" s="352">
        <f t="shared" si="22"/>
        <v>112.5</v>
      </c>
      <c r="T100" s="352">
        <f t="shared" si="22"/>
        <v>112.5</v>
      </c>
      <c r="U100" s="352">
        <f t="shared" si="22"/>
        <v>56.25</v>
      </c>
      <c r="V100" s="352">
        <f t="shared" si="22"/>
        <v>0</v>
      </c>
      <c r="W100" s="352">
        <f t="shared" si="22"/>
        <v>0</v>
      </c>
      <c r="X100" s="352">
        <f t="shared" si="22"/>
        <v>0</v>
      </c>
      <c r="Y100" s="352">
        <f t="shared" si="22"/>
        <v>0</v>
      </c>
      <c r="Z100" s="352">
        <f t="shared" si="22"/>
        <v>0</v>
      </c>
      <c r="AA100" s="352">
        <f t="shared" si="22"/>
        <v>0</v>
      </c>
      <c r="AB100" s="352">
        <f t="shared" si="22"/>
        <v>0</v>
      </c>
    </row>
    <row r="101" spans="2:28">
      <c r="B101" s="194" t="s">
        <v>295</v>
      </c>
      <c r="C101" s="351"/>
      <c r="D101" s="352">
        <f t="shared" si="22"/>
        <v>0</v>
      </c>
      <c r="E101" s="352">
        <f t="shared" si="22"/>
        <v>18.75</v>
      </c>
      <c r="F101" s="352">
        <f t="shared" si="22"/>
        <v>37.5</v>
      </c>
      <c r="G101" s="352">
        <f t="shared" si="22"/>
        <v>37.5</v>
      </c>
      <c r="H101" s="352">
        <f t="shared" si="22"/>
        <v>37.5</v>
      </c>
      <c r="I101" s="352">
        <f t="shared" si="22"/>
        <v>37.5</v>
      </c>
      <c r="J101" s="352">
        <f t="shared" si="22"/>
        <v>37.5</v>
      </c>
      <c r="K101" s="352">
        <f t="shared" si="22"/>
        <v>37.5</v>
      </c>
      <c r="L101" s="352">
        <f t="shared" si="22"/>
        <v>37.5</v>
      </c>
      <c r="M101" s="352">
        <f t="shared" si="22"/>
        <v>37.5</v>
      </c>
      <c r="N101" s="352">
        <f t="shared" si="22"/>
        <v>37.5</v>
      </c>
      <c r="O101" s="352">
        <f t="shared" si="22"/>
        <v>37.5</v>
      </c>
      <c r="P101" s="352">
        <f t="shared" si="22"/>
        <v>37.5</v>
      </c>
      <c r="Q101" s="352">
        <f t="shared" si="22"/>
        <v>37.5</v>
      </c>
      <c r="R101" s="352">
        <f t="shared" si="22"/>
        <v>37.5</v>
      </c>
      <c r="S101" s="352">
        <f t="shared" si="22"/>
        <v>37.5</v>
      </c>
      <c r="T101" s="352">
        <f t="shared" si="22"/>
        <v>37.5</v>
      </c>
      <c r="U101" s="352">
        <f t="shared" si="22"/>
        <v>18.75</v>
      </c>
      <c r="V101" s="352">
        <f t="shared" si="22"/>
        <v>0</v>
      </c>
      <c r="W101" s="352">
        <f t="shared" si="22"/>
        <v>0</v>
      </c>
      <c r="X101" s="352">
        <f t="shared" si="22"/>
        <v>0</v>
      </c>
      <c r="Y101" s="352">
        <f t="shared" si="22"/>
        <v>0</v>
      </c>
      <c r="Z101" s="352">
        <f t="shared" si="22"/>
        <v>0</v>
      </c>
      <c r="AA101" s="352">
        <f t="shared" si="22"/>
        <v>0</v>
      </c>
      <c r="AB101" s="352">
        <f t="shared" si="22"/>
        <v>0</v>
      </c>
    </row>
    <row r="103" spans="2:28">
      <c r="B103" s="216" t="s">
        <v>197</v>
      </c>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row>
    <row r="104" spans="2:28">
      <c r="B104" s="362" t="s">
        <v>180</v>
      </c>
      <c r="C104" s="362">
        <v>2025</v>
      </c>
      <c r="D104" s="362">
        <f>C104+1</f>
        <v>2026</v>
      </c>
      <c r="E104" s="362">
        <f t="shared" ref="E104:AB104" si="23">D104+1</f>
        <v>2027</v>
      </c>
      <c r="F104" s="362">
        <f t="shared" si="23"/>
        <v>2028</v>
      </c>
      <c r="G104" s="362">
        <f t="shared" si="23"/>
        <v>2029</v>
      </c>
      <c r="H104" s="362">
        <f t="shared" si="23"/>
        <v>2030</v>
      </c>
      <c r="I104" s="362">
        <f t="shared" si="23"/>
        <v>2031</v>
      </c>
      <c r="J104" s="362">
        <f t="shared" si="23"/>
        <v>2032</v>
      </c>
      <c r="K104" s="362">
        <f t="shared" si="23"/>
        <v>2033</v>
      </c>
      <c r="L104" s="362">
        <f>K104+1</f>
        <v>2034</v>
      </c>
      <c r="M104" s="362">
        <f t="shared" si="23"/>
        <v>2035</v>
      </c>
      <c r="N104" s="362">
        <f t="shared" si="23"/>
        <v>2036</v>
      </c>
      <c r="O104" s="362">
        <f t="shared" si="23"/>
        <v>2037</v>
      </c>
      <c r="P104" s="362">
        <f t="shared" si="23"/>
        <v>2038</v>
      </c>
      <c r="Q104" s="362">
        <f t="shared" si="23"/>
        <v>2039</v>
      </c>
      <c r="R104" s="362">
        <f t="shared" si="23"/>
        <v>2040</v>
      </c>
      <c r="S104" s="362">
        <f t="shared" si="23"/>
        <v>2041</v>
      </c>
      <c r="T104" s="362">
        <f t="shared" si="23"/>
        <v>2042</v>
      </c>
      <c r="U104" s="362">
        <f t="shared" si="23"/>
        <v>2043</v>
      </c>
      <c r="V104" s="362">
        <f t="shared" si="23"/>
        <v>2044</v>
      </c>
      <c r="W104" s="362">
        <f t="shared" si="23"/>
        <v>2045</v>
      </c>
      <c r="X104" s="362">
        <f t="shared" si="23"/>
        <v>2046</v>
      </c>
      <c r="Y104" s="362">
        <f t="shared" si="23"/>
        <v>2047</v>
      </c>
      <c r="Z104" s="362">
        <f t="shared" si="23"/>
        <v>2048</v>
      </c>
      <c r="AA104" s="362">
        <f t="shared" si="23"/>
        <v>2049</v>
      </c>
      <c r="AB104" s="362">
        <f t="shared" si="23"/>
        <v>2050</v>
      </c>
    </row>
    <row r="105" spans="2:28">
      <c r="B105" s="194" t="s">
        <v>296</v>
      </c>
      <c r="C105" s="351"/>
      <c r="D105" s="352">
        <f>(D83+D88*0.5)*(($I72*'EPA Emission Factors Hub'!$R$39+$J72*'EPA Emission Factors Hub'!$R$56)/10^6+$K72*'EPA Grid Emission Factors'!K$23/10^3)</f>
        <v>0</v>
      </c>
      <c r="E105" s="352">
        <f>(E83+E88*0.5)*(($I72*'EPA Emission Factors Hub'!$R$39+$J72*'EPA Emission Factors Hub'!$R$56)/10^6+$K72*'EPA Grid Emission Factors'!L$23/10^3)</f>
        <v>0</v>
      </c>
      <c r="F105" s="352">
        <f>(F83+F88*0.5)*(($I72*'EPA Emission Factors Hub'!$R$39+$J72*'EPA Emission Factors Hub'!$R$56)/10^6+$K72*'EPA Grid Emission Factors'!M$23/10^3)</f>
        <v>0</v>
      </c>
      <c r="G105" s="352">
        <f>(G83+G88*0.5)*(($I72*'EPA Emission Factors Hub'!$R$39+$J72*'EPA Emission Factors Hub'!$R$56)/10^6+$K72*'EPA Grid Emission Factors'!N$23/10^3)</f>
        <v>0</v>
      </c>
      <c r="H105" s="352">
        <f>(H83+H88*0.5)*(($I72*'EPA Emission Factors Hub'!$R$39+$J72*'EPA Emission Factors Hub'!$R$56)/10^6+$K72*'EPA Grid Emission Factors'!O$23/10^3)</f>
        <v>0</v>
      </c>
      <c r="I105" s="352">
        <f>(I83+I88*0.5)*(($I72*'EPA Emission Factors Hub'!$R$39+$J72*'EPA Emission Factors Hub'!$R$56)/10^6+$K72*'EPA Grid Emission Factors'!P$23/10^3)</f>
        <v>0</v>
      </c>
      <c r="J105" s="352">
        <f>(J83+J88*0.5)*(($I72*'EPA Emission Factors Hub'!$R$39+$J72*'EPA Emission Factors Hub'!$R$56)/10^6+$K72*'EPA Grid Emission Factors'!Q$23/10^3)</f>
        <v>0</v>
      </c>
      <c r="K105" s="352">
        <f>(K83+K88*0.5)*(($I72*'EPA Emission Factors Hub'!$R$39+$J72*'EPA Emission Factors Hub'!$R$56)/10^6+$K72*'EPA Grid Emission Factors'!R$23/10^3)</f>
        <v>0</v>
      </c>
      <c r="L105" s="352">
        <f>(L83+L88*0.5)*(($I72*'EPA Emission Factors Hub'!$R$39+$J72*'EPA Emission Factors Hub'!$R$56)/10^6+$K72*'EPA Grid Emission Factors'!S$23/10^3)</f>
        <v>0</v>
      </c>
      <c r="M105" s="352">
        <f>(M83+M88*0.5)*(($I72*'EPA Emission Factors Hub'!$R$39+$J72*'EPA Emission Factors Hub'!$R$56)/10^6+$K72*'EPA Grid Emission Factors'!T$23/10^3)</f>
        <v>0</v>
      </c>
      <c r="N105" s="352">
        <f>(N83+N88*0.5)*(($I72*'EPA Emission Factors Hub'!$R$39+$J72*'EPA Emission Factors Hub'!$R$56)/10^6+$K72*'EPA Grid Emission Factors'!U$23/10^3)</f>
        <v>0</v>
      </c>
      <c r="O105" s="352">
        <f>(O83+O88*0.5)*(($I72*'EPA Emission Factors Hub'!$R$39+$J72*'EPA Emission Factors Hub'!$R$56)/10^6+$K72*'EPA Grid Emission Factors'!V$23/10^3)</f>
        <v>0</v>
      </c>
      <c r="P105" s="352">
        <f>(P83+P88*0.5)*(($I72*'EPA Emission Factors Hub'!$R$39+$J72*'EPA Emission Factors Hub'!$R$56)/10^6+$K72*'EPA Grid Emission Factors'!W$23/10^3)</f>
        <v>0</v>
      </c>
      <c r="Q105" s="352">
        <f>(Q83+Q88*0.5)*(($I72*'EPA Emission Factors Hub'!$R$39+$J72*'EPA Emission Factors Hub'!$R$56)/10^6+$K72*'EPA Grid Emission Factors'!X$23/10^3)</f>
        <v>0</v>
      </c>
      <c r="R105" s="352">
        <f>(R83+R88*0.5)*(($I72*'EPA Emission Factors Hub'!$R$39+$J72*'EPA Emission Factors Hub'!$R$56)/10^6+$K72*'EPA Grid Emission Factors'!Y$23/10^3)</f>
        <v>0</v>
      </c>
      <c r="S105" s="352">
        <f>(S83+S88*0.5)*(($I72*'EPA Emission Factors Hub'!$R$39+$J72*'EPA Emission Factors Hub'!$R$56)/10^6+$K72*'EPA Grid Emission Factors'!Z$23/10^3)</f>
        <v>0</v>
      </c>
      <c r="T105" s="352">
        <f>(T83+T88*0.5)*(($I72*'EPA Emission Factors Hub'!$R$39+$J72*'EPA Emission Factors Hub'!$R$56)/10^6+$K72*'EPA Grid Emission Factors'!AA$23/10^3)</f>
        <v>0</v>
      </c>
      <c r="U105" s="352">
        <f>(U83+U88*0.5)*(($I72*'EPA Emission Factors Hub'!$R$39+$J72*'EPA Emission Factors Hub'!$R$56)/10^6+$K72*'EPA Grid Emission Factors'!AB$23/10^3)</f>
        <v>0</v>
      </c>
      <c r="V105" s="352">
        <f>(V83+V88*0.5)*(($I72*'EPA Emission Factors Hub'!$R$39+$J72*'EPA Emission Factors Hub'!$R$56)/10^6+$K72*'EPA Grid Emission Factors'!AC$23/10^3)</f>
        <v>0</v>
      </c>
      <c r="W105" s="352">
        <f>(W83+W88*0.5)*(($I72*'EPA Emission Factors Hub'!$R$39+$J72*'EPA Emission Factors Hub'!$R$56)/10^6+$K72*'EPA Grid Emission Factors'!AD$23/10^3)</f>
        <v>0</v>
      </c>
      <c r="X105" s="352">
        <f>(X83+X88*0.5)*(($I72*'EPA Emission Factors Hub'!$R$39+$J72*'EPA Emission Factors Hub'!$R$56)/10^6+$K72*'EPA Grid Emission Factors'!AE$23/10^3)</f>
        <v>0</v>
      </c>
      <c r="Y105" s="352">
        <f>(Y83+Y88*0.5)*(($I72*'EPA Emission Factors Hub'!$R$39+$J72*'EPA Emission Factors Hub'!$R$56)/10^6+$K72*'EPA Grid Emission Factors'!AF$23/10^3)</f>
        <v>0</v>
      </c>
      <c r="Z105" s="352">
        <f>(Z83+Z88*0.5)*(($I72*'EPA Emission Factors Hub'!$R$39+$J72*'EPA Emission Factors Hub'!$R$56)/10^6+$K72*'EPA Grid Emission Factors'!AG$23/10^3)</f>
        <v>0</v>
      </c>
      <c r="AA105" s="352">
        <f>(AA83+AA88*0.5)*(($I72*'EPA Emission Factors Hub'!$R$39+$J72*'EPA Emission Factors Hub'!$R$56)/10^6+$K72*'EPA Grid Emission Factors'!AH$23/10^3)</f>
        <v>0</v>
      </c>
      <c r="AB105" s="352">
        <f>(AB83+AB88*0.5)*(($I72*'EPA Emission Factors Hub'!$R$39+$J72*'EPA Emission Factors Hub'!$R$56)/10^6+$K72*'EPA Grid Emission Factors'!AI$23/10^3)</f>
        <v>0</v>
      </c>
    </row>
    <row r="106" spans="2:28">
      <c r="B106" s="194" t="s">
        <v>297</v>
      </c>
      <c r="C106" s="351"/>
      <c r="D106" s="352">
        <f>(D84+D89*0.5)*(($I73*'EPA Emission Factors Hub'!$R$39+$J73*'EPA Emission Factors Hub'!$R$56)/10^6+$K73*'EPA Grid Emission Factors'!K$23/10^3)</f>
        <v>0</v>
      </c>
      <c r="E106" s="352">
        <f>(E84+E89*0.5)*(($I73*'EPA Emission Factors Hub'!$R$39+$J73*'EPA Emission Factors Hub'!$R$56)/10^6+$K73*'EPA Grid Emission Factors'!L$23/10^3)</f>
        <v>0</v>
      </c>
      <c r="F106" s="352">
        <f>(F84+F89*0.5)*(($I73*'EPA Emission Factors Hub'!$R$39+$J73*'EPA Emission Factors Hub'!$R$56)/10^6+$K73*'EPA Grid Emission Factors'!M$23/10^3)</f>
        <v>0</v>
      </c>
      <c r="G106" s="352">
        <f>(G84+G89*0.5)*(($I73*'EPA Emission Factors Hub'!$R$39+$J73*'EPA Emission Factors Hub'!$R$56)/10^6+$K73*'EPA Grid Emission Factors'!N$23/10^3)</f>
        <v>0</v>
      </c>
      <c r="H106" s="352">
        <f>(H84+H89*0.5)*(($I73*'EPA Emission Factors Hub'!$R$39+$J73*'EPA Emission Factors Hub'!$R$56)/10^6+$K73*'EPA Grid Emission Factors'!O$23/10^3)</f>
        <v>0</v>
      </c>
      <c r="I106" s="352">
        <f>(I84+I89*0.5)*(($I73*'EPA Emission Factors Hub'!$R$39+$J73*'EPA Emission Factors Hub'!$R$56)/10^6+$K73*'EPA Grid Emission Factors'!P$23/10^3)</f>
        <v>0</v>
      </c>
      <c r="J106" s="352">
        <f>(J84+J89*0.5)*(($I73*'EPA Emission Factors Hub'!$R$39+$J73*'EPA Emission Factors Hub'!$R$56)/10^6+$K73*'EPA Grid Emission Factors'!Q$23/10^3)</f>
        <v>0</v>
      </c>
      <c r="K106" s="352">
        <f>(K84+K89*0.5)*(($I73*'EPA Emission Factors Hub'!$R$39+$J73*'EPA Emission Factors Hub'!$R$56)/10^6+$K73*'EPA Grid Emission Factors'!R$23/10^3)</f>
        <v>0</v>
      </c>
      <c r="L106" s="352">
        <f>(L84+L89*0.5)*(($I73*'EPA Emission Factors Hub'!$R$39+$J73*'EPA Emission Factors Hub'!$R$56)/10^6+$K73*'EPA Grid Emission Factors'!S$23/10^3)</f>
        <v>0</v>
      </c>
      <c r="M106" s="352">
        <f>(M84+M89*0.5)*(($I73*'EPA Emission Factors Hub'!$R$39+$J73*'EPA Emission Factors Hub'!$R$56)/10^6+$K73*'EPA Grid Emission Factors'!T$23/10^3)</f>
        <v>0</v>
      </c>
      <c r="N106" s="352">
        <f>(N84+N89*0.5)*(($I73*'EPA Emission Factors Hub'!$R$39+$J73*'EPA Emission Factors Hub'!$R$56)/10^6+$K73*'EPA Grid Emission Factors'!U$23/10^3)</f>
        <v>0</v>
      </c>
      <c r="O106" s="352">
        <f>(O84+O89*0.5)*(($I73*'EPA Emission Factors Hub'!$R$39+$J73*'EPA Emission Factors Hub'!$R$56)/10^6+$K73*'EPA Grid Emission Factors'!V$23/10^3)</f>
        <v>0</v>
      </c>
      <c r="P106" s="352">
        <f>(P84+P89*0.5)*(($I73*'EPA Emission Factors Hub'!$R$39+$J73*'EPA Emission Factors Hub'!$R$56)/10^6+$K73*'EPA Grid Emission Factors'!W$23/10^3)</f>
        <v>0</v>
      </c>
      <c r="Q106" s="352">
        <f>(Q84+Q89*0.5)*(($I73*'EPA Emission Factors Hub'!$R$39+$J73*'EPA Emission Factors Hub'!$R$56)/10^6+$K73*'EPA Grid Emission Factors'!X$23/10^3)</f>
        <v>0</v>
      </c>
      <c r="R106" s="352">
        <f>(R84+R89*0.5)*(($I73*'EPA Emission Factors Hub'!$R$39+$J73*'EPA Emission Factors Hub'!$R$56)/10^6+$K73*'EPA Grid Emission Factors'!Y$23/10^3)</f>
        <v>0</v>
      </c>
      <c r="S106" s="352">
        <f>(S84+S89*0.5)*(($I73*'EPA Emission Factors Hub'!$R$39+$J73*'EPA Emission Factors Hub'!$R$56)/10^6+$K73*'EPA Grid Emission Factors'!Z$23/10^3)</f>
        <v>0</v>
      </c>
      <c r="T106" s="352">
        <f>(T84+T89*0.5)*(($I73*'EPA Emission Factors Hub'!$R$39+$J73*'EPA Emission Factors Hub'!$R$56)/10^6+$K73*'EPA Grid Emission Factors'!AA$23/10^3)</f>
        <v>0</v>
      </c>
      <c r="U106" s="352">
        <f>(U84+U89*0.5)*(($I73*'EPA Emission Factors Hub'!$R$39+$J73*'EPA Emission Factors Hub'!$R$56)/10^6+$K73*'EPA Grid Emission Factors'!AB$23/10^3)</f>
        <v>0</v>
      </c>
      <c r="V106" s="352">
        <f>(V84+V89*0.5)*(($I73*'EPA Emission Factors Hub'!$R$39+$J73*'EPA Emission Factors Hub'!$R$56)/10^6+$K73*'EPA Grid Emission Factors'!AC$23/10^3)</f>
        <v>0</v>
      </c>
      <c r="W106" s="352">
        <f>(W84+W89*0.5)*(($I73*'EPA Emission Factors Hub'!$R$39+$J73*'EPA Emission Factors Hub'!$R$56)/10^6+$K73*'EPA Grid Emission Factors'!AD$23/10^3)</f>
        <v>0</v>
      </c>
      <c r="X106" s="352">
        <f>(X84+X89*0.5)*(($I73*'EPA Emission Factors Hub'!$R$39+$J73*'EPA Emission Factors Hub'!$R$56)/10^6+$K73*'EPA Grid Emission Factors'!AE$23/10^3)</f>
        <v>0</v>
      </c>
      <c r="Y106" s="352">
        <f>(Y84+Y89*0.5)*(($I73*'EPA Emission Factors Hub'!$R$39+$J73*'EPA Emission Factors Hub'!$R$56)/10^6+$K73*'EPA Grid Emission Factors'!AF$23/10^3)</f>
        <v>0</v>
      </c>
      <c r="Z106" s="352">
        <f>(Z84+Z89*0.5)*(($I73*'EPA Emission Factors Hub'!$R$39+$J73*'EPA Emission Factors Hub'!$R$56)/10^6+$K73*'EPA Grid Emission Factors'!AG$23/10^3)</f>
        <v>0</v>
      </c>
      <c r="AA106" s="352">
        <f>(AA84+AA89*0.5)*(($I73*'EPA Emission Factors Hub'!$R$39+$J73*'EPA Emission Factors Hub'!$R$56)/10^6+$K73*'EPA Grid Emission Factors'!AH$23/10^3)</f>
        <v>0</v>
      </c>
      <c r="AB106" s="352">
        <f>(AB84+AB89*0.5)*(($I73*'EPA Emission Factors Hub'!$R$39+$J73*'EPA Emission Factors Hub'!$R$56)/10^6+$K73*'EPA Grid Emission Factors'!AI$23/10^3)</f>
        <v>0</v>
      </c>
    </row>
    <row r="107" spans="2:28">
      <c r="B107" s="431" t="s">
        <v>298</v>
      </c>
      <c r="C107" s="432"/>
      <c r="D107" s="433">
        <f>(D85+D90*0.5)*(($I74*'EPA Emission Factors Hub'!$R$39+$J74*'EPA Emission Factors Hub'!$R$56)/10^6+$K74*'EPA Grid Emission Factors'!K$23/10^3)</f>
        <v>0</v>
      </c>
      <c r="E107" s="433">
        <f>(E85+E90*0.5)*(($I74*'EPA Emission Factors Hub'!$R$39+$J74*'EPA Emission Factors Hub'!$R$56)/10^6+$K74*'EPA Grid Emission Factors'!L$23/10^3)</f>
        <v>0</v>
      </c>
      <c r="F107" s="433">
        <f>(F85+F90*0.5)*(($I74*'EPA Emission Factors Hub'!$R$39+$J74*'EPA Emission Factors Hub'!$R$56)/10^6+$K74*'EPA Grid Emission Factors'!M$23/10^3)</f>
        <v>0</v>
      </c>
      <c r="G107" s="433">
        <f>(G85+G90*0.5)*(($I74*'EPA Emission Factors Hub'!$R$39+$J74*'EPA Emission Factors Hub'!$R$56)/10^6+$K74*'EPA Grid Emission Factors'!N$23/10^3)</f>
        <v>0</v>
      </c>
      <c r="H107" s="433">
        <f>(H85+H90*0.5)*(($I74*'EPA Emission Factors Hub'!$R$39+$J74*'EPA Emission Factors Hub'!$R$56)/10^6+$K74*'EPA Grid Emission Factors'!O$23/10^3)</f>
        <v>0</v>
      </c>
      <c r="I107" s="433">
        <f>(I85+I90*0.5)*(($I74*'EPA Emission Factors Hub'!$R$39+$J74*'EPA Emission Factors Hub'!$R$56)/10^6+$K74*'EPA Grid Emission Factors'!P$23/10^3)</f>
        <v>0</v>
      </c>
      <c r="J107" s="433">
        <f>(J85+J90*0.5)*(($I74*'EPA Emission Factors Hub'!$R$39+$J74*'EPA Emission Factors Hub'!$R$56)/10^6+$K74*'EPA Grid Emission Factors'!Q$23/10^3)</f>
        <v>0</v>
      </c>
      <c r="K107" s="433">
        <f>(K85+K90*0.5)*(($I74*'EPA Emission Factors Hub'!$R$39+$J74*'EPA Emission Factors Hub'!$R$56)/10^6+$K74*'EPA Grid Emission Factors'!R$23/10^3)</f>
        <v>0</v>
      </c>
      <c r="L107" s="433">
        <f>(L85+L90*0.5)*(($I74*'EPA Emission Factors Hub'!$R$39+$J74*'EPA Emission Factors Hub'!$R$56)/10^6+$K74*'EPA Grid Emission Factors'!S$23/10^3)</f>
        <v>0</v>
      </c>
      <c r="M107" s="433">
        <f>(M85+M90*0.5)*(($I74*'EPA Emission Factors Hub'!$R$39+$J74*'EPA Emission Factors Hub'!$R$56)/10^6+$K74*'EPA Grid Emission Factors'!T$23/10^3)</f>
        <v>0</v>
      </c>
      <c r="N107" s="433">
        <f>(N85+N90*0.5)*(($I74*'EPA Emission Factors Hub'!$R$39+$J74*'EPA Emission Factors Hub'!$R$56)/10^6+$K74*'EPA Grid Emission Factors'!U$23/10^3)</f>
        <v>0</v>
      </c>
      <c r="O107" s="433">
        <f>(O85+O90*0.5)*(($I74*'EPA Emission Factors Hub'!$R$39+$J74*'EPA Emission Factors Hub'!$R$56)/10^6+$K74*'EPA Grid Emission Factors'!V$23/10^3)</f>
        <v>0</v>
      </c>
      <c r="P107" s="433">
        <f>(P85+P90*0.5)*(($I74*'EPA Emission Factors Hub'!$R$39+$J74*'EPA Emission Factors Hub'!$R$56)/10^6+$K74*'EPA Grid Emission Factors'!W$23/10^3)</f>
        <v>0</v>
      </c>
      <c r="Q107" s="433">
        <f>(Q85+Q90*0.5)*(($I74*'EPA Emission Factors Hub'!$R$39+$J74*'EPA Emission Factors Hub'!$R$56)/10^6+$K74*'EPA Grid Emission Factors'!X$23/10^3)</f>
        <v>0</v>
      </c>
      <c r="R107" s="433">
        <f>(R85+R90*0.5)*(($I74*'EPA Emission Factors Hub'!$R$39+$J74*'EPA Emission Factors Hub'!$R$56)/10^6+$K74*'EPA Grid Emission Factors'!Y$23/10^3)</f>
        <v>0</v>
      </c>
      <c r="S107" s="433">
        <f>(S85+S90*0.5)*(($I74*'EPA Emission Factors Hub'!$R$39+$J74*'EPA Emission Factors Hub'!$R$56)/10^6+$K74*'EPA Grid Emission Factors'!Z$23/10^3)</f>
        <v>0</v>
      </c>
      <c r="T107" s="433">
        <f>(T85+T90*0.5)*(($I74*'EPA Emission Factors Hub'!$R$39+$J74*'EPA Emission Factors Hub'!$R$56)/10^6+$K74*'EPA Grid Emission Factors'!AA$23/10^3)</f>
        <v>0</v>
      </c>
      <c r="U107" s="433">
        <f>(U85+U90*0.5)*(($I74*'EPA Emission Factors Hub'!$R$39+$J74*'EPA Emission Factors Hub'!$R$56)/10^6+$K74*'EPA Grid Emission Factors'!AB$23/10^3)</f>
        <v>0</v>
      </c>
      <c r="V107" s="433">
        <f>(V85+V90*0.5)*(($I74*'EPA Emission Factors Hub'!$R$39+$J74*'EPA Emission Factors Hub'!$R$56)/10^6+$K74*'EPA Grid Emission Factors'!AC$23/10^3)</f>
        <v>0</v>
      </c>
      <c r="W107" s="433">
        <f>(W85+W90*0.5)*(($I74*'EPA Emission Factors Hub'!$R$39+$J74*'EPA Emission Factors Hub'!$R$56)/10^6+$K74*'EPA Grid Emission Factors'!AD$23/10^3)</f>
        <v>0</v>
      </c>
      <c r="X107" s="433">
        <f>(X85+X90*0.5)*(($I74*'EPA Emission Factors Hub'!$R$39+$J74*'EPA Emission Factors Hub'!$R$56)/10^6+$K74*'EPA Grid Emission Factors'!AE$23/10^3)</f>
        <v>0</v>
      </c>
      <c r="Y107" s="433">
        <f>(Y85+Y90*0.5)*(($I74*'EPA Emission Factors Hub'!$R$39+$J74*'EPA Emission Factors Hub'!$R$56)/10^6+$K74*'EPA Grid Emission Factors'!AF$23/10^3)</f>
        <v>0</v>
      </c>
      <c r="Z107" s="433">
        <f>(Z85+Z90*0.5)*(($I74*'EPA Emission Factors Hub'!$R$39+$J74*'EPA Emission Factors Hub'!$R$56)/10^6+$K74*'EPA Grid Emission Factors'!AG$23/10^3)</f>
        <v>0</v>
      </c>
      <c r="AA107" s="433">
        <f>(AA85+AA90*0.5)*(($I74*'EPA Emission Factors Hub'!$R$39+$J74*'EPA Emission Factors Hub'!$R$56)/10^6+$K74*'EPA Grid Emission Factors'!AH$23/10^3)</f>
        <v>0</v>
      </c>
      <c r="AB107" s="433">
        <f>(AB85+AB90*0.5)*(($I74*'EPA Emission Factors Hub'!$R$39+$J74*'EPA Emission Factors Hub'!$R$56)/10^6+$K74*'EPA Grid Emission Factors'!AI$23/10^3)</f>
        <v>0</v>
      </c>
    </row>
    <row r="108" spans="2:28" ht="15.75" thickBot="1">
      <c r="B108" s="511" t="s">
        <v>299</v>
      </c>
      <c r="C108" s="512"/>
      <c r="D108" s="513">
        <f>(D86+D91*0.5)*(($I75*'EPA Emission Factors Hub'!$R$39+$J75*'EPA Emission Factors Hub'!$R$56)/10^6+$K75*'EPA Grid Emission Factors'!K$23/10^3)</f>
        <v>0</v>
      </c>
      <c r="E108" s="513">
        <f>(E86+E91*0.5)*(($I75*'EPA Emission Factors Hub'!$R$39+$J75*'EPA Emission Factors Hub'!$R$56)/10^6+$K75*'EPA Grid Emission Factors'!L$23/10^3)</f>
        <v>0</v>
      </c>
      <c r="F108" s="513">
        <f>(F86+F91*0.5)*(($I75*'EPA Emission Factors Hub'!$R$39+$J75*'EPA Emission Factors Hub'!$R$56)/10^6+$K75*'EPA Grid Emission Factors'!M$23/10^3)</f>
        <v>0</v>
      </c>
      <c r="G108" s="513">
        <f>(G86+G91*0.5)*(($I75*'EPA Emission Factors Hub'!$R$39+$J75*'EPA Emission Factors Hub'!$R$56)/10^6+$K75*'EPA Grid Emission Factors'!N$23/10^3)</f>
        <v>0</v>
      </c>
      <c r="H108" s="513">
        <f>(H86+H91*0.5)*(($I75*'EPA Emission Factors Hub'!$R$39+$J75*'EPA Emission Factors Hub'!$R$56)/10^6+$K75*'EPA Grid Emission Factors'!O$23/10^3)</f>
        <v>0</v>
      </c>
      <c r="I108" s="513">
        <f>(I86+I91*0.5)*(($I75*'EPA Emission Factors Hub'!$R$39+$J75*'EPA Emission Factors Hub'!$R$56)/10^6+$K75*'EPA Grid Emission Factors'!P$23/10^3)</f>
        <v>0</v>
      </c>
      <c r="J108" s="513">
        <f>(J86+J91*0.5)*(($I75*'EPA Emission Factors Hub'!$R$39+$J75*'EPA Emission Factors Hub'!$R$56)/10^6+$K75*'EPA Grid Emission Factors'!Q$23/10^3)</f>
        <v>0</v>
      </c>
      <c r="K108" s="513">
        <f>(K86+K91*0.5)*(($I75*'EPA Emission Factors Hub'!$R$39+$J75*'EPA Emission Factors Hub'!$R$56)/10^6+$K75*'EPA Grid Emission Factors'!R$23/10^3)</f>
        <v>0</v>
      </c>
      <c r="L108" s="513">
        <f>(L86+L91*0.5)*(($I75*'EPA Emission Factors Hub'!$R$39+$J75*'EPA Emission Factors Hub'!$R$56)/10^6+$K75*'EPA Grid Emission Factors'!S$23/10^3)</f>
        <v>0</v>
      </c>
      <c r="M108" s="513">
        <f>(M86+M91*0.5)*(($I75*'EPA Emission Factors Hub'!$R$39+$J75*'EPA Emission Factors Hub'!$R$56)/10^6+$K75*'EPA Grid Emission Factors'!T$23/10^3)</f>
        <v>0</v>
      </c>
      <c r="N108" s="513">
        <f>(N86+N91*0.5)*(($I75*'EPA Emission Factors Hub'!$R$39+$J75*'EPA Emission Factors Hub'!$R$56)/10^6+$K75*'EPA Grid Emission Factors'!U$23/10^3)</f>
        <v>0</v>
      </c>
      <c r="O108" s="513">
        <f>(O86+O91*0.5)*(($I75*'EPA Emission Factors Hub'!$R$39+$J75*'EPA Emission Factors Hub'!$R$56)/10^6+$K75*'EPA Grid Emission Factors'!V$23/10^3)</f>
        <v>0</v>
      </c>
      <c r="P108" s="513">
        <f>(P86+P91*0.5)*(($I75*'EPA Emission Factors Hub'!$R$39+$J75*'EPA Emission Factors Hub'!$R$56)/10^6+$K75*'EPA Grid Emission Factors'!W$23/10^3)</f>
        <v>0</v>
      </c>
      <c r="Q108" s="513">
        <f>(Q86+Q91*0.5)*(($I75*'EPA Emission Factors Hub'!$R$39+$J75*'EPA Emission Factors Hub'!$R$56)/10^6+$K75*'EPA Grid Emission Factors'!X$23/10^3)</f>
        <v>0</v>
      </c>
      <c r="R108" s="513">
        <f>(R86+R91*0.5)*(($I75*'EPA Emission Factors Hub'!$R$39+$J75*'EPA Emission Factors Hub'!$R$56)/10^6+$K75*'EPA Grid Emission Factors'!Y$23/10^3)</f>
        <v>0</v>
      </c>
      <c r="S108" s="513">
        <f>(S86+S91*0.5)*(($I75*'EPA Emission Factors Hub'!$R$39+$J75*'EPA Emission Factors Hub'!$R$56)/10^6+$K75*'EPA Grid Emission Factors'!Z$23/10^3)</f>
        <v>0</v>
      </c>
      <c r="T108" s="513">
        <f>(T86+T91*0.5)*(($I75*'EPA Emission Factors Hub'!$R$39+$J75*'EPA Emission Factors Hub'!$R$56)/10^6+$K75*'EPA Grid Emission Factors'!AA$23/10^3)</f>
        <v>0</v>
      </c>
      <c r="U108" s="513">
        <f>(U86+U91*0.5)*(($I75*'EPA Emission Factors Hub'!$R$39+$J75*'EPA Emission Factors Hub'!$R$56)/10^6+$K75*'EPA Grid Emission Factors'!AB$23/10^3)</f>
        <v>0</v>
      </c>
      <c r="V108" s="513">
        <f>(V86+V91*0.5)*(($I75*'EPA Emission Factors Hub'!$R$39+$J75*'EPA Emission Factors Hub'!$R$56)/10^6+$K75*'EPA Grid Emission Factors'!AC$23/10^3)</f>
        <v>0</v>
      </c>
      <c r="W108" s="513">
        <f>(W86+W91*0.5)*(($I75*'EPA Emission Factors Hub'!$R$39+$J75*'EPA Emission Factors Hub'!$R$56)/10^6+$K75*'EPA Grid Emission Factors'!AD$23/10^3)</f>
        <v>0</v>
      </c>
      <c r="X108" s="513">
        <f>(X86+X91*0.5)*(($I75*'EPA Emission Factors Hub'!$R$39+$J75*'EPA Emission Factors Hub'!$R$56)/10^6+$K75*'EPA Grid Emission Factors'!AE$23/10^3)</f>
        <v>0</v>
      </c>
      <c r="Y108" s="513">
        <f>(Y86+Y91*0.5)*(($I75*'EPA Emission Factors Hub'!$R$39+$J75*'EPA Emission Factors Hub'!$R$56)/10^6+$K75*'EPA Grid Emission Factors'!AF$23/10^3)</f>
        <v>0</v>
      </c>
      <c r="Z108" s="513">
        <f>(Z86+Z91*0.5)*(($I75*'EPA Emission Factors Hub'!$R$39+$J75*'EPA Emission Factors Hub'!$R$56)/10^6+$K75*'EPA Grid Emission Factors'!AG$23/10^3)</f>
        <v>0</v>
      </c>
      <c r="AA108" s="513">
        <f>(AA86+AA91*0.5)*(($I75*'EPA Emission Factors Hub'!$R$39+$J75*'EPA Emission Factors Hub'!$R$56)/10^6+$K75*'EPA Grid Emission Factors'!AH$23/10^3)</f>
        <v>0</v>
      </c>
      <c r="AB108" s="513">
        <f>(AB86+AB91*0.5)*(($I75*'EPA Emission Factors Hub'!$R$39+$J75*'EPA Emission Factors Hub'!$R$56)/10^6+$K75*'EPA Grid Emission Factors'!AI$23/10^3)</f>
        <v>0</v>
      </c>
    </row>
    <row r="109" spans="2:28">
      <c r="B109" s="434" t="s">
        <v>198</v>
      </c>
      <c r="C109" s="435"/>
      <c r="D109" s="436">
        <f>SUM(D105:D108)</f>
        <v>0</v>
      </c>
      <c r="E109" s="436">
        <f t="shared" ref="E109:AB109" si="24">SUM(E105:E108)</f>
        <v>0</v>
      </c>
      <c r="F109" s="436">
        <f t="shared" si="24"/>
        <v>0</v>
      </c>
      <c r="G109" s="436">
        <f t="shared" si="24"/>
        <v>0</v>
      </c>
      <c r="H109" s="436">
        <f t="shared" si="24"/>
        <v>0</v>
      </c>
      <c r="I109" s="436">
        <f t="shared" si="24"/>
        <v>0</v>
      </c>
      <c r="J109" s="436">
        <f t="shared" si="24"/>
        <v>0</v>
      </c>
      <c r="K109" s="436">
        <f t="shared" si="24"/>
        <v>0</v>
      </c>
      <c r="L109" s="436">
        <f t="shared" si="24"/>
        <v>0</v>
      </c>
      <c r="M109" s="436">
        <f t="shared" si="24"/>
        <v>0</v>
      </c>
      <c r="N109" s="436">
        <f t="shared" si="24"/>
        <v>0</v>
      </c>
      <c r="O109" s="436">
        <f t="shared" si="24"/>
        <v>0</v>
      </c>
      <c r="P109" s="436">
        <f t="shared" si="24"/>
        <v>0</v>
      </c>
      <c r="Q109" s="436">
        <f t="shared" si="24"/>
        <v>0</v>
      </c>
      <c r="R109" s="436">
        <f t="shared" si="24"/>
        <v>0</v>
      </c>
      <c r="S109" s="436">
        <f t="shared" si="24"/>
        <v>0</v>
      </c>
      <c r="T109" s="436">
        <f t="shared" si="24"/>
        <v>0</v>
      </c>
      <c r="U109" s="436">
        <f t="shared" si="24"/>
        <v>0</v>
      </c>
      <c r="V109" s="436">
        <f t="shared" si="24"/>
        <v>0</v>
      </c>
      <c r="W109" s="436">
        <f t="shared" si="24"/>
        <v>0</v>
      </c>
      <c r="X109" s="436">
        <f t="shared" si="24"/>
        <v>0</v>
      </c>
      <c r="Y109" s="436">
        <f t="shared" si="24"/>
        <v>0</v>
      </c>
      <c r="Z109" s="436">
        <f t="shared" si="24"/>
        <v>0</v>
      </c>
      <c r="AA109" s="436">
        <f t="shared" si="24"/>
        <v>0</v>
      </c>
      <c r="AB109" s="436">
        <f t="shared" si="24"/>
        <v>0</v>
      </c>
    </row>
    <row r="111" spans="2:28">
      <c r="B111" s="194" t="s">
        <v>300</v>
      </c>
      <c r="C111" s="351"/>
      <c r="D111" s="352">
        <f>(D83+D88*0.5)*(($I72*'EPA Emission Factors Hub'!$S$39+$J72*'EPA Emission Factors Hub'!$S$56)/10^6+$K72*'EPA Grid Emission Factors'!K$31/10^3)</f>
        <v>0</v>
      </c>
      <c r="E111" s="352">
        <f>(E83+E88*0.5)*(($I72*'EPA Emission Factors Hub'!$S$39+$J72*'EPA Emission Factors Hub'!$S$56)/10^6+$K72*'EPA Grid Emission Factors'!L$31/10^3)</f>
        <v>0</v>
      </c>
      <c r="F111" s="352">
        <f>(F83+F88*0.5)*(($I72*'EPA Emission Factors Hub'!$S$39+$J72*'EPA Emission Factors Hub'!$S$56)/10^6+$K72*'EPA Grid Emission Factors'!M$31/10^3)</f>
        <v>0</v>
      </c>
      <c r="G111" s="352">
        <f>(G83+G88*0.5)*(($I72*'EPA Emission Factors Hub'!$S$39+$J72*'EPA Emission Factors Hub'!$S$56)/10^6+$K72*'EPA Grid Emission Factors'!N$31/10^3)</f>
        <v>0</v>
      </c>
      <c r="H111" s="352">
        <f>(H83+H88*0.5)*(($I72*'EPA Emission Factors Hub'!$S$39+$J72*'EPA Emission Factors Hub'!$S$56)/10^6+$K72*'EPA Grid Emission Factors'!O$31/10^3)</f>
        <v>0</v>
      </c>
      <c r="I111" s="352">
        <f>(I83+I88*0.5)*(($I72*'EPA Emission Factors Hub'!$S$39+$J72*'EPA Emission Factors Hub'!$S$56)/10^6+$K72*'EPA Grid Emission Factors'!P$31/10^3)</f>
        <v>0</v>
      </c>
      <c r="J111" s="352">
        <f>(J83+J88*0.5)*(($I72*'EPA Emission Factors Hub'!$S$39+$J72*'EPA Emission Factors Hub'!$S$56)/10^6+$K72*'EPA Grid Emission Factors'!Q$31/10^3)</f>
        <v>0</v>
      </c>
      <c r="K111" s="352">
        <f>(K83+K88*0.5)*(($I72*'EPA Emission Factors Hub'!$S$39+$J72*'EPA Emission Factors Hub'!$S$56)/10^6+$K72*'EPA Grid Emission Factors'!R$31/10^3)</f>
        <v>0</v>
      </c>
      <c r="L111" s="352">
        <f>(L83+L88*0.5)*(($I72*'EPA Emission Factors Hub'!$S$39+$J72*'EPA Emission Factors Hub'!$S$56)/10^6+$K72*'EPA Grid Emission Factors'!S$31/10^3)</f>
        <v>0</v>
      </c>
      <c r="M111" s="352">
        <f>(M83+M88*0.5)*(($I72*'EPA Emission Factors Hub'!$S$39+$J72*'EPA Emission Factors Hub'!$S$56)/10^6+$K72*'EPA Grid Emission Factors'!T$31/10^3)</f>
        <v>0</v>
      </c>
      <c r="N111" s="352">
        <f>(N83+N88*0.5)*(($I72*'EPA Emission Factors Hub'!$S$39+$J72*'EPA Emission Factors Hub'!$S$56)/10^6+$K72*'EPA Grid Emission Factors'!U$31/10^3)</f>
        <v>0</v>
      </c>
      <c r="O111" s="352">
        <f>(O83+O88*0.5)*(($I72*'EPA Emission Factors Hub'!$S$39+$J72*'EPA Emission Factors Hub'!$S$56)/10^6+$K72*'EPA Grid Emission Factors'!V$31/10^3)</f>
        <v>0</v>
      </c>
      <c r="P111" s="352">
        <f>(P83+P88*0.5)*(($I72*'EPA Emission Factors Hub'!$S$39+$J72*'EPA Emission Factors Hub'!$S$56)/10^6+$K72*'EPA Grid Emission Factors'!W$31/10^3)</f>
        <v>0</v>
      </c>
      <c r="Q111" s="352">
        <f>(Q83+Q88*0.5)*(($I72*'EPA Emission Factors Hub'!$S$39+$J72*'EPA Emission Factors Hub'!$S$56)/10^6+$K72*'EPA Grid Emission Factors'!X$31/10^3)</f>
        <v>0</v>
      </c>
      <c r="R111" s="352">
        <f>(R83+R88*0.5)*(($I72*'EPA Emission Factors Hub'!$S$39+$J72*'EPA Emission Factors Hub'!$S$56)/10^6+$K72*'EPA Grid Emission Factors'!Y$31/10^3)</f>
        <v>0</v>
      </c>
      <c r="S111" s="352">
        <f>(S83+S88*0.5)*(($I72*'EPA Emission Factors Hub'!$S$39+$J72*'EPA Emission Factors Hub'!$S$56)/10^6+$K72*'EPA Grid Emission Factors'!Z$31/10^3)</f>
        <v>0</v>
      </c>
      <c r="T111" s="352">
        <f>(T83+T88*0.5)*(($I72*'EPA Emission Factors Hub'!$S$39+$J72*'EPA Emission Factors Hub'!$S$56)/10^6+$K72*'EPA Grid Emission Factors'!AA$31/10^3)</f>
        <v>0</v>
      </c>
      <c r="U111" s="352">
        <f>(U83+U88*0.5)*(($I72*'EPA Emission Factors Hub'!$S$39+$J72*'EPA Emission Factors Hub'!$S$56)/10^6+$K72*'EPA Grid Emission Factors'!AB$31/10^3)</f>
        <v>0</v>
      </c>
      <c r="V111" s="352">
        <f>(V83+V88*0.5)*(($I72*'EPA Emission Factors Hub'!$S$39+$J72*'EPA Emission Factors Hub'!$S$56)/10^6+$K72*'EPA Grid Emission Factors'!AC$31/10^3)</f>
        <v>0</v>
      </c>
      <c r="W111" s="352">
        <f>(W83+W88*0.5)*(($I72*'EPA Emission Factors Hub'!$S$39+$J72*'EPA Emission Factors Hub'!$S$56)/10^6+$K72*'EPA Grid Emission Factors'!AD$31/10^3)</f>
        <v>0</v>
      </c>
      <c r="X111" s="352">
        <f>(X83+X88*0.5)*(($I72*'EPA Emission Factors Hub'!$S$39+$J72*'EPA Emission Factors Hub'!$S$56)/10^6+$K72*'EPA Grid Emission Factors'!AE$31/10^3)</f>
        <v>0</v>
      </c>
      <c r="Y111" s="352">
        <f>(Y83+Y88*0.5)*(($I72*'EPA Emission Factors Hub'!$S$39+$J72*'EPA Emission Factors Hub'!$S$56)/10^6+$K72*'EPA Grid Emission Factors'!AF$31/10^3)</f>
        <v>0</v>
      </c>
      <c r="Z111" s="352">
        <f>(Z83+Z88*0.5)*(($I72*'EPA Emission Factors Hub'!$S$39+$J72*'EPA Emission Factors Hub'!$S$56)/10^6+$K72*'EPA Grid Emission Factors'!AG$31/10^3)</f>
        <v>0</v>
      </c>
      <c r="AA111" s="352">
        <f>(AA83+AA88*0.5)*(($I72*'EPA Emission Factors Hub'!$S$39+$J72*'EPA Emission Factors Hub'!$S$56)/10^6+$K72*'EPA Grid Emission Factors'!AH$31/10^3)</f>
        <v>0</v>
      </c>
      <c r="AB111" s="352">
        <f>(AB83+AB88*0.5)*(($I72*'EPA Emission Factors Hub'!$S$39+$J72*'EPA Emission Factors Hub'!$S$56)/10^6+$K72*'EPA Grid Emission Factors'!AI$31/10^3)</f>
        <v>0</v>
      </c>
    </row>
    <row r="112" spans="2:28">
      <c r="B112" s="194" t="s">
        <v>301</v>
      </c>
      <c r="C112" s="351"/>
      <c r="D112" s="352">
        <f>(D84+D89*0.5)*(($I73*'EPA Emission Factors Hub'!$S$39+$J73*'EPA Emission Factors Hub'!$S$56)/10^6+$K73*'EPA Grid Emission Factors'!K$31/10^3)</f>
        <v>0</v>
      </c>
      <c r="E112" s="352">
        <f>(E84+E89*0.5)*(($I73*'EPA Emission Factors Hub'!$S$39+$J73*'EPA Emission Factors Hub'!$S$56)/10^6+$K73*'EPA Grid Emission Factors'!L$31/10^3)</f>
        <v>0</v>
      </c>
      <c r="F112" s="352">
        <f>(F84+F89*0.5)*(($I73*'EPA Emission Factors Hub'!$S$39+$J73*'EPA Emission Factors Hub'!$S$56)/10^6+$K73*'EPA Grid Emission Factors'!M$31/10^3)</f>
        <v>0</v>
      </c>
      <c r="G112" s="352">
        <f>(G84+G89*0.5)*(($I73*'EPA Emission Factors Hub'!$S$39+$J73*'EPA Emission Factors Hub'!$S$56)/10^6+$K73*'EPA Grid Emission Factors'!N$31/10^3)</f>
        <v>0</v>
      </c>
      <c r="H112" s="352">
        <f>(H84+H89*0.5)*(($I73*'EPA Emission Factors Hub'!$S$39+$J73*'EPA Emission Factors Hub'!$S$56)/10^6+$K73*'EPA Grid Emission Factors'!O$31/10^3)</f>
        <v>0</v>
      </c>
      <c r="I112" s="352">
        <f>(I84+I89*0.5)*(($I73*'EPA Emission Factors Hub'!$S$39+$J73*'EPA Emission Factors Hub'!$S$56)/10^6+$K73*'EPA Grid Emission Factors'!P$31/10^3)</f>
        <v>0</v>
      </c>
      <c r="J112" s="352">
        <f>(J84+J89*0.5)*(($I73*'EPA Emission Factors Hub'!$S$39+$J73*'EPA Emission Factors Hub'!$S$56)/10^6+$K73*'EPA Grid Emission Factors'!Q$31/10^3)</f>
        <v>0</v>
      </c>
      <c r="K112" s="352">
        <f>(K84+K89*0.5)*(($I73*'EPA Emission Factors Hub'!$S$39+$J73*'EPA Emission Factors Hub'!$S$56)/10^6+$K73*'EPA Grid Emission Factors'!R$31/10^3)</f>
        <v>0</v>
      </c>
      <c r="L112" s="352">
        <f>(L84+L89*0.5)*(($I73*'EPA Emission Factors Hub'!$S$39+$J73*'EPA Emission Factors Hub'!$S$56)/10^6+$K73*'EPA Grid Emission Factors'!S$31/10^3)</f>
        <v>0</v>
      </c>
      <c r="M112" s="352">
        <f>(M84+M89*0.5)*(($I73*'EPA Emission Factors Hub'!$S$39+$J73*'EPA Emission Factors Hub'!$S$56)/10^6+$K73*'EPA Grid Emission Factors'!T$31/10^3)</f>
        <v>0</v>
      </c>
      <c r="N112" s="352">
        <f>(N84+N89*0.5)*(($I73*'EPA Emission Factors Hub'!$S$39+$J73*'EPA Emission Factors Hub'!$S$56)/10^6+$K73*'EPA Grid Emission Factors'!U$31/10^3)</f>
        <v>0</v>
      </c>
      <c r="O112" s="352">
        <f>(O84+O89*0.5)*(($I73*'EPA Emission Factors Hub'!$S$39+$J73*'EPA Emission Factors Hub'!$S$56)/10^6+$K73*'EPA Grid Emission Factors'!V$31/10^3)</f>
        <v>0</v>
      </c>
      <c r="P112" s="352">
        <f>(P84+P89*0.5)*(($I73*'EPA Emission Factors Hub'!$S$39+$J73*'EPA Emission Factors Hub'!$S$56)/10^6+$K73*'EPA Grid Emission Factors'!W$31/10^3)</f>
        <v>0</v>
      </c>
      <c r="Q112" s="352">
        <f>(Q84+Q89*0.5)*(($I73*'EPA Emission Factors Hub'!$S$39+$J73*'EPA Emission Factors Hub'!$S$56)/10^6+$K73*'EPA Grid Emission Factors'!X$31/10^3)</f>
        <v>0</v>
      </c>
      <c r="R112" s="352">
        <f>(R84+R89*0.5)*(($I73*'EPA Emission Factors Hub'!$S$39+$J73*'EPA Emission Factors Hub'!$S$56)/10^6+$K73*'EPA Grid Emission Factors'!Y$31/10^3)</f>
        <v>0</v>
      </c>
      <c r="S112" s="352">
        <f>(S84+S89*0.5)*(($I73*'EPA Emission Factors Hub'!$S$39+$J73*'EPA Emission Factors Hub'!$S$56)/10^6+$K73*'EPA Grid Emission Factors'!Z$31/10^3)</f>
        <v>0</v>
      </c>
      <c r="T112" s="352">
        <f>(T84+T89*0.5)*(($I73*'EPA Emission Factors Hub'!$S$39+$J73*'EPA Emission Factors Hub'!$S$56)/10^6+$K73*'EPA Grid Emission Factors'!AA$31/10^3)</f>
        <v>0</v>
      </c>
      <c r="U112" s="352">
        <f>(U84+U89*0.5)*(($I73*'EPA Emission Factors Hub'!$S$39+$J73*'EPA Emission Factors Hub'!$S$56)/10^6+$K73*'EPA Grid Emission Factors'!AB$31/10^3)</f>
        <v>0</v>
      </c>
      <c r="V112" s="352">
        <f>(V84+V89*0.5)*(($I73*'EPA Emission Factors Hub'!$S$39+$J73*'EPA Emission Factors Hub'!$S$56)/10^6+$K73*'EPA Grid Emission Factors'!AC$31/10^3)</f>
        <v>0</v>
      </c>
      <c r="W112" s="352">
        <f>(W84+W89*0.5)*(($I73*'EPA Emission Factors Hub'!$S$39+$J73*'EPA Emission Factors Hub'!$S$56)/10^6+$K73*'EPA Grid Emission Factors'!AD$31/10^3)</f>
        <v>0</v>
      </c>
      <c r="X112" s="352">
        <f>(X84+X89*0.5)*(($I73*'EPA Emission Factors Hub'!$S$39+$J73*'EPA Emission Factors Hub'!$S$56)/10^6+$K73*'EPA Grid Emission Factors'!AE$31/10^3)</f>
        <v>0</v>
      </c>
      <c r="Y112" s="352">
        <f>(Y84+Y89*0.5)*(($I73*'EPA Emission Factors Hub'!$S$39+$J73*'EPA Emission Factors Hub'!$S$56)/10^6+$K73*'EPA Grid Emission Factors'!AF$31/10^3)</f>
        <v>0</v>
      </c>
      <c r="Z112" s="352">
        <f>(Z84+Z89*0.5)*(($I73*'EPA Emission Factors Hub'!$S$39+$J73*'EPA Emission Factors Hub'!$S$56)/10^6+$K73*'EPA Grid Emission Factors'!AG$31/10^3)</f>
        <v>0</v>
      </c>
      <c r="AA112" s="352">
        <f>(AA84+AA89*0.5)*(($I73*'EPA Emission Factors Hub'!$S$39+$J73*'EPA Emission Factors Hub'!$S$56)/10^6+$K73*'EPA Grid Emission Factors'!AH$31/10^3)</f>
        <v>0</v>
      </c>
      <c r="AB112" s="352">
        <f>(AB84+AB89*0.5)*(($I73*'EPA Emission Factors Hub'!$S$39+$J73*'EPA Emission Factors Hub'!$S$56)/10^6+$K73*'EPA Grid Emission Factors'!AI$31/10^3)</f>
        <v>0</v>
      </c>
    </row>
    <row r="113" spans="2:28">
      <c r="B113" s="194" t="s">
        <v>302</v>
      </c>
      <c r="C113" s="351"/>
      <c r="D113" s="352">
        <f>(D85+D90*0.5)*(($I74*'EPA Emission Factors Hub'!$S$39+$J74*'EPA Emission Factors Hub'!$S$56)/10^6+$K74*'EPA Grid Emission Factors'!K$31/10^3)</f>
        <v>0</v>
      </c>
      <c r="E113" s="352">
        <f>(E85+E90*0.5)*(($I74*'EPA Emission Factors Hub'!$S$39+$J74*'EPA Emission Factors Hub'!$S$56)/10^6+$K74*'EPA Grid Emission Factors'!L$31/10^3)</f>
        <v>0</v>
      </c>
      <c r="F113" s="352">
        <f>(F85+F90*0.5)*(($I74*'EPA Emission Factors Hub'!$S$39+$J74*'EPA Emission Factors Hub'!$S$56)/10^6+$K74*'EPA Grid Emission Factors'!M$31/10^3)</f>
        <v>0</v>
      </c>
      <c r="G113" s="352">
        <f>(G85+G90*0.5)*(($I74*'EPA Emission Factors Hub'!$S$39+$J74*'EPA Emission Factors Hub'!$S$56)/10^6+$K74*'EPA Grid Emission Factors'!N$31/10^3)</f>
        <v>0</v>
      </c>
      <c r="H113" s="352">
        <f>(H85+H90*0.5)*(($I74*'EPA Emission Factors Hub'!$S$39+$J74*'EPA Emission Factors Hub'!$S$56)/10^6+$K74*'EPA Grid Emission Factors'!O$31/10^3)</f>
        <v>0</v>
      </c>
      <c r="I113" s="352">
        <f>(I85+I90*0.5)*(($I74*'EPA Emission Factors Hub'!$S$39+$J74*'EPA Emission Factors Hub'!$S$56)/10^6+$K74*'EPA Grid Emission Factors'!P$31/10^3)</f>
        <v>0</v>
      </c>
      <c r="J113" s="352">
        <f>(J85+J90*0.5)*(($I74*'EPA Emission Factors Hub'!$S$39+$J74*'EPA Emission Factors Hub'!$S$56)/10^6+$K74*'EPA Grid Emission Factors'!Q$31/10^3)</f>
        <v>0</v>
      </c>
      <c r="K113" s="352">
        <f>(K85+K90*0.5)*(($I74*'EPA Emission Factors Hub'!$S$39+$J74*'EPA Emission Factors Hub'!$S$56)/10^6+$K74*'EPA Grid Emission Factors'!R$31/10^3)</f>
        <v>0</v>
      </c>
      <c r="L113" s="352">
        <f>(L85+L90*0.5)*(($I74*'EPA Emission Factors Hub'!$S$39+$J74*'EPA Emission Factors Hub'!$S$56)/10^6+$K74*'EPA Grid Emission Factors'!S$31/10^3)</f>
        <v>0</v>
      </c>
      <c r="M113" s="352">
        <f>(M85+M90*0.5)*(($I74*'EPA Emission Factors Hub'!$S$39+$J74*'EPA Emission Factors Hub'!$S$56)/10^6+$K74*'EPA Grid Emission Factors'!T$31/10^3)</f>
        <v>0</v>
      </c>
      <c r="N113" s="352">
        <f>(N85+N90*0.5)*(($I74*'EPA Emission Factors Hub'!$S$39+$J74*'EPA Emission Factors Hub'!$S$56)/10^6+$K74*'EPA Grid Emission Factors'!U$31/10^3)</f>
        <v>0</v>
      </c>
      <c r="O113" s="352">
        <f>(O85+O90*0.5)*(($I74*'EPA Emission Factors Hub'!$S$39+$J74*'EPA Emission Factors Hub'!$S$56)/10^6+$K74*'EPA Grid Emission Factors'!V$31/10^3)</f>
        <v>0</v>
      </c>
      <c r="P113" s="352">
        <f>(P85+P90*0.5)*(($I74*'EPA Emission Factors Hub'!$S$39+$J74*'EPA Emission Factors Hub'!$S$56)/10^6+$K74*'EPA Grid Emission Factors'!W$31/10^3)</f>
        <v>0</v>
      </c>
      <c r="Q113" s="352">
        <f>(Q85+Q90*0.5)*(($I74*'EPA Emission Factors Hub'!$S$39+$J74*'EPA Emission Factors Hub'!$S$56)/10^6+$K74*'EPA Grid Emission Factors'!X$31/10^3)</f>
        <v>0</v>
      </c>
      <c r="R113" s="352">
        <f>(R85+R90*0.5)*(($I74*'EPA Emission Factors Hub'!$S$39+$J74*'EPA Emission Factors Hub'!$S$56)/10^6+$K74*'EPA Grid Emission Factors'!Y$31/10^3)</f>
        <v>0</v>
      </c>
      <c r="S113" s="352">
        <f>(S85+S90*0.5)*(($I74*'EPA Emission Factors Hub'!$S$39+$J74*'EPA Emission Factors Hub'!$S$56)/10^6+$K74*'EPA Grid Emission Factors'!Z$31/10^3)</f>
        <v>0</v>
      </c>
      <c r="T113" s="352">
        <f>(T85+T90*0.5)*(($I74*'EPA Emission Factors Hub'!$S$39+$J74*'EPA Emission Factors Hub'!$S$56)/10^6+$K74*'EPA Grid Emission Factors'!AA$31/10^3)</f>
        <v>0</v>
      </c>
      <c r="U113" s="352">
        <f>(U85+U90*0.5)*(($I74*'EPA Emission Factors Hub'!$S$39+$J74*'EPA Emission Factors Hub'!$S$56)/10^6+$K74*'EPA Grid Emission Factors'!AB$31/10^3)</f>
        <v>0</v>
      </c>
      <c r="V113" s="352">
        <f>(V85+V90*0.5)*(($I74*'EPA Emission Factors Hub'!$S$39+$J74*'EPA Emission Factors Hub'!$S$56)/10^6+$K74*'EPA Grid Emission Factors'!AC$31/10^3)</f>
        <v>0</v>
      </c>
      <c r="W113" s="352">
        <f>(W85+W90*0.5)*(($I74*'EPA Emission Factors Hub'!$S$39+$J74*'EPA Emission Factors Hub'!$S$56)/10^6+$K74*'EPA Grid Emission Factors'!AD$31/10^3)</f>
        <v>0</v>
      </c>
      <c r="X113" s="352">
        <f>(X85+X90*0.5)*(($I74*'EPA Emission Factors Hub'!$S$39+$J74*'EPA Emission Factors Hub'!$S$56)/10^6+$K74*'EPA Grid Emission Factors'!AE$31/10^3)</f>
        <v>0</v>
      </c>
      <c r="Y113" s="352">
        <f>(Y85+Y90*0.5)*(($I74*'EPA Emission Factors Hub'!$S$39+$J74*'EPA Emission Factors Hub'!$S$56)/10^6+$K74*'EPA Grid Emission Factors'!AF$31/10^3)</f>
        <v>0</v>
      </c>
      <c r="Z113" s="352">
        <f>(Z85+Z90*0.5)*(($I74*'EPA Emission Factors Hub'!$S$39+$J74*'EPA Emission Factors Hub'!$S$56)/10^6+$K74*'EPA Grid Emission Factors'!AG$31/10^3)</f>
        <v>0</v>
      </c>
      <c r="AA113" s="352">
        <f>(AA85+AA90*0.5)*(($I74*'EPA Emission Factors Hub'!$S$39+$J74*'EPA Emission Factors Hub'!$S$56)/10^6+$K74*'EPA Grid Emission Factors'!AH$31/10^3)</f>
        <v>0</v>
      </c>
      <c r="AB113" s="352">
        <f>(AB85+AB90*0.5)*(($I74*'EPA Emission Factors Hub'!$S$39+$J74*'EPA Emission Factors Hub'!$S$56)/10^6+$K74*'EPA Grid Emission Factors'!AI$31/10^3)</f>
        <v>0</v>
      </c>
    </row>
    <row r="114" spans="2:28" ht="15.75" thickBot="1">
      <c r="B114" s="336" t="s">
        <v>303</v>
      </c>
      <c r="C114" s="353"/>
      <c r="D114" s="354">
        <f>(D86+D91*0.5)*(($I75*'EPA Emission Factors Hub'!$S$39+$J75*'EPA Emission Factors Hub'!$S$56)/10^6+$K75*'EPA Grid Emission Factors'!K$31/10^3)</f>
        <v>0</v>
      </c>
      <c r="E114" s="354">
        <f>(E86+E91*0.5)*(($I75*'EPA Emission Factors Hub'!$S$39+$J75*'EPA Emission Factors Hub'!$S$56)/10^6+$K75*'EPA Grid Emission Factors'!L$31/10^3)</f>
        <v>0</v>
      </c>
      <c r="F114" s="354">
        <f>(F86+F91*0.5)*(($I75*'EPA Emission Factors Hub'!$S$39+$J75*'EPA Emission Factors Hub'!$S$56)/10^6+$K75*'EPA Grid Emission Factors'!M$31/10^3)</f>
        <v>0</v>
      </c>
      <c r="G114" s="354">
        <f>(G86+G91*0.5)*(($I75*'EPA Emission Factors Hub'!$S$39+$J75*'EPA Emission Factors Hub'!$S$56)/10^6+$K75*'EPA Grid Emission Factors'!N$31/10^3)</f>
        <v>0</v>
      </c>
      <c r="H114" s="354">
        <f>(H86+H91*0.5)*(($I75*'EPA Emission Factors Hub'!$S$39+$J75*'EPA Emission Factors Hub'!$S$56)/10^6+$K75*'EPA Grid Emission Factors'!O$31/10^3)</f>
        <v>0</v>
      </c>
      <c r="I114" s="354">
        <f>(I86+I91*0.5)*(($I75*'EPA Emission Factors Hub'!$S$39+$J75*'EPA Emission Factors Hub'!$S$56)/10^6+$K75*'EPA Grid Emission Factors'!P$31/10^3)</f>
        <v>0</v>
      </c>
      <c r="J114" s="354">
        <f>(J86+J91*0.5)*(($I75*'EPA Emission Factors Hub'!$S$39+$J75*'EPA Emission Factors Hub'!$S$56)/10^6+$K75*'EPA Grid Emission Factors'!Q$31/10^3)</f>
        <v>0</v>
      </c>
      <c r="K114" s="354">
        <f>(K86+K91*0.5)*(($I75*'EPA Emission Factors Hub'!$S$39+$J75*'EPA Emission Factors Hub'!$S$56)/10^6+$K75*'EPA Grid Emission Factors'!R$31/10^3)</f>
        <v>0</v>
      </c>
      <c r="L114" s="354">
        <f>(L86+L91*0.5)*(($I75*'EPA Emission Factors Hub'!$S$39+$J75*'EPA Emission Factors Hub'!$S$56)/10^6+$K75*'EPA Grid Emission Factors'!S$31/10^3)</f>
        <v>0</v>
      </c>
      <c r="M114" s="354">
        <f>(M86+M91*0.5)*(($I75*'EPA Emission Factors Hub'!$S$39+$J75*'EPA Emission Factors Hub'!$S$56)/10^6+$K75*'EPA Grid Emission Factors'!T$31/10^3)</f>
        <v>0</v>
      </c>
      <c r="N114" s="354">
        <f>(N86+N91*0.5)*(($I75*'EPA Emission Factors Hub'!$S$39+$J75*'EPA Emission Factors Hub'!$S$56)/10^6+$K75*'EPA Grid Emission Factors'!U$31/10^3)</f>
        <v>0</v>
      </c>
      <c r="O114" s="354">
        <f>(O86+O91*0.5)*(($I75*'EPA Emission Factors Hub'!$S$39+$J75*'EPA Emission Factors Hub'!$S$56)/10^6+$K75*'EPA Grid Emission Factors'!V$31/10^3)</f>
        <v>0</v>
      </c>
      <c r="P114" s="354">
        <f>(P86+P91*0.5)*(($I75*'EPA Emission Factors Hub'!$S$39+$J75*'EPA Emission Factors Hub'!$S$56)/10^6+$K75*'EPA Grid Emission Factors'!W$31/10^3)</f>
        <v>0</v>
      </c>
      <c r="Q114" s="354">
        <f>(Q86+Q91*0.5)*(($I75*'EPA Emission Factors Hub'!$S$39+$J75*'EPA Emission Factors Hub'!$S$56)/10^6+$K75*'EPA Grid Emission Factors'!X$31/10^3)</f>
        <v>0</v>
      </c>
      <c r="R114" s="354">
        <f>(R86+R91*0.5)*(($I75*'EPA Emission Factors Hub'!$S$39+$J75*'EPA Emission Factors Hub'!$S$56)/10^6+$K75*'EPA Grid Emission Factors'!Y$31/10^3)</f>
        <v>0</v>
      </c>
      <c r="S114" s="354">
        <f>(S86+S91*0.5)*(($I75*'EPA Emission Factors Hub'!$S$39+$J75*'EPA Emission Factors Hub'!$S$56)/10^6+$K75*'EPA Grid Emission Factors'!Z$31/10^3)</f>
        <v>0</v>
      </c>
      <c r="T114" s="354">
        <f>(T86+T91*0.5)*(($I75*'EPA Emission Factors Hub'!$S$39+$J75*'EPA Emission Factors Hub'!$S$56)/10^6+$K75*'EPA Grid Emission Factors'!AA$31/10^3)</f>
        <v>0</v>
      </c>
      <c r="U114" s="354">
        <f>(U86+U91*0.5)*(($I75*'EPA Emission Factors Hub'!$S$39+$J75*'EPA Emission Factors Hub'!$S$56)/10^6+$K75*'EPA Grid Emission Factors'!AB$31/10^3)</f>
        <v>0</v>
      </c>
      <c r="V114" s="354">
        <f>(V86+V91*0.5)*(($I75*'EPA Emission Factors Hub'!$S$39+$J75*'EPA Emission Factors Hub'!$S$56)/10^6+$K75*'EPA Grid Emission Factors'!AC$31/10^3)</f>
        <v>0</v>
      </c>
      <c r="W114" s="354">
        <f>(W86+W91*0.5)*(($I75*'EPA Emission Factors Hub'!$S$39+$J75*'EPA Emission Factors Hub'!$S$56)/10^6+$K75*'EPA Grid Emission Factors'!AD$31/10^3)</f>
        <v>0</v>
      </c>
      <c r="X114" s="354">
        <f>(X86+X91*0.5)*(($I75*'EPA Emission Factors Hub'!$S$39+$J75*'EPA Emission Factors Hub'!$S$56)/10^6+$K75*'EPA Grid Emission Factors'!AE$31/10^3)</f>
        <v>0</v>
      </c>
      <c r="Y114" s="354">
        <f>(Y86+Y91*0.5)*(($I75*'EPA Emission Factors Hub'!$S$39+$J75*'EPA Emission Factors Hub'!$S$56)/10^6+$K75*'EPA Grid Emission Factors'!AF$31/10^3)</f>
        <v>0</v>
      </c>
      <c r="Z114" s="354">
        <f>(Z86+Z91*0.5)*(($I75*'EPA Emission Factors Hub'!$S$39+$J75*'EPA Emission Factors Hub'!$S$56)/10^6+$K75*'EPA Grid Emission Factors'!AG$31/10^3)</f>
        <v>0</v>
      </c>
      <c r="AA114" s="354">
        <f>(AA86+AA91*0.5)*(($I75*'EPA Emission Factors Hub'!$S$39+$J75*'EPA Emission Factors Hub'!$S$56)/10^6+$K75*'EPA Grid Emission Factors'!AH$31/10^3)</f>
        <v>0</v>
      </c>
      <c r="AB114" s="354">
        <f>(AB86+AB91*0.5)*(($I75*'EPA Emission Factors Hub'!$S$39+$J75*'EPA Emission Factors Hub'!$S$56)/10^6+$K75*'EPA Grid Emission Factors'!AI$31/10^3)</f>
        <v>0</v>
      </c>
    </row>
    <row r="115" spans="2:28">
      <c r="B115" s="434" t="s">
        <v>199</v>
      </c>
      <c r="C115" s="435"/>
      <c r="D115" s="436">
        <f>SUM(D111:D114)</f>
        <v>0</v>
      </c>
      <c r="E115" s="436">
        <f t="shared" ref="E115" si="25">SUM(E111:E114)</f>
        <v>0</v>
      </c>
      <c r="F115" s="436">
        <f t="shared" ref="F115" si="26">SUM(F111:F114)</f>
        <v>0</v>
      </c>
      <c r="G115" s="436">
        <f t="shared" ref="G115" si="27">SUM(G111:G114)</f>
        <v>0</v>
      </c>
      <c r="H115" s="436">
        <f t="shared" ref="H115" si="28">SUM(H111:H114)</f>
        <v>0</v>
      </c>
      <c r="I115" s="436">
        <f t="shared" ref="I115" si="29">SUM(I111:I114)</f>
        <v>0</v>
      </c>
      <c r="J115" s="436">
        <f t="shared" ref="J115" si="30">SUM(J111:J114)</f>
        <v>0</v>
      </c>
      <c r="K115" s="436">
        <f t="shared" ref="K115" si="31">SUM(K111:K114)</f>
        <v>0</v>
      </c>
      <c r="L115" s="436">
        <f t="shared" ref="L115" si="32">SUM(L111:L114)</f>
        <v>0</v>
      </c>
      <c r="M115" s="436">
        <f t="shared" ref="M115" si="33">SUM(M111:M114)</f>
        <v>0</v>
      </c>
      <c r="N115" s="436">
        <f t="shared" ref="N115" si="34">SUM(N111:N114)</f>
        <v>0</v>
      </c>
      <c r="O115" s="436">
        <f t="shared" ref="O115" si="35">SUM(O111:O114)</f>
        <v>0</v>
      </c>
      <c r="P115" s="436">
        <f t="shared" ref="P115" si="36">SUM(P111:P114)</f>
        <v>0</v>
      </c>
      <c r="Q115" s="436">
        <f t="shared" ref="Q115" si="37">SUM(Q111:Q114)</f>
        <v>0</v>
      </c>
      <c r="R115" s="436">
        <f t="shared" ref="R115" si="38">SUM(R111:R114)</f>
        <v>0</v>
      </c>
      <c r="S115" s="436">
        <f t="shared" ref="S115" si="39">SUM(S111:S114)</f>
        <v>0</v>
      </c>
      <c r="T115" s="436">
        <f t="shared" ref="T115" si="40">SUM(T111:T114)</f>
        <v>0</v>
      </c>
      <c r="U115" s="436">
        <f t="shared" ref="U115" si="41">SUM(U111:U114)</f>
        <v>0</v>
      </c>
      <c r="V115" s="436">
        <f t="shared" ref="V115" si="42">SUM(V111:V114)</f>
        <v>0</v>
      </c>
      <c r="W115" s="436">
        <f t="shared" ref="W115" si="43">SUM(W111:W114)</f>
        <v>0</v>
      </c>
      <c r="X115" s="436">
        <f t="shared" ref="X115" si="44">SUM(X111:X114)</f>
        <v>0</v>
      </c>
      <c r="Y115" s="436">
        <f t="shared" ref="Y115" si="45">SUM(Y111:Y114)</f>
        <v>0</v>
      </c>
      <c r="Z115" s="436">
        <f t="shared" ref="Z115" si="46">SUM(Z111:Z114)</f>
        <v>0</v>
      </c>
      <c r="AA115" s="436">
        <f t="shared" ref="AA115" si="47">SUM(AA111:AA114)</f>
        <v>0</v>
      </c>
      <c r="AB115" s="436">
        <f t="shared" ref="AB115" si="48">SUM(AB111:AB114)</f>
        <v>0</v>
      </c>
    </row>
    <row r="117" spans="2:28">
      <c r="B117" s="194" t="s">
        <v>304</v>
      </c>
      <c r="C117" s="351"/>
      <c r="D117" s="352">
        <f>(D83+D88*0.5)*(($I72*'EPA Emission Factors Hub'!$Q$39+$J72*'EPA Emission Factors Hub'!$Q$56)/10^3+$K72*'EPA Grid Emission Factors'!K$27/10^3)</f>
        <v>0</v>
      </c>
      <c r="E117" s="352">
        <f>(E83+E88*0.5)*(($I72*'EPA Emission Factors Hub'!$Q$39+$J72*'EPA Emission Factors Hub'!$Q$56)/10^3+$K72*'EPA Grid Emission Factors'!L$27/10^3)</f>
        <v>0</v>
      </c>
      <c r="F117" s="352">
        <f>(F83+F88*0.5)*(($I72*'EPA Emission Factors Hub'!$Q$39+$J72*'EPA Emission Factors Hub'!$Q$56)/10^3+$K72*'EPA Grid Emission Factors'!M$27/10^3)</f>
        <v>0</v>
      </c>
      <c r="G117" s="352">
        <f>(G83+G88*0.5)*(($I72*'EPA Emission Factors Hub'!$Q$39+$J72*'EPA Emission Factors Hub'!$Q$56)/10^3+$K72*'EPA Grid Emission Factors'!N$27/10^3)</f>
        <v>0</v>
      </c>
      <c r="H117" s="352">
        <f>(H83+H88*0.5)*(($I72*'EPA Emission Factors Hub'!$Q$39+$J72*'EPA Emission Factors Hub'!$Q$56)/10^3+$K72*'EPA Grid Emission Factors'!O$27/10^3)</f>
        <v>0</v>
      </c>
      <c r="I117" s="352">
        <f>(I83+I88*0.5)*(($I72*'EPA Emission Factors Hub'!$Q$39+$J72*'EPA Emission Factors Hub'!$Q$56)/10^3+$K72*'EPA Grid Emission Factors'!P$27/10^3)</f>
        <v>0</v>
      </c>
      <c r="J117" s="352">
        <f>(J83+J88*0.5)*(($I72*'EPA Emission Factors Hub'!$Q$39+$J72*'EPA Emission Factors Hub'!$Q$56)/10^3+$K72*'EPA Grid Emission Factors'!Q$27/10^3)</f>
        <v>0</v>
      </c>
      <c r="K117" s="352">
        <f>(K83+K88*0.5)*(($I72*'EPA Emission Factors Hub'!$Q$39+$J72*'EPA Emission Factors Hub'!$Q$56)/10^3+$K72*'EPA Grid Emission Factors'!R$27/10^3)</f>
        <v>0</v>
      </c>
      <c r="L117" s="352">
        <f>(L83+L88*0.5)*(($I72*'EPA Emission Factors Hub'!$Q$39+$J72*'EPA Emission Factors Hub'!$Q$56)/10^3+$K72*'EPA Grid Emission Factors'!S$27/10^3)</f>
        <v>0</v>
      </c>
      <c r="M117" s="352">
        <f>(M83+M88*0.5)*(($I72*'EPA Emission Factors Hub'!$Q$39+$J72*'EPA Emission Factors Hub'!$Q$56)/10^3+$K72*'EPA Grid Emission Factors'!T$27/10^3)</f>
        <v>0</v>
      </c>
      <c r="N117" s="352">
        <f>(N83+N88*0.5)*(($I72*'EPA Emission Factors Hub'!$Q$39+$J72*'EPA Emission Factors Hub'!$Q$56)/10^3+$K72*'EPA Grid Emission Factors'!U$27/10^3)</f>
        <v>0</v>
      </c>
      <c r="O117" s="352">
        <f>(O83+O88*0.5)*(($I72*'EPA Emission Factors Hub'!$Q$39+$J72*'EPA Emission Factors Hub'!$Q$56)/10^3+$K72*'EPA Grid Emission Factors'!V$27/10^3)</f>
        <v>0</v>
      </c>
      <c r="P117" s="352">
        <f>(P83+P88*0.5)*(($I72*'EPA Emission Factors Hub'!$Q$39+$J72*'EPA Emission Factors Hub'!$Q$56)/10^3+$K72*'EPA Grid Emission Factors'!W$27/10^3)</f>
        <v>0</v>
      </c>
      <c r="Q117" s="352">
        <f>(Q83+Q88*0.5)*(($I72*'EPA Emission Factors Hub'!$Q$39+$J72*'EPA Emission Factors Hub'!$Q$56)/10^3+$K72*'EPA Grid Emission Factors'!X$27/10^3)</f>
        <v>0</v>
      </c>
      <c r="R117" s="352">
        <f>(R83+R88*0.5)*(($I72*'EPA Emission Factors Hub'!$Q$39+$J72*'EPA Emission Factors Hub'!$Q$56)/10^3+$K72*'EPA Grid Emission Factors'!Y$27/10^3)</f>
        <v>0</v>
      </c>
      <c r="S117" s="352">
        <f>(S83+S88*0.5)*(($I72*'EPA Emission Factors Hub'!$Q$39+$J72*'EPA Emission Factors Hub'!$Q$56)/10^3+$K72*'EPA Grid Emission Factors'!Z$27/10^3)</f>
        <v>0</v>
      </c>
      <c r="T117" s="352">
        <f>(T83+T88*0.5)*(($I72*'EPA Emission Factors Hub'!$Q$39+$J72*'EPA Emission Factors Hub'!$Q$56)/10^3+$K72*'EPA Grid Emission Factors'!AA$27/10^3)</f>
        <v>0</v>
      </c>
      <c r="U117" s="352">
        <f>(U83+U88*0.5)*(($I72*'EPA Emission Factors Hub'!$Q$39+$J72*'EPA Emission Factors Hub'!$Q$56)/10^3+$K72*'EPA Grid Emission Factors'!AB$27/10^3)</f>
        <v>0</v>
      </c>
      <c r="V117" s="352">
        <f>(V83+V88*0.5)*(($I72*'EPA Emission Factors Hub'!$Q$39+$J72*'EPA Emission Factors Hub'!$Q$56)/10^3+$K72*'EPA Grid Emission Factors'!AC$27/10^3)</f>
        <v>0</v>
      </c>
      <c r="W117" s="352">
        <f>(W83+W88*0.5)*(($I72*'EPA Emission Factors Hub'!$Q$39+$J72*'EPA Emission Factors Hub'!$Q$56)/10^3+$K72*'EPA Grid Emission Factors'!AD$27/10^3)</f>
        <v>0</v>
      </c>
      <c r="X117" s="352">
        <f>(X83+X88*0.5)*(($I72*'EPA Emission Factors Hub'!$Q$39+$J72*'EPA Emission Factors Hub'!$Q$56)/10^3+$K72*'EPA Grid Emission Factors'!AE$27/10^3)</f>
        <v>0</v>
      </c>
      <c r="Y117" s="352">
        <f>(Y83+Y88*0.5)*(($I72*'EPA Emission Factors Hub'!$Q$39+$J72*'EPA Emission Factors Hub'!$Q$56)/10^3+$K72*'EPA Grid Emission Factors'!AF$27/10^3)</f>
        <v>0</v>
      </c>
      <c r="Z117" s="352">
        <f>(Z83+Z88*0.5)*(($I72*'EPA Emission Factors Hub'!$Q$39+$J72*'EPA Emission Factors Hub'!$Q$56)/10^3+$K72*'EPA Grid Emission Factors'!AG$27/10^3)</f>
        <v>0</v>
      </c>
      <c r="AA117" s="352">
        <f>(AA83+AA88*0.5)*(($I72*'EPA Emission Factors Hub'!$Q$39+$J72*'EPA Emission Factors Hub'!$Q$56)/10^3+$K72*'EPA Grid Emission Factors'!AH$27/10^3)</f>
        <v>0</v>
      </c>
      <c r="AB117" s="352">
        <f>(AB83+AB88*0.5)*(($I72*'EPA Emission Factors Hub'!$Q$39+$J72*'EPA Emission Factors Hub'!$Q$56)/10^3+$K72*'EPA Grid Emission Factors'!AI$27/10^3)</f>
        <v>0</v>
      </c>
    </row>
    <row r="118" spans="2:28">
      <c r="B118" s="194" t="s">
        <v>305</v>
      </c>
      <c r="C118" s="351"/>
      <c r="D118" s="352">
        <f>(D84+D89*0.5)*(($I73*'EPA Emission Factors Hub'!$Q$39+$J73*'EPA Emission Factors Hub'!$Q$56)/10^3+$K73*'EPA Grid Emission Factors'!K$27/10^3)</f>
        <v>0</v>
      </c>
      <c r="E118" s="352">
        <f>(E84+E89*0.5)*(($I73*'EPA Emission Factors Hub'!$Q$39+$J73*'EPA Emission Factors Hub'!$Q$56)/10^3+$K73*'EPA Grid Emission Factors'!L$27/10^3)</f>
        <v>0</v>
      </c>
      <c r="F118" s="352">
        <f>(F84+F89*0.5)*(($I73*'EPA Emission Factors Hub'!$Q$39+$J73*'EPA Emission Factors Hub'!$Q$56)/10^3+$K73*'EPA Grid Emission Factors'!M$27/10^3)</f>
        <v>0</v>
      </c>
      <c r="G118" s="352">
        <f>(G84+G89*0.5)*(($I73*'EPA Emission Factors Hub'!$Q$39+$J73*'EPA Emission Factors Hub'!$Q$56)/10^3+$K73*'EPA Grid Emission Factors'!N$27/10^3)</f>
        <v>0</v>
      </c>
      <c r="H118" s="352">
        <f>(H84+H89*0.5)*(($I73*'EPA Emission Factors Hub'!$Q$39+$J73*'EPA Emission Factors Hub'!$Q$56)/10^3+$K73*'EPA Grid Emission Factors'!O$27/10^3)</f>
        <v>0</v>
      </c>
      <c r="I118" s="352">
        <f>(I84+I89*0.5)*(($I73*'EPA Emission Factors Hub'!$Q$39+$J73*'EPA Emission Factors Hub'!$Q$56)/10^3+$K73*'EPA Grid Emission Factors'!P$27/10^3)</f>
        <v>0</v>
      </c>
      <c r="J118" s="352">
        <f>(J84+J89*0.5)*(($I73*'EPA Emission Factors Hub'!$Q$39+$J73*'EPA Emission Factors Hub'!$Q$56)/10^3+$K73*'EPA Grid Emission Factors'!Q$27/10^3)</f>
        <v>0</v>
      </c>
      <c r="K118" s="352">
        <f>(K84+K89*0.5)*(($I73*'EPA Emission Factors Hub'!$Q$39+$J73*'EPA Emission Factors Hub'!$Q$56)/10^3+$K73*'EPA Grid Emission Factors'!R$27/10^3)</f>
        <v>0</v>
      </c>
      <c r="L118" s="352">
        <f>(L84+L89*0.5)*(($I73*'EPA Emission Factors Hub'!$Q$39+$J73*'EPA Emission Factors Hub'!$Q$56)/10^3+$K73*'EPA Grid Emission Factors'!S$27/10^3)</f>
        <v>0</v>
      </c>
      <c r="M118" s="352">
        <f>(M84+M89*0.5)*(($I73*'EPA Emission Factors Hub'!$Q$39+$J73*'EPA Emission Factors Hub'!$Q$56)/10^3+$K73*'EPA Grid Emission Factors'!T$27/10^3)</f>
        <v>0</v>
      </c>
      <c r="N118" s="352">
        <f>(N84+N89*0.5)*(($I73*'EPA Emission Factors Hub'!$Q$39+$J73*'EPA Emission Factors Hub'!$Q$56)/10^3+$K73*'EPA Grid Emission Factors'!U$27/10^3)</f>
        <v>0</v>
      </c>
      <c r="O118" s="352">
        <f>(O84+O89*0.5)*(($I73*'EPA Emission Factors Hub'!$Q$39+$J73*'EPA Emission Factors Hub'!$Q$56)/10^3+$K73*'EPA Grid Emission Factors'!V$27/10^3)</f>
        <v>0</v>
      </c>
      <c r="P118" s="352">
        <f>(P84+P89*0.5)*(($I73*'EPA Emission Factors Hub'!$Q$39+$J73*'EPA Emission Factors Hub'!$Q$56)/10^3+$K73*'EPA Grid Emission Factors'!W$27/10^3)</f>
        <v>0</v>
      </c>
      <c r="Q118" s="352">
        <f>(Q84+Q89*0.5)*(($I73*'EPA Emission Factors Hub'!$Q$39+$J73*'EPA Emission Factors Hub'!$Q$56)/10^3+$K73*'EPA Grid Emission Factors'!X$27/10^3)</f>
        <v>0</v>
      </c>
      <c r="R118" s="352">
        <f>(R84+R89*0.5)*(($I73*'EPA Emission Factors Hub'!$Q$39+$J73*'EPA Emission Factors Hub'!$Q$56)/10^3+$K73*'EPA Grid Emission Factors'!Y$27/10^3)</f>
        <v>0</v>
      </c>
      <c r="S118" s="352">
        <f>(S84+S89*0.5)*(($I73*'EPA Emission Factors Hub'!$Q$39+$J73*'EPA Emission Factors Hub'!$Q$56)/10^3+$K73*'EPA Grid Emission Factors'!Z$27/10^3)</f>
        <v>0</v>
      </c>
      <c r="T118" s="352">
        <f>(T84+T89*0.5)*(($I73*'EPA Emission Factors Hub'!$Q$39+$J73*'EPA Emission Factors Hub'!$Q$56)/10^3+$K73*'EPA Grid Emission Factors'!AA$27/10^3)</f>
        <v>0</v>
      </c>
      <c r="U118" s="352">
        <f>(U84+U89*0.5)*(($I73*'EPA Emission Factors Hub'!$Q$39+$J73*'EPA Emission Factors Hub'!$Q$56)/10^3+$K73*'EPA Grid Emission Factors'!AB$27/10^3)</f>
        <v>0</v>
      </c>
      <c r="V118" s="352">
        <f>(V84+V89*0.5)*(($I73*'EPA Emission Factors Hub'!$Q$39+$J73*'EPA Emission Factors Hub'!$Q$56)/10^3+$K73*'EPA Grid Emission Factors'!AC$27/10^3)</f>
        <v>0</v>
      </c>
      <c r="W118" s="352">
        <f>(W84+W89*0.5)*(($I73*'EPA Emission Factors Hub'!$Q$39+$J73*'EPA Emission Factors Hub'!$Q$56)/10^3+$K73*'EPA Grid Emission Factors'!AD$27/10^3)</f>
        <v>0</v>
      </c>
      <c r="X118" s="352">
        <f>(X84+X89*0.5)*(($I73*'EPA Emission Factors Hub'!$Q$39+$J73*'EPA Emission Factors Hub'!$Q$56)/10^3+$K73*'EPA Grid Emission Factors'!AE$27/10^3)</f>
        <v>0</v>
      </c>
      <c r="Y118" s="352">
        <f>(Y84+Y89*0.5)*(($I73*'EPA Emission Factors Hub'!$Q$39+$J73*'EPA Emission Factors Hub'!$Q$56)/10^3+$K73*'EPA Grid Emission Factors'!AF$27/10^3)</f>
        <v>0</v>
      </c>
      <c r="Z118" s="352">
        <f>(Z84+Z89*0.5)*(($I73*'EPA Emission Factors Hub'!$Q$39+$J73*'EPA Emission Factors Hub'!$Q$56)/10^3+$K73*'EPA Grid Emission Factors'!AG$27/10^3)</f>
        <v>0</v>
      </c>
      <c r="AA118" s="352">
        <f>(AA84+AA89*0.5)*(($I73*'EPA Emission Factors Hub'!$Q$39+$J73*'EPA Emission Factors Hub'!$Q$56)/10^3+$K73*'EPA Grid Emission Factors'!AH$27/10^3)</f>
        <v>0</v>
      </c>
      <c r="AB118" s="352">
        <f>(AB84+AB89*0.5)*(($I73*'EPA Emission Factors Hub'!$Q$39+$J73*'EPA Emission Factors Hub'!$Q$56)/10^3+$K73*'EPA Grid Emission Factors'!AI$27/10^3)</f>
        <v>0</v>
      </c>
    </row>
    <row r="119" spans="2:28">
      <c r="B119" s="194" t="s">
        <v>306</v>
      </c>
      <c r="C119" s="351"/>
      <c r="D119" s="352">
        <f>(D85+D90*0.5)*(($I74*'EPA Emission Factors Hub'!$Q$39+$J74*'EPA Emission Factors Hub'!$Q$56)/10^3+$K74*'EPA Grid Emission Factors'!K$27/10^3)</f>
        <v>0</v>
      </c>
      <c r="E119" s="352">
        <f>(E85+E90*0.5)*(($I74*'EPA Emission Factors Hub'!$Q$39+$J74*'EPA Emission Factors Hub'!$Q$56)/10^3+$K74*'EPA Grid Emission Factors'!L$27/10^3)</f>
        <v>0</v>
      </c>
      <c r="F119" s="352">
        <f>(F85+F90*0.5)*(($I74*'EPA Emission Factors Hub'!$Q$39+$J74*'EPA Emission Factors Hub'!$Q$56)/10^3+$K74*'EPA Grid Emission Factors'!M$27/10^3)</f>
        <v>0</v>
      </c>
      <c r="G119" s="352">
        <f>(G85+G90*0.5)*(($I74*'EPA Emission Factors Hub'!$Q$39+$J74*'EPA Emission Factors Hub'!$Q$56)/10^3+$K74*'EPA Grid Emission Factors'!N$27/10^3)</f>
        <v>0</v>
      </c>
      <c r="H119" s="352">
        <f>(H85+H90*0.5)*(($I74*'EPA Emission Factors Hub'!$Q$39+$J74*'EPA Emission Factors Hub'!$Q$56)/10^3+$K74*'EPA Grid Emission Factors'!O$27/10^3)</f>
        <v>0</v>
      </c>
      <c r="I119" s="352">
        <f>(I85+I90*0.5)*(($I74*'EPA Emission Factors Hub'!$Q$39+$J74*'EPA Emission Factors Hub'!$Q$56)/10^3+$K74*'EPA Grid Emission Factors'!P$27/10^3)</f>
        <v>0</v>
      </c>
      <c r="J119" s="352">
        <f>(J85+J90*0.5)*(($I74*'EPA Emission Factors Hub'!$Q$39+$J74*'EPA Emission Factors Hub'!$Q$56)/10^3+$K74*'EPA Grid Emission Factors'!Q$27/10^3)</f>
        <v>0</v>
      </c>
      <c r="K119" s="352">
        <f>(K85+K90*0.5)*(($I74*'EPA Emission Factors Hub'!$Q$39+$J74*'EPA Emission Factors Hub'!$Q$56)/10^3+$K74*'EPA Grid Emission Factors'!R$27/10^3)</f>
        <v>0</v>
      </c>
      <c r="L119" s="352">
        <f>(L85+L90*0.5)*(($I74*'EPA Emission Factors Hub'!$Q$39+$J74*'EPA Emission Factors Hub'!$Q$56)/10^3+$K74*'EPA Grid Emission Factors'!S$27/10^3)</f>
        <v>0</v>
      </c>
      <c r="M119" s="352">
        <f>(M85+M90*0.5)*(($I74*'EPA Emission Factors Hub'!$Q$39+$J74*'EPA Emission Factors Hub'!$Q$56)/10^3+$K74*'EPA Grid Emission Factors'!T$27/10^3)</f>
        <v>0</v>
      </c>
      <c r="N119" s="352">
        <f>(N85+N90*0.5)*(($I74*'EPA Emission Factors Hub'!$Q$39+$J74*'EPA Emission Factors Hub'!$Q$56)/10^3+$K74*'EPA Grid Emission Factors'!U$27/10^3)</f>
        <v>0</v>
      </c>
      <c r="O119" s="352">
        <f>(O85+O90*0.5)*(($I74*'EPA Emission Factors Hub'!$Q$39+$J74*'EPA Emission Factors Hub'!$Q$56)/10^3+$K74*'EPA Grid Emission Factors'!V$27/10^3)</f>
        <v>0</v>
      </c>
      <c r="P119" s="352">
        <f>(P85+P90*0.5)*(($I74*'EPA Emission Factors Hub'!$Q$39+$J74*'EPA Emission Factors Hub'!$Q$56)/10^3+$K74*'EPA Grid Emission Factors'!W$27/10^3)</f>
        <v>0</v>
      </c>
      <c r="Q119" s="352">
        <f>(Q85+Q90*0.5)*(($I74*'EPA Emission Factors Hub'!$Q$39+$J74*'EPA Emission Factors Hub'!$Q$56)/10^3+$K74*'EPA Grid Emission Factors'!X$27/10^3)</f>
        <v>0</v>
      </c>
      <c r="R119" s="352">
        <f>(R85+R90*0.5)*(($I74*'EPA Emission Factors Hub'!$Q$39+$J74*'EPA Emission Factors Hub'!$Q$56)/10^3+$K74*'EPA Grid Emission Factors'!Y$27/10^3)</f>
        <v>0</v>
      </c>
      <c r="S119" s="352">
        <f>(S85+S90*0.5)*(($I74*'EPA Emission Factors Hub'!$Q$39+$J74*'EPA Emission Factors Hub'!$Q$56)/10^3+$K74*'EPA Grid Emission Factors'!Z$27/10^3)</f>
        <v>0</v>
      </c>
      <c r="T119" s="352">
        <f>(T85+T90*0.5)*(($I74*'EPA Emission Factors Hub'!$Q$39+$J74*'EPA Emission Factors Hub'!$Q$56)/10^3+$K74*'EPA Grid Emission Factors'!AA$27/10^3)</f>
        <v>0</v>
      </c>
      <c r="U119" s="352">
        <f>(U85+U90*0.5)*(($I74*'EPA Emission Factors Hub'!$Q$39+$J74*'EPA Emission Factors Hub'!$Q$56)/10^3+$K74*'EPA Grid Emission Factors'!AB$27/10^3)</f>
        <v>0</v>
      </c>
      <c r="V119" s="352">
        <f>(V85+V90*0.5)*(($I74*'EPA Emission Factors Hub'!$Q$39+$J74*'EPA Emission Factors Hub'!$Q$56)/10^3+$K74*'EPA Grid Emission Factors'!AC$27/10^3)</f>
        <v>0</v>
      </c>
      <c r="W119" s="352">
        <f>(W85+W90*0.5)*(($I74*'EPA Emission Factors Hub'!$Q$39+$J74*'EPA Emission Factors Hub'!$Q$56)/10^3+$K74*'EPA Grid Emission Factors'!AD$27/10^3)</f>
        <v>0</v>
      </c>
      <c r="X119" s="352">
        <f>(X85+X90*0.5)*(($I74*'EPA Emission Factors Hub'!$Q$39+$J74*'EPA Emission Factors Hub'!$Q$56)/10^3+$K74*'EPA Grid Emission Factors'!AE$27/10^3)</f>
        <v>0</v>
      </c>
      <c r="Y119" s="352">
        <f>(Y85+Y90*0.5)*(($I74*'EPA Emission Factors Hub'!$Q$39+$J74*'EPA Emission Factors Hub'!$Q$56)/10^3+$K74*'EPA Grid Emission Factors'!AF$27/10^3)</f>
        <v>0</v>
      </c>
      <c r="Z119" s="352">
        <f>(Z85+Z90*0.5)*(($I74*'EPA Emission Factors Hub'!$Q$39+$J74*'EPA Emission Factors Hub'!$Q$56)/10^3+$K74*'EPA Grid Emission Factors'!AG$27/10^3)</f>
        <v>0</v>
      </c>
      <c r="AA119" s="352">
        <f>(AA85+AA90*0.5)*(($I74*'EPA Emission Factors Hub'!$Q$39+$J74*'EPA Emission Factors Hub'!$Q$56)/10^3+$K74*'EPA Grid Emission Factors'!AH$27/10^3)</f>
        <v>0</v>
      </c>
      <c r="AB119" s="352">
        <f>(AB85+AB90*0.5)*(($I74*'EPA Emission Factors Hub'!$Q$39+$J74*'EPA Emission Factors Hub'!$Q$56)/10^3+$K74*'EPA Grid Emission Factors'!AI$27/10^3)</f>
        <v>0</v>
      </c>
    </row>
    <row r="120" spans="2:28" ht="15.75" thickBot="1">
      <c r="B120" s="336" t="s">
        <v>307</v>
      </c>
      <c r="C120" s="353"/>
      <c r="D120" s="354">
        <f>(D86+D91*0.5)*(($I75*'EPA Emission Factors Hub'!$Q$39+$J75*'EPA Emission Factors Hub'!$Q$56)/10^3+$K75*'EPA Grid Emission Factors'!K$27/10^3)</f>
        <v>0</v>
      </c>
      <c r="E120" s="354">
        <f>(E86+E91*0.5)*(($I75*'EPA Emission Factors Hub'!$Q$39+$J75*'EPA Emission Factors Hub'!$Q$56)/10^3+$K75*'EPA Grid Emission Factors'!L$27/10^3)</f>
        <v>0</v>
      </c>
      <c r="F120" s="354">
        <f>(F86+F91*0.5)*(($I75*'EPA Emission Factors Hub'!$Q$39+$J75*'EPA Emission Factors Hub'!$Q$56)/10^3+$K75*'EPA Grid Emission Factors'!M$27/10^3)</f>
        <v>0</v>
      </c>
      <c r="G120" s="354">
        <f>(G86+G91*0.5)*(($I75*'EPA Emission Factors Hub'!$Q$39+$J75*'EPA Emission Factors Hub'!$Q$56)/10^3+$K75*'EPA Grid Emission Factors'!N$27/10^3)</f>
        <v>0</v>
      </c>
      <c r="H120" s="354">
        <f>(H86+H91*0.5)*(($I75*'EPA Emission Factors Hub'!$Q$39+$J75*'EPA Emission Factors Hub'!$Q$56)/10^3+$K75*'EPA Grid Emission Factors'!O$27/10^3)</f>
        <v>0</v>
      </c>
      <c r="I120" s="354">
        <f>(I86+I91*0.5)*(($I75*'EPA Emission Factors Hub'!$Q$39+$J75*'EPA Emission Factors Hub'!$Q$56)/10^3+$K75*'EPA Grid Emission Factors'!P$27/10^3)</f>
        <v>0</v>
      </c>
      <c r="J120" s="354">
        <f>(J86+J91*0.5)*(($I75*'EPA Emission Factors Hub'!$Q$39+$J75*'EPA Emission Factors Hub'!$Q$56)/10^3+$K75*'EPA Grid Emission Factors'!Q$27/10^3)</f>
        <v>0</v>
      </c>
      <c r="K120" s="354">
        <f>(K86+K91*0.5)*(($I75*'EPA Emission Factors Hub'!$Q$39+$J75*'EPA Emission Factors Hub'!$Q$56)/10^3+$K75*'EPA Grid Emission Factors'!R$27/10^3)</f>
        <v>0</v>
      </c>
      <c r="L120" s="354">
        <f>(L86+L91*0.5)*(($I75*'EPA Emission Factors Hub'!$Q$39+$J75*'EPA Emission Factors Hub'!$Q$56)/10^3+$K75*'EPA Grid Emission Factors'!S$27/10^3)</f>
        <v>0</v>
      </c>
      <c r="M120" s="354">
        <f>(M86+M91*0.5)*(($I75*'EPA Emission Factors Hub'!$Q$39+$J75*'EPA Emission Factors Hub'!$Q$56)/10^3+$K75*'EPA Grid Emission Factors'!T$27/10^3)</f>
        <v>0</v>
      </c>
      <c r="N120" s="354">
        <f>(N86+N91*0.5)*(($I75*'EPA Emission Factors Hub'!$Q$39+$J75*'EPA Emission Factors Hub'!$Q$56)/10^3+$K75*'EPA Grid Emission Factors'!U$27/10^3)</f>
        <v>0</v>
      </c>
      <c r="O120" s="354">
        <f>(O86+O91*0.5)*(($I75*'EPA Emission Factors Hub'!$Q$39+$J75*'EPA Emission Factors Hub'!$Q$56)/10^3+$K75*'EPA Grid Emission Factors'!V$27/10^3)</f>
        <v>0</v>
      </c>
      <c r="P120" s="354">
        <f>(P86+P91*0.5)*(($I75*'EPA Emission Factors Hub'!$Q$39+$J75*'EPA Emission Factors Hub'!$Q$56)/10^3+$K75*'EPA Grid Emission Factors'!W$27/10^3)</f>
        <v>0</v>
      </c>
      <c r="Q120" s="354">
        <f>(Q86+Q91*0.5)*(($I75*'EPA Emission Factors Hub'!$Q$39+$J75*'EPA Emission Factors Hub'!$Q$56)/10^3+$K75*'EPA Grid Emission Factors'!X$27/10^3)</f>
        <v>0</v>
      </c>
      <c r="R120" s="354">
        <f>(R86+R91*0.5)*(($I75*'EPA Emission Factors Hub'!$Q$39+$J75*'EPA Emission Factors Hub'!$Q$56)/10^3+$K75*'EPA Grid Emission Factors'!Y$27/10^3)</f>
        <v>0</v>
      </c>
      <c r="S120" s="354">
        <f>(S86+S91*0.5)*(($I75*'EPA Emission Factors Hub'!$Q$39+$J75*'EPA Emission Factors Hub'!$Q$56)/10^3+$K75*'EPA Grid Emission Factors'!Z$27/10^3)</f>
        <v>0</v>
      </c>
      <c r="T120" s="354">
        <f>(T86+T91*0.5)*(($I75*'EPA Emission Factors Hub'!$Q$39+$J75*'EPA Emission Factors Hub'!$Q$56)/10^3+$K75*'EPA Grid Emission Factors'!AA$27/10^3)</f>
        <v>0</v>
      </c>
      <c r="U120" s="354">
        <f>(U86+U91*0.5)*(($I75*'EPA Emission Factors Hub'!$Q$39+$J75*'EPA Emission Factors Hub'!$Q$56)/10^3+$K75*'EPA Grid Emission Factors'!AB$27/10^3)</f>
        <v>0</v>
      </c>
      <c r="V120" s="354">
        <f>(V86+V91*0.5)*(($I75*'EPA Emission Factors Hub'!$Q$39+$J75*'EPA Emission Factors Hub'!$Q$56)/10^3+$K75*'EPA Grid Emission Factors'!AC$27/10^3)</f>
        <v>0</v>
      </c>
      <c r="W120" s="354">
        <f>(W86+W91*0.5)*(($I75*'EPA Emission Factors Hub'!$Q$39+$J75*'EPA Emission Factors Hub'!$Q$56)/10^3+$K75*'EPA Grid Emission Factors'!AD$27/10^3)</f>
        <v>0</v>
      </c>
      <c r="X120" s="354">
        <f>(X86+X91*0.5)*(($I75*'EPA Emission Factors Hub'!$Q$39+$J75*'EPA Emission Factors Hub'!$Q$56)/10^3+$K75*'EPA Grid Emission Factors'!AE$27/10^3)</f>
        <v>0</v>
      </c>
      <c r="Y120" s="354">
        <f>(Y86+Y91*0.5)*(($I75*'EPA Emission Factors Hub'!$Q$39+$J75*'EPA Emission Factors Hub'!$Q$56)/10^3+$K75*'EPA Grid Emission Factors'!AF$27/10^3)</f>
        <v>0</v>
      </c>
      <c r="Z120" s="354">
        <f>(Z86+Z91*0.5)*(($I75*'EPA Emission Factors Hub'!$Q$39+$J75*'EPA Emission Factors Hub'!$Q$56)/10^3+$K75*'EPA Grid Emission Factors'!AG$27/10^3)</f>
        <v>0</v>
      </c>
      <c r="AA120" s="354">
        <f>(AA86+AA91*0.5)*(($I75*'EPA Emission Factors Hub'!$Q$39+$J75*'EPA Emission Factors Hub'!$Q$56)/10^3+$K75*'EPA Grid Emission Factors'!AH$27/10^3)</f>
        <v>0</v>
      </c>
      <c r="AB120" s="354">
        <f>(AB86+AB91*0.5)*(($I75*'EPA Emission Factors Hub'!$Q$39+$J75*'EPA Emission Factors Hub'!$Q$56)/10^3+$K75*'EPA Grid Emission Factors'!AI$27/10^3)</f>
        <v>0</v>
      </c>
    </row>
    <row r="121" spans="2:28">
      <c r="B121" s="434" t="s">
        <v>200</v>
      </c>
      <c r="C121" s="435"/>
      <c r="D121" s="436">
        <f>SUM(D117:D120)</f>
        <v>0</v>
      </c>
      <c r="E121" s="436">
        <f t="shared" ref="E121" si="49">SUM(E117:E120)</f>
        <v>0</v>
      </c>
      <c r="F121" s="436">
        <f t="shared" ref="F121" si="50">SUM(F117:F120)</f>
        <v>0</v>
      </c>
      <c r="G121" s="436">
        <f t="shared" ref="G121" si="51">SUM(G117:G120)</f>
        <v>0</v>
      </c>
      <c r="H121" s="436">
        <f t="shared" ref="H121" si="52">SUM(H117:H120)</f>
        <v>0</v>
      </c>
      <c r="I121" s="436">
        <f t="shared" ref="I121" si="53">SUM(I117:I120)</f>
        <v>0</v>
      </c>
      <c r="J121" s="436">
        <f t="shared" ref="J121" si="54">SUM(J117:J120)</f>
        <v>0</v>
      </c>
      <c r="K121" s="436">
        <f t="shared" ref="K121" si="55">SUM(K117:K120)</f>
        <v>0</v>
      </c>
      <c r="L121" s="436">
        <f t="shared" ref="L121" si="56">SUM(L117:L120)</f>
        <v>0</v>
      </c>
      <c r="M121" s="436">
        <f t="shared" ref="M121" si="57">SUM(M117:M120)</f>
        <v>0</v>
      </c>
      <c r="N121" s="436">
        <f t="shared" ref="N121" si="58">SUM(N117:N120)</f>
        <v>0</v>
      </c>
      <c r="O121" s="436">
        <f t="shared" ref="O121" si="59">SUM(O117:O120)</f>
        <v>0</v>
      </c>
      <c r="P121" s="436">
        <f t="shared" ref="P121" si="60">SUM(P117:P120)</f>
        <v>0</v>
      </c>
      <c r="Q121" s="436">
        <f t="shared" ref="Q121" si="61">SUM(Q117:Q120)</f>
        <v>0</v>
      </c>
      <c r="R121" s="436">
        <f t="shared" ref="R121" si="62">SUM(R117:R120)</f>
        <v>0</v>
      </c>
      <c r="S121" s="436">
        <f t="shared" ref="S121" si="63">SUM(S117:S120)</f>
        <v>0</v>
      </c>
      <c r="T121" s="436">
        <f t="shared" ref="T121" si="64">SUM(T117:T120)</f>
        <v>0</v>
      </c>
      <c r="U121" s="436">
        <f t="shared" ref="U121" si="65">SUM(U117:U120)</f>
        <v>0</v>
      </c>
      <c r="V121" s="436">
        <f t="shared" ref="V121" si="66">SUM(V117:V120)</f>
        <v>0</v>
      </c>
      <c r="W121" s="436">
        <f t="shared" ref="W121" si="67">SUM(W117:W120)</f>
        <v>0</v>
      </c>
      <c r="X121" s="436">
        <f t="shared" ref="X121" si="68">SUM(X117:X120)</f>
        <v>0</v>
      </c>
      <c r="Y121" s="436">
        <f t="shared" ref="Y121" si="69">SUM(Y117:Y120)</f>
        <v>0</v>
      </c>
      <c r="Z121" s="436">
        <f t="shared" ref="Z121" si="70">SUM(Z117:Z120)</f>
        <v>0</v>
      </c>
      <c r="AA121" s="436">
        <f t="shared" ref="AA121" si="71">SUM(AA117:AA120)</f>
        <v>0</v>
      </c>
      <c r="AB121" s="436">
        <f t="shared" ref="AB121" si="72">SUM(AB117:AB120)</f>
        <v>0</v>
      </c>
    </row>
    <row r="123" spans="2:28">
      <c r="B123" s="194" t="s">
        <v>308</v>
      </c>
      <c r="C123" s="351"/>
      <c r="D123" s="352">
        <f>(D83+D88*0.5)*($I72*'EPA Emission Factors Hub'!$W$39+$J72*'EPA Emission Factors Hub'!$W$56+$K72*'EPA Grid Emission Factors'!K$4)</f>
        <v>0</v>
      </c>
      <c r="E123" s="352">
        <f>(E83+E88*0.5)*($I72*'EPA Emission Factors Hub'!$W$39+$J72*'EPA Emission Factors Hub'!$W$56+$K72*'EPA Grid Emission Factors'!L$4)</f>
        <v>0</v>
      </c>
      <c r="F123" s="352">
        <f>(F83+F88*0.5)*($I72*'EPA Emission Factors Hub'!$W$39+$J72*'EPA Emission Factors Hub'!$W$56+$K72*'EPA Grid Emission Factors'!M$4)</f>
        <v>0</v>
      </c>
      <c r="G123" s="352">
        <f>(G83+G88*0.5)*($I72*'EPA Emission Factors Hub'!$W$39+$J72*'EPA Emission Factors Hub'!$W$56+$K72*'EPA Grid Emission Factors'!N$4)</f>
        <v>0</v>
      </c>
      <c r="H123" s="352">
        <f>(H83+H88*0.5)*($I72*'EPA Emission Factors Hub'!$W$39+$J72*'EPA Emission Factors Hub'!$W$56+$K72*'EPA Grid Emission Factors'!O$4)</f>
        <v>0</v>
      </c>
      <c r="I123" s="352">
        <f>(I83+I88*0.5)*($I72*'EPA Emission Factors Hub'!$W$39+$J72*'EPA Emission Factors Hub'!$W$56+$K72*'EPA Grid Emission Factors'!P$4)</f>
        <v>0</v>
      </c>
      <c r="J123" s="352">
        <f>(J83+J88*0.5)*($I72*'EPA Emission Factors Hub'!$W$39+$J72*'EPA Emission Factors Hub'!$W$56+$K72*'EPA Grid Emission Factors'!Q$4)</f>
        <v>0</v>
      </c>
      <c r="K123" s="352">
        <f>(K83+K88*0.5)*($I72*'EPA Emission Factors Hub'!$W$39+$J72*'EPA Emission Factors Hub'!$W$56+$K72*'EPA Grid Emission Factors'!R$4)</f>
        <v>0</v>
      </c>
      <c r="L123" s="352">
        <f>(L83+L88*0.5)*($I72*'EPA Emission Factors Hub'!$W$39+$J72*'EPA Emission Factors Hub'!$W$56+$K72*'EPA Grid Emission Factors'!S$4)</f>
        <v>0</v>
      </c>
      <c r="M123" s="352">
        <f>(M83+M88*0.5)*($I72*'EPA Emission Factors Hub'!$W$39+$J72*'EPA Emission Factors Hub'!$W$56+$K72*'EPA Grid Emission Factors'!T$4)</f>
        <v>0</v>
      </c>
      <c r="N123" s="352">
        <f>(N83+N88*0.5)*($I72*'EPA Emission Factors Hub'!$W$39+$J72*'EPA Emission Factors Hub'!$W$56+$K72*'EPA Grid Emission Factors'!U$4)</f>
        <v>0</v>
      </c>
      <c r="O123" s="352">
        <f>(O83+O88*0.5)*($I72*'EPA Emission Factors Hub'!$W$39+$J72*'EPA Emission Factors Hub'!$W$56+$K72*'EPA Grid Emission Factors'!V$4)</f>
        <v>0</v>
      </c>
      <c r="P123" s="352">
        <f>(P83+P88*0.5)*($I72*'EPA Emission Factors Hub'!$W$39+$J72*'EPA Emission Factors Hub'!$W$56+$K72*'EPA Grid Emission Factors'!W$4)</f>
        <v>0</v>
      </c>
      <c r="Q123" s="352">
        <f>(Q83+Q88*0.5)*($I72*'EPA Emission Factors Hub'!$W$39+$J72*'EPA Emission Factors Hub'!$W$56+$K72*'EPA Grid Emission Factors'!X$4)</f>
        <v>0</v>
      </c>
      <c r="R123" s="352">
        <f>(R83+R88*0.5)*($I72*'EPA Emission Factors Hub'!$W$39+$J72*'EPA Emission Factors Hub'!$W$56+$K72*'EPA Grid Emission Factors'!Y$4)</f>
        <v>0</v>
      </c>
      <c r="S123" s="352">
        <f>(S83+S88*0.5)*($I72*'EPA Emission Factors Hub'!$W$39+$J72*'EPA Emission Factors Hub'!$W$56+$K72*'EPA Grid Emission Factors'!Z$4)</f>
        <v>0</v>
      </c>
      <c r="T123" s="352">
        <f>(T83+T88*0.5)*($I72*'EPA Emission Factors Hub'!$W$39+$J72*'EPA Emission Factors Hub'!$W$56+$K72*'EPA Grid Emission Factors'!AA$4)</f>
        <v>0</v>
      </c>
      <c r="U123" s="352">
        <f>(U83+U88*0.5)*($I72*'EPA Emission Factors Hub'!$W$39+$J72*'EPA Emission Factors Hub'!$W$56+$K72*'EPA Grid Emission Factors'!AB$4)</f>
        <v>0</v>
      </c>
      <c r="V123" s="352">
        <f>(V83+V88*0.5)*($I72*'EPA Emission Factors Hub'!$W$39+$J72*'EPA Emission Factors Hub'!$W$56+$K72*'EPA Grid Emission Factors'!AC$4)</f>
        <v>0</v>
      </c>
      <c r="W123" s="352">
        <f>(W83+W88*0.5)*($I72*'EPA Emission Factors Hub'!$W$39+$J72*'EPA Emission Factors Hub'!$W$56+$K72*'EPA Grid Emission Factors'!AD$4)</f>
        <v>0</v>
      </c>
      <c r="X123" s="352">
        <f>(X83+X88*0.5)*($I72*'EPA Emission Factors Hub'!$W$39+$J72*'EPA Emission Factors Hub'!$W$56+$K72*'EPA Grid Emission Factors'!AE$4)</f>
        <v>0</v>
      </c>
      <c r="Y123" s="352">
        <f>(Y83+Y88*0.5)*($I72*'EPA Emission Factors Hub'!$W$39+$J72*'EPA Emission Factors Hub'!$W$56+$K72*'EPA Grid Emission Factors'!AF$4)</f>
        <v>0</v>
      </c>
      <c r="Z123" s="352">
        <f>(Z83+Z88*0.5)*($I72*'EPA Emission Factors Hub'!$W$39+$J72*'EPA Emission Factors Hub'!$W$56+$K72*'EPA Grid Emission Factors'!AG$4)</f>
        <v>0</v>
      </c>
      <c r="AA123" s="352">
        <f>(AA83+AA88*0.5)*($I72*'EPA Emission Factors Hub'!$W$39+$J72*'EPA Emission Factors Hub'!$W$56+$K72*'EPA Grid Emission Factors'!AH$4)</f>
        <v>0</v>
      </c>
      <c r="AB123" s="352">
        <f>(AB83+AB88*0.5)*($I72*'EPA Emission Factors Hub'!$W$39+$J72*'EPA Emission Factors Hub'!$W$56+$K72*'EPA Grid Emission Factors'!AI$4)</f>
        <v>0</v>
      </c>
    </row>
    <row r="124" spans="2:28">
      <c r="B124" s="194" t="s">
        <v>309</v>
      </c>
      <c r="C124" s="351"/>
      <c r="D124" s="352">
        <f>(D84+D89*0.5)*($I73*'EPA Emission Factors Hub'!$W$39+$J73*'EPA Emission Factors Hub'!$W$56+$K73*'EPA Grid Emission Factors'!K$4)</f>
        <v>0</v>
      </c>
      <c r="E124" s="352">
        <f>(E84+E89*0.5)*($I73*'EPA Emission Factors Hub'!$W$39+$J73*'EPA Emission Factors Hub'!$W$56+$K73*'EPA Grid Emission Factors'!L$4)</f>
        <v>0</v>
      </c>
      <c r="F124" s="352">
        <f>(F84+F89*0.5)*($I73*'EPA Emission Factors Hub'!$W$39+$J73*'EPA Emission Factors Hub'!$W$56+$K73*'EPA Grid Emission Factors'!M$4)</f>
        <v>0</v>
      </c>
      <c r="G124" s="352">
        <f>(G84+G89*0.5)*($I73*'EPA Emission Factors Hub'!$W$39+$J73*'EPA Emission Factors Hub'!$W$56+$K73*'EPA Grid Emission Factors'!N$4)</f>
        <v>0</v>
      </c>
      <c r="H124" s="352">
        <f>(H84+H89*0.5)*($I73*'EPA Emission Factors Hub'!$W$39+$J73*'EPA Emission Factors Hub'!$W$56+$K73*'EPA Grid Emission Factors'!O$4)</f>
        <v>0</v>
      </c>
      <c r="I124" s="352">
        <f>(I84+I89*0.5)*($I73*'EPA Emission Factors Hub'!$W$39+$J73*'EPA Emission Factors Hub'!$W$56+$K73*'EPA Grid Emission Factors'!P$4)</f>
        <v>0</v>
      </c>
      <c r="J124" s="352">
        <f>(J84+J89*0.5)*($I73*'EPA Emission Factors Hub'!$W$39+$J73*'EPA Emission Factors Hub'!$W$56+$K73*'EPA Grid Emission Factors'!Q$4)</f>
        <v>0</v>
      </c>
      <c r="K124" s="352">
        <f>(K84+K89*0.5)*($I73*'EPA Emission Factors Hub'!$W$39+$J73*'EPA Emission Factors Hub'!$W$56+$K73*'EPA Grid Emission Factors'!R$4)</f>
        <v>0</v>
      </c>
      <c r="L124" s="352">
        <f>(L84+L89*0.5)*($I73*'EPA Emission Factors Hub'!$W$39+$J73*'EPA Emission Factors Hub'!$W$56+$K73*'EPA Grid Emission Factors'!S$4)</f>
        <v>0</v>
      </c>
      <c r="M124" s="352">
        <f>(M84+M89*0.5)*($I73*'EPA Emission Factors Hub'!$W$39+$J73*'EPA Emission Factors Hub'!$W$56+$K73*'EPA Grid Emission Factors'!T$4)</f>
        <v>0</v>
      </c>
      <c r="N124" s="352">
        <f>(N84+N89*0.5)*($I73*'EPA Emission Factors Hub'!$W$39+$J73*'EPA Emission Factors Hub'!$W$56+$K73*'EPA Grid Emission Factors'!U$4)</f>
        <v>0</v>
      </c>
      <c r="O124" s="352">
        <f>(O84+O89*0.5)*($I73*'EPA Emission Factors Hub'!$W$39+$J73*'EPA Emission Factors Hub'!$W$56+$K73*'EPA Grid Emission Factors'!V$4)</f>
        <v>0</v>
      </c>
      <c r="P124" s="352">
        <f>(P84+P89*0.5)*($I73*'EPA Emission Factors Hub'!$W$39+$J73*'EPA Emission Factors Hub'!$W$56+$K73*'EPA Grid Emission Factors'!W$4)</f>
        <v>0</v>
      </c>
      <c r="Q124" s="352">
        <f>(Q84+Q89*0.5)*($I73*'EPA Emission Factors Hub'!$W$39+$J73*'EPA Emission Factors Hub'!$W$56+$K73*'EPA Grid Emission Factors'!X$4)</f>
        <v>0</v>
      </c>
      <c r="R124" s="352">
        <f>(R84+R89*0.5)*($I73*'EPA Emission Factors Hub'!$W$39+$J73*'EPA Emission Factors Hub'!$W$56+$K73*'EPA Grid Emission Factors'!Y$4)</f>
        <v>0</v>
      </c>
      <c r="S124" s="352">
        <f>(S84+S89*0.5)*($I73*'EPA Emission Factors Hub'!$W$39+$J73*'EPA Emission Factors Hub'!$W$56+$K73*'EPA Grid Emission Factors'!Z$4)</f>
        <v>0</v>
      </c>
      <c r="T124" s="352">
        <f>(T84+T89*0.5)*($I73*'EPA Emission Factors Hub'!$W$39+$J73*'EPA Emission Factors Hub'!$W$56+$K73*'EPA Grid Emission Factors'!AA$4)</f>
        <v>0</v>
      </c>
      <c r="U124" s="352">
        <f>(U84+U89*0.5)*($I73*'EPA Emission Factors Hub'!$W$39+$J73*'EPA Emission Factors Hub'!$W$56+$K73*'EPA Grid Emission Factors'!AB$4)</f>
        <v>0</v>
      </c>
      <c r="V124" s="352">
        <f>(V84+V89*0.5)*($I73*'EPA Emission Factors Hub'!$W$39+$J73*'EPA Emission Factors Hub'!$W$56+$K73*'EPA Grid Emission Factors'!AC$4)</f>
        <v>0</v>
      </c>
      <c r="W124" s="352">
        <f>(W84+W89*0.5)*($I73*'EPA Emission Factors Hub'!$W$39+$J73*'EPA Emission Factors Hub'!$W$56+$K73*'EPA Grid Emission Factors'!AD$4)</f>
        <v>0</v>
      </c>
      <c r="X124" s="352">
        <f>(X84+X89*0.5)*($I73*'EPA Emission Factors Hub'!$W$39+$J73*'EPA Emission Factors Hub'!$W$56+$K73*'EPA Grid Emission Factors'!AE$4)</f>
        <v>0</v>
      </c>
      <c r="Y124" s="352">
        <f>(Y84+Y89*0.5)*($I73*'EPA Emission Factors Hub'!$W$39+$J73*'EPA Emission Factors Hub'!$W$56+$K73*'EPA Grid Emission Factors'!AF$4)</f>
        <v>0</v>
      </c>
      <c r="Z124" s="352">
        <f>(Z84+Z89*0.5)*($I73*'EPA Emission Factors Hub'!$W$39+$J73*'EPA Emission Factors Hub'!$W$56+$K73*'EPA Grid Emission Factors'!AG$4)</f>
        <v>0</v>
      </c>
      <c r="AA124" s="352">
        <f>(AA84+AA89*0.5)*($I73*'EPA Emission Factors Hub'!$W$39+$J73*'EPA Emission Factors Hub'!$W$56+$K73*'EPA Grid Emission Factors'!AH$4)</f>
        <v>0</v>
      </c>
      <c r="AB124" s="352">
        <f>(AB84+AB89*0.5)*($I73*'EPA Emission Factors Hub'!$W$39+$J73*'EPA Emission Factors Hub'!$W$56+$K73*'EPA Grid Emission Factors'!AI$4)</f>
        <v>0</v>
      </c>
    </row>
    <row r="125" spans="2:28">
      <c r="B125" s="194" t="s">
        <v>310</v>
      </c>
      <c r="C125" s="351"/>
      <c r="D125" s="352">
        <f>(D85+D90*0.5)*($I74*'EPA Emission Factors Hub'!$W$39+$J74*'EPA Emission Factors Hub'!$W$56+$K74*'EPA Grid Emission Factors'!K$4)</f>
        <v>0</v>
      </c>
      <c r="E125" s="352">
        <f>(E85+E90*0.5)*($I74*'EPA Emission Factors Hub'!$W$39+$J74*'EPA Emission Factors Hub'!$W$56+$K74*'EPA Grid Emission Factors'!L$4)</f>
        <v>0</v>
      </c>
      <c r="F125" s="352">
        <f>(F85+F90*0.5)*($I74*'EPA Emission Factors Hub'!$W$39+$J74*'EPA Emission Factors Hub'!$W$56+$K74*'EPA Grid Emission Factors'!M$4)</f>
        <v>0</v>
      </c>
      <c r="G125" s="352">
        <f>(G85+G90*0.5)*($I74*'EPA Emission Factors Hub'!$W$39+$J74*'EPA Emission Factors Hub'!$W$56+$K74*'EPA Grid Emission Factors'!N$4)</f>
        <v>0</v>
      </c>
      <c r="H125" s="352">
        <f>(H85+H90*0.5)*($I74*'EPA Emission Factors Hub'!$W$39+$J74*'EPA Emission Factors Hub'!$W$56+$K74*'EPA Grid Emission Factors'!O$4)</f>
        <v>0</v>
      </c>
      <c r="I125" s="352">
        <f>(I85+I90*0.5)*($I74*'EPA Emission Factors Hub'!$W$39+$J74*'EPA Emission Factors Hub'!$W$56+$K74*'EPA Grid Emission Factors'!P$4)</f>
        <v>0</v>
      </c>
      <c r="J125" s="352">
        <f>(J85+J90*0.5)*($I74*'EPA Emission Factors Hub'!$W$39+$J74*'EPA Emission Factors Hub'!$W$56+$K74*'EPA Grid Emission Factors'!Q$4)</f>
        <v>0</v>
      </c>
      <c r="K125" s="352">
        <f>(K85+K90*0.5)*($I74*'EPA Emission Factors Hub'!$W$39+$J74*'EPA Emission Factors Hub'!$W$56+$K74*'EPA Grid Emission Factors'!R$4)</f>
        <v>0</v>
      </c>
      <c r="L125" s="352">
        <f>(L85+L90*0.5)*($I74*'EPA Emission Factors Hub'!$W$39+$J74*'EPA Emission Factors Hub'!$W$56+$K74*'EPA Grid Emission Factors'!S$4)</f>
        <v>0</v>
      </c>
      <c r="M125" s="352">
        <f>(M85+M90*0.5)*($I74*'EPA Emission Factors Hub'!$W$39+$J74*'EPA Emission Factors Hub'!$W$56+$K74*'EPA Grid Emission Factors'!T$4)</f>
        <v>0</v>
      </c>
      <c r="N125" s="352">
        <f>(N85+N90*0.5)*($I74*'EPA Emission Factors Hub'!$W$39+$J74*'EPA Emission Factors Hub'!$W$56+$K74*'EPA Grid Emission Factors'!U$4)</f>
        <v>0</v>
      </c>
      <c r="O125" s="352">
        <f>(O85+O90*0.5)*($I74*'EPA Emission Factors Hub'!$W$39+$J74*'EPA Emission Factors Hub'!$W$56+$K74*'EPA Grid Emission Factors'!V$4)</f>
        <v>0</v>
      </c>
      <c r="P125" s="352">
        <f>(P85+P90*0.5)*($I74*'EPA Emission Factors Hub'!$W$39+$J74*'EPA Emission Factors Hub'!$W$56+$K74*'EPA Grid Emission Factors'!W$4)</f>
        <v>0</v>
      </c>
      <c r="Q125" s="352">
        <f>(Q85+Q90*0.5)*($I74*'EPA Emission Factors Hub'!$W$39+$J74*'EPA Emission Factors Hub'!$W$56+$K74*'EPA Grid Emission Factors'!X$4)</f>
        <v>0</v>
      </c>
      <c r="R125" s="352">
        <f>(R85+R90*0.5)*($I74*'EPA Emission Factors Hub'!$W$39+$J74*'EPA Emission Factors Hub'!$W$56+$K74*'EPA Grid Emission Factors'!Y$4)</f>
        <v>0</v>
      </c>
      <c r="S125" s="352">
        <f>(S85+S90*0.5)*($I74*'EPA Emission Factors Hub'!$W$39+$J74*'EPA Emission Factors Hub'!$W$56+$K74*'EPA Grid Emission Factors'!Z$4)</f>
        <v>0</v>
      </c>
      <c r="T125" s="352">
        <f>(T85+T90*0.5)*($I74*'EPA Emission Factors Hub'!$W$39+$J74*'EPA Emission Factors Hub'!$W$56+$K74*'EPA Grid Emission Factors'!AA$4)</f>
        <v>0</v>
      </c>
      <c r="U125" s="352">
        <f>(U85+U90*0.5)*($I74*'EPA Emission Factors Hub'!$W$39+$J74*'EPA Emission Factors Hub'!$W$56+$K74*'EPA Grid Emission Factors'!AB$4)</f>
        <v>0</v>
      </c>
      <c r="V125" s="352">
        <f>(V85+V90*0.5)*($I74*'EPA Emission Factors Hub'!$W$39+$J74*'EPA Emission Factors Hub'!$W$56+$K74*'EPA Grid Emission Factors'!AC$4)</f>
        <v>0</v>
      </c>
      <c r="W125" s="352">
        <f>(W85+W90*0.5)*($I74*'EPA Emission Factors Hub'!$W$39+$J74*'EPA Emission Factors Hub'!$W$56+$K74*'EPA Grid Emission Factors'!AD$4)</f>
        <v>0</v>
      </c>
      <c r="X125" s="352">
        <f>(X85+X90*0.5)*($I74*'EPA Emission Factors Hub'!$W$39+$J74*'EPA Emission Factors Hub'!$W$56+$K74*'EPA Grid Emission Factors'!AE$4)</f>
        <v>0</v>
      </c>
      <c r="Y125" s="352">
        <f>(Y85+Y90*0.5)*($I74*'EPA Emission Factors Hub'!$W$39+$J74*'EPA Emission Factors Hub'!$W$56+$K74*'EPA Grid Emission Factors'!AF$4)</f>
        <v>0</v>
      </c>
      <c r="Z125" s="352">
        <f>(Z85+Z90*0.5)*($I74*'EPA Emission Factors Hub'!$W$39+$J74*'EPA Emission Factors Hub'!$W$56+$K74*'EPA Grid Emission Factors'!AG$4)</f>
        <v>0</v>
      </c>
      <c r="AA125" s="352">
        <f>(AA85+AA90*0.5)*($I74*'EPA Emission Factors Hub'!$W$39+$J74*'EPA Emission Factors Hub'!$W$56+$K74*'EPA Grid Emission Factors'!AH$4)</f>
        <v>0</v>
      </c>
      <c r="AB125" s="352">
        <f>(AB85+AB90*0.5)*($I74*'EPA Emission Factors Hub'!$W$39+$J74*'EPA Emission Factors Hub'!$W$56+$K74*'EPA Grid Emission Factors'!AI$4)</f>
        <v>0</v>
      </c>
    </row>
    <row r="126" spans="2:28" ht="15.75" thickBot="1">
      <c r="B126" s="336" t="s">
        <v>311</v>
      </c>
      <c r="C126" s="353"/>
      <c r="D126" s="354">
        <f>(D86+D91*0.5)*($I75*'EPA Emission Factors Hub'!$W$39+$J75*'EPA Emission Factors Hub'!$W$56+$K75*'EPA Grid Emission Factors'!K$4)</f>
        <v>0</v>
      </c>
      <c r="E126" s="354">
        <f>(E86+E91*0.5)*($I75*'EPA Emission Factors Hub'!$W$39+$J75*'EPA Emission Factors Hub'!$W$56+$K75*'EPA Grid Emission Factors'!L$4)</f>
        <v>0</v>
      </c>
      <c r="F126" s="354">
        <f>(F86+F91*0.5)*($I75*'EPA Emission Factors Hub'!$W$39+$J75*'EPA Emission Factors Hub'!$W$56+$K75*'EPA Grid Emission Factors'!M$4)</f>
        <v>0</v>
      </c>
      <c r="G126" s="354">
        <f>(G86+G91*0.5)*($I75*'EPA Emission Factors Hub'!$W$39+$J75*'EPA Emission Factors Hub'!$W$56+$K75*'EPA Grid Emission Factors'!N$4)</f>
        <v>0</v>
      </c>
      <c r="H126" s="354">
        <f>(H86+H91*0.5)*($I75*'EPA Emission Factors Hub'!$W$39+$J75*'EPA Emission Factors Hub'!$W$56+$K75*'EPA Grid Emission Factors'!O$4)</f>
        <v>0</v>
      </c>
      <c r="I126" s="354">
        <f>(I86+I91*0.5)*($I75*'EPA Emission Factors Hub'!$W$39+$J75*'EPA Emission Factors Hub'!$W$56+$K75*'EPA Grid Emission Factors'!P$4)</f>
        <v>0</v>
      </c>
      <c r="J126" s="354">
        <f>(J86+J91*0.5)*($I75*'EPA Emission Factors Hub'!$W$39+$J75*'EPA Emission Factors Hub'!$W$56+$K75*'EPA Grid Emission Factors'!Q$4)</f>
        <v>0</v>
      </c>
      <c r="K126" s="354">
        <f>(K86+K91*0.5)*($I75*'EPA Emission Factors Hub'!$W$39+$J75*'EPA Emission Factors Hub'!$W$56+$K75*'EPA Grid Emission Factors'!R$4)</f>
        <v>0</v>
      </c>
      <c r="L126" s="354">
        <f>(L86+L91*0.5)*($I75*'EPA Emission Factors Hub'!$W$39+$J75*'EPA Emission Factors Hub'!$W$56+$K75*'EPA Grid Emission Factors'!S$4)</f>
        <v>0</v>
      </c>
      <c r="M126" s="354">
        <f>(M86+M91*0.5)*($I75*'EPA Emission Factors Hub'!$W$39+$J75*'EPA Emission Factors Hub'!$W$56+$K75*'EPA Grid Emission Factors'!T$4)</f>
        <v>0</v>
      </c>
      <c r="N126" s="354">
        <f>(N86+N91*0.5)*($I75*'EPA Emission Factors Hub'!$W$39+$J75*'EPA Emission Factors Hub'!$W$56+$K75*'EPA Grid Emission Factors'!U$4)</f>
        <v>0</v>
      </c>
      <c r="O126" s="354">
        <f>(O86+O91*0.5)*($I75*'EPA Emission Factors Hub'!$W$39+$J75*'EPA Emission Factors Hub'!$W$56+$K75*'EPA Grid Emission Factors'!V$4)</f>
        <v>0</v>
      </c>
      <c r="P126" s="354">
        <f>(P86+P91*0.5)*($I75*'EPA Emission Factors Hub'!$W$39+$J75*'EPA Emission Factors Hub'!$W$56+$K75*'EPA Grid Emission Factors'!W$4)</f>
        <v>0</v>
      </c>
      <c r="Q126" s="354">
        <f>(Q86+Q91*0.5)*($I75*'EPA Emission Factors Hub'!$W$39+$J75*'EPA Emission Factors Hub'!$W$56+$K75*'EPA Grid Emission Factors'!X$4)</f>
        <v>0</v>
      </c>
      <c r="R126" s="354">
        <f>(R86+R91*0.5)*($I75*'EPA Emission Factors Hub'!$W$39+$J75*'EPA Emission Factors Hub'!$W$56+$K75*'EPA Grid Emission Factors'!Y$4)</f>
        <v>0</v>
      </c>
      <c r="S126" s="354">
        <f>(S86+S91*0.5)*($I75*'EPA Emission Factors Hub'!$W$39+$J75*'EPA Emission Factors Hub'!$W$56+$K75*'EPA Grid Emission Factors'!Z$4)</f>
        <v>0</v>
      </c>
      <c r="T126" s="354">
        <f>(T86+T91*0.5)*($I75*'EPA Emission Factors Hub'!$W$39+$J75*'EPA Emission Factors Hub'!$W$56+$K75*'EPA Grid Emission Factors'!AA$4)</f>
        <v>0</v>
      </c>
      <c r="U126" s="354">
        <f>(U86+U91*0.5)*($I75*'EPA Emission Factors Hub'!$W$39+$J75*'EPA Emission Factors Hub'!$W$56+$K75*'EPA Grid Emission Factors'!AB$4)</f>
        <v>0</v>
      </c>
      <c r="V126" s="354">
        <f>(V86+V91*0.5)*($I75*'EPA Emission Factors Hub'!$W$39+$J75*'EPA Emission Factors Hub'!$W$56+$K75*'EPA Grid Emission Factors'!AC$4)</f>
        <v>0</v>
      </c>
      <c r="W126" s="354">
        <f>(W86+W91*0.5)*($I75*'EPA Emission Factors Hub'!$W$39+$J75*'EPA Emission Factors Hub'!$W$56+$K75*'EPA Grid Emission Factors'!AD$4)</f>
        <v>0</v>
      </c>
      <c r="X126" s="354">
        <f>(X86+X91*0.5)*($I75*'EPA Emission Factors Hub'!$W$39+$J75*'EPA Emission Factors Hub'!$W$56+$K75*'EPA Grid Emission Factors'!AE$4)</f>
        <v>0</v>
      </c>
      <c r="Y126" s="354">
        <f>(Y86+Y91*0.5)*($I75*'EPA Emission Factors Hub'!$W$39+$J75*'EPA Emission Factors Hub'!$W$56+$K75*'EPA Grid Emission Factors'!AF$4)</f>
        <v>0</v>
      </c>
      <c r="Z126" s="354">
        <f>(Z86+Z91*0.5)*($I75*'EPA Emission Factors Hub'!$W$39+$J75*'EPA Emission Factors Hub'!$W$56+$K75*'EPA Grid Emission Factors'!AG$4)</f>
        <v>0</v>
      </c>
      <c r="AA126" s="354">
        <f>(AA86+AA91*0.5)*($I75*'EPA Emission Factors Hub'!$W$39+$J75*'EPA Emission Factors Hub'!$W$56+$K75*'EPA Grid Emission Factors'!AH$4)</f>
        <v>0</v>
      </c>
      <c r="AB126" s="354">
        <f>(AB86+AB91*0.5)*($I75*'EPA Emission Factors Hub'!$W$39+$J75*'EPA Emission Factors Hub'!$W$56+$K75*'EPA Grid Emission Factors'!AI$4)</f>
        <v>0</v>
      </c>
    </row>
    <row r="127" spans="2:28">
      <c r="B127" s="609" t="s">
        <v>250</v>
      </c>
      <c r="C127" s="349"/>
      <c r="D127" s="350">
        <f t="shared" ref="D127:AB127" si="73">SUM(D123:D126)</f>
        <v>0</v>
      </c>
      <c r="E127" s="350">
        <f t="shared" si="73"/>
        <v>0</v>
      </c>
      <c r="F127" s="350">
        <f t="shared" si="73"/>
        <v>0</v>
      </c>
      <c r="G127" s="350">
        <f t="shared" si="73"/>
        <v>0</v>
      </c>
      <c r="H127" s="350">
        <f t="shared" si="73"/>
        <v>0</v>
      </c>
      <c r="I127" s="350">
        <f t="shared" si="73"/>
        <v>0</v>
      </c>
      <c r="J127" s="350">
        <f t="shared" si="73"/>
        <v>0</v>
      </c>
      <c r="K127" s="350">
        <f t="shared" si="73"/>
        <v>0</v>
      </c>
      <c r="L127" s="350">
        <f t="shared" si="73"/>
        <v>0</v>
      </c>
      <c r="M127" s="350">
        <f t="shared" si="73"/>
        <v>0</v>
      </c>
      <c r="N127" s="350">
        <f t="shared" si="73"/>
        <v>0</v>
      </c>
      <c r="O127" s="350">
        <f t="shared" si="73"/>
        <v>0</v>
      </c>
      <c r="P127" s="350">
        <f t="shared" si="73"/>
        <v>0</v>
      </c>
      <c r="Q127" s="350">
        <f t="shared" si="73"/>
        <v>0</v>
      </c>
      <c r="R127" s="350">
        <f t="shared" si="73"/>
        <v>0</v>
      </c>
      <c r="S127" s="350">
        <f t="shared" si="73"/>
        <v>0</v>
      </c>
      <c r="T127" s="350">
        <f t="shared" si="73"/>
        <v>0</v>
      </c>
      <c r="U127" s="350">
        <f t="shared" si="73"/>
        <v>0</v>
      </c>
      <c r="V127" s="350">
        <f t="shared" si="73"/>
        <v>0</v>
      </c>
      <c r="W127" s="350">
        <f t="shared" si="73"/>
        <v>0</v>
      </c>
      <c r="X127" s="350">
        <f t="shared" si="73"/>
        <v>0</v>
      </c>
      <c r="Y127" s="350">
        <f t="shared" si="73"/>
        <v>0</v>
      </c>
      <c r="Z127" s="350">
        <f t="shared" si="73"/>
        <v>0</v>
      </c>
      <c r="AA127" s="350">
        <f t="shared" si="73"/>
        <v>0</v>
      </c>
      <c r="AB127" s="350">
        <f t="shared" si="73"/>
        <v>0</v>
      </c>
    </row>
    <row r="128" spans="2:28">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row>
    <row r="129" spans="2:28">
      <c r="B129" s="194" t="s">
        <v>308</v>
      </c>
      <c r="C129" s="351"/>
      <c r="D129" s="352">
        <f>(D83+D88*0.5)*($I72*'CLCPA Emission Factors Hub'!$G$14+$J72*'CLCPA Emission Factors Hub'!$G$15+$K72*'CLCPA Grid Emission Factors '!K$4)</f>
        <v>0</v>
      </c>
      <c r="E129" s="352">
        <f>(E83+E88*0.5)*($I72*'CLCPA Emission Factors Hub'!$G$14+$J72*'CLCPA Emission Factors Hub'!$G$15+$K72*'CLCPA Grid Emission Factors '!L$4)</f>
        <v>0</v>
      </c>
      <c r="F129" s="352">
        <f>(F83+F88*0.5)*($I72*'CLCPA Emission Factors Hub'!$G$14+$J72*'CLCPA Emission Factors Hub'!$G$15+$K72*'CLCPA Grid Emission Factors '!M$4)</f>
        <v>0</v>
      </c>
      <c r="G129" s="352">
        <f>(G83+G88*0.5)*($I72*'CLCPA Emission Factors Hub'!$G$14+$J72*'CLCPA Emission Factors Hub'!$G$15+$K72*'CLCPA Grid Emission Factors '!N$4)</f>
        <v>0</v>
      </c>
      <c r="H129" s="352">
        <f>(H83+H88*0.5)*($I72*'CLCPA Emission Factors Hub'!$G$14+$J72*'CLCPA Emission Factors Hub'!$G$15+$K72*'CLCPA Grid Emission Factors '!O$4)</f>
        <v>0</v>
      </c>
      <c r="I129" s="352">
        <f>(I83+I88*0.5)*($I72*'CLCPA Emission Factors Hub'!$G$14+$J72*'CLCPA Emission Factors Hub'!$G$15+$K72*'CLCPA Grid Emission Factors '!P$4)</f>
        <v>0</v>
      </c>
      <c r="J129" s="352">
        <f>(J83+J88*0.5)*($I72*'CLCPA Emission Factors Hub'!$G$14+$J72*'CLCPA Emission Factors Hub'!$G$15+$K72*'CLCPA Grid Emission Factors '!Q$4)</f>
        <v>0</v>
      </c>
      <c r="K129" s="352">
        <f>(K83+K88*0.5)*($I72*'CLCPA Emission Factors Hub'!$G$14+$J72*'CLCPA Emission Factors Hub'!$G$15+$K72*'CLCPA Grid Emission Factors '!R$4)</f>
        <v>0</v>
      </c>
      <c r="L129" s="352">
        <f>(L83+L88*0.5)*($I72*'CLCPA Emission Factors Hub'!$G$14+$J72*'CLCPA Emission Factors Hub'!$G$15+$K72*'CLCPA Grid Emission Factors '!S$4)</f>
        <v>0</v>
      </c>
      <c r="M129" s="352">
        <f>(M83+M88*0.5)*($I72*'CLCPA Emission Factors Hub'!$G$14+$J72*'CLCPA Emission Factors Hub'!$G$15+$K72*'CLCPA Grid Emission Factors '!T$4)</f>
        <v>0</v>
      </c>
      <c r="N129" s="352">
        <f>(N83+N88*0.5)*($I72*'CLCPA Emission Factors Hub'!$G$14+$J72*'CLCPA Emission Factors Hub'!$G$15+$K72*'CLCPA Grid Emission Factors '!U$4)</f>
        <v>0</v>
      </c>
      <c r="O129" s="352">
        <f>(O83+O88*0.5)*($I72*'CLCPA Emission Factors Hub'!$G$14+$J72*'CLCPA Emission Factors Hub'!$G$15+$K72*'CLCPA Grid Emission Factors '!V$4)</f>
        <v>0</v>
      </c>
      <c r="P129" s="352">
        <f>(P83+P88*0.5)*($I72*'CLCPA Emission Factors Hub'!$G$14+$J72*'CLCPA Emission Factors Hub'!$G$15+$K72*'CLCPA Grid Emission Factors '!W$4)</f>
        <v>0</v>
      </c>
      <c r="Q129" s="352">
        <f>(Q83+Q88*0.5)*($I72*'CLCPA Emission Factors Hub'!$G$14+$J72*'CLCPA Emission Factors Hub'!$G$15+$K72*'CLCPA Grid Emission Factors '!X$4)</f>
        <v>0</v>
      </c>
      <c r="R129" s="352">
        <f>(R83+R88*0.5)*($I72*'CLCPA Emission Factors Hub'!$G$14+$J72*'CLCPA Emission Factors Hub'!$G$15+$K72*'CLCPA Grid Emission Factors '!Y$4)</f>
        <v>0</v>
      </c>
      <c r="S129" s="352">
        <f>(S83+S88*0.5)*($I72*'CLCPA Emission Factors Hub'!$G$14+$J72*'CLCPA Emission Factors Hub'!$G$15+$K72*'CLCPA Grid Emission Factors '!Z$4)</f>
        <v>0</v>
      </c>
      <c r="T129" s="352">
        <f>(T83+T88*0.5)*($I72*'CLCPA Emission Factors Hub'!$G$14+$J72*'CLCPA Emission Factors Hub'!$G$15+$K72*'CLCPA Grid Emission Factors '!AA$4)</f>
        <v>0</v>
      </c>
      <c r="U129" s="352">
        <f>(U83+U88*0.5)*($I72*'CLCPA Emission Factors Hub'!$G$14+$J72*'CLCPA Emission Factors Hub'!$G$15+$K72*'CLCPA Grid Emission Factors '!AB$4)</f>
        <v>0</v>
      </c>
      <c r="V129" s="352">
        <f>(V83+V88*0.5)*($I72*'CLCPA Emission Factors Hub'!$G$14+$J72*'CLCPA Emission Factors Hub'!$G$15+$K72*'CLCPA Grid Emission Factors '!AC$4)</f>
        <v>0</v>
      </c>
      <c r="W129" s="352">
        <f>(W83+W88*0.5)*($I72*'CLCPA Emission Factors Hub'!$G$14+$J72*'CLCPA Emission Factors Hub'!$G$15+$K72*'CLCPA Grid Emission Factors '!AD$4)</f>
        <v>0</v>
      </c>
      <c r="X129" s="352">
        <f>(X83+X88*0.5)*($I72*'CLCPA Emission Factors Hub'!$G$14+$J72*'CLCPA Emission Factors Hub'!$G$15+$K72*'CLCPA Grid Emission Factors '!AE$4)</f>
        <v>0</v>
      </c>
      <c r="Y129" s="352">
        <f>(Y83+Y88*0.5)*($I72*'CLCPA Emission Factors Hub'!$G$14+$J72*'CLCPA Emission Factors Hub'!$G$15+$K72*'CLCPA Grid Emission Factors '!AF$4)</f>
        <v>0</v>
      </c>
      <c r="Z129" s="352">
        <f>(Z83+Z88*0.5)*($I72*'CLCPA Emission Factors Hub'!$G$14+$J72*'CLCPA Emission Factors Hub'!$G$15+$K72*'CLCPA Grid Emission Factors '!AG$4)</f>
        <v>0</v>
      </c>
      <c r="AA129" s="352">
        <f>(AA83+AA88*0.5)*($I72*'CLCPA Emission Factors Hub'!$G$14+$J72*'CLCPA Emission Factors Hub'!$G$15+$K72*'CLCPA Grid Emission Factors '!AH$4)</f>
        <v>0</v>
      </c>
      <c r="AB129" s="352">
        <f>(AB83+AB88*0.5)*($I72*'CLCPA Emission Factors Hub'!$G$14+$J72*'CLCPA Emission Factors Hub'!$G$15+$K72*'CLCPA Grid Emission Factors '!AI$4)</f>
        <v>0</v>
      </c>
    </row>
    <row r="130" spans="2:28">
      <c r="B130" s="194" t="s">
        <v>309</v>
      </c>
      <c r="C130" s="351"/>
      <c r="D130" s="352">
        <f>(D84+D89*0.5)*($I73*'CLCPA Emission Factors Hub'!$G$14+$J73*'CLCPA Emission Factors Hub'!$G$15+$K73*'CLCPA Grid Emission Factors '!K$4)</f>
        <v>0</v>
      </c>
      <c r="E130" s="352">
        <f>(E84+E89*0.5)*($I73*'CLCPA Emission Factors Hub'!$G$14+$J73*'CLCPA Emission Factors Hub'!$G$15+$K73*'CLCPA Grid Emission Factors '!L$4)</f>
        <v>0</v>
      </c>
      <c r="F130" s="352">
        <f>(F84+F89*0.5)*($I73*'CLCPA Emission Factors Hub'!$G$14+$J73*'CLCPA Emission Factors Hub'!$G$15+$K73*'CLCPA Grid Emission Factors '!M$4)</f>
        <v>0</v>
      </c>
      <c r="G130" s="352">
        <f>(G84+G89*0.5)*($I73*'CLCPA Emission Factors Hub'!$G$14+$J73*'CLCPA Emission Factors Hub'!$G$15+$K73*'CLCPA Grid Emission Factors '!N$4)</f>
        <v>0</v>
      </c>
      <c r="H130" s="352">
        <f>(H84+H89*0.5)*($I73*'CLCPA Emission Factors Hub'!$G$14+$J73*'CLCPA Emission Factors Hub'!$G$15+$K73*'CLCPA Grid Emission Factors '!O$4)</f>
        <v>0</v>
      </c>
      <c r="I130" s="352">
        <f>(I84+I89*0.5)*($I73*'CLCPA Emission Factors Hub'!$G$14+$J73*'CLCPA Emission Factors Hub'!$G$15+$K73*'CLCPA Grid Emission Factors '!P$4)</f>
        <v>0</v>
      </c>
      <c r="J130" s="352">
        <f>(J84+J89*0.5)*($I73*'CLCPA Emission Factors Hub'!$G$14+$J73*'CLCPA Emission Factors Hub'!$G$15+$K73*'CLCPA Grid Emission Factors '!Q$4)</f>
        <v>0</v>
      </c>
      <c r="K130" s="352">
        <f>(K84+K89*0.5)*($I73*'CLCPA Emission Factors Hub'!$G$14+$J73*'CLCPA Emission Factors Hub'!$G$15+$K73*'CLCPA Grid Emission Factors '!R$4)</f>
        <v>0</v>
      </c>
      <c r="L130" s="352">
        <f>(L84+L89*0.5)*($I73*'CLCPA Emission Factors Hub'!$G$14+$J73*'CLCPA Emission Factors Hub'!$G$15+$K73*'CLCPA Grid Emission Factors '!S$4)</f>
        <v>0</v>
      </c>
      <c r="M130" s="352">
        <f>(M84+M89*0.5)*($I73*'CLCPA Emission Factors Hub'!$G$14+$J73*'CLCPA Emission Factors Hub'!$G$15+$K73*'CLCPA Grid Emission Factors '!T$4)</f>
        <v>0</v>
      </c>
      <c r="N130" s="352">
        <f>(N84+N89*0.5)*($I73*'CLCPA Emission Factors Hub'!$G$14+$J73*'CLCPA Emission Factors Hub'!$G$15+$K73*'CLCPA Grid Emission Factors '!U$4)</f>
        <v>0</v>
      </c>
      <c r="O130" s="352">
        <f>(O84+O89*0.5)*($I73*'CLCPA Emission Factors Hub'!$G$14+$J73*'CLCPA Emission Factors Hub'!$G$15+$K73*'CLCPA Grid Emission Factors '!V$4)</f>
        <v>0</v>
      </c>
      <c r="P130" s="352">
        <f>(P84+P89*0.5)*($I73*'CLCPA Emission Factors Hub'!$G$14+$J73*'CLCPA Emission Factors Hub'!$G$15+$K73*'CLCPA Grid Emission Factors '!W$4)</f>
        <v>0</v>
      </c>
      <c r="Q130" s="352">
        <f>(Q84+Q89*0.5)*($I73*'CLCPA Emission Factors Hub'!$G$14+$J73*'CLCPA Emission Factors Hub'!$G$15+$K73*'CLCPA Grid Emission Factors '!X$4)</f>
        <v>0</v>
      </c>
      <c r="R130" s="352">
        <f>(R84+R89*0.5)*($I73*'CLCPA Emission Factors Hub'!$G$14+$J73*'CLCPA Emission Factors Hub'!$G$15+$K73*'CLCPA Grid Emission Factors '!Y$4)</f>
        <v>0</v>
      </c>
      <c r="S130" s="352">
        <f>(S84+S89*0.5)*($I73*'CLCPA Emission Factors Hub'!$G$14+$J73*'CLCPA Emission Factors Hub'!$G$15+$K73*'CLCPA Grid Emission Factors '!Z$4)</f>
        <v>0</v>
      </c>
      <c r="T130" s="352">
        <f>(T84+T89*0.5)*($I73*'CLCPA Emission Factors Hub'!$G$14+$J73*'CLCPA Emission Factors Hub'!$G$15+$K73*'CLCPA Grid Emission Factors '!AA$4)</f>
        <v>0</v>
      </c>
      <c r="U130" s="352">
        <f>(U84+U89*0.5)*($I73*'CLCPA Emission Factors Hub'!$G$14+$J73*'CLCPA Emission Factors Hub'!$G$15+$K73*'CLCPA Grid Emission Factors '!AB$4)</f>
        <v>0</v>
      </c>
      <c r="V130" s="352">
        <f>(V84+V89*0.5)*($I73*'CLCPA Emission Factors Hub'!$G$14+$J73*'CLCPA Emission Factors Hub'!$G$15+$K73*'CLCPA Grid Emission Factors '!AC$4)</f>
        <v>0</v>
      </c>
      <c r="W130" s="352">
        <f>(W84+W89*0.5)*($I73*'CLCPA Emission Factors Hub'!$G$14+$J73*'CLCPA Emission Factors Hub'!$G$15+$K73*'CLCPA Grid Emission Factors '!AD$4)</f>
        <v>0</v>
      </c>
      <c r="X130" s="352">
        <f>(X84+X89*0.5)*($I73*'CLCPA Emission Factors Hub'!$G$14+$J73*'CLCPA Emission Factors Hub'!$G$15+$K73*'CLCPA Grid Emission Factors '!AE$4)</f>
        <v>0</v>
      </c>
      <c r="Y130" s="352">
        <f>(Y84+Y89*0.5)*($I73*'CLCPA Emission Factors Hub'!$G$14+$J73*'CLCPA Emission Factors Hub'!$G$15+$K73*'CLCPA Grid Emission Factors '!AF$4)</f>
        <v>0</v>
      </c>
      <c r="Z130" s="352">
        <f>(Z84+Z89*0.5)*($I73*'CLCPA Emission Factors Hub'!$G$14+$J73*'CLCPA Emission Factors Hub'!$G$15+$K73*'CLCPA Grid Emission Factors '!AG$4)</f>
        <v>0</v>
      </c>
      <c r="AA130" s="352">
        <f>(AA84+AA89*0.5)*($I73*'CLCPA Emission Factors Hub'!$G$14+$J73*'CLCPA Emission Factors Hub'!$G$15+$K73*'CLCPA Grid Emission Factors '!AH$4)</f>
        <v>0</v>
      </c>
      <c r="AB130" s="352">
        <f>(AB84+AB89*0.5)*($I73*'CLCPA Emission Factors Hub'!$G$14+$J73*'CLCPA Emission Factors Hub'!$G$15+$K73*'CLCPA Grid Emission Factors '!AI$4)</f>
        <v>0</v>
      </c>
    </row>
    <row r="131" spans="2:28">
      <c r="B131" s="194" t="s">
        <v>310</v>
      </c>
      <c r="C131" s="351"/>
      <c r="D131" s="352">
        <f>(D85+D90*0.5)*($I74*'CLCPA Emission Factors Hub'!$G$14+$J74*'CLCPA Emission Factors Hub'!$G$15+$K74*'CLCPA Grid Emission Factors '!K$4)</f>
        <v>0</v>
      </c>
      <c r="E131" s="352">
        <f>(E85+E90*0.5)*($I74*'CLCPA Emission Factors Hub'!$G$14+$J74*'CLCPA Emission Factors Hub'!$G$15+$K74*'CLCPA Grid Emission Factors '!L$4)</f>
        <v>0</v>
      </c>
      <c r="F131" s="352">
        <f>(F85+F90*0.5)*($I74*'CLCPA Emission Factors Hub'!$G$14+$J74*'CLCPA Emission Factors Hub'!$G$15+$K74*'CLCPA Grid Emission Factors '!M$4)</f>
        <v>0</v>
      </c>
      <c r="G131" s="352">
        <f>(G85+G90*0.5)*($I74*'CLCPA Emission Factors Hub'!$G$14+$J74*'CLCPA Emission Factors Hub'!$G$15+$K74*'CLCPA Grid Emission Factors '!N$4)</f>
        <v>0</v>
      </c>
      <c r="H131" s="352">
        <f>(H85+H90*0.5)*($I74*'CLCPA Emission Factors Hub'!$G$14+$J74*'CLCPA Emission Factors Hub'!$G$15+$K74*'CLCPA Grid Emission Factors '!O$4)</f>
        <v>0</v>
      </c>
      <c r="I131" s="352">
        <f>(I85+I90*0.5)*($I74*'CLCPA Emission Factors Hub'!$G$14+$J74*'CLCPA Emission Factors Hub'!$G$15+$K74*'CLCPA Grid Emission Factors '!P$4)</f>
        <v>0</v>
      </c>
      <c r="J131" s="352">
        <f>(J85+J90*0.5)*($I74*'CLCPA Emission Factors Hub'!$G$14+$J74*'CLCPA Emission Factors Hub'!$G$15+$K74*'CLCPA Grid Emission Factors '!Q$4)</f>
        <v>0</v>
      </c>
      <c r="K131" s="352">
        <f>(K85+K90*0.5)*($I74*'CLCPA Emission Factors Hub'!$G$14+$J74*'CLCPA Emission Factors Hub'!$G$15+$K74*'CLCPA Grid Emission Factors '!R$4)</f>
        <v>0</v>
      </c>
      <c r="L131" s="352">
        <f>(L85+L90*0.5)*($I74*'CLCPA Emission Factors Hub'!$G$14+$J74*'CLCPA Emission Factors Hub'!$G$15+$K74*'CLCPA Grid Emission Factors '!S$4)</f>
        <v>0</v>
      </c>
      <c r="M131" s="352">
        <f>(M85+M90*0.5)*($I74*'CLCPA Emission Factors Hub'!$G$14+$J74*'CLCPA Emission Factors Hub'!$G$15+$K74*'CLCPA Grid Emission Factors '!T$4)</f>
        <v>0</v>
      </c>
      <c r="N131" s="352">
        <f>(N85+N90*0.5)*($I74*'CLCPA Emission Factors Hub'!$G$14+$J74*'CLCPA Emission Factors Hub'!$G$15+$K74*'CLCPA Grid Emission Factors '!U$4)</f>
        <v>0</v>
      </c>
      <c r="O131" s="352">
        <f>(O85+O90*0.5)*($I74*'CLCPA Emission Factors Hub'!$G$14+$J74*'CLCPA Emission Factors Hub'!$G$15+$K74*'CLCPA Grid Emission Factors '!V$4)</f>
        <v>0</v>
      </c>
      <c r="P131" s="352">
        <f>(P85+P90*0.5)*($I74*'CLCPA Emission Factors Hub'!$G$14+$J74*'CLCPA Emission Factors Hub'!$G$15+$K74*'CLCPA Grid Emission Factors '!W$4)</f>
        <v>0</v>
      </c>
      <c r="Q131" s="352">
        <f>(Q85+Q90*0.5)*($I74*'CLCPA Emission Factors Hub'!$G$14+$J74*'CLCPA Emission Factors Hub'!$G$15+$K74*'CLCPA Grid Emission Factors '!X$4)</f>
        <v>0</v>
      </c>
      <c r="R131" s="352">
        <f>(R85+R90*0.5)*($I74*'CLCPA Emission Factors Hub'!$G$14+$J74*'CLCPA Emission Factors Hub'!$G$15+$K74*'CLCPA Grid Emission Factors '!Y$4)</f>
        <v>0</v>
      </c>
      <c r="S131" s="352">
        <f>(S85+S90*0.5)*($I74*'CLCPA Emission Factors Hub'!$G$14+$J74*'CLCPA Emission Factors Hub'!$G$15+$K74*'CLCPA Grid Emission Factors '!Z$4)</f>
        <v>0</v>
      </c>
      <c r="T131" s="352">
        <f>(T85+T90*0.5)*($I74*'CLCPA Emission Factors Hub'!$G$14+$J74*'CLCPA Emission Factors Hub'!$G$15+$K74*'CLCPA Grid Emission Factors '!AA$4)</f>
        <v>0</v>
      </c>
      <c r="U131" s="352">
        <f>(U85+U90*0.5)*($I74*'CLCPA Emission Factors Hub'!$G$14+$J74*'CLCPA Emission Factors Hub'!$G$15+$K74*'CLCPA Grid Emission Factors '!AB$4)</f>
        <v>0</v>
      </c>
      <c r="V131" s="352">
        <f>(V85+V90*0.5)*($I74*'CLCPA Emission Factors Hub'!$G$14+$J74*'CLCPA Emission Factors Hub'!$G$15+$K74*'CLCPA Grid Emission Factors '!AC$4)</f>
        <v>0</v>
      </c>
      <c r="W131" s="352">
        <f>(W85+W90*0.5)*($I74*'CLCPA Emission Factors Hub'!$G$14+$J74*'CLCPA Emission Factors Hub'!$G$15+$K74*'CLCPA Grid Emission Factors '!AD$4)</f>
        <v>0</v>
      </c>
      <c r="X131" s="352">
        <f>(X85+X90*0.5)*($I74*'CLCPA Emission Factors Hub'!$G$14+$J74*'CLCPA Emission Factors Hub'!$G$15+$K74*'CLCPA Grid Emission Factors '!AE$4)</f>
        <v>0</v>
      </c>
      <c r="Y131" s="352">
        <f>(Y85+Y90*0.5)*($I74*'CLCPA Emission Factors Hub'!$G$14+$J74*'CLCPA Emission Factors Hub'!$G$15+$K74*'CLCPA Grid Emission Factors '!AF$4)</f>
        <v>0</v>
      </c>
      <c r="Z131" s="352">
        <f>(Z85+Z90*0.5)*($I74*'CLCPA Emission Factors Hub'!$G$14+$J74*'CLCPA Emission Factors Hub'!$G$15+$K74*'CLCPA Grid Emission Factors '!AG$4)</f>
        <v>0</v>
      </c>
      <c r="AA131" s="352">
        <f>(AA85+AA90*0.5)*($I74*'CLCPA Emission Factors Hub'!$G$14+$J74*'CLCPA Emission Factors Hub'!$G$15+$K74*'CLCPA Grid Emission Factors '!AH$4)</f>
        <v>0</v>
      </c>
      <c r="AB131" s="352">
        <f>(AB85+AB90*0.5)*($I74*'CLCPA Emission Factors Hub'!$G$14+$J74*'CLCPA Emission Factors Hub'!$G$15+$K74*'CLCPA Grid Emission Factors '!AI$4)</f>
        <v>0</v>
      </c>
    </row>
    <row r="132" spans="2:28" ht="15.75" thickBot="1">
      <c r="B132" s="336" t="s">
        <v>311</v>
      </c>
      <c r="C132" s="353"/>
      <c r="D132" s="354">
        <f>(D86+D91*0.5)*($I75*'CLCPA Emission Factors Hub'!$G$14+$J75*'CLCPA Emission Factors Hub'!$G$15+$K75*'CLCPA Grid Emission Factors '!K$4)</f>
        <v>0</v>
      </c>
      <c r="E132" s="354">
        <f>(E86+E91*0.5)*($I75*'CLCPA Emission Factors Hub'!$G$14+$J75*'CLCPA Emission Factors Hub'!$G$15+$K75*'CLCPA Grid Emission Factors '!L$4)</f>
        <v>0</v>
      </c>
      <c r="F132" s="354">
        <f>(F86+F91*0.5)*($I75*'CLCPA Emission Factors Hub'!$G$14+$J75*'CLCPA Emission Factors Hub'!$G$15+$K75*'CLCPA Grid Emission Factors '!M$4)</f>
        <v>0</v>
      </c>
      <c r="G132" s="354">
        <f>(G86+G91*0.5)*($I75*'CLCPA Emission Factors Hub'!$G$14+$J75*'CLCPA Emission Factors Hub'!$G$15+$K75*'CLCPA Grid Emission Factors '!N$4)</f>
        <v>0</v>
      </c>
      <c r="H132" s="354">
        <f>(H86+H91*0.5)*($I75*'CLCPA Emission Factors Hub'!$G$14+$J75*'CLCPA Emission Factors Hub'!$G$15+$K75*'CLCPA Grid Emission Factors '!O$4)</f>
        <v>0</v>
      </c>
      <c r="I132" s="354">
        <f>(I86+I91*0.5)*($I75*'CLCPA Emission Factors Hub'!$G$14+$J75*'CLCPA Emission Factors Hub'!$G$15+$K75*'CLCPA Grid Emission Factors '!P$4)</f>
        <v>0</v>
      </c>
      <c r="J132" s="354">
        <f>(J86+J91*0.5)*($I75*'CLCPA Emission Factors Hub'!$G$14+$J75*'CLCPA Emission Factors Hub'!$G$15+$K75*'CLCPA Grid Emission Factors '!Q$4)</f>
        <v>0</v>
      </c>
      <c r="K132" s="354">
        <f>(K86+K91*0.5)*($I75*'CLCPA Emission Factors Hub'!$G$14+$J75*'CLCPA Emission Factors Hub'!$G$15+$K75*'CLCPA Grid Emission Factors '!R$4)</f>
        <v>0</v>
      </c>
      <c r="L132" s="354">
        <f>(L86+L91*0.5)*($I75*'CLCPA Emission Factors Hub'!$G$14+$J75*'CLCPA Emission Factors Hub'!$G$15+$K75*'CLCPA Grid Emission Factors '!S$4)</f>
        <v>0</v>
      </c>
      <c r="M132" s="354">
        <f>(M86+M91*0.5)*($I75*'CLCPA Emission Factors Hub'!$G$14+$J75*'CLCPA Emission Factors Hub'!$G$15+$K75*'CLCPA Grid Emission Factors '!T$4)</f>
        <v>0</v>
      </c>
      <c r="N132" s="354">
        <f>(N86+N91*0.5)*($I75*'CLCPA Emission Factors Hub'!$G$14+$J75*'CLCPA Emission Factors Hub'!$G$15+$K75*'CLCPA Grid Emission Factors '!U$4)</f>
        <v>0</v>
      </c>
      <c r="O132" s="354">
        <f>(O86+O91*0.5)*($I75*'CLCPA Emission Factors Hub'!$G$14+$J75*'CLCPA Emission Factors Hub'!$G$15+$K75*'CLCPA Grid Emission Factors '!V$4)</f>
        <v>0</v>
      </c>
      <c r="P132" s="354">
        <f>(P86+P91*0.5)*($I75*'CLCPA Emission Factors Hub'!$G$14+$J75*'CLCPA Emission Factors Hub'!$G$15+$K75*'CLCPA Grid Emission Factors '!W$4)</f>
        <v>0</v>
      </c>
      <c r="Q132" s="354">
        <f>(Q86+Q91*0.5)*($I75*'CLCPA Emission Factors Hub'!$G$14+$J75*'CLCPA Emission Factors Hub'!$G$15+$K75*'CLCPA Grid Emission Factors '!X$4)</f>
        <v>0</v>
      </c>
      <c r="R132" s="354">
        <f>(R86+R91*0.5)*($I75*'CLCPA Emission Factors Hub'!$G$14+$J75*'CLCPA Emission Factors Hub'!$G$15+$K75*'CLCPA Grid Emission Factors '!Y$4)</f>
        <v>0</v>
      </c>
      <c r="S132" s="354">
        <f>(S86+S91*0.5)*($I75*'CLCPA Emission Factors Hub'!$G$14+$J75*'CLCPA Emission Factors Hub'!$G$15+$K75*'CLCPA Grid Emission Factors '!Z$4)</f>
        <v>0</v>
      </c>
      <c r="T132" s="354">
        <f>(T86+T91*0.5)*($I75*'CLCPA Emission Factors Hub'!$G$14+$J75*'CLCPA Emission Factors Hub'!$G$15+$K75*'CLCPA Grid Emission Factors '!AA$4)</f>
        <v>0</v>
      </c>
      <c r="U132" s="354">
        <f>(U86+U91*0.5)*($I75*'CLCPA Emission Factors Hub'!$G$14+$J75*'CLCPA Emission Factors Hub'!$G$15+$K75*'CLCPA Grid Emission Factors '!AB$4)</f>
        <v>0</v>
      </c>
      <c r="V132" s="354">
        <f>(V86+V91*0.5)*($I75*'CLCPA Emission Factors Hub'!$G$14+$J75*'CLCPA Emission Factors Hub'!$G$15+$K75*'CLCPA Grid Emission Factors '!AC$4)</f>
        <v>0</v>
      </c>
      <c r="W132" s="354">
        <f>(W86+W91*0.5)*($I75*'CLCPA Emission Factors Hub'!$G$14+$J75*'CLCPA Emission Factors Hub'!$G$15+$K75*'CLCPA Grid Emission Factors '!AD$4)</f>
        <v>0</v>
      </c>
      <c r="X132" s="354">
        <f>(X86+X91*0.5)*($I75*'CLCPA Emission Factors Hub'!$G$14+$J75*'CLCPA Emission Factors Hub'!$G$15+$K75*'CLCPA Grid Emission Factors '!AE$4)</f>
        <v>0</v>
      </c>
      <c r="Y132" s="354">
        <f>(Y86+Y91*0.5)*($I75*'CLCPA Emission Factors Hub'!$G$14+$J75*'CLCPA Emission Factors Hub'!$G$15+$K75*'CLCPA Grid Emission Factors '!AF$4)</f>
        <v>0</v>
      </c>
      <c r="Z132" s="354">
        <f>(Z86+Z91*0.5)*($I75*'CLCPA Emission Factors Hub'!$G$14+$J75*'CLCPA Emission Factors Hub'!$G$15+$K75*'CLCPA Grid Emission Factors '!AG$4)</f>
        <v>0</v>
      </c>
      <c r="AA132" s="354">
        <f>(AA86+AA91*0.5)*($I75*'CLCPA Emission Factors Hub'!$G$14+$J75*'CLCPA Emission Factors Hub'!$G$15+$K75*'CLCPA Grid Emission Factors '!AH$4)</f>
        <v>0</v>
      </c>
      <c r="AB132" s="354">
        <f>(AB86+AB91*0.5)*($I75*'CLCPA Emission Factors Hub'!$G$14+$J75*'CLCPA Emission Factors Hub'!$G$15+$K75*'CLCPA Grid Emission Factors '!AI$4)</f>
        <v>0</v>
      </c>
    </row>
    <row r="133" spans="2:28">
      <c r="B133" s="375" t="s">
        <v>251</v>
      </c>
      <c r="C133" s="349"/>
      <c r="D133" s="350">
        <f t="shared" ref="D133:AB133" si="74">SUM(D130:D132)</f>
        <v>0</v>
      </c>
      <c r="E133" s="350">
        <f t="shared" si="74"/>
        <v>0</v>
      </c>
      <c r="F133" s="350">
        <f t="shared" si="74"/>
        <v>0</v>
      </c>
      <c r="G133" s="350">
        <f t="shared" si="74"/>
        <v>0</v>
      </c>
      <c r="H133" s="350">
        <f t="shared" si="74"/>
        <v>0</v>
      </c>
      <c r="I133" s="350">
        <f t="shared" si="74"/>
        <v>0</v>
      </c>
      <c r="J133" s="350">
        <f t="shared" si="74"/>
        <v>0</v>
      </c>
      <c r="K133" s="350">
        <f t="shared" si="74"/>
        <v>0</v>
      </c>
      <c r="L133" s="350">
        <f t="shared" si="74"/>
        <v>0</v>
      </c>
      <c r="M133" s="350">
        <f t="shared" si="74"/>
        <v>0</v>
      </c>
      <c r="N133" s="350">
        <f t="shared" si="74"/>
        <v>0</v>
      </c>
      <c r="O133" s="350">
        <f t="shared" si="74"/>
        <v>0</v>
      </c>
      <c r="P133" s="350">
        <f t="shared" si="74"/>
        <v>0</v>
      </c>
      <c r="Q133" s="350">
        <f t="shared" si="74"/>
        <v>0</v>
      </c>
      <c r="R133" s="350">
        <f t="shared" si="74"/>
        <v>0</v>
      </c>
      <c r="S133" s="350">
        <f t="shared" si="74"/>
        <v>0</v>
      </c>
      <c r="T133" s="350">
        <f t="shared" si="74"/>
        <v>0</v>
      </c>
      <c r="U133" s="350">
        <f t="shared" si="74"/>
        <v>0</v>
      </c>
      <c r="V133" s="350">
        <f t="shared" si="74"/>
        <v>0</v>
      </c>
      <c r="W133" s="350">
        <f t="shared" si="74"/>
        <v>0</v>
      </c>
      <c r="X133" s="350">
        <f t="shared" si="74"/>
        <v>0</v>
      </c>
      <c r="Y133" s="350">
        <f t="shared" si="74"/>
        <v>0</v>
      </c>
      <c r="Z133" s="350">
        <f t="shared" si="74"/>
        <v>0</v>
      </c>
      <c r="AA133" s="350">
        <f t="shared" si="74"/>
        <v>0</v>
      </c>
      <c r="AB133" s="350">
        <f t="shared" si="74"/>
        <v>0</v>
      </c>
    </row>
    <row r="136" spans="2:28">
      <c r="B136" s="216" t="s">
        <v>202</v>
      </c>
      <c r="C136" s="602"/>
      <c r="D136" s="602"/>
      <c r="E136" s="602"/>
      <c r="F136" s="602"/>
      <c r="G136" s="602"/>
      <c r="H136" s="602"/>
      <c r="I136" s="602"/>
      <c r="J136" s="602"/>
      <c r="K136" s="602"/>
      <c r="L136" s="602"/>
      <c r="M136" s="602"/>
      <c r="N136" s="602"/>
      <c r="O136" s="602"/>
      <c r="P136" s="602"/>
      <c r="Q136" s="602"/>
      <c r="R136" s="602"/>
      <c r="S136" s="602"/>
      <c r="T136" s="602"/>
      <c r="U136" s="602"/>
      <c r="V136" s="602"/>
      <c r="W136" s="602"/>
      <c r="X136" s="602"/>
      <c r="Y136" s="602"/>
      <c r="Z136" s="602"/>
      <c r="AA136" s="602"/>
      <c r="AB136" s="602"/>
    </row>
    <row r="137" spans="2:28" s="4" customFormat="1">
      <c r="B137" s="290"/>
      <c r="C137" s="290">
        <v>2025</v>
      </c>
      <c r="D137" s="290">
        <f t="shared" ref="D137:AB137" si="75">C137+1</f>
        <v>2026</v>
      </c>
      <c r="E137" s="290">
        <f t="shared" si="75"/>
        <v>2027</v>
      </c>
      <c r="F137" s="290">
        <f t="shared" si="75"/>
        <v>2028</v>
      </c>
      <c r="G137" s="290">
        <f t="shared" si="75"/>
        <v>2029</v>
      </c>
      <c r="H137" s="290">
        <f t="shared" si="75"/>
        <v>2030</v>
      </c>
      <c r="I137" s="290">
        <f t="shared" si="75"/>
        <v>2031</v>
      </c>
      <c r="J137" s="290">
        <f t="shared" si="75"/>
        <v>2032</v>
      </c>
      <c r="K137" s="290">
        <f t="shared" si="75"/>
        <v>2033</v>
      </c>
      <c r="L137" s="290">
        <f>K137+1</f>
        <v>2034</v>
      </c>
      <c r="M137" s="290">
        <f t="shared" si="75"/>
        <v>2035</v>
      </c>
      <c r="N137" s="290">
        <f t="shared" si="75"/>
        <v>2036</v>
      </c>
      <c r="O137" s="290">
        <f t="shared" si="75"/>
        <v>2037</v>
      </c>
      <c r="P137" s="290">
        <f>O137+1</f>
        <v>2038</v>
      </c>
      <c r="Q137" s="290">
        <f>P137+1</f>
        <v>2039</v>
      </c>
      <c r="R137" s="290">
        <f t="shared" si="75"/>
        <v>2040</v>
      </c>
      <c r="S137" s="290">
        <f t="shared" si="75"/>
        <v>2041</v>
      </c>
      <c r="T137" s="290">
        <f t="shared" si="75"/>
        <v>2042</v>
      </c>
      <c r="U137" s="290">
        <f t="shared" si="75"/>
        <v>2043</v>
      </c>
      <c r="V137" s="290">
        <f t="shared" si="75"/>
        <v>2044</v>
      </c>
      <c r="W137" s="290">
        <f t="shared" si="75"/>
        <v>2045</v>
      </c>
      <c r="X137" s="290">
        <f t="shared" si="75"/>
        <v>2046</v>
      </c>
      <c r="Y137" s="290">
        <f t="shared" si="75"/>
        <v>2047</v>
      </c>
      <c r="Z137" s="290">
        <f t="shared" si="75"/>
        <v>2048</v>
      </c>
      <c r="AA137" s="290">
        <f t="shared" si="75"/>
        <v>2049</v>
      </c>
      <c r="AB137" s="290">
        <f t="shared" si="75"/>
        <v>2050</v>
      </c>
    </row>
    <row r="138" spans="2:28" s="319" customFormat="1">
      <c r="B138" s="355" t="s">
        <v>161</v>
      </c>
      <c r="C138" s="357"/>
      <c r="D138" s="356">
        <f>(SUM(D$98:D$99)*'Buildings Inputs'!$D102+SUM(D$100:D$101)*'Buildings Inputs'!$E102)/10^3</f>
        <v>0</v>
      </c>
      <c r="E138" s="356">
        <f>(SUM(E$98:E$99)*'Buildings Inputs'!$D102+SUM(E$100:E$101)*'Buildings Inputs'!$E102)/10^3</f>
        <v>0</v>
      </c>
      <c r="F138" s="356">
        <f>(SUM(F$98:F$99)*'Buildings Inputs'!$D102+SUM(F$100:F$101)*'Buildings Inputs'!$E102)/10^3</f>
        <v>0</v>
      </c>
      <c r="G138" s="356">
        <f>(SUM(G$98:G$99)*'Buildings Inputs'!$D102+SUM(G$100:G$101)*'Buildings Inputs'!$E102)/10^3</f>
        <v>0</v>
      </c>
      <c r="H138" s="356">
        <f>(SUM(H$98:H$99)*'Buildings Inputs'!$D102+SUM(H$100:H$101)*'Buildings Inputs'!$E102)/10^3</f>
        <v>0</v>
      </c>
      <c r="I138" s="356">
        <f>(SUM(I$98:I$99)*'Buildings Inputs'!$D102+SUM(I$100:I$101)*'Buildings Inputs'!$E102)/10^3</f>
        <v>0</v>
      </c>
      <c r="J138" s="356">
        <f>(SUM(J$98:J$99)*'Buildings Inputs'!$D102+SUM(J$100:J$101)*'Buildings Inputs'!$E102)/10^3</f>
        <v>0</v>
      </c>
      <c r="K138" s="356">
        <f>(SUM(K$98:K$99)*'Buildings Inputs'!$D102+SUM(K$100:K$101)*'Buildings Inputs'!$E102)/10^3</f>
        <v>0</v>
      </c>
      <c r="L138" s="356">
        <f>(SUM(L$98:L$99)*'Buildings Inputs'!$D102+SUM(L$100:L$101)*'Buildings Inputs'!$E102)/10^3</f>
        <v>0</v>
      </c>
      <c r="M138" s="356">
        <f>(SUM(M$98:M$99)*'Buildings Inputs'!$D102+SUM(M$100:M$101)*'Buildings Inputs'!$E102)/10^3</f>
        <v>0</v>
      </c>
      <c r="N138" s="356">
        <f>(SUM(N$98:N$99)*'Buildings Inputs'!$D102+SUM(N$100:N$101)*'Buildings Inputs'!$E102)/10^3</f>
        <v>0</v>
      </c>
      <c r="O138" s="356">
        <f>(SUM(O$98:O$99)*'Buildings Inputs'!$D102+SUM(O$100:O$101)*'Buildings Inputs'!$E102)/10^3</f>
        <v>0</v>
      </c>
      <c r="P138" s="356">
        <f>(SUM(P$98:P$99)*'Buildings Inputs'!$D102+SUM(P$100:P$101)*'Buildings Inputs'!$E102)/10^3</f>
        <v>0</v>
      </c>
      <c r="Q138" s="356">
        <f>(SUM(Q$98:Q$99)*'Buildings Inputs'!$D102+SUM(Q$100:Q$101)*'Buildings Inputs'!$E102)/10^3</f>
        <v>0</v>
      </c>
      <c r="R138" s="356">
        <f>(SUM(R$98:R$99)*'Buildings Inputs'!$D102+SUM(R$100:R$101)*'Buildings Inputs'!$E102)/10^3</f>
        <v>0</v>
      </c>
      <c r="S138" s="356">
        <f>(SUM(S$98:S$99)*'Buildings Inputs'!$D102+SUM(S$100:S$101)*'Buildings Inputs'!$E102)/10^3</f>
        <v>0</v>
      </c>
      <c r="T138" s="356">
        <f>(SUM(T$98:T$99)*'Buildings Inputs'!$D102+SUM(T$100:T$101)*'Buildings Inputs'!$E102)/10^3</f>
        <v>0</v>
      </c>
      <c r="U138" s="356">
        <f>(SUM(U$98:U$99)*'Buildings Inputs'!$D102+SUM(U$100:U$101)*'Buildings Inputs'!$E102)/10^3</f>
        <v>0</v>
      </c>
      <c r="V138" s="356">
        <f>(SUM(V$98:V$99)*'Buildings Inputs'!$D102+SUM(V$100:V$101)*'Buildings Inputs'!$E102)/10^3</f>
        <v>0</v>
      </c>
      <c r="W138" s="356">
        <f>(SUM(W$98:W$99)*'Buildings Inputs'!$D102+SUM(W$100:W$101)*'Buildings Inputs'!$E102)/10^3</f>
        <v>0</v>
      </c>
      <c r="X138" s="356">
        <f>(SUM(X$98:X$99)*'Buildings Inputs'!$D102+SUM(X$100:X$101)*'Buildings Inputs'!$E102)/10^3</f>
        <v>0</v>
      </c>
      <c r="Y138" s="356">
        <f>(SUM(Y$98:Y$99)*'Buildings Inputs'!$D102+SUM(Y$100:Y$101)*'Buildings Inputs'!$E102)/10^3</f>
        <v>0</v>
      </c>
      <c r="Z138" s="356">
        <f>(SUM(Z$98:Z$99)*'Buildings Inputs'!$D102+SUM(Z$100:Z$101)*'Buildings Inputs'!$E102)/10^3</f>
        <v>0</v>
      </c>
      <c r="AA138" s="356">
        <f>(SUM(AA$98:AA$99)*'Buildings Inputs'!$D102+SUM(AA$100:AA$101)*'Buildings Inputs'!$E102)/10^3</f>
        <v>0</v>
      </c>
      <c r="AB138" s="356">
        <f>(SUM(AB$98:AB$99)*'Buildings Inputs'!$D102+SUM(AB$100:AB$101)*'Buildings Inputs'!$E102)/10^3</f>
        <v>0</v>
      </c>
    </row>
    <row r="139" spans="2:28" s="319" customFormat="1">
      <c r="B139" s="355" t="s">
        <v>204</v>
      </c>
      <c r="C139" s="357"/>
      <c r="D139" s="356">
        <f>(SUM(D$98:D$99)*'Buildings Inputs'!$D103+SUM(D$100:D$101)*'Buildings Inputs'!$E103)/10^3</f>
        <v>0</v>
      </c>
      <c r="E139" s="356">
        <f>(SUM(E$98:E$99)*'Buildings Inputs'!$D103+SUM(E$100:E$101)*'Buildings Inputs'!$E103)/10^3</f>
        <v>0</v>
      </c>
      <c r="F139" s="356">
        <f>(SUM(F$98:F$99)*'Buildings Inputs'!$D103+SUM(F$100:F$101)*'Buildings Inputs'!$E103)/10^3</f>
        <v>0</v>
      </c>
      <c r="G139" s="356">
        <f>(SUM(G$98:G$99)*'Buildings Inputs'!$D103+SUM(G$100:G$101)*'Buildings Inputs'!$E103)/10^3</f>
        <v>0</v>
      </c>
      <c r="H139" s="356">
        <f>(SUM(H$98:H$99)*'Buildings Inputs'!$D103+SUM(H$100:H$101)*'Buildings Inputs'!$E103)/10^3</f>
        <v>0</v>
      </c>
      <c r="I139" s="356">
        <f>(SUM(I$98:I$99)*'Buildings Inputs'!$D103+SUM(I$100:I$101)*'Buildings Inputs'!$E103)/10^3</f>
        <v>0</v>
      </c>
      <c r="J139" s="356">
        <f>(SUM(J$98:J$99)*'Buildings Inputs'!$D103+SUM(J$100:J$101)*'Buildings Inputs'!$E103)/10^3</f>
        <v>0</v>
      </c>
      <c r="K139" s="356">
        <f>(SUM(K$98:K$99)*'Buildings Inputs'!$D103+SUM(K$100:K$101)*'Buildings Inputs'!$E103)/10^3</f>
        <v>0</v>
      </c>
      <c r="L139" s="356">
        <f>(SUM(L$98:L$99)*'Buildings Inputs'!$D103+SUM(L$100:L$101)*'Buildings Inputs'!$E103)/10^3</f>
        <v>0</v>
      </c>
      <c r="M139" s="356">
        <f>(SUM(M$98:M$99)*'Buildings Inputs'!$D103+SUM(M$100:M$101)*'Buildings Inputs'!$E103)/10^3</f>
        <v>0</v>
      </c>
      <c r="N139" s="356">
        <f>(SUM(N$98:N$99)*'Buildings Inputs'!$D103+SUM(N$100:N$101)*'Buildings Inputs'!$E103)/10^3</f>
        <v>0</v>
      </c>
      <c r="O139" s="356">
        <f>(SUM(O$98:O$99)*'Buildings Inputs'!$D103+SUM(O$100:O$101)*'Buildings Inputs'!$E103)/10^3</f>
        <v>0</v>
      </c>
      <c r="P139" s="356">
        <f>(SUM(P$98:P$99)*'Buildings Inputs'!$D103+SUM(P$100:P$101)*'Buildings Inputs'!$E103)/10^3</f>
        <v>0</v>
      </c>
      <c r="Q139" s="356">
        <f>(SUM(Q$98:Q$99)*'Buildings Inputs'!$D103+SUM(Q$100:Q$101)*'Buildings Inputs'!$E103)/10^3</f>
        <v>0</v>
      </c>
      <c r="R139" s="356">
        <f>(SUM(R$98:R$99)*'Buildings Inputs'!$D103+SUM(R$100:R$101)*'Buildings Inputs'!$E103)/10^3</f>
        <v>0</v>
      </c>
      <c r="S139" s="356">
        <f>(SUM(S$98:S$99)*'Buildings Inputs'!$D103+SUM(S$100:S$101)*'Buildings Inputs'!$E103)/10^3</f>
        <v>0</v>
      </c>
      <c r="T139" s="356">
        <f>(SUM(T$98:T$99)*'Buildings Inputs'!$D103+SUM(T$100:T$101)*'Buildings Inputs'!$E103)/10^3</f>
        <v>0</v>
      </c>
      <c r="U139" s="356">
        <f>(SUM(U$98:U$99)*'Buildings Inputs'!$D103+SUM(U$100:U$101)*'Buildings Inputs'!$E103)/10^3</f>
        <v>0</v>
      </c>
      <c r="V139" s="356">
        <f>(SUM(V$98:V$99)*'Buildings Inputs'!$D103+SUM(V$100:V$101)*'Buildings Inputs'!$E103)/10^3</f>
        <v>0</v>
      </c>
      <c r="W139" s="356">
        <f>(SUM(W$98:W$99)*'Buildings Inputs'!$D103+SUM(W$100:W$101)*'Buildings Inputs'!$E103)/10^3</f>
        <v>0</v>
      </c>
      <c r="X139" s="356">
        <f>(SUM(X$98:X$99)*'Buildings Inputs'!$D103+SUM(X$100:X$101)*'Buildings Inputs'!$E103)/10^3</f>
        <v>0</v>
      </c>
      <c r="Y139" s="356">
        <f>(SUM(Y$98:Y$99)*'Buildings Inputs'!$D103+SUM(Y$100:Y$101)*'Buildings Inputs'!$E103)/10^3</f>
        <v>0</v>
      </c>
      <c r="Z139" s="356">
        <f>(SUM(Z$98:Z$99)*'Buildings Inputs'!$D103+SUM(Z$100:Z$101)*'Buildings Inputs'!$E103)/10^3</f>
        <v>0</v>
      </c>
      <c r="AA139" s="356">
        <f>(SUM(AA$98:AA$99)*'Buildings Inputs'!$D103+SUM(AA$100:AA$101)*'Buildings Inputs'!$E103)/10^3</f>
        <v>0</v>
      </c>
      <c r="AB139" s="356">
        <f>(SUM(AB$98:AB$99)*'Buildings Inputs'!$D103+SUM(AB$100:AB$101)*'Buildings Inputs'!$E103)/10^3</f>
        <v>0</v>
      </c>
    </row>
    <row r="140" spans="2:28" s="319" customFormat="1">
      <c r="B140" s="355" t="s">
        <v>164</v>
      </c>
      <c r="C140" s="357"/>
      <c r="D140" s="356">
        <f>(SUM(D$98:D$99)*'Buildings Inputs'!$D104+SUM(D$100:D$101)*'Buildings Inputs'!$E104)/10^3</f>
        <v>0</v>
      </c>
      <c r="E140" s="356">
        <f>(SUM(E$98:E$99)*'Buildings Inputs'!$D104+SUM(E$100:E$101)*'Buildings Inputs'!$E104)/10^3</f>
        <v>0</v>
      </c>
      <c r="F140" s="356">
        <f>(SUM(F$98:F$99)*'Buildings Inputs'!$D104+SUM(F$100:F$101)*'Buildings Inputs'!$E104)/10^3</f>
        <v>0</v>
      </c>
      <c r="G140" s="356">
        <f>(SUM(G$98:G$99)*'Buildings Inputs'!$D104+SUM(G$100:G$101)*'Buildings Inputs'!$E104)/10^3</f>
        <v>0</v>
      </c>
      <c r="H140" s="356">
        <f>(SUM(H$98:H$99)*'Buildings Inputs'!$D104+SUM(H$100:H$101)*'Buildings Inputs'!$E104)/10^3</f>
        <v>0</v>
      </c>
      <c r="I140" s="356">
        <f>(SUM(I$98:I$99)*'Buildings Inputs'!$D104+SUM(I$100:I$101)*'Buildings Inputs'!$E104)/10^3</f>
        <v>0</v>
      </c>
      <c r="J140" s="356">
        <f>(SUM(J$98:J$99)*'Buildings Inputs'!$D104+SUM(J$100:J$101)*'Buildings Inputs'!$E104)/10^3</f>
        <v>0</v>
      </c>
      <c r="K140" s="356">
        <f>(SUM(K$98:K$99)*'Buildings Inputs'!$D104+SUM(K$100:K$101)*'Buildings Inputs'!$E104)/10^3</f>
        <v>0</v>
      </c>
      <c r="L140" s="356">
        <f>(SUM(L$98:L$99)*'Buildings Inputs'!$D104+SUM(L$100:L$101)*'Buildings Inputs'!$E104)/10^3</f>
        <v>0</v>
      </c>
      <c r="M140" s="356">
        <f>(SUM(M$98:M$99)*'Buildings Inputs'!$D104+SUM(M$100:M$101)*'Buildings Inputs'!$E104)/10^3</f>
        <v>0</v>
      </c>
      <c r="N140" s="356">
        <f>(SUM(N$98:N$99)*'Buildings Inputs'!$D104+SUM(N$100:N$101)*'Buildings Inputs'!$E104)/10^3</f>
        <v>0</v>
      </c>
      <c r="O140" s="356">
        <f>(SUM(O$98:O$99)*'Buildings Inputs'!$D104+SUM(O$100:O$101)*'Buildings Inputs'!$E104)/10^3</f>
        <v>0</v>
      </c>
      <c r="P140" s="356">
        <f>(SUM(P$98:P$99)*'Buildings Inputs'!$D104+SUM(P$100:P$101)*'Buildings Inputs'!$E104)/10^3</f>
        <v>0</v>
      </c>
      <c r="Q140" s="356">
        <f>(SUM(Q$98:Q$99)*'Buildings Inputs'!$D104+SUM(Q$100:Q$101)*'Buildings Inputs'!$E104)/10^3</f>
        <v>0</v>
      </c>
      <c r="R140" s="356">
        <f>(SUM(R$98:R$99)*'Buildings Inputs'!$D104+SUM(R$100:R$101)*'Buildings Inputs'!$E104)/10^3</f>
        <v>0</v>
      </c>
      <c r="S140" s="356">
        <f>(SUM(S$98:S$99)*'Buildings Inputs'!$D104+SUM(S$100:S$101)*'Buildings Inputs'!$E104)/10^3</f>
        <v>0</v>
      </c>
      <c r="T140" s="356">
        <f>(SUM(T$98:T$99)*'Buildings Inputs'!$D104+SUM(T$100:T$101)*'Buildings Inputs'!$E104)/10^3</f>
        <v>0</v>
      </c>
      <c r="U140" s="356">
        <f>(SUM(U$98:U$99)*'Buildings Inputs'!$D104+SUM(U$100:U$101)*'Buildings Inputs'!$E104)/10^3</f>
        <v>0</v>
      </c>
      <c r="V140" s="356">
        <f>(SUM(V$98:V$99)*'Buildings Inputs'!$D104+SUM(V$100:V$101)*'Buildings Inputs'!$E104)/10^3</f>
        <v>0</v>
      </c>
      <c r="W140" s="356">
        <f>(SUM(W$98:W$99)*'Buildings Inputs'!$D104+SUM(W$100:W$101)*'Buildings Inputs'!$E104)/10^3</f>
        <v>0</v>
      </c>
      <c r="X140" s="356">
        <f>(SUM(X$98:X$99)*'Buildings Inputs'!$D104+SUM(X$100:X$101)*'Buildings Inputs'!$E104)/10^3</f>
        <v>0</v>
      </c>
      <c r="Y140" s="356">
        <f>(SUM(Y$98:Y$99)*'Buildings Inputs'!$D104+SUM(Y$100:Y$101)*'Buildings Inputs'!$E104)/10^3</f>
        <v>0</v>
      </c>
      <c r="Z140" s="356">
        <f>(SUM(Z$98:Z$99)*'Buildings Inputs'!$D104+SUM(Z$100:Z$101)*'Buildings Inputs'!$E104)/10^3</f>
        <v>0</v>
      </c>
      <c r="AA140" s="356">
        <f>(SUM(AA$98:AA$99)*'Buildings Inputs'!$D104+SUM(AA$100:AA$101)*'Buildings Inputs'!$E104)/10^3</f>
        <v>0</v>
      </c>
      <c r="AB140" s="356">
        <f>(SUM(AB$98:AB$99)*'Buildings Inputs'!$D104+SUM(AB$100:AB$101)*'Buildings Inputs'!$E104)/10^3</f>
        <v>0</v>
      </c>
    </row>
    <row r="141" spans="2:28" s="319" customFormat="1">
      <c r="B141" s="355" t="s">
        <v>165</v>
      </c>
      <c r="C141" s="357"/>
      <c r="D141" s="356">
        <f>(SUM(D$98:D$99)*'Buildings Inputs'!$D105+SUM(D$100:D$101)*'Buildings Inputs'!$E105)/10^3</f>
        <v>0</v>
      </c>
      <c r="E141" s="356">
        <f>(SUM(E$98:E$99)*'Buildings Inputs'!$D105+SUM(E$100:E$101)*'Buildings Inputs'!$E105)/10^3</f>
        <v>0</v>
      </c>
      <c r="F141" s="356">
        <f>(SUM(F$98:F$99)*'Buildings Inputs'!$D105+SUM(F$100:F$101)*'Buildings Inputs'!$E105)/10^3</f>
        <v>0</v>
      </c>
      <c r="G141" s="356">
        <f>(SUM(G$98:G$99)*'Buildings Inputs'!$D105+SUM(G$100:G$101)*'Buildings Inputs'!$E105)/10^3</f>
        <v>0</v>
      </c>
      <c r="H141" s="356">
        <f>(SUM(H$98:H$99)*'Buildings Inputs'!$D105+SUM(H$100:H$101)*'Buildings Inputs'!$E105)/10^3</f>
        <v>0</v>
      </c>
      <c r="I141" s="356">
        <f>(SUM(I$98:I$99)*'Buildings Inputs'!$D105+SUM(I$100:I$101)*'Buildings Inputs'!$E105)/10^3</f>
        <v>0</v>
      </c>
      <c r="J141" s="356">
        <f>(SUM(J$98:J$99)*'Buildings Inputs'!$D105+SUM(J$100:J$101)*'Buildings Inputs'!$E105)/10^3</f>
        <v>0</v>
      </c>
      <c r="K141" s="356">
        <f>(SUM(K$98:K$99)*'Buildings Inputs'!$D105+SUM(K$100:K$101)*'Buildings Inputs'!$E105)/10^3</f>
        <v>0</v>
      </c>
      <c r="L141" s="356">
        <f>(SUM(L$98:L$99)*'Buildings Inputs'!$D105+SUM(L$100:L$101)*'Buildings Inputs'!$E105)/10^3</f>
        <v>0</v>
      </c>
      <c r="M141" s="356">
        <f>(SUM(M$98:M$99)*'Buildings Inputs'!$D105+SUM(M$100:M$101)*'Buildings Inputs'!$E105)/10^3</f>
        <v>0</v>
      </c>
      <c r="N141" s="356">
        <f>(SUM(N$98:N$99)*'Buildings Inputs'!$D105+SUM(N$100:N$101)*'Buildings Inputs'!$E105)/10^3</f>
        <v>0</v>
      </c>
      <c r="O141" s="356">
        <f>(SUM(O$98:O$99)*'Buildings Inputs'!$D105+SUM(O$100:O$101)*'Buildings Inputs'!$E105)/10^3</f>
        <v>0</v>
      </c>
      <c r="P141" s="356">
        <f>(SUM(P$98:P$99)*'Buildings Inputs'!$D105+SUM(P$100:P$101)*'Buildings Inputs'!$E105)/10^3</f>
        <v>0</v>
      </c>
      <c r="Q141" s="356">
        <f>(SUM(Q$98:Q$99)*'Buildings Inputs'!$D105+SUM(Q$100:Q$101)*'Buildings Inputs'!$E105)/10^3</f>
        <v>0</v>
      </c>
      <c r="R141" s="356">
        <f>(SUM(R$98:R$99)*'Buildings Inputs'!$D105+SUM(R$100:R$101)*'Buildings Inputs'!$E105)/10^3</f>
        <v>0</v>
      </c>
      <c r="S141" s="356">
        <f>(SUM(S$98:S$99)*'Buildings Inputs'!$D105+SUM(S$100:S$101)*'Buildings Inputs'!$E105)/10^3</f>
        <v>0</v>
      </c>
      <c r="T141" s="356">
        <f>(SUM(T$98:T$99)*'Buildings Inputs'!$D105+SUM(T$100:T$101)*'Buildings Inputs'!$E105)/10^3</f>
        <v>0</v>
      </c>
      <c r="U141" s="356">
        <f>(SUM(U$98:U$99)*'Buildings Inputs'!$D105+SUM(U$100:U$101)*'Buildings Inputs'!$E105)/10^3</f>
        <v>0</v>
      </c>
      <c r="V141" s="356">
        <f>(SUM(V$98:V$99)*'Buildings Inputs'!$D105+SUM(V$100:V$101)*'Buildings Inputs'!$E105)/10^3</f>
        <v>0</v>
      </c>
      <c r="W141" s="356">
        <f>(SUM(W$98:W$99)*'Buildings Inputs'!$D105+SUM(W$100:W$101)*'Buildings Inputs'!$E105)/10^3</f>
        <v>0</v>
      </c>
      <c r="X141" s="356">
        <f>(SUM(X$98:X$99)*'Buildings Inputs'!$D105+SUM(X$100:X$101)*'Buildings Inputs'!$E105)/10^3</f>
        <v>0</v>
      </c>
      <c r="Y141" s="356">
        <f>(SUM(Y$98:Y$99)*'Buildings Inputs'!$D105+SUM(Y$100:Y$101)*'Buildings Inputs'!$E105)/10^3</f>
        <v>0</v>
      </c>
      <c r="Z141" s="356">
        <f>(SUM(Z$98:Z$99)*'Buildings Inputs'!$D105+SUM(Z$100:Z$101)*'Buildings Inputs'!$E105)/10^3</f>
        <v>0</v>
      </c>
      <c r="AA141" s="356">
        <f>(SUM(AA$98:AA$99)*'Buildings Inputs'!$D105+SUM(AA$100:AA$101)*'Buildings Inputs'!$E105)/10^3</f>
        <v>0</v>
      </c>
      <c r="AB141" s="356">
        <f>(SUM(AB$98:AB$99)*'Buildings Inputs'!$D105+SUM(AB$100:AB$101)*'Buildings Inputs'!$E105)/10^3</f>
        <v>0</v>
      </c>
    </row>
    <row r="142" spans="2:28" s="319" customFormat="1">
      <c r="B142" s="355" t="s">
        <v>166</v>
      </c>
      <c r="C142" s="357"/>
      <c r="D142" s="356">
        <f>(SUM(D$98:D$99)*'Buildings Inputs'!$D106+SUM(D$100:D$101)*'Buildings Inputs'!$E106)/10^3</f>
        <v>0</v>
      </c>
      <c r="E142" s="356">
        <f>(SUM(E$98:E$99)*'Buildings Inputs'!$D106+SUM(E$100:E$101)*'Buildings Inputs'!$E106)/10^3</f>
        <v>0</v>
      </c>
      <c r="F142" s="356">
        <f>(SUM(F$98:F$99)*'Buildings Inputs'!$D106+SUM(F$100:F$101)*'Buildings Inputs'!$E106)/10^3</f>
        <v>0</v>
      </c>
      <c r="G142" s="356">
        <f>(SUM(G$98:G$99)*'Buildings Inputs'!$D106+SUM(G$100:G$101)*'Buildings Inputs'!$E106)/10^3</f>
        <v>0</v>
      </c>
      <c r="H142" s="356">
        <f>(SUM(H$98:H$99)*'Buildings Inputs'!$D106+SUM(H$100:H$101)*'Buildings Inputs'!$E106)/10^3</f>
        <v>0</v>
      </c>
      <c r="I142" s="356">
        <f>(SUM(I$98:I$99)*'Buildings Inputs'!$D106+SUM(I$100:I$101)*'Buildings Inputs'!$E106)/10^3</f>
        <v>0</v>
      </c>
      <c r="J142" s="356">
        <f>(SUM(J$98:J$99)*'Buildings Inputs'!$D106+SUM(J$100:J$101)*'Buildings Inputs'!$E106)/10^3</f>
        <v>0</v>
      </c>
      <c r="K142" s="356">
        <f>(SUM(K$98:K$99)*'Buildings Inputs'!$D106+SUM(K$100:K$101)*'Buildings Inputs'!$E106)/10^3</f>
        <v>0</v>
      </c>
      <c r="L142" s="356">
        <f>(SUM(L$98:L$99)*'Buildings Inputs'!$D106+SUM(L$100:L$101)*'Buildings Inputs'!$E106)/10^3</f>
        <v>0</v>
      </c>
      <c r="M142" s="356">
        <f>(SUM(M$98:M$99)*'Buildings Inputs'!$D106+SUM(M$100:M$101)*'Buildings Inputs'!$E106)/10^3</f>
        <v>0</v>
      </c>
      <c r="N142" s="356">
        <f>(SUM(N$98:N$99)*'Buildings Inputs'!$D106+SUM(N$100:N$101)*'Buildings Inputs'!$E106)/10^3</f>
        <v>0</v>
      </c>
      <c r="O142" s="356">
        <f>(SUM(O$98:O$99)*'Buildings Inputs'!$D106+SUM(O$100:O$101)*'Buildings Inputs'!$E106)/10^3</f>
        <v>0</v>
      </c>
      <c r="P142" s="356">
        <f>(SUM(P$98:P$99)*'Buildings Inputs'!$D106+SUM(P$100:P$101)*'Buildings Inputs'!$E106)/10^3</f>
        <v>0</v>
      </c>
      <c r="Q142" s="356">
        <f>(SUM(Q$98:Q$99)*'Buildings Inputs'!$D106+SUM(Q$100:Q$101)*'Buildings Inputs'!$E106)/10^3</f>
        <v>0</v>
      </c>
      <c r="R142" s="356">
        <f>(SUM(R$98:R$99)*'Buildings Inputs'!$D106+SUM(R$100:R$101)*'Buildings Inputs'!$E106)/10^3</f>
        <v>0</v>
      </c>
      <c r="S142" s="356">
        <f>(SUM(S$98:S$99)*'Buildings Inputs'!$D106+SUM(S$100:S$101)*'Buildings Inputs'!$E106)/10^3</f>
        <v>0</v>
      </c>
      <c r="T142" s="356">
        <f>(SUM(T$98:T$99)*'Buildings Inputs'!$D106+SUM(T$100:T$101)*'Buildings Inputs'!$E106)/10^3</f>
        <v>0</v>
      </c>
      <c r="U142" s="356">
        <f>(SUM(U$98:U$99)*'Buildings Inputs'!$D106+SUM(U$100:U$101)*'Buildings Inputs'!$E106)/10^3</f>
        <v>0</v>
      </c>
      <c r="V142" s="356">
        <f>(SUM(V$98:V$99)*'Buildings Inputs'!$D106+SUM(V$100:V$101)*'Buildings Inputs'!$E106)/10^3</f>
        <v>0</v>
      </c>
      <c r="W142" s="356">
        <f>(SUM(W$98:W$99)*'Buildings Inputs'!$D106+SUM(W$100:W$101)*'Buildings Inputs'!$E106)/10^3</f>
        <v>0</v>
      </c>
      <c r="X142" s="356">
        <f>(SUM(X$98:X$99)*'Buildings Inputs'!$D106+SUM(X$100:X$101)*'Buildings Inputs'!$E106)/10^3</f>
        <v>0</v>
      </c>
      <c r="Y142" s="356">
        <f>(SUM(Y$98:Y$99)*'Buildings Inputs'!$D106+SUM(Y$100:Y$101)*'Buildings Inputs'!$E106)/10^3</f>
        <v>0</v>
      </c>
      <c r="Z142" s="356">
        <f>(SUM(Z$98:Z$99)*'Buildings Inputs'!$D106+SUM(Z$100:Z$101)*'Buildings Inputs'!$E106)/10^3</f>
        <v>0</v>
      </c>
      <c r="AA142" s="356">
        <f>(SUM(AA$98:AA$99)*'Buildings Inputs'!$D106+SUM(AA$100:AA$101)*'Buildings Inputs'!$E106)/10^3</f>
        <v>0</v>
      </c>
      <c r="AB142" s="356">
        <f>(SUM(AB$98:AB$99)*'Buildings Inputs'!$D106+SUM(AB$100:AB$101)*'Buildings Inputs'!$E106)/10^3</f>
        <v>0</v>
      </c>
    </row>
    <row r="144" spans="2:28">
      <c r="B144" s="601" t="s">
        <v>203</v>
      </c>
      <c r="C144" s="602"/>
      <c r="D144" s="602"/>
      <c r="E144" s="602"/>
      <c r="F144" s="602"/>
      <c r="G144" s="602"/>
      <c r="H144" s="602"/>
      <c r="I144" s="602"/>
      <c r="J144" s="602"/>
      <c r="K144" s="602"/>
      <c r="L144" s="602"/>
      <c r="M144" s="602"/>
      <c r="N144" s="602"/>
      <c r="O144" s="602"/>
      <c r="P144" s="602"/>
      <c r="Q144" s="602"/>
      <c r="R144" s="602"/>
      <c r="S144" s="602"/>
      <c r="T144" s="602"/>
      <c r="U144" s="602"/>
      <c r="V144" s="602"/>
      <c r="W144" s="602"/>
      <c r="X144" s="602"/>
      <c r="Y144" s="602"/>
      <c r="Z144" s="602"/>
      <c r="AA144" s="602"/>
      <c r="AB144" s="602"/>
    </row>
    <row r="145" spans="2:28" s="4" customFormat="1">
      <c r="B145" s="290"/>
      <c r="C145" s="290">
        <v>2025</v>
      </c>
      <c r="D145" s="290">
        <f t="shared" ref="D145:O145" si="76">C145+1</f>
        <v>2026</v>
      </c>
      <c r="E145" s="290">
        <f t="shared" si="76"/>
        <v>2027</v>
      </c>
      <c r="F145" s="290">
        <f t="shared" si="76"/>
        <v>2028</v>
      </c>
      <c r="G145" s="290">
        <f t="shared" si="76"/>
        <v>2029</v>
      </c>
      <c r="H145" s="290">
        <f t="shared" si="76"/>
        <v>2030</v>
      </c>
      <c r="I145" s="290">
        <f t="shared" si="76"/>
        <v>2031</v>
      </c>
      <c r="J145" s="290">
        <f t="shared" si="76"/>
        <v>2032</v>
      </c>
      <c r="K145" s="290">
        <f t="shared" si="76"/>
        <v>2033</v>
      </c>
      <c r="L145" s="290">
        <f>K145+1</f>
        <v>2034</v>
      </c>
      <c r="M145" s="290">
        <f t="shared" si="76"/>
        <v>2035</v>
      </c>
      <c r="N145" s="290">
        <f t="shared" si="76"/>
        <v>2036</v>
      </c>
      <c r="O145" s="290">
        <f t="shared" si="76"/>
        <v>2037</v>
      </c>
      <c r="P145" s="290">
        <f>O145+1</f>
        <v>2038</v>
      </c>
      <c r="Q145" s="290">
        <f>P145+1</f>
        <v>2039</v>
      </c>
      <c r="R145" s="290">
        <f t="shared" ref="R145:AB145" si="77">Q145+1</f>
        <v>2040</v>
      </c>
      <c r="S145" s="290">
        <f t="shared" si="77"/>
        <v>2041</v>
      </c>
      <c r="T145" s="290">
        <f t="shared" si="77"/>
        <v>2042</v>
      </c>
      <c r="U145" s="290">
        <f t="shared" si="77"/>
        <v>2043</v>
      </c>
      <c r="V145" s="290">
        <f t="shared" si="77"/>
        <v>2044</v>
      </c>
      <c r="W145" s="290">
        <f t="shared" si="77"/>
        <v>2045</v>
      </c>
      <c r="X145" s="290">
        <f t="shared" si="77"/>
        <v>2046</v>
      </c>
      <c r="Y145" s="290">
        <f t="shared" si="77"/>
        <v>2047</v>
      </c>
      <c r="Z145" s="290">
        <f t="shared" si="77"/>
        <v>2048</v>
      </c>
      <c r="AA145" s="290">
        <f t="shared" si="77"/>
        <v>2049</v>
      </c>
      <c r="AB145" s="290">
        <f t="shared" si="77"/>
        <v>2050</v>
      </c>
    </row>
    <row r="146" spans="2:28" s="319" customFormat="1">
      <c r="B146" s="355" t="s">
        <v>161</v>
      </c>
      <c r="C146" s="356">
        <f>C138*$C$32</f>
        <v>0</v>
      </c>
      <c r="D146" s="356">
        <f t="shared" ref="D146:AB150" si="78">D138*$C$32</f>
        <v>0</v>
      </c>
      <c r="E146" s="356">
        <f t="shared" si="78"/>
        <v>0</v>
      </c>
      <c r="F146" s="356">
        <f t="shared" si="78"/>
        <v>0</v>
      </c>
      <c r="G146" s="356">
        <f t="shared" si="78"/>
        <v>0</v>
      </c>
      <c r="H146" s="356">
        <f t="shared" si="78"/>
        <v>0</v>
      </c>
      <c r="I146" s="356">
        <f t="shared" si="78"/>
        <v>0</v>
      </c>
      <c r="J146" s="356">
        <f t="shared" si="78"/>
        <v>0</v>
      </c>
      <c r="K146" s="356">
        <f t="shared" si="78"/>
        <v>0</v>
      </c>
      <c r="L146" s="356">
        <f t="shared" si="78"/>
        <v>0</v>
      </c>
      <c r="M146" s="356">
        <f t="shared" si="78"/>
        <v>0</v>
      </c>
      <c r="N146" s="356">
        <f t="shared" si="78"/>
        <v>0</v>
      </c>
      <c r="O146" s="356">
        <f t="shared" si="78"/>
        <v>0</v>
      </c>
      <c r="P146" s="356">
        <f t="shared" si="78"/>
        <v>0</v>
      </c>
      <c r="Q146" s="356">
        <f t="shared" si="78"/>
        <v>0</v>
      </c>
      <c r="R146" s="356">
        <f t="shared" si="78"/>
        <v>0</v>
      </c>
      <c r="S146" s="356">
        <f t="shared" si="78"/>
        <v>0</v>
      </c>
      <c r="T146" s="356">
        <f t="shared" si="78"/>
        <v>0</v>
      </c>
      <c r="U146" s="356">
        <f t="shared" si="78"/>
        <v>0</v>
      </c>
      <c r="V146" s="356">
        <f t="shared" si="78"/>
        <v>0</v>
      </c>
      <c r="W146" s="356">
        <f t="shared" si="78"/>
        <v>0</v>
      </c>
      <c r="X146" s="356">
        <f t="shared" si="78"/>
        <v>0</v>
      </c>
      <c r="Y146" s="356">
        <f t="shared" si="78"/>
        <v>0</v>
      </c>
      <c r="Z146" s="356">
        <f t="shared" si="78"/>
        <v>0</v>
      </c>
      <c r="AA146" s="356">
        <f t="shared" si="78"/>
        <v>0</v>
      </c>
      <c r="AB146" s="356">
        <f t="shared" si="78"/>
        <v>0</v>
      </c>
    </row>
    <row r="147" spans="2:28" s="319" customFormat="1">
      <c r="B147" s="355" t="s">
        <v>204</v>
      </c>
      <c r="C147" s="356">
        <f t="shared" ref="C147:R150" si="79">C139*$C$32</f>
        <v>0</v>
      </c>
      <c r="D147" s="356">
        <f t="shared" si="79"/>
        <v>0</v>
      </c>
      <c r="E147" s="356">
        <f t="shared" si="79"/>
        <v>0</v>
      </c>
      <c r="F147" s="356">
        <f t="shared" si="79"/>
        <v>0</v>
      </c>
      <c r="G147" s="356">
        <f t="shared" si="79"/>
        <v>0</v>
      </c>
      <c r="H147" s="356">
        <f t="shared" si="79"/>
        <v>0</v>
      </c>
      <c r="I147" s="356">
        <f t="shared" si="79"/>
        <v>0</v>
      </c>
      <c r="J147" s="356">
        <f t="shared" si="79"/>
        <v>0</v>
      </c>
      <c r="K147" s="356">
        <f t="shared" si="79"/>
        <v>0</v>
      </c>
      <c r="L147" s="356">
        <f t="shared" si="79"/>
        <v>0</v>
      </c>
      <c r="M147" s="356">
        <f t="shared" si="79"/>
        <v>0</v>
      </c>
      <c r="N147" s="356">
        <f t="shared" si="79"/>
        <v>0</v>
      </c>
      <c r="O147" s="356">
        <f t="shared" si="79"/>
        <v>0</v>
      </c>
      <c r="P147" s="356">
        <f t="shared" si="79"/>
        <v>0</v>
      </c>
      <c r="Q147" s="356">
        <f t="shared" si="79"/>
        <v>0</v>
      </c>
      <c r="R147" s="356">
        <f t="shared" si="79"/>
        <v>0</v>
      </c>
      <c r="S147" s="356">
        <f t="shared" si="78"/>
        <v>0</v>
      </c>
      <c r="T147" s="356">
        <f t="shared" si="78"/>
        <v>0</v>
      </c>
      <c r="U147" s="356">
        <f t="shared" si="78"/>
        <v>0</v>
      </c>
      <c r="V147" s="356">
        <f t="shared" si="78"/>
        <v>0</v>
      </c>
      <c r="W147" s="356">
        <f t="shared" si="78"/>
        <v>0</v>
      </c>
      <c r="X147" s="356">
        <f t="shared" si="78"/>
        <v>0</v>
      </c>
      <c r="Y147" s="356">
        <f t="shared" si="78"/>
        <v>0</v>
      </c>
      <c r="Z147" s="356">
        <f t="shared" si="78"/>
        <v>0</v>
      </c>
      <c r="AA147" s="356">
        <f t="shared" si="78"/>
        <v>0</v>
      </c>
      <c r="AB147" s="356">
        <f t="shared" si="78"/>
        <v>0</v>
      </c>
    </row>
    <row r="148" spans="2:28" s="319" customFormat="1">
      <c r="B148" s="355" t="s">
        <v>164</v>
      </c>
      <c r="C148" s="356">
        <f t="shared" si="79"/>
        <v>0</v>
      </c>
      <c r="D148" s="356">
        <f t="shared" si="78"/>
        <v>0</v>
      </c>
      <c r="E148" s="356">
        <f t="shared" si="78"/>
        <v>0</v>
      </c>
      <c r="F148" s="356">
        <f t="shared" si="78"/>
        <v>0</v>
      </c>
      <c r="G148" s="356">
        <f t="shared" si="78"/>
        <v>0</v>
      </c>
      <c r="H148" s="356">
        <f t="shared" si="78"/>
        <v>0</v>
      </c>
      <c r="I148" s="356">
        <f t="shared" si="78"/>
        <v>0</v>
      </c>
      <c r="J148" s="356">
        <f t="shared" si="78"/>
        <v>0</v>
      </c>
      <c r="K148" s="356">
        <f t="shared" si="78"/>
        <v>0</v>
      </c>
      <c r="L148" s="356">
        <f t="shared" si="78"/>
        <v>0</v>
      </c>
      <c r="M148" s="356">
        <f t="shared" si="78"/>
        <v>0</v>
      </c>
      <c r="N148" s="356">
        <f t="shared" si="78"/>
        <v>0</v>
      </c>
      <c r="O148" s="356">
        <f t="shared" si="78"/>
        <v>0</v>
      </c>
      <c r="P148" s="356">
        <f t="shared" si="78"/>
        <v>0</v>
      </c>
      <c r="Q148" s="356">
        <f t="shared" si="78"/>
        <v>0</v>
      </c>
      <c r="R148" s="356">
        <f t="shared" si="78"/>
        <v>0</v>
      </c>
      <c r="S148" s="356">
        <f t="shared" si="78"/>
        <v>0</v>
      </c>
      <c r="T148" s="356">
        <f t="shared" si="78"/>
        <v>0</v>
      </c>
      <c r="U148" s="356">
        <f t="shared" si="78"/>
        <v>0</v>
      </c>
      <c r="V148" s="356">
        <f t="shared" si="78"/>
        <v>0</v>
      </c>
      <c r="W148" s="356">
        <f t="shared" si="78"/>
        <v>0</v>
      </c>
      <c r="X148" s="356">
        <f t="shared" si="78"/>
        <v>0</v>
      </c>
      <c r="Y148" s="356">
        <f t="shared" si="78"/>
        <v>0</v>
      </c>
      <c r="Z148" s="356">
        <f t="shared" si="78"/>
        <v>0</v>
      </c>
      <c r="AA148" s="356">
        <f t="shared" si="78"/>
        <v>0</v>
      </c>
      <c r="AB148" s="356">
        <f t="shared" si="78"/>
        <v>0</v>
      </c>
    </row>
    <row r="149" spans="2:28" s="319" customFormat="1">
      <c r="B149" s="355" t="s">
        <v>165</v>
      </c>
      <c r="C149" s="356">
        <f t="shared" si="79"/>
        <v>0</v>
      </c>
      <c r="D149" s="356">
        <f t="shared" si="78"/>
        <v>0</v>
      </c>
      <c r="E149" s="356">
        <f t="shared" si="78"/>
        <v>0</v>
      </c>
      <c r="F149" s="356">
        <f t="shared" si="78"/>
        <v>0</v>
      </c>
      <c r="G149" s="356">
        <f t="shared" si="78"/>
        <v>0</v>
      </c>
      <c r="H149" s="356">
        <f t="shared" si="78"/>
        <v>0</v>
      </c>
      <c r="I149" s="356">
        <f t="shared" si="78"/>
        <v>0</v>
      </c>
      <c r="J149" s="356">
        <f t="shared" si="78"/>
        <v>0</v>
      </c>
      <c r="K149" s="356">
        <f t="shared" si="78"/>
        <v>0</v>
      </c>
      <c r="L149" s="356">
        <f t="shared" si="78"/>
        <v>0</v>
      </c>
      <c r="M149" s="356">
        <f t="shared" si="78"/>
        <v>0</v>
      </c>
      <c r="N149" s="356">
        <f t="shared" si="78"/>
        <v>0</v>
      </c>
      <c r="O149" s="356">
        <f t="shared" si="78"/>
        <v>0</v>
      </c>
      <c r="P149" s="356">
        <f t="shared" si="78"/>
        <v>0</v>
      </c>
      <c r="Q149" s="356">
        <f t="shared" si="78"/>
        <v>0</v>
      </c>
      <c r="R149" s="356">
        <f t="shared" si="78"/>
        <v>0</v>
      </c>
      <c r="S149" s="356">
        <f t="shared" si="78"/>
        <v>0</v>
      </c>
      <c r="T149" s="356">
        <f t="shared" si="78"/>
        <v>0</v>
      </c>
      <c r="U149" s="356">
        <f t="shared" si="78"/>
        <v>0</v>
      </c>
      <c r="V149" s="356">
        <f t="shared" si="78"/>
        <v>0</v>
      </c>
      <c r="W149" s="356">
        <f t="shared" si="78"/>
        <v>0</v>
      </c>
      <c r="X149" s="356">
        <f t="shared" si="78"/>
        <v>0</v>
      </c>
      <c r="Y149" s="356">
        <f t="shared" si="78"/>
        <v>0</v>
      </c>
      <c r="Z149" s="356">
        <f t="shared" si="78"/>
        <v>0</v>
      </c>
      <c r="AA149" s="356">
        <f t="shared" si="78"/>
        <v>0</v>
      </c>
      <c r="AB149" s="356">
        <f t="shared" si="78"/>
        <v>0</v>
      </c>
    </row>
    <row r="150" spans="2:28" s="319" customFormat="1">
      <c r="B150" s="355" t="s">
        <v>166</v>
      </c>
      <c r="C150" s="356">
        <f t="shared" si="79"/>
        <v>0</v>
      </c>
      <c r="D150" s="356">
        <f t="shared" si="78"/>
        <v>0</v>
      </c>
      <c r="E150" s="356">
        <f t="shared" si="78"/>
        <v>0</v>
      </c>
      <c r="F150" s="356">
        <f t="shared" si="78"/>
        <v>0</v>
      </c>
      <c r="G150" s="356">
        <f t="shared" si="78"/>
        <v>0</v>
      </c>
      <c r="H150" s="356">
        <f t="shared" si="78"/>
        <v>0</v>
      </c>
      <c r="I150" s="356">
        <f t="shared" si="78"/>
        <v>0</v>
      </c>
      <c r="J150" s="356">
        <f t="shared" si="78"/>
        <v>0</v>
      </c>
      <c r="K150" s="356">
        <f t="shared" si="78"/>
        <v>0</v>
      </c>
      <c r="L150" s="356">
        <f t="shared" si="78"/>
        <v>0</v>
      </c>
      <c r="M150" s="356">
        <f t="shared" si="78"/>
        <v>0</v>
      </c>
      <c r="N150" s="356">
        <f t="shared" si="78"/>
        <v>0</v>
      </c>
      <c r="O150" s="356">
        <f t="shared" si="78"/>
        <v>0</v>
      </c>
      <c r="P150" s="356">
        <f t="shared" si="78"/>
        <v>0</v>
      </c>
      <c r="Q150" s="356">
        <f t="shared" si="78"/>
        <v>0</v>
      </c>
      <c r="R150" s="356">
        <f t="shared" si="78"/>
        <v>0</v>
      </c>
      <c r="S150" s="356">
        <f t="shared" si="78"/>
        <v>0</v>
      </c>
      <c r="T150" s="356">
        <f t="shared" si="78"/>
        <v>0</v>
      </c>
      <c r="U150" s="356">
        <f t="shared" si="78"/>
        <v>0</v>
      </c>
      <c r="V150" s="356">
        <f t="shared" si="78"/>
        <v>0</v>
      </c>
      <c r="W150" s="356">
        <f t="shared" si="78"/>
        <v>0</v>
      </c>
      <c r="X150" s="356">
        <f t="shared" si="78"/>
        <v>0</v>
      </c>
      <c r="Y150" s="356">
        <f t="shared" si="78"/>
        <v>0</v>
      </c>
      <c r="Z150" s="356">
        <f t="shared" si="78"/>
        <v>0</v>
      </c>
      <c r="AA150" s="356">
        <f t="shared" si="78"/>
        <v>0</v>
      </c>
      <c r="AB150" s="356">
        <f t="shared" si="78"/>
        <v>0</v>
      </c>
    </row>
    <row r="152" spans="2:28">
      <c r="B152" s="601" t="s">
        <v>205</v>
      </c>
      <c r="C152" s="602"/>
      <c r="D152" s="602"/>
      <c r="E152" s="602"/>
      <c r="F152" s="602"/>
      <c r="G152" s="602"/>
      <c r="H152" s="602"/>
      <c r="I152" s="602"/>
      <c r="J152" s="602"/>
      <c r="K152" s="602"/>
      <c r="L152" s="602"/>
      <c r="M152" s="602"/>
      <c r="N152" s="602"/>
      <c r="O152" s="602"/>
      <c r="P152" s="602"/>
      <c r="Q152" s="602"/>
      <c r="R152" s="602"/>
      <c r="S152" s="602"/>
      <c r="T152" s="602"/>
      <c r="U152" s="602"/>
      <c r="V152" s="602"/>
      <c r="W152" s="602"/>
      <c r="X152" s="602"/>
      <c r="Y152" s="602"/>
      <c r="Z152" s="602"/>
      <c r="AA152" s="602"/>
      <c r="AB152" s="602"/>
    </row>
    <row r="153" spans="2:28" s="4" customFormat="1">
      <c r="B153" s="290"/>
      <c r="C153" s="290">
        <v>2025</v>
      </c>
      <c r="D153" s="290">
        <f t="shared" ref="D153:O153" si="80">C153+1</f>
        <v>2026</v>
      </c>
      <c r="E153" s="290">
        <f t="shared" si="80"/>
        <v>2027</v>
      </c>
      <c r="F153" s="290">
        <f t="shared" si="80"/>
        <v>2028</v>
      </c>
      <c r="G153" s="290">
        <f t="shared" si="80"/>
        <v>2029</v>
      </c>
      <c r="H153" s="290">
        <f t="shared" si="80"/>
        <v>2030</v>
      </c>
      <c r="I153" s="290">
        <f t="shared" si="80"/>
        <v>2031</v>
      </c>
      <c r="J153" s="290">
        <f t="shared" si="80"/>
        <v>2032</v>
      </c>
      <c r="K153" s="290">
        <f t="shared" si="80"/>
        <v>2033</v>
      </c>
      <c r="L153" s="290">
        <f>K153+1</f>
        <v>2034</v>
      </c>
      <c r="M153" s="290">
        <f t="shared" si="80"/>
        <v>2035</v>
      </c>
      <c r="N153" s="290">
        <f t="shared" si="80"/>
        <v>2036</v>
      </c>
      <c r="O153" s="290">
        <f t="shared" si="80"/>
        <v>2037</v>
      </c>
      <c r="P153" s="290">
        <f>O153+1</f>
        <v>2038</v>
      </c>
      <c r="Q153" s="290">
        <f>P153+1</f>
        <v>2039</v>
      </c>
      <c r="R153" s="290">
        <f t="shared" ref="R153:AB153" si="81">Q153+1</f>
        <v>2040</v>
      </c>
      <c r="S153" s="290">
        <f t="shared" si="81"/>
        <v>2041</v>
      </c>
      <c r="T153" s="290">
        <f t="shared" si="81"/>
        <v>2042</v>
      </c>
      <c r="U153" s="290">
        <f t="shared" si="81"/>
        <v>2043</v>
      </c>
      <c r="V153" s="290">
        <f t="shared" si="81"/>
        <v>2044</v>
      </c>
      <c r="W153" s="290">
        <f t="shared" si="81"/>
        <v>2045</v>
      </c>
      <c r="X153" s="290">
        <f t="shared" si="81"/>
        <v>2046</v>
      </c>
      <c r="Y153" s="290">
        <f t="shared" si="81"/>
        <v>2047</v>
      </c>
      <c r="Z153" s="290">
        <f t="shared" si="81"/>
        <v>2048</v>
      </c>
      <c r="AA153" s="290">
        <f t="shared" si="81"/>
        <v>2049</v>
      </c>
      <c r="AB153" s="290">
        <f t="shared" si="81"/>
        <v>2050</v>
      </c>
    </row>
    <row r="154" spans="2:28" s="319" customFormat="1">
      <c r="B154" s="355" t="s">
        <v>161</v>
      </c>
      <c r="C154" s="356">
        <f>C146*'LIDAC Analysis'!$D$11</f>
        <v>0</v>
      </c>
      <c r="D154" s="356">
        <f>D146*'LIDAC Analysis'!$D$11</f>
        <v>0</v>
      </c>
      <c r="E154" s="356">
        <f>E146*'LIDAC Analysis'!$D$11</f>
        <v>0</v>
      </c>
      <c r="F154" s="356">
        <f>F146*'LIDAC Analysis'!$D$11</f>
        <v>0</v>
      </c>
      <c r="G154" s="356">
        <f>G146*'LIDAC Analysis'!$D$11</f>
        <v>0</v>
      </c>
      <c r="H154" s="356">
        <f>H146*'LIDAC Analysis'!$D$11</f>
        <v>0</v>
      </c>
      <c r="I154" s="356">
        <f>I146*'LIDAC Analysis'!$D$11</f>
        <v>0</v>
      </c>
      <c r="J154" s="356">
        <f>J146*'LIDAC Analysis'!$D$11</f>
        <v>0</v>
      </c>
      <c r="K154" s="356">
        <f>K146*'LIDAC Analysis'!$D$11</f>
        <v>0</v>
      </c>
      <c r="L154" s="356">
        <f>L146*'LIDAC Analysis'!$D$11</f>
        <v>0</v>
      </c>
      <c r="M154" s="356">
        <f>M146*'LIDAC Analysis'!$D$11</f>
        <v>0</v>
      </c>
      <c r="N154" s="356">
        <f>N146*'LIDAC Analysis'!$D$11</f>
        <v>0</v>
      </c>
      <c r="O154" s="356">
        <f>O146*'LIDAC Analysis'!$D$11</f>
        <v>0</v>
      </c>
      <c r="P154" s="356">
        <f>P146*'LIDAC Analysis'!$D$11</f>
        <v>0</v>
      </c>
      <c r="Q154" s="356">
        <f>Q146*'LIDAC Analysis'!$D$11</f>
        <v>0</v>
      </c>
      <c r="R154" s="356">
        <f>R146*'LIDAC Analysis'!$D$11</f>
        <v>0</v>
      </c>
      <c r="S154" s="356">
        <f>S146*'LIDAC Analysis'!$D$11</f>
        <v>0</v>
      </c>
      <c r="T154" s="356">
        <f>T146*'LIDAC Analysis'!$D$11</f>
        <v>0</v>
      </c>
      <c r="U154" s="356">
        <f>U146*'LIDAC Analysis'!$D$11</f>
        <v>0</v>
      </c>
      <c r="V154" s="356">
        <f>V146*'LIDAC Analysis'!$D$11</f>
        <v>0</v>
      </c>
      <c r="W154" s="356">
        <f>W146*'LIDAC Analysis'!$D$11</f>
        <v>0</v>
      </c>
      <c r="X154" s="356">
        <f>X146*'LIDAC Analysis'!$D$11</f>
        <v>0</v>
      </c>
      <c r="Y154" s="356">
        <f>Y146*'LIDAC Analysis'!$D$11</f>
        <v>0</v>
      </c>
      <c r="Z154" s="356">
        <f>Z146*'LIDAC Analysis'!$D$11</f>
        <v>0</v>
      </c>
      <c r="AA154" s="356">
        <f>AA146*'LIDAC Analysis'!$D$11</f>
        <v>0</v>
      </c>
      <c r="AB154" s="356">
        <f>AB146*'LIDAC Analysis'!$D$11</f>
        <v>0</v>
      </c>
    </row>
    <row r="155" spans="2:28" s="319" customFormat="1">
      <c r="B155" s="355" t="s">
        <v>204</v>
      </c>
      <c r="C155" s="356">
        <f>C147*'LIDAC Analysis'!$D$11</f>
        <v>0</v>
      </c>
      <c r="D155" s="356">
        <f>D147*'LIDAC Analysis'!$D$11</f>
        <v>0</v>
      </c>
      <c r="E155" s="356">
        <f>E147*'LIDAC Analysis'!$D$11</f>
        <v>0</v>
      </c>
      <c r="F155" s="356">
        <f>F147*'LIDAC Analysis'!$D$11</f>
        <v>0</v>
      </c>
      <c r="G155" s="356">
        <f>G147*'LIDAC Analysis'!$D$11</f>
        <v>0</v>
      </c>
      <c r="H155" s="356">
        <f>H147*'LIDAC Analysis'!$D$11</f>
        <v>0</v>
      </c>
      <c r="I155" s="356">
        <f>I147*'LIDAC Analysis'!$D$11</f>
        <v>0</v>
      </c>
      <c r="J155" s="356">
        <f>J147*'LIDAC Analysis'!$D$11</f>
        <v>0</v>
      </c>
      <c r="K155" s="356">
        <f>K147*'LIDAC Analysis'!$D$11</f>
        <v>0</v>
      </c>
      <c r="L155" s="356">
        <f>L147*'LIDAC Analysis'!$D$11</f>
        <v>0</v>
      </c>
      <c r="M155" s="356">
        <f>M147*'LIDAC Analysis'!$D$11</f>
        <v>0</v>
      </c>
      <c r="N155" s="356">
        <f>N147*'LIDAC Analysis'!$D$11</f>
        <v>0</v>
      </c>
      <c r="O155" s="356">
        <f>O147*'LIDAC Analysis'!$D$11</f>
        <v>0</v>
      </c>
      <c r="P155" s="356">
        <f>P147*'LIDAC Analysis'!$D$11</f>
        <v>0</v>
      </c>
      <c r="Q155" s="356">
        <f>Q147*'LIDAC Analysis'!$D$11</f>
        <v>0</v>
      </c>
      <c r="R155" s="356">
        <f>R147*'LIDAC Analysis'!$D$11</f>
        <v>0</v>
      </c>
      <c r="S155" s="356">
        <f>S147*'LIDAC Analysis'!$D$11</f>
        <v>0</v>
      </c>
      <c r="T155" s="356">
        <f>T147*'LIDAC Analysis'!$D$11</f>
        <v>0</v>
      </c>
      <c r="U155" s="356">
        <f>U147*'LIDAC Analysis'!$D$11</f>
        <v>0</v>
      </c>
      <c r="V155" s="356">
        <f>V147*'LIDAC Analysis'!$D$11</f>
        <v>0</v>
      </c>
      <c r="W155" s="356">
        <f>W147*'LIDAC Analysis'!$D$11</f>
        <v>0</v>
      </c>
      <c r="X155" s="356">
        <f>X147*'LIDAC Analysis'!$D$11</f>
        <v>0</v>
      </c>
      <c r="Y155" s="356">
        <f>Y147*'LIDAC Analysis'!$D$11</f>
        <v>0</v>
      </c>
      <c r="Z155" s="356">
        <f>Z147*'LIDAC Analysis'!$D$11</f>
        <v>0</v>
      </c>
      <c r="AA155" s="356">
        <f>AA147*'LIDAC Analysis'!$D$11</f>
        <v>0</v>
      </c>
      <c r="AB155" s="356">
        <f>AB147*'LIDAC Analysis'!$D$11</f>
        <v>0</v>
      </c>
    </row>
    <row r="156" spans="2:28" s="319" customFormat="1">
      <c r="B156" s="355" t="s">
        <v>164</v>
      </c>
      <c r="C156" s="356">
        <f>C148*'LIDAC Analysis'!$D$11</f>
        <v>0</v>
      </c>
      <c r="D156" s="356">
        <f>D148*'LIDAC Analysis'!$D$11</f>
        <v>0</v>
      </c>
      <c r="E156" s="356">
        <f>E148*'LIDAC Analysis'!$D$11</f>
        <v>0</v>
      </c>
      <c r="F156" s="356">
        <f>F148*'LIDAC Analysis'!$D$11</f>
        <v>0</v>
      </c>
      <c r="G156" s="356">
        <f>G148*'LIDAC Analysis'!$D$11</f>
        <v>0</v>
      </c>
      <c r="H156" s="356">
        <f>H148*'LIDAC Analysis'!$D$11</f>
        <v>0</v>
      </c>
      <c r="I156" s="356">
        <f>I148*'LIDAC Analysis'!$D$11</f>
        <v>0</v>
      </c>
      <c r="J156" s="356">
        <f>J148*'LIDAC Analysis'!$D$11</f>
        <v>0</v>
      </c>
      <c r="K156" s="356">
        <f>K148*'LIDAC Analysis'!$D$11</f>
        <v>0</v>
      </c>
      <c r="L156" s="356">
        <f>L148*'LIDAC Analysis'!$D$11</f>
        <v>0</v>
      </c>
      <c r="M156" s="356">
        <f>M148*'LIDAC Analysis'!$D$11</f>
        <v>0</v>
      </c>
      <c r="N156" s="356">
        <f>N148*'LIDAC Analysis'!$D$11</f>
        <v>0</v>
      </c>
      <c r="O156" s="356">
        <f>O148*'LIDAC Analysis'!$D$11</f>
        <v>0</v>
      </c>
      <c r="P156" s="356">
        <f>P148*'LIDAC Analysis'!$D$11</f>
        <v>0</v>
      </c>
      <c r="Q156" s="356">
        <f>Q148*'LIDAC Analysis'!$D$11</f>
        <v>0</v>
      </c>
      <c r="R156" s="356">
        <f>R148*'LIDAC Analysis'!$D$11</f>
        <v>0</v>
      </c>
      <c r="S156" s="356">
        <f>S148*'LIDAC Analysis'!$D$11</f>
        <v>0</v>
      </c>
      <c r="T156" s="356">
        <f>T148*'LIDAC Analysis'!$D$11</f>
        <v>0</v>
      </c>
      <c r="U156" s="356">
        <f>U148*'LIDAC Analysis'!$D$11</f>
        <v>0</v>
      </c>
      <c r="V156" s="356">
        <f>V148*'LIDAC Analysis'!$D$11</f>
        <v>0</v>
      </c>
      <c r="W156" s="356">
        <f>W148*'LIDAC Analysis'!$D$11</f>
        <v>0</v>
      </c>
      <c r="X156" s="356">
        <f>X148*'LIDAC Analysis'!$D$11</f>
        <v>0</v>
      </c>
      <c r="Y156" s="356">
        <f>Y148*'LIDAC Analysis'!$D$11</f>
        <v>0</v>
      </c>
      <c r="Z156" s="356">
        <f>Z148*'LIDAC Analysis'!$D$11</f>
        <v>0</v>
      </c>
      <c r="AA156" s="356">
        <f>AA148*'LIDAC Analysis'!$D$11</f>
        <v>0</v>
      </c>
      <c r="AB156" s="356">
        <f>AB148*'LIDAC Analysis'!$D$11</f>
        <v>0</v>
      </c>
    </row>
    <row r="157" spans="2:28" s="319" customFormat="1">
      <c r="B157" s="355" t="s">
        <v>165</v>
      </c>
      <c r="C157" s="356">
        <f>C149*'LIDAC Analysis'!$D$11</f>
        <v>0</v>
      </c>
      <c r="D157" s="356">
        <f>D149*'LIDAC Analysis'!$D$11</f>
        <v>0</v>
      </c>
      <c r="E157" s="356">
        <f>E149*'LIDAC Analysis'!$D$11</f>
        <v>0</v>
      </c>
      <c r="F157" s="356">
        <f>F149*'LIDAC Analysis'!$D$11</f>
        <v>0</v>
      </c>
      <c r="G157" s="356">
        <f>G149*'LIDAC Analysis'!$D$11</f>
        <v>0</v>
      </c>
      <c r="H157" s="356">
        <f>H149*'LIDAC Analysis'!$D$11</f>
        <v>0</v>
      </c>
      <c r="I157" s="356">
        <f>I149*'LIDAC Analysis'!$D$11</f>
        <v>0</v>
      </c>
      <c r="J157" s="356">
        <f>J149*'LIDAC Analysis'!$D$11</f>
        <v>0</v>
      </c>
      <c r="K157" s="356">
        <f>K149*'LIDAC Analysis'!$D$11</f>
        <v>0</v>
      </c>
      <c r="L157" s="356">
        <f>L149*'LIDAC Analysis'!$D$11</f>
        <v>0</v>
      </c>
      <c r="M157" s="356">
        <f>M149*'LIDAC Analysis'!$D$11</f>
        <v>0</v>
      </c>
      <c r="N157" s="356">
        <f>N149*'LIDAC Analysis'!$D$11</f>
        <v>0</v>
      </c>
      <c r="O157" s="356">
        <f>O149*'LIDAC Analysis'!$D$11</f>
        <v>0</v>
      </c>
      <c r="P157" s="356">
        <f>P149*'LIDAC Analysis'!$D$11</f>
        <v>0</v>
      </c>
      <c r="Q157" s="356">
        <f>Q149*'LIDAC Analysis'!$D$11</f>
        <v>0</v>
      </c>
      <c r="R157" s="356">
        <f>R149*'LIDAC Analysis'!$D$11</f>
        <v>0</v>
      </c>
      <c r="S157" s="356">
        <f>S149*'LIDAC Analysis'!$D$11</f>
        <v>0</v>
      </c>
      <c r="T157" s="356">
        <f>T149*'LIDAC Analysis'!$D$11</f>
        <v>0</v>
      </c>
      <c r="U157" s="356">
        <f>U149*'LIDAC Analysis'!$D$11</f>
        <v>0</v>
      </c>
      <c r="V157" s="356">
        <f>V149*'LIDAC Analysis'!$D$11</f>
        <v>0</v>
      </c>
      <c r="W157" s="356">
        <f>W149*'LIDAC Analysis'!$D$11</f>
        <v>0</v>
      </c>
      <c r="X157" s="356">
        <f>X149*'LIDAC Analysis'!$D$11</f>
        <v>0</v>
      </c>
      <c r="Y157" s="356">
        <f>Y149*'LIDAC Analysis'!$D$11</f>
        <v>0</v>
      </c>
      <c r="Z157" s="356">
        <f>Z149*'LIDAC Analysis'!$D$11</f>
        <v>0</v>
      </c>
      <c r="AA157" s="356">
        <f>AA149*'LIDAC Analysis'!$D$11</f>
        <v>0</v>
      </c>
      <c r="AB157" s="356">
        <f>AB149*'LIDAC Analysis'!$D$11</f>
        <v>0</v>
      </c>
    </row>
    <row r="158" spans="2:28" s="319" customFormat="1">
      <c r="B158" s="355" t="s">
        <v>166</v>
      </c>
      <c r="C158" s="356">
        <f>C150*'LIDAC Analysis'!$D$11</f>
        <v>0</v>
      </c>
      <c r="D158" s="356">
        <f>D150*'LIDAC Analysis'!$D$11</f>
        <v>0</v>
      </c>
      <c r="E158" s="356">
        <f>E150*'LIDAC Analysis'!$D$11</f>
        <v>0</v>
      </c>
      <c r="F158" s="356">
        <f>F150*'LIDAC Analysis'!$D$11</f>
        <v>0</v>
      </c>
      <c r="G158" s="356">
        <f>G150*'LIDAC Analysis'!$D$11</f>
        <v>0</v>
      </c>
      <c r="H158" s="356">
        <f>H150*'LIDAC Analysis'!$D$11</f>
        <v>0</v>
      </c>
      <c r="I158" s="356">
        <f>I150*'LIDAC Analysis'!$D$11</f>
        <v>0</v>
      </c>
      <c r="J158" s="356">
        <f>J150*'LIDAC Analysis'!$D$11</f>
        <v>0</v>
      </c>
      <c r="K158" s="356">
        <f>K150*'LIDAC Analysis'!$D$11</f>
        <v>0</v>
      </c>
      <c r="L158" s="356">
        <f>L150*'LIDAC Analysis'!$D$11</f>
        <v>0</v>
      </c>
      <c r="M158" s="356">
        <f>M150*'LIDAC Analysis'!$D$11</f>
        <v>0</v>
      </c>
      <c r="N158" s="356">
        <f>N150*'LIDAC Analysis'!$D$11</f>
        <v>0</v>
      </c>
      <c r="O158" s="356">
        <f>O150*'LIDAC Analysis'!$D$11</f>
        <v>0</v>
      </c>
      <c r="P158" s="356">
        <f>P150*'LIDAC Analysis'!$D$11</f>
        <v>0</v>
      </c>
      <c r="Q158" s="356">
        <f>Q150*'LIDAC Analysis'!$D$11</f>
        <v>0</v>
      </c>
      <c r="R158" s="356">
        <f>R150*'LIDAC Analysis'!$D$11</f>
        <v>0</v>
      </c>
      <c r="S158" s="356">
        <f>S150*'LIDAC Analysis'!$D$11</f>
        <v>0</v>
      </c>
      <c r="T158" s="356">
        <f>T150*'LIDAC Analysis'!$D$11</f>
        <v>0</v>
      </c>
      <c r="U158" s="356">
        <f>U150*'LIDAC Analysis'!$D$11</f>
        <v>0</v>
      </c>
      <c r="V158" s="356">
        <f>V150*'LIDAC Analysis'!$D$11</f>
        <v>0</v>
      </c>
      <c r="W158" s="356">
        <f>W150*'LIDAC Analysis'!$D$11</f>
        <v>0</v>
      </c>
      <c r="X158" s="356">
        <f>X150*'LIDAC Analysis'!$D$11</f>
        <v>0</v>
      </c>
      <c r="Y158" s="356">
        <f>Y150*'LIDAC Analysis'!$D$11</f>
        <v>0</v>
      </c>
      <c r="Z158" s="356">
        <f>Z150*'LIDAC Analysis'!$D$11</f>
        <v>0</v>
      </c>
      <c r="AA158" s="356">
        <f>AA150*'LIDAC Analysis'!$D$11</f>
        <v>0</v>
      </c>
      <c r="AB158" s="356">
        <f>AB150*'LIDAC Analysis'!$D$11</f>
        <v>0</v>
      </c>
    </row>
  </sheetData>
  <mergeCells count="2">
    <mergeCell ref="D41:E41"/>
    <mergeCell ref="F41:G41"/>
  </mergeCells>
  <pageMargins left="0.7" right="0.7" top="0.75" bottom="0.75" header="0.3" footer="0.3"/>
  <pageSetup orientation="portrait" r:id="rId1"/>
  <ignoredErrors>
    <ignoredError sqref="H73:H74 K73:K74" formula="1"/>
  </ignoredError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7269C8AB-510C-4C4E-BE2E-10F70BC0BF37}">
          <x14:formula1>
            <xm:f>'Buildings Inputs'!#REF!</xm:f>
          </x14:formula1>
          <xm:sqref>C28:C29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9612B-C57C-4342-8418-2A9C6D8AC9F8}">
  <sheetPr>
    <tabColor theme="5" tint="0.39997558519241921"/>
  </sheetPr>
  <dimension ref="G70:G71"/>
  <sheetViews>
    <sheetView workbookViewId="0"/>
  </sheetViews>
  <sheetFormatPr defaultColWidth="10.85546875" defaultRowHeight="15"/>
  <cols>
    <col min="1" max="16384" width="10.85546875" style="7"/>
  </cols>
  <sheetData>
    <row r="70" spans="7:7">
      <c r="G70" s="322"/>
    </row>
    <row r="71" spans="7:7">
      <c r="G71" s="322"/>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79998168889431442"/>
  </sheetPr>
  <dimension ref="A1:G66"/>
  <sheetViews>
    <sheetView workbookViewId="0">
      <selection activeCell="H10" sqref="H10"/>
    </sheetView>
  </sheetViews>
  <sheetFormatPr defaultColWidth="8.42578125" defaultRowHeight="15"/>
  <cols>
    <col min="1" max="1" width="8.42578125" customWidth="1"/>
    <col min="2" max="4" width="25.5703125" customWidth="1"/>
    <col min="5" max="5" width="25.5703125" style="12" customWidth="1"/>
    <col min="6" max="6" width="23.140625" style="12" customWidth="1"/>
    <col min="8" max="8" width="41.140625" bestFit="1" customWidth="1"/>
    <col min="9" max="9" width="20.42578125" customWidth="1"/>
    <col min="10" max="10" width="30.140625" customWidth="1"/>
  </cols>
  <sheetData>
    <row r="1" spans="1:6" ht="21">
      <c r="A1" s="1" t="s">
        <v>394</v>
      </c>
    </row>
    <row r="2" spans="1:6" ht="21">
      <c r="A2" s="1"/>
    </row>
    <row r="3" spans="1:6" ht="21.75" thickBot="1">
      <c r="A3" s="1"/>
    </row>
    <row r="4" spans="1:6" s="3" customFormat="1" ht="18.75">
      <c r="A4" s="9" t="s">
        <v>395</v>
      </c>
      <c r="E4" s="13"/>
      <c r="F4" s="13"/>
    </row>
    <row r="5" spans="1:6" ht="21">
      <c r="A5" s="1"/>
    </row>
    <row r="6" spans="1:6">
      <c r="B6" s="792" t="s">
        <v>40</v>
      </c>
      <c r="C6" s="790" t="s">
        <v>396</v>
      </c>
      <c r="D6" s="794" t="s">
        <v>397</v>
      </c>
      <c r="E6" s="210"/>
      <c r="F6"/>
    </row>
    <row r="7" spans="1:6" ht="45">
      <c r="B7" s="793"/>
      <c r="C7" s="791"/>
      <c r="D7" s="795" t="e">
        <f>'Summary Dashboard'!#REF!</f>
        <v>#REF!</v>
      </c>
      <c r="E7" s="687" t="s">
        <v>398</v>
      </c>
      <c r="F7"/>
    </row>
    <row r="8" spans="1:6" ht="44.1" customHeight="1">
      <c r="B8" s="377" t="str">
        <f>'Summary Dashboard'!C10</f>
        <v>Organics Recycling</v>
      </c>
      <c r="C8" s="380" t="s">
        <v>399</v>
      </c>
      <c r="D8" s="457">
        <v>0.41</v>
      </c>
      <c r="E8" s="457">
        <v>0.41</v>
      </c>
      <c r="F8"/>
    </row>
    <row r="9" spans="1:6" ht="44.1" customHeight="1">
      <c r="B9" s="377" t="str">
        <f>'Summary Dashboard'!C11</f>
        <v>Natural Refrigerants</v>
      </c>
      <c r="C9" s="379" t="s">
        <v>400</v>
      </c>
      <c r="D9" s="457">
        <v>1</v>
      </c>
      <c r="E9" s="457">
        <v>0.41</v>
      </c>
      <c r="F9"/>
    </row>
    <row r="10" spans="1:6" ht="44.1" customHeight="1">
      <c r="B10" s="377" t="str">
        <f>'Summary Dashboard'!C12</f>
        <v>Cooling/Heating Centers</v>
      </c>
      <c r="C10" s="378" t="s">
        <v>400</v>
      </c>
      <c r="D10" s="457">
        <v>1</v>
      </c>
      <c r="E10" s="457">
        <v>0.41</v>
      </c>
      <c r="F10"/>
    </row>
    <row r="11" spans="1:6" ht="44.1" customHeight="1">
      <c r="B11" s="377" t="str">
        <f>'Summary Dashboard'!C13</f>
        <v>Advanced EPCs</v>
      </c>
      <c r="C11" s="380" t="s">
        <v>980</v>
      </c>
      <c r="D11" s="457">
        <v>0.49</v>
      </c>
      <c r="E11" s="457">
        <v>0.41</v>
      </c>
      <c r="F11" s="727" t="s">
        <v>981</v>
      </c>
    </row>
    <row r="13" spans="1:6" ht="21.75" thickBot="1">
      <c r="A13" s="1"/>
    </row>
    <row r="14" spans="1:6" s="3" customFormat="1" ht="18.75">
      <c r="A14" s="9" t="s">
        <v>401</v>
      </c>
      <c r="E14" s="13"/>
      <c r="F14" s="13"/>
    </row>
    <row r="16" spans="1:6">
      <c r="B16" s="219" t="s">
        <v>402</v>
      </c>
      <c r="C16" s="219" t="s">
        <v>403</v>
      </c>
      <c r="D16" s="219" t="s">
        <v>404</v>
      </c>
      <c r="E16"/>
      <c r="F16"/>
    </row>
    <row r="17" spans="2:6">
      <c r="B17" s="358">
        <v>8278220</v>
      </c>
      <c r="C17" s="358">
        <v>20201249</v>
      </c>
      <c r="D17" s="376">
        <f>B17/C17</f>
        <v>0.40978753343419511</v>
      </c>
      <c r="E17"/>
      <c r="F17"/>
    </row>
    <row r="18" spans="2:6">
      <c r="E18"/>
      <c r="F18"/>
    </row>
    <row r="19" spans="2:6">
      <c r="E19"/>
      <c r="F19"/>
    </row>
    <row r="20" spans="2:6">
      <c r="E20"/>
      <c r="F20"/>
    </row>
    <row r="21" spans="2:6">
      <c r="E21"/>
      <c r="F21"/>
    </row>
    <row r="22" spans="2:6">
      <c r="E22"/>
      <c r="F22"/>
    </row>
    <row r="23" spans="2:6">
      <c r="E23"/>
      <c r="F23"/>
    </row>
    <row r="24" spans="2:6">
      <c r="E24"/>
      <c r="F24"/>
    </row>
    <row r="25" spans="2:6">
      <c r="E25"/>
      <c r="F25"/>
    </row>
    <row r="26" spans="2:6">
      <c r="E26"/>
      <c r="F26"/>
    </row>
    <row r="27" spans="2:6">
      <c r="E27"/>
      <c r="F27"/>
    </row>
    <row r="28" spans="2:6">
      <c r="E28"/>
      <c r="F28"/>
    </row>
    <row r="29" spans="2:6">
      <c r="E29"/>
      <c r="F29"/>
    </row>
    <row r="30" spans="2:6">
      <c r="E30"/>
      <c r="F30"/>
    </row>
    <row r="31" spans="2:6">
      <c r="E31"/>
      <c r="F31"/>
    </row>
    <row r="32" spans="2:6">
      <c r="E32"/>
      <c r="F32"/>
    </row>
    <row r="65" spans="7:7">
      <c r="G65" s="321"/>
    </row>
    <row r="66" spans="7:7">
      <c r="G66" s="321"/>
    </row>
  </sheetData>
  <mergeCells count="3">
    <mergeCell ref="C6:C7"/>
    <mergeCell ref="B6:B7"/>
    <mergeCell ref="D6:D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E3FC5-C13F-4EEA-83DC-227783EDB386}">
  <sheetPr>
    <tabColor theme="0" tint="-0.249977111117893"/>
  </sheetPr>
  <dimension ref="C29:J71"/>
  <sheetViews>
    <sheetView workbookViewId="0"/>
  </sheetViews>
  <sheetFormatPr defaultColWidth="8.85546875" defaultRowHeight="15"/>
  <cols>
    <col min="1" max="16384" width="8.85546875" style="7"/>
  </cols>
  <sheetData>
    <row r="29" spans="3:10">
      <c r="H29" s="248"/>
      <c r="I29" s="248"/>
      <c r="J29" s="248"/>
    </row>
    <row r="30" spans="3:10">
      <c r="C30" s="248"/>
      <c r="H30" s="248"/>
      <c r="I30" s="248"/>
      <c r="J30" s="248"/>
    </row>
    <row r="31" spans="3:10">
      <c r="H31" s="248"/>
      <c r="I31" s="248"/>
      <c r="J31" s="248"/>
    </row>
    <row r="32" spans="3:10">
      <c r="C32" s="248"/>
      <c r="H32" s="249"/>
    </row>
    <row r="33" spans="3:8">
      <c r="C33" s="248"/>
    </row>
    <row r="34" spans="3:8">
      <c r="C34" s="248"/>
    </row>
    <row r="35" spans="3:8">
      <c r="C35" s="248"/>
    </row>
    <row r="47" spans="3:8">
      <c r="H47" s="248"/>
    </row>
    <row r="70" spans="7:7">
      <c r="G70" s="322"/>
    </row>
    <row r="71" spans="7:7">
      <c r="G71" s="32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95197-0A55-4A21-AAE6-ABA0DA3F0548}">
  <sheetPr>
    <tabColor theme="0" tint="-4.9989318521683403E-2"/>
  </sheetPr>
  <dimension ref="A1:AA120"/>
  <sheetViews>
    <sheetView topLeftCell="A26" workbookViewId="0">
      <selection activeCell="B47" sqref="B47"/>
    </sheetView>
  </sheetViews>
  <sheetFormatPr defaultColWidth="8.85546875" defaultRowHeight="15"/>
  <cols>
    <col min="1" max="1" width="21.42578125" bestFit="1" customWidth="1"/>
    <col min="2" max="2" width="43" bestFit="1" customWidth="1"/>
    <col min="3" max="3" width="18.42578125" customWidth="1"/>
    <col min="4" max="4" width="13.140625" customWidth="1"/>
    <col min="5" max="5" width="12.5703125" customWidth="1"/>
    <col min="6" max="6" width="26.42578125" bestFit="1" customWidth="1"/>
    <col min="7" max="7" width="21.42578125" bestFit="1" customWidth="1"/>
    <col min="8" max="8" width="38" bestFit="1" customWidth="1"/>
    <col min="9" max="9" width="27.85546875" customWidth="1"/>
    <col min="10" max="10" width="25" customWidth="1"/>
    <col min="11" max="11" width="29.42578125" bestFit="1" customWidth="1"/>
    <col min="12" max="23" width="12.5703125" customWidth="1"/>
    <col min="24" max="29" width="8.5703125" customWidth="1"/>
    <col min="30" max="33" width="11.42578125" customWidth="1"/>
    <col min="34" max="34" width="10.5703125" customWidth="1"/>
    <col min="35" max="35" width="11.42578125" customWidth="1"/>
    <col min="36" max="37" width="8.5703125" customWidth="1"/>
    <col min="38" max="38" width="15.42578125" customWidth="1"/>
    <col min="39" max="40" width="8.5703125" customWidth="1"/>
    <col min="41" max="41" width="12.42578125" customWidth="1"/>
    <col min="42" max="42" width="12" customWidth="1"/>
    <col min="43" max="43" width="8.5703125" customWidth="1"/>
  </cols>
  <sheetData>
    <row r="1" spans="1:15" s="16" customFormat="1" ht="21">
      <c r="A1" s="1" t="s">
        <v>408</v>
      </c>
    </row>
    <row r="3" spans="1:15">
      <c r="B3" s="15" t="s">
        <v>409</v>
      </c>
      <c r="C3" s="15"/>
    </row>
    <row r="4" spans="1:15">
      <c r="B4" s="387" t="s">
        <v>410</v>
      </c>
      <c r="C4" s="388">
        <v>0.8</v>
      </c>
      <c r="D4" s="373" t="s">
        <v>411</v>
      </c>
    </row>
    <row r="5" spans="1:15">
      <c r="B5" s="387" t="s">
        <v>412</v>
      </c>
      <c r="C5" s="388">
        <v>0.2</v>
      </c>
      <c r="D5" s="373" t="s">
        <v>411</v>
      </c>
    </row>
    <row r="7" spans="1:15" s="173" customFormat="1">
      <c r="L7" s="326"/>
    </row>
    <row r="8" spans="1:15" s="173" customFormat="1">
      <c r="N8" s="326"/>
    </row>
    <row r="9" spans="1:15" s="173" customFormat="1">
      <c r="B9" s="15" t="s">
        <v>918</v>
      </c>
      <c r="C9" s="15"/>
      <c r="D9" s="15"/>
      <c r="E9" s="15"/>
      <c r="F9" s="15"/>
      <c r="G9" s="15"/>
      <c r="H9" s="15"/>
      <c r="I9" s="15"/>
      <c r="J9" s="15"/>
      <c r="K9" s="15"/>
      <c r="O9" s="326"/>
    </row>
    <row r="10" spans="1:15" s="173" customFormat="1">
      <c r="B10" s="219" t="s">
        <v>413</v>
      </c>
      <c r="C10" s="219" t="s">
        <v>414</v>
      </c>
      <c r="D10" s="219" t="s">
        <v>415</v>
      </c>
      <c r="E10" s="219" t="s">
        <v>416</v>
      </c>
      <c r="F10" s="219" t="s">
        <v>922</v>
      </c>
      <c r="G10" s="219" t="s">
        <v>923</v>
      </c>
      <c r="H10" s="219" t="s">
        <v>924</v>
      </c>
      <c r="I10" s="219" t="s">
        <v>914</v>
      </c>
      <c r="J10" s="219" t="s">
        <v>915</v>
      </c>
      <c r="K10" s="219" t="s">
        <v>916</v>
      </c>
      <c r="L10" s="699"/>
      <c r="M10" s="699"/>
      <c r="O10" s="326"/>
    </row>
    <row r="11" spans="1:15" s="173" customFormat="1">
      <c r="A11" s="699" t="str">
        <f>_xlfn.CONCAT(B11,C11)</f>
        <v>LocalSmallOffice</v>
      </c>
      <c r="B11" s="382" t="s">
        <v>421</v>
      </c>
      <c r="C11" s="382" t="s">
        <v>417</v>
      </c>
      <c r="D11" s="382" t="s">
        <v>419</v>
      </c>
      <c r="E11" s="382" t="s">
        <v>277</v>
      </c>
      <c r="F11" s="701">
        <v>11.682932223721687</v>
      </c>
      <c r="G11" s="701">
        <v>10.288502774029082</v>
      </c>
      <c r="H11" s="702">
        <f t="shared" ref="H11:H41" si="0">G11*0.003412141</f>
        <v>3.5105822143878369E-2</v>
      </c>
      <c r="I11" s="701">
        <v>1.6192720047983191</v>
      </c>
      <c r="J11" s="698">
        <v>10.070494077073008</v>
      </c>
      <c r="K11" s="702">
        <f>J11*0.003412141</f>
        <v>3.4361945730637972E-2</v>
      </c>
      <c r="M11" s="699"/>
      <c r="O11" s="326"/>
    </row>
    <row r="12" spans="1:15" s="173" customFormat="1">
      <c r="A12" s="699" t="str">
        <f t="shared" ref="A12" si="1">_xlfn.CONCAT(B12,C12)</f>
        <v>LocalMediumOffice</v>
      </c>
      <c r="B12" s="382" t="s">
        <v>421</v>
      </c>
      <c r="C12" s="382" t="s">
        <v>424</v>
      </c>
      <c r="D12" s="382" t="s">
        <v>419</v>
      </c>
      <c r="E12" s="382" t="s">
        <v>277</v>
      </c>
      <c r="F12" s="701">
        <v>19.088518518518402</v>
      </c>
      <c r="G12" s="701">
        <v>22.057037037036931</v>
      </c>
      <c r="H12" s="702">
        <f t="shared" si="0"/>
        <v>7.5261720412592228E-2</v>
      </c>
      <c r="I12" s="701">
        <v>5.6322222222222136</v>
      </c>
      <c r="J12" s="698">
        <v>21.587777777777731</v>
      </c>
      <c r="K12" s="702">
        <f>J12*0.003412141</f>
        <v>7.3660541654444286E-2</v>
      </c>
      <c r="M12" s="699"/>
      <c r="O12" s="326"/>
    </row>
    <row r="13" spans="1:15" s="173" customFormat="1">
      <c r="A13" s="700"/>
      <c r="B13" s="382" t="s">
        <v>407</v>
      </c>
      <c r="C13" s="382"/>
      <c r="D13" s="382"/>
      <c r="E13" s="382"/>
      <c r="F13" s="701"/>
      <c r="G13" s="701"/>
      <c r="H13" s="702">
        <f t="shared" si="0"/>
        <v>0</v>
      </c>
      <c r="I13" s="701"/>
      <c r="J13" s="698"/>
      <c r="K13" s="703"/>
      <c r="O13" s="326"/>
    </row>
    <row r="14" spans="1:15" s="173" customFormat="1">
      <c r="A14" s="699" t="str">
        <f t="shared" ref="A14:A15" si="2">_xlfn.CONCAT(B14,C14)</f>
        <v>StateSmallOffice</v>
      </c>
      <c r="B14" s="382" t="s">
        <v>405</v>
      </c>
      <c r="C14" s="382" t="s">
        <v>417</v>
      </c>
      <c r="D14" s="382" t="s">
        <v>419</v>
      </c>
      <c r="E14" s="382" t="s">
        <v>277</v>
      </c>
      <c r="F14" s="701">
        <v>11.231411269088966</v>
      </c>
      <c r="G14" s="701">
        <v>9.9370984728804395</v>
      </c>
      <c r="H14" s="702">
        <f t="shared" si="0"/>
        <v>3.3906781120352739E-2</v>
      </c>
      <c r="I14" s="701">
        <v>1.1262374934175865</v>
      </c>
      <c r="J14" s="698">
        <v>9.7189836756187198</v>
      </c>
      <c r="K14" s="702">
        <f t="shared" ref="K14:K32" si="3">J14*0.003412141</f>
        <v>3.3162542677909336E-2</v>
      </c>
      <c r="M14" s="699"/>
      <c r="O14" s="326"/>
    </row>
    <row r="15" spans="1:15" s="173" customFormat="1">
      <c r="A15" s="699" t="str">
        <f t="shared" si="2"/>
        <v>StateMediumOffice</v>
      </c>
      <c r="B15" s="382" t="s">
        <v>405</v>
      </c>
      <c r="C15" s="382" t="s">
        <v>424</v>
      </c>
      <c r="D15" s="382" t="s">
        <v>419</v>
      </c>
      <c r="E15" s="382" t="s">
        <v>277</v>
      </c>
      <c r="F15" s="701">
        <v>17.515714285714285</v>
      </c>
      <c r="G15" s="701">
        <v>12.385238095238057</v>
      </c>
      <c r="H15" s="702">
        <f t="shared" si="0"/>
        <v>4.2260178699523678E-2</v>
      </c>
      <c r="I15" s="701">
        <v>3.6604761904761887</v>
      </c>
      <c r="J15" s="698">
        <v>12.385238095238057</v>
      </c>
      <c r="K15" s="702">
        <f t="shared" si="3"/>
        <v>4.2260178699523678E-2</v>
      </c>
      <c r="M15" s="699"/>
      <c r="O15" s="326"/>
    </row>
    <row r="16" spans="1:15" s="173" customFormat="1">
      <c r="A16" s="700"/>
      <c r="B16" s="382" t="s">
        <v>407</v>
      </c>
      <c r="C16" s="382"/>
      <c r="D16" s="382"/>
      <c r="E16" s="382"/>
      <c r="F16" s="701"/>
      <c r="G16" s="701"/>
      <c r="H16" s="702">
        <f t="shared" si="0"/>
        <v>0</v>
      </c>
      <c r="I16" s="701"/>
      <c r="J16" s="385"/>
      <c r="K16" s="703"/>
      <c r="O16" s="326"/>
    </row>
    <row r="17" spans="1:15" s="173" customFormat="1">
      <c r="A17" s="699" t="str">
        <f t="shared" ref="A17:A21" si="4">_xlfn.CONCAT(B17,C17)</f>
        <v>LocalSmallOffice</v>
      </c>
      <c r="B17" s="382" t="s">
        <v>421</v>
      </c>
      <c r="C17" s="382" t="s">
        <v>417</v>
      </c>
      <c r="D17" s="382" t="s">
        <v>419</v>
      </c>
      <c r="E17" s="382" t="s">
        <v>240</v>
      </c>
      <c r="F17" s="705"/>
      <c r="G17" s="705"/>
      <c r="H17" s="702">
        <f t="shared" si="0"/>
        <v>0</v>
      </c>
      <c r="I17" s="701">
        <v>-2.9406993721711197</v>
      </c>
      <c r="J17" s="698">
        <v>12.108650897941292</v>
      </c>
      <c r="K17" s="702">
        <f t="shared" si="3"/>
        <v>4.1316424183552296E-2</v>
      </c>
      <c r="M17" s="699"/>
      <c r="O17" s="326"/>
    </row>
    <row r="18" spans="1:15" s="173" customFormat="1">
      <c r="A18" s="699" t="str">
        <f t="shared" si="4"/>
        <v>LocalPrimarySchool</v>
      </c>
      <c r="B18" s="382" t="s">
        <v>421</v>
      </c>
      <c r="C18" s="382" t="s">
        <v>422</v>
      </c>
      <c r="D18" s="382" t="s">
        <v>419</v>
      </c>
      <c r="E18" s="382" t="s">
        <v>240</v>
      </c>
      <c r="F18" s="705"/>
      <c r="G18" s="705"/>
      <c r="H18" s="702">
        <f t="shared" si="0"/>
        <v>0</v>
      </c>
      <c r="I18" s="701">
        <v>-2.4439885786415978</v>
      </c>
      <c r="J18" s="698">
        <v>11.377115080451341</v>
      </c>
      <c r="K18" s="702">
        <f t="shared" si="3"/>
        <v>3.8820320827726323E-2</v>
      </c>
      <c r="M18" s="699"/>
      <c r="O18" s="326"/>
    </row>
    <row r="19" spans="1:15" s="173" customFormat="1">
      <c r="A19" s="699" t="str">
        <f t="shared" si="4"/>
        <v>LocalMediumOffice</v>
      </c>
      <c r="B19" s="382" t="s">
        <v>421</v>
      </c>
      <c r="C19" s="382" t="s">
        <v>424</v>
      </c>
      <c r="D19" s="382" t="s">
        <v>419</v>
      </c>
      <c r="E19" s="382" t="s">
        <v>240</v>
      </c>
      <c r="F19" s="705"/>
      <c r="G19" s="705"/>
      <c r="H19" s="702">
        <f t="shared" si="0"/>
        <v>0</v>
      </c>
      <c r="I19" s="701">
        <v>-1.3369102211352266</v>
      </c>
      <c r="J19" s="698">
        <v>8.6406399673901841</v>
      </c>
      <c r="K19" s="702">
        <f t="shared" si="3"/>
        <v>2.9483081898970712E-2</v>
      </c>
      <c r="M19" s="699"/>
      <c r="O19" s="326"/>
    </row>
    <row r="20" spans="1:15" s="173" customFormat="1">
      <c r="A20" s="699" t="str">
        <f t="shared" si="4"/>
        <v>LocalLargeOffice</v>
      </c>
      <c r="B20" s="382" t="s">
        <v>421</v>
      </c>
      <c r="C20" s="382" t="s">
        <v>917</v>
      </c>
      <c r="D20" s="382" t="s">
        <v>419</v>
      </c>
      <c r="E20" s="382" t="s">
        <v>240</v>
      </c>
      <c r="F20" s="705"/>
      <c r="G20" s="705"/>
      <c r="H20" s="702">
        <f t="shared" si="0"/>
        <v>0</v>
      </c>
      <c r="I20" s="701">
        <v>0.19399516790183774</v>
      </c>
      <c r="J20" s="698">
        <v>4.7280675679344037</v>
      </c>
      <c r="K20" s="702">
        <f t="shared" si="3"/>
        <v>1.6132833199319265E-2</v>
      </c>
      <c r="M20" s="699"/>
      <c r="O20" s="326"/>
    </row>
    <row r="21" spans="1:15" s="173" customFormat="1">
      <c r="A21" s="699" t="str">
        <f t="shared" si="4"/>
        <v>LocalSecondarySchool</v>
      </c>
      <c r="B21" s="382" t="s">
        <v>421</v>
      </c>
      <c r="C21" s="382" t="s">
        <v>423</v>
      </c>
      <c r="D21" s="382" t="s">
        <v>419</v>
      </c>
      <c r="E21" s="382" t="s">
        <v>240</v>
      </c>
      <c r="F21" s="705"/>
      <c r="G21" s="705"/>
      <c r="H21" s="702">
        <f t="shared" si="0"/>
        <v>0</v>
      </c>
      <c r="I21" s="701">
        <v>-3.3304026203073791</v>
      </c>
      <c r="J21" s="698">
        <v>14.44478894767782</v>
      </c>
      <c r="K21" s="702">
        <f t="shared" si="3"/>
        <v>4.9287656604718344E-2</v>
      </c>
      <c r="M21" s="699"/>
      <c r="O21" s="326"/>
    </row>
    <row r="22" spans="1:15" s="173" customFormat="1">
      <c r="A22" s="700"/>
      <c r="B22" s="382" t="s">
        <v>407</v>
      </c>
      <c r="C22" s="382"/>
      <c r="D22" s="382"/>
      <c r="E22" s="382"/>
      <c r="F22" s="701"/>
      <c r="G22" s="701"/>
      <c r="H22" s="702">
        <f t="shared" si="0"/>
        <v>0</v>
      </c>
      <c r="I22" s="701"/>
      <c r="J22" s="698"/>
      <c r="K22" s="703"/>
      <c r="O22" s="326"/>
    </row>
    <row r="23" spans="1:15" s="173" customFormat="1">
      <c r="A23" s="699" t="str">
        <f t="shared" ref="A23:A27" si="5">_xlfn.CONCAT(B23,C23)</f>
        <v>StateSmallOffice</v>
      </c>
      <c r="B23" s="382" t="s">
        <v>405</v>
      </c>
      <c r="C23" s="382" t="s">
        <v>417</v>
      </c>
      <c r="D23" s="382" t="s">
        <v>419</v>
      </c>
      <c r="E23" s="382" t="s">
        <v>240</v>
      </c>
      <c r="F23" s="705"/>
      <c r="G23" s="705"/>
      <c r="H23" s="702">
        <f t="shared" si="0"/>
        <v>0</v>
      </c>
      <c r="I23" s="701">
        <v>-3.2419658119658075</v>
      </c>
      <c r="J23" s="698">
        <v>12.449811965811943</v>
      </c>
      <c r="K23" s="702">
        <f t="shared" si="3"/>
        <v>4.248051385083753E-2</v>
      </c>
      <c r="M23" s="699"/>
      <c r="O23" s="326"/>
    </row>
    <row r="24" spans="1:15" s="173" customFormat="1">
      <c r="A24" s="699" t="str">
        <f t="shared" si="5"/>
        <v>StatePrimarySchool</v>
      </c>
      <c r="B24" s="382" t="s">
        <v>405</v>
      </c>
      <c r="C24" s="382" t="s">
        <v>422</v>
      </c>
      <c r="D24" s="382" t="s">
        <v>419</v>
      </c>
      <c r="E24" s="382" t="s">
        <v>240</v>
      </c>
      <c r="F24" s="705"/>
      <c r="G24" s="705"/>
      <c r="H24" s="702">
        <f t="shared" si="0"/>
        <v>0</v>
      </c>
      <c r="I24" s="701">
        <v>-2.1330135265700454</v>
      </c>
      <c r="J24" s="698">
        <v>11.14715748792268</v>
      </c>
      <c r="K24" s="702">
        <f t="shared" si="3"/>
        <v>3.8035673097997984E-2</v>
      </c>
      <c r="M24" s="699"/>
      <c r="O24" s="326"/>
    </row>
    <row r="25" spans="1:15" s="173" customFormat="1">
      <c r="A25" s="699" t="str">
        <f t="shared" si="5"/>
        <v>StateMediumOffice</v>
      </c>
      <c r="B25" s="382" t="s">
        <v>405</v>
      </c>
      <c r="C25" s="382" t="s">
        <v>424</v>
      </c>
      <c r="D25" s="382" t="s">
        <v>419</v>
      </c>
      <c r="E25" s="382" t="s">
        <v>240</v>
      </c>
      <c r="F25" s="705"/>
      <c r="G25" s="705"/>
      <c r="H25" s="702">
        <f t="shared" si="0"/>
        <v>0</v>
      </c>
      <c r="I25" s="701">
        <v>-1.6461247086247042</v>
      </c>
      <c r="J25" s="698">
        <v>9.4338092463092273</v>
      </c>
      <c r="K25" s="702">
        <f t="shared" si="3"/>
        <v>3.2189487315510815E-2</v>
      </c>
      <c r="M25" s="699"/>
      <c r="O25" s="326"/>
    </row>
    <row r="26" spans="1:15" s="173" customFormat="1">
      <c r="A26" s="699" t="str">
        <f t="shared" si="5"/>
        <v>StateLargeOffice</v>
      </c>
      <c r="B26" s="382" t="s">
        <v>405</v>
      </c>
      <c r="C26" s="382" t="s">
        <v>917</v>
      </c>
      <c r="D26" s="382" t="s">
        <v>419</v>
      </c>
      <c r="E26" s="382" t="s">
        <v>240</v>
      </c>
      <c r="F26" s="705"/>
      <c r="G26" s="705"/>
      <c r="H26" s="702">
        <f t="shared" si="0"/>
        <v>0</v>
      </c>
      <c r="I26" s="701">
        <v>-0.35115701047890957</v>
      </c>
      <c r="J26" s="698">
        <v>5.8767818480990615</v>
      </c>
      <c r="K26" s="702">
        <f t="shared" si="3"/>
        <v>2.0052408291954579E-2</v>
      </c>
      <c r="M26" s="699"/>
      <c r="O26" s="326"/>
    </row>
    <row r="27" spans="1:15" s="173" customFormat="1">
      <c r="A27" s="699" t="str">
        <f t="shared" si="5"/>
        <v>StateSecondarySchool</v>
      </c>
      <c r="B27" s="382" t="s">
        <v>405</v>
      </c>
      <c r="C27" s="382" t="s">
        <v>423</v>
      </c>
      <c r="D27" s="382" t="s">
        <v>419</v>
      </c>
      <c r="E27" s="382" t="s">
        <v>240</v>
      </c>
      <c r="F27" s="705"/>
      <c r="G27" s="705"/>
      <c r="H27" s="702">
        <f t="shared" si="0"/>
        <v>0</v>
      </c>
      <c r="I27" s="701">
        <v>-3.3774009915686931</v>
      </c>
      <c r="J27" s="698">
        <v>14.631454845030261</v>
      </c>
      <c r="K27" s="702">
        <f t="shared" si="3"/>
        <v>4.9924586966376402E-2</v>
      </c>
      <c r="M27" s="699"/>
      <c r="O27" s="326"/>
    </row>
    <row r="28" spans="1:15" s="173" customFormat="1">
      <c r="A28" s="700"/>
      <c r="B28" s="382" t="s">
        <v>407</v>
      </c>
      <c r="C28" s="382"/>
      <c r="D28" s="382"/>
      <c r="E28" s="382"/>
      <c r="F28" s="701"/>
      <c r="G28" s="701"/>
      <c r="H28" s="702">
        <f t="shared" si="0"/>
        <v>0</v>
      </c>
      <c r="I28" s="701"/>
      <c r="J28" s="698"/>
      <c r="K28" s="703"/>
      <c r="O28" s="326"/>
    </row>
    <row r="29" spans="1:15" s="173" customFormat="1">
      <c r="A29" s="699" t="str">
        <f t="shared" ref="A29:A30" si="6">_xlfn.CONCAT(B29,C29)</f>
        <v>LocalSmallOffice</v>
      </c>
      <c r="B29" s="382" t="s">
        <v>421</v>
      </c>
      <c r="C29" s="382" t="s">
        <v>417</v>
      </c>
      <c r="D29" s="382" t="s">
        <v>420</v>
      </c>
      <c r="E29" s="382" t="s">
        <v>277</v>
      </c>
      <c r="F29" s="705"/>
      <c r="G29" s="705"/>
      <c r="H29" s="702">
        <f t="shared" si="0"/>
        <v>0</v>
      </c>
      <c r="I29" s="701">
        <v>1.348737373737372</v>
      </c>
      <c r="J29" s="698">
        <v>9.0927609427609255</v>
      </c>
      <c r="K29" s="702">
        <f t="shared" si="3"/>
        <v>3.1025782415993207E-2</v>
      </c>
      <c r="M29" s="699"/>
      <c r="O29" s="326"/>
    </row>
    <row r="30" spans="1:15" s="173" customFormat="1">
      <c r="A30" s="699" t="str">
        <f t="shared" si="6"/>
        <v>LocalLargeOffice</v>
      </c>
      <c r="B30" s="382" t="s">
        <v>421</v>
      </c>
      <c r="C30" s="382" t="s">
        <v>917</v>
      </c>
      <c r="D30" s="382" t="s">
        <v>420</v>
      </c>
      <c r="E30" s="382" t="s">
        <v>277</v>
      </c>
      <c r="F30" s="705"/>
      <c r="G30" s="705"/>
      <c r="H30" s="702">
        <f t="shared" si="0"/>
        <v>0</v>
      </c>
      <c r="I30" s="701">
        <v>2.7899333333333334</v>
      </c>
      <c r="J30" s="698">
        <v>0.96720740740740674</v>
      </c>
      <c r="K30" s="702">
        <f t="shared" si="3"/>
        <v>3.3002480503185163E-3</v>
      </c>
      <c r="M30" s="699"/>
      <c r="O30" s="326"/>
    </row>
    <row r="31" spans="1:15" s="173" customFormat="1">
      <c r="A31" s="700"/>
      <c r="B31" s="382" t="s">
        <v>407</v>
      </c>
      <c r="C31" s="382"/>
      <c r="D31" s="382"/>
      <c r="E31" s="382"/>
      <c r="F31" s="701"/>
      <c r="G31" s="701"/>
      <c r="H31" s="702">
        <f t="shared" si="0"/>
        <v>0</v>
      </c>
      <c r="I31" s="701"/>
      <c r="J31" s="698"/>
      <c r="K31" s="703"/>
      <c r="O31" s="326"/>
    </row>
    <row r="32" spans="1:15" s="173" customFormat="1">
      <c r="A32" s="699" t="str">
        <f>_xlfn.CONCAT(B32,C32)</f>
        <v>StateSmallOffice</v>
      </c>
      <c r="B32" s="382" t="s">
        <v>405</v>
      </c>
      <c r="C32" s="382" t="s">
        <v>417</v>
      </c>
      <c r="D32" s="382" t="s">
        <v>420</v>
      </c>
      <c r="E32" s="382" t="s">
        <v>277</v>
      </c>
      <c r="F32" s="705"/>
      <c r="G32" s="705"/>
      <c r="H32" s="702">
        <f t="shared" si="0"/>
        <v>0</v>
      </c>
      <c r="I32" s="701">
        <v>0.47179487179487062</v>
      </c>
      <c r="J32" s="698">
        <v>11.567236467236452</v>
      </c>
      <c r="K32" s="702">
        <f t="shared" si="3"/>
        <v>3.9469041806552654E-2</v>
      </c>
      <c r="M32" s="699"/>
      <c r="O32" s="326"/>
    </row>
    <row r="33" spans="1:15" s="173" customFormat="1">
      <c r="B33" s="382"/>
      <c r="C33" s="382"/>
      <c r="D33" s="382"/>
      <c r="E33" s="382"/>
      <c r="F33" s="701"/>
      <c r="G33" s="701"/>
      <c r="H33" s="702">
        <f t="shared" si="0"/>
        <v>0</v>
      </c>
      <c r="I33" s="701"/>
      <c r="J33" s="698"/>
      <c r="K33" s="703"/>
      <c r="O33" s="326"/>
    </row>
    <row r="34" spans="1:15" s="173" customFormat="1">
      <c r="B34" s="382" t="s">
        <v>919</v>
      </c>
      <c r="C34" s="382"/>
      <c r="D34" s="382"/>
      <c r="E34" s="382"/>
      <c r="F34" s="701"/>
      <c r="G34" s="701"/>
      <c r="H34" s="702">
        <f t="shared" si="0"/>
        <v>0</v>
      </c>
      <c r="I34" s="701"/>
      <c r="J34" s="698"/>
      <c r="K34" s="703"/>
      <c r="O34" s="326"/>
    </row>
    <row r="35" spans="1:15" s="173" customFormat="1">
      <c r="B35" s="382"/>
      <c r="C35" s="382"/>
      <c r="D35" s="382"/>
      <c r="E35" s="382"/>
      <c r="F35" s="701"/>
      <c r="G35" s="701"/>
      <c r="H35" s="702">
        <f t="shared" si="0"/>
        <v>0</v>
      </c>
      <c r="I35" s="701"/>
      <c r="J35" s="698"/>
      <c r="K35" s="703"/>
      <c r="O35" s="326"/>
    </row>
    <row r="36" spans="1:15" s="173" customFormat="1">
      <c r="A36" s="699" t="str">
        <f t="shared" ref="A36:A37" si="7">_xlfn.CONCAT(B36,C36)</f>
        <v>LocalMediumOffice</v>
      </c>
      <c r="B36" s="382" t="s">
        <v>421</v>
      </c>
      <c r="C36" s="382" t="s">
        <v>424</v>
      </c>
      <c r="D36" s="382" t="s">
        <v>420</v>
      </c>
      <c r="E36" s="382" t="s">
        <v>277</v>
      </c>
      <c r="F36" s="705"/>
      <c r="G36" s="705"/>
      <c r="H36" s="702">
        <f t="shared" si="0"/>
        <v>0</v>
      </c>
      <c r="I36" s="701">
        <f>AVERAGE(I29:I30)</f>
        <v>2.0693353535353527</v>
      </c>
      <c r="J36" s="698">
        <f>AVERAGE(J29:J30)</f>
        <v>5.0299841750841665</v>
      </c>
      <c r="K36" s="702">
        <f t="shared" ref="K36:K37" si="8">J36*0.003412141</f>
        <v>1.7163015233155863E-2</v>
      </c>
      <c r="M36" s="699"/>
      <c r="O36" s="326"/>
    </row>
    <row r="37" spans="1:15" s="173" customFormat="1">
      <c r="A37" s="699" t="str">
        <f t="shared" si="7"/>
        <v>LocalMediumOffice</v>
      </c>
      <c r="B37" s="382" t="s">
        <v>421</v>
      </c>
      <c r="C37" s="382" t="s">
        <v>424</v>
      </c>
      <c r="D37" s="382" t="s">
        <v>420</v>
      </c>
      <c r="E37" s="382" t="s">
        <v>240</v>
      </c>
      <c r="F37" s="705"/>
      <c r="G37" s="705"/>
      <c r="H37" s="702">
        <f t="shared" si="0"/>
        <v>0</v>
      </c>
      <c r="I37" s="701">
        <f>I36</f>
        <v>2.0693353535353527</v>
      </c>
      <c r="J37" s="698">
        <f>J36</f>
        <v>5.0299841750841665</v>
      </c>
      <c r="K37" s="702">
        <f t="shared" si="8"/>
        <v>1.7163015233155863E-2</v>
      </c>
      <c r="M37" s="699"/>
      <c r="O37" s="326"/>
    </row>
    <row r="38" spans="1:15" s="173" customFormat="1">
      <c r="B38" s="382"/>
      <c r="C38" s="382"/>
      <c r="D38" s="382"/>
      <c r="E38" s="382"/>
      <c r="F38" s="698"/>
      <c r="G38" s="698"/>
      <c r="H38" s="702">
        <f t="shared" si="0"/>
        <v>0</v>
      </c>
      <c r="I38" s="698"/>
      <c r="J38" s="698"/>
      <c r="K38" s="384"/>
      <c r="O38" s="326"/>
    </row>
    <row r="39" spans="1:15" s="173" customFormat="1">
      <c r="B39" s="382"/>
      <c r="C39" s="382"/>
      <c r="D39" s="382"/>
      <c r="E39" s="382"/>
      <c r="F39" s="698"/>
      <c r="G39" s="698"/>
      <c r="H39" s="702">
        <f t="shared" si="0"/>
        <v>0</v>
      </c>
      <c r="I39" s="698"/>
      <c r="J39" s="698"/>
      <c r="K39" s="384"/>
      <c r="O39" s="326"/>
    </row>
    <row r="40" spans="1:15" s="173" customFormat="1">
      <c r="A40" s="699" t="s">
        <v>921</v>
      </c>
      <c r="B40" s="382"/>
      <c r="C40" s="382" t="s">
        <v>921</v>
      </c>
      <c r="D40" s="382" t="s">
        <v>420</v>
      </c>
      <c r="E40" s="382" t="s">
        <v>277</v>
      </c>
      <c r="F40" s="698">
        <v>6.3109504757191024</v>
      </c>
      <c r="G40" s="698">
        <v>2.320895891767043</v>
      </c>
      <c r="H40" s="702">
        <f t="shared" si="0"/>
        <v>7.9192240290298904E-3</v>
      </c>
      <c r="I40" s="698">
        <v>0.76463386129901845</v>
      </c>
      <c r="J40" s="698">
        <v>2.320895891767043</v>
      </c>
      <c r="K40" s="702">
        <f t="shared" ref="K40:K41" si="9">J40*0.003412141</f>
        <v>7.9192240290298904E-3</v>
      </c>
      <c r="O40" s="326"/>
    </row>
    <row r="41" spans="1:15" s="173" customFormat="1">
      <c r="A41" s="699" t="s">
        <v>921</v>
      </c>
      <c r="B41" s="382"/>
      <c r="C41" s="382" t="s">
        <v>921</v>
      </c>
      <c r="D41" s="382" t="s">
        <v>419</v>
      </c>
      <c r="E41" s="382" t="s">
        <v>277</v>
      </c>
      <c r="F41" s="698">
        <v>6.2688805120597628</v>
      </c>
      <c r="G41" s="698">
        <v>2.2699913938464391</v>
      </c>
      <c r="H41" s="702">
        <f t="shared" si="0"/>
        <v>7.7455307045905825E-3</v>
      </c>
      <c r="I41" s="698">
        <v>0.73437236736724243</v>
      </c>
      <c r="J41" s="698">
        <v>2.2699913938464391</v>
      </c>
      <c r="K41" s="702">
        <f t="shared" si="9"/>
        <v>7.7455307045905825E-3</v>
      </c>
      <c r="O41" s="326"/>
    </row>
    <row r="42" spans="1:15" ht="18.75">
      <c r="B42" s="172"/>
      <c r="I42" s="176"/>
      <c r="J42" s="176"/>
    </row>
    <row r="43" spans="1:15">
      <c r="B43" s="218" t="s">
        <v>925</v>
      </c>
      <c r="C43" s="381" t="s">
        <v>425</v>
      </c>
      <c r="D43" s="218"/>
      <c r="E43" s="218"/>
      <c r="F43" s="218"/>
      <c r="G43" s="218"/>
      <c r="H43" s="218"/>
      <c r="I43" s="218"/>
      <c r="J43" s="218"/>
      <c r="K43" s="218"/>
    </row>
    <row r="44" spans="1:15" s="173" customFormat="1">
      <c r="B44" s="219" t="s">
        <v>413</v>
      </c>
      <c r="C44" s="219" t="s">
        <v>414</v>
      </c>
      <c r="D44" s="219" t="s">
        <v>415</v>
      </c>
      <c r="E44" s="219" t="s">
        <v>416</v>
      </c>
      <c r="F44" s="219" t="s">
        <v>922</v>
      </c>
      <c r="G44" s="219" t="s">
        <v>923</v>
      </c>
      <c r="H44" s="219" t="s">
        <v>924</v>
      </c>
      <c r="I44" s="219" t="s">
        <v>914</v>
      </c>
      <c r="J44" s="219" t="s">
        <v>915</v>
      </c>
      <c r="K44" s="219" t="s">
        <v>916</v>
      </c>
      <c r="L44" s="699"/>
      <c r="M44" s="699"/>
      <c r="O44" s="326"/>
    </row>
    <row r="45" spans="1:15">
      <c r="A45" s="699" t="str">
        <f>_xlfn.CONCAT(B45,C45)</f>
        <v>Vehicle service or repair</v>
      </c>
      <c r="B45" s="705"/>
      <c r="C45" s="382" t="s">
        <v>276</v>
      </c>
      <c r="D45" s="382" t="s">
        <v>420</v>
      </c>
      <c r="E45" s="382" t="s">
        <v>240</v>
      </c>
      <c r="F45" s="383">
        <v>6.1</v>
      </c>
      <c r="G45" s="705"/>
      <c r="H45" s="706">
        <f>1039/10^6*29.8</f>
        <v>3.0962200000000002E-2</v>
      </c>
      <c r="I45" s="384">
        <f>F45*I40/F40</f>
        <v>0.73907513168886674</v>
      </c>
      <c r="J45" s="705"/>
      <c r="K45" s="384">
        <f>H45*K40/H40</f>
        <v>3.0962200000000006E-2</v>
      </c>
      <c r="L45" s="326"/>
    </row>
    <row r="46" spans="1:15" ht="18.75">
      <c r="B46" s="172"/>
      <c r="I46" s="176"/>
      <c r="J46" s="176"/>
    </row>
    <row r="47" spans="1:15">
      <c r="B47" s="15" t="s">
        <v>926</v>
      </c>
      <c r="C47" s="15"/>
      <c r="D47" s="15"/>
      <c r="E47" s="15"/>
      <c r="F47" s="15"/>
      <c r="G47" s="15"/>
      <c r="H47" s="15"/>
      <c r="I47" s="15"/>
      <c r="J47" s="15"/>
      <c r="K47" s="15"/>
    </row>
    <row r="48" spans="1:15">
      <c r="B48" s="219" t="s">
        <v>413</v>
      </c>
      <c r="C48" s="219" t="s">
        <v>414</v>
      </c>
      <c r="D48" s="219" t="s">
        <v>415</v>
      </c>
      <c r="E48" s="219" t="s">
        <v>416</v>
      </c>
      <c r="F48" s="219" t="s">
        <v>922</v>
      </c>
      <c r="G48" s="219" t="s">
        <v>923</v>
      </c>
      <c r="H48" s="219" t="s">
        <v>924</v>
      </c>
      <c r="I48" s="219" t="s">
        <v>914</v>
      </c>
      <c r="J48" s="219" t="s">
        <v>915</v>
      </c>
      <c r="K48" s="219" t="s">
        <v>916</v>
      </c>
    </row>
    <row r="49" spans="1:11">
      <c r="A49" s="699" t="str">
        <f t="shared" ref="A49:A51" si="10">_xlfn.CONCAT(B49,C49)</f>
        <v>localSmallOffice</v>
      </c>
      <c r="B49" s="382" t="s">
        <v>927</v>
      </c>
      <c r="C49" s="382" t="s">
        <v>417</v>
      </c>
      <c r="D49" s="382" t="s">
        <v>419</v>
      </c>
      <c r="E49" s="382" t="s">
        <v>277</v>
      </c>
      <c r="F49" s="698">
        <v>10.909583904892523</v>
      </c>
      <c r="G49" s="698">
        <v>9.1691998171010365</v>
      </c>
      <c r="H49" s="702">
        <f t="shared" ref="H49:H84" si="11">G49*0.003412141</f>
        <v>3.1286602633122947E-2</v>
      </c>
      <c r="I49" s="698">
        <v>0.36437128486511139</v>
      </c>
      <c r="J49" s="698">
        <v>2.9884179240969311</v>
      </c>
      <c r="K49" s="702">
        <f t="shared" ref="K49:K84" si="12">J49*0.003412141</f>
        <v>1.0196903323946026E-2</v>
      </c>
    </row>
    <row r="50" spans="1:11">
      <c r="A50" s="699" t="str">
        <f t="shared" si="10"/>
        <v>localSecondarySchool</v>
      </c>
      <c r="B50" s="382" t="s">
        <v>927</v>
      </c>
      <c r="C50" s="382" t="s">
        <v>423</v>
      </c>
      <c r="D50" s="382" t="s">
        <v>419</v>
      </c>
      <c r="E50" s="382" t="s">
        <v>277</v>
      </c>
      <c r="F50" s="698">
        <v>9.3030505050504839</v>
      </c>
      <c r="G50" s="698">
        <v>16.673446464646435</v>
      </c>
      <c r="H50" s="702">
        <f t="shared" si="11"/>
        <v>5.6892150293325151E-2</v>
      </c>
      <c r="I50" s="698">
        <v>0.4807151515151491</v>
      </c>
      <c r="J50" s="698">
        <v>3.4866909090909064</v>
      </c>
      <c r="K50" s="702">
        <f t="shared" si="12"/>
        <v>1.1897081005236355E-2</v>
      </c>
    </row>
    <row r="51" spans="1:11">
      <c r="A51" s="699" t="str">
        <f t="shared" si="10"/>
        <v>localMediumOffice</v>
      </c>
      <c r="B51" s="382" t="s">
        <v>927</v>
      </c>
      <c r="C51" s="382" t="s">
        <v>424</v>
      </c>
      <c r="D51" s="382" t="s">
        <v>419</v>
      </c>
      <c r="E51" s="382" t="s">
        <v>277</v>
      </c>
      <c r="F51" s="698">
        <v>22.94240740740733</v>
      </c>
      <c r="G51" s="698">
        <v>16.967962962962908</v>
      </c>
      <c r="H51" s="702">
        <f t="shared" si="11"/>
        <v>5.7897082112407218E-2</v>
      </c>
      <c r="I51" s="698">
        <v>1.0620370370370387</v>
      </c>
      <c r="J51" s="698">
        <v>5.2548148148148073</v>
      </c>
      <c r="K51" s="702">
        <f t="shared" si="12"/>
        <v>1.7930169077037011E-2</v>
      </c>
    </row>
    <row r="52" spans="1:11">
      <c r="B52" s="382"/>
      <c r="C52" s="382"/>
      <c r="D52" s="382"/>
      <c r="E52" s="382"/>
      <c r="F52" s="698"/>
      <c r="G52" s="698"/>
      <c r="H52" s="702">
        <f t="shared" si="11"/>
        <v>0</v>
      </c>
      <c r="I52" s="698"/>
      <c r="J52" s="698"/>
      <c r="K52" s="702">
        <f t="shared" si="12"/>
        <v>0</v>
      </c>
    </row>
    <row r="53" spans="1:11">
      <c r="A53" s="699" t="str">
        <f t="shared" ref="A53:A85" si="13">_xlfn.CONCAT(B53,C53)</f>
        <v>stateSmallOffice</v>
      </c>
      <c r="B53" s="382" t="s">
        <v>928</v>
      </c>
      <c r="C53" s="382" t="s">
        <v>417</v>
      </c>
      <c r="D53" s="382" t="s">
        <v>419</v>
      </c>
      <c r="E53" s="382" t="s">
        <v>277</v>
      </c>
      <c r="F53" s="698">
        <v>10.831959064327469</v>
      </c>
      <c r="G53" s="698">
        <v>9.3776608187134336</v>
      </c>
      <c r="H53" s="702">
        <f t="shared" si="11"/>
        <v>3.1997900963625675E-2</v>
      </c>
      <c r="I53" s="698">
        <v>0.33985380116959052</v>
      </c>
      <c r="J53" s="698">
        <v>3.1328265107212436</v>
      </c>
      <c r="K53" s="702">
        <f t="shared" si="12"/>
        <v>1.0689645783118895E-2</v>
      </c>
    </row>
    <row r="54" spans="1:11">
      <c r="A54" s="699" t="str">
        <f t="shared" si="13"/>
        <v>stateSecondarySchool</v>
      </c>
      <c r="B54" s="382" t="s">
        <v>928</v>
      </c>
      <c r="C54" s="382" t="s">
        <v>423</v>
      </c>
      <c r="D54" s="382" t="s">
        <v>419</v>
      </c>
      <c r="E54" s="382" t="s">
        <v>277</v>
      </c>
      <c r="F54" s="698">
        <v>9.4826339869280822</v>
      </c>
      <c r="G54" s="698">
        <v>9.0593464052287338</v>
      </c>
      <c r="H54" s="702">
        <f t="shared" si="11"/>
        <v>3.0911767302483576E-2</v>
      </c>
      <c r="I54" s="698">
        <v>0.29507843137254691</v>
      </c>
      <c r="J54" s="698">
        <v>1.5014836601307153</v>
      </c>
      <c r="K54" s="702">
        <f t="shared" si="12"/>
        <v>5.1232739575620793E-3</v>
      </c>
    </row>
    <row r="55" spans="1:11">
      <c r="A55" s="699" t="str">
        <f t="shared" si="13"/>
        <v>stateMediumOffice</v>
      </c>
      <c r="B55" s="382" t="s">
        <v>928</v>
      </c>
      <c r="C55" s="382" t="s">
        <v>424</v>
      </c>
      <c r="D55" s="382" t="s">
        <v>419</v>
      </c>
      <c r="E55" s="382" t="s">
        <v>277</v>
      </c>
      <c r="F55" s="698">
        <v>17.515714285714285</v>
      </c>
      <c r="G55" s="698">
        <v>12.385238095238057</v>
      </c>
      <c r="H55" s="702">
        <f t="shared" si="11"/>
        <v>4.2260178699523678E-2</v>
      </c>
      <c r="I55" s="698">
        <v>0.51777777777778178</v>
      </c>
      <c r="J55" s="698">
        <v>5.4947619047619032</v>
      </c>
      <c r="K55" s="702">
        <f t="shared" si="12"/>
        <v>1.8748902380476187E-2</v>
      </c>
    </row>
    <row r="56" spans="1:11">
      <c r="B56" s="382"/>
      <c r="C56" s="382"/>
      <c r="D56" s="382"/>
      <c r="E56" s="382"/>
      <c r="F56" s="698"/>
      <c r="G56" s="698"/>
      <c r="H56" s="702"/>
      <c r="I56" s="698"/>
      <c r="J56" s="698"/>
      <c r="K56" s="386"/>
    </row>
    <row r="57" spans="1:11">
      <c r="A57" s="699" t="str">
        <f t="shared" si="13"/>
        <v>localSmallOffice</v>
      </c>
      <c r="B57" s="382" t="s">
        <v>927</v>
      </c>
      <c r="C57" s="382" t="s">
        <v>417</v>
      </c>
      <c r="D57" s="382" t="s">
        <v>419</v>
      </c>
      <c r="E57" s="382" t="s">
        <v>240</v>
      </c>
      <c r="F57" s="698">
        <v>11.026091400204406</v>
      </c>
      <c r="G57" s="698">
        <v>12.367188640677456</v>
      </c>
      <c r="H57" s="702">
        <f t="shared" si="11"/>
        <v>4.219859141558982E-2</v>
      </c>
      <c r="I57" s="698">
        <v>0.48843261790042319</v>
      </c>
      <c r="J57" s="698">
        <v>2.918889618922468</v>
      </c>
      <c r="K57" s="702">
        <f t="shared" si="12"/>
        <v>9.9596629431997295E-3</v>
      </c>
    </row>
    <row r="58" spans="1:11">
      <c r="A58" s="699" t="str">
        <f t="shared" si="13"/>
        <v>localPrimarySchool</v>
      </c>
      <c r="B58" s="382" t="s">
        <v>927</v>
      </c>
      <c r="C58" s="382" t="s">
        <v>422</v>
      </c>
      <c r="D58" s="382" t="s">
        <v>419</v>
      </c>
      <c r="E58" s="382" t="s">
        <v>240</v>
      </c>
      <c r="F58" s="698">
        <v>8.9428057608662321</v>
      </c>
      <c r="G58" s="698">
        <v>12.367353697113444</v>
      </c>
      <c r="H58" s="702">
        <f t="shared" si="11"/>
        <v>4.2199154611422367E-2</v>
      </c>
      <c r="I58" s="698">
        <v>0.42569957721203183</v>
      </c>
      <c r="J58" s="698">
        <v>2.1428992912978622</v>
      </c>
      <c r="K58" s="702">
        <f t="shared" si="12"/>
        <v>7.3118745307083786E-3</v>
      </c>
    </row>
    <row r="59" spans="1:11">
      <c r="A59" s="699" t="str">
        <f t="shared" si="13"/>
        <v>localMediumOffice</v>
      </c>
      <c r="B59" s="382" t="s">
        <v>927</v>
      </c>
      <c r="C59" s="382" t="s">
        <v>424</v>
      </c>
      <c r="D59" s="382" t="s">
        <v>419</v>
      </c>
      <c r="E59" s="382" t="s">
        <v>240</v>
      </c>
      <c r="F59" s="698">
        <v>11.012763680831545</v>
      </c>
      <c r="G59" s="698">
        <v>8.8798991134209597</v>
      </c>
      <c r="H59" s="702">
        <f t="shared" si="11"/>
        <v>3.0299467840767307E-2</v>
      </c>
      <c r="I59" s="698">
        <v>0.26223207310030883</v>
      </c>
      <c r="J59" s="698">
        <v>2.354504229083862</v>
      </c>
      <c r="K59" s="702">
        <f t="shared" si="12"/>
        <v>8.0339004147304376E-3</v>
      </c>
    </row>
    <row r="60" spans="1:11">
      <c r="A60" s="699" t="str">
        <f t="shared" si="13"/>
        <v>localLargeOffice</v>
      </c>
      <c r="B60" s="382" t="s">
        <v>927</v>
      </c>
      <c r="C60" s="382" t="s">
        <v>917</v>
      </c>
      <c r="D60" s="382" t="s">
        <v>419</v>
      </c>
      <c r="E60" s="382" t="s">
        <v>240</v>
      </c>
      <c r="F60" s="698">
        <v>15.403586747020634</v>
      </c>
      <c r="G60" s="698">
        <v>4.781580340418591</v>
      </c>
      <c r="H60" s="702">
        <f t="shared" si="11"/>
        <v>1.6315426324336232E-2</v>
      </c>
      <c r="I60" s="698">
        <v>0.40184189809159249</v>
      </c>
      <c r="J60" s="698">
        <v>1.6764971360317031</v>
      </c>
      <c r="K60" s="702">
        <f t="shared" si="12"/>
        <v>5.7204446142363518E-3</v>
      </c>
    </row>
    <row r="61" spans="1:11">
      <c r="A61" s="699" t="str">
        <f t="shared" si="13"/>
        <v>localSecondarySchool</v>
      </c>
      <c r="B61" s="382" t="s">
        <v>927</v>
      </c>
      <c r="C61" s="382" t="s">
        <v>423</v>
      </c>
      <c r="D61" s="382" t="s">
        <v>419</v>
      </c>
      <c r="E61" s="382" t="s">
        <v>240</v>
      </c>
      <c r="F61" s="698">
        <v>8.8242816830435817</v>
      </c>
      <c r="G61" s="698">
        <v>14.867466868228753</v>
      </c>
      <c r="H61" s="702">
        <f t="shared" si="11"/>
        <v>5.0729893267224928E-2</v>
      </c>
      <c r="I61" s="698">
        <v>0.49572856303014956</v>
      </c>
      <c r="J61" s="698">
        <v>1.8759462501049793</v>
      </c>
      <c r="K61" s="702">
        <f t="shared" si="12"/>
        <v>6.4009931137794544E-3</v>
      </c>
    </row>
    <row r="62" spans="1:11">
      <c r="B62" s="382"/>
      <c r="C62" s="382"/>
      <c r="D62" s="382"/>
      <c r="E62" s="382"/>
      <c r="F62" s="698"/>
      <c r="G62" s="698"/>
      <c r="H62" s="702"/>
      <c r="I62" s="698"/>
      <c r="J62" s="698"/>
      <c r="K62" s="386"/>
    </row>
    <row r="63" spans="1:11">
      <c r="A63" s="699" t="str">
        <f t="shared" si="13"/>
        <v>stateSmallOffice</v>
      </c>
      <c r="B63" s="382" t="s">
        <v>928</v>
      </c>
      <c r="C63" s="382" t="s">
        <v>417</v>
      </c>
      <c r="D63" s="382" t="s">
        <v>419</v>
      </c>
      <c r="E63" s="382" t="s">
        <v>240</v>
      </c>
      <c r="F63" s="698">
        <v>11.563623931623914</v>
      </c>
      <c r="G63" s="698">
        <v>12.732837606837583</v>
      </c>
      <c r="H63" s="702">
        <f t="shared" si="11"/>
        <v>4.3446237244632396E-2</v>
      </c>
      <c r="I63" s="698">
        <v>0.42350427350427333</v>
      </c>
      <c r="J63" s="698">
        <v>2.9729572649572611</v>
      </c>
      <c r="K63" s="702">
        <f t="shared" si="12"/>
        <v>1.0144149375008535E-2</v>
      </c>
    </row>
    <row r="64" spans="1:11">
      <c r="A64" s="699" t="str">
        <f t="shared" si="13"/>
        <v>statePrimarySchool</v>
      </c>
      <c r="B64" s="382" t="s">
        <v>928</v>
      </c>
      <c r="C64" s="382" t="s">
        <v>422</v>
      </c>
      <c r="D64" s="382" t="s">
        <v>419</v>
      </c>
      <c r="E64" s="382" t="s">
        <v>240</v>
      </c>
      <c r="F64" s="698">
        <v>8.636182608695627</v>
      </c>
      <c r="G64" s="698">
        <v>12.087257971014463</v>
      </c>
      <c r="H64" s="702">
        <f t="shared" si="11"/>
        <v>4.1243428500475257E-2</v>
      </c>
      <c r="I64" s="698">
        <v>0.48213913043478202</v>
      </c>
      <c r="J64" s="698">
        <v>2.4062067632850206</v>
      </c>
      <c r="K64" s="702">
        <f t="shared" si="12"/>
        <v>8.2103167514821131E-3</v>
      </c>
    </row>
    <row r="65" spans="1:11">
      <c r="A65" s="699" t="str">
        <f t="shared" si="13"/>
        <v>stateMediumOffice</v>
      </c>
      <c r="B65" s="382" t="s">
        <v>928</v>
      </c>
      <c r="C65" s="382" t="s">
        <v>424</v>
      </c>
      <c r="D65" s="382" t="s">
        <v>419</v>
      </c>
      <c r="E65" s="382" t="s">
        <v>240</v>
      </c>
      <c r="F65" s="698">
        <v>9.6143939393939295</v>
      </c>
      <c r="G65" s="698">
        <v>9.7180652680652475</v>
      </c>
      <c r="H65" s="702">
        <f t="shared" si="11"/>
        <v>3.3159408941841419E-2</v>
      </c>
      <c r="I65" s="698">
        <v>0.31926961926961878</v>
      </c>
      <c r="J65" s="698">
        <v>2.5607517482517403</v>
      </c>
      <c r="K65" s="702">
        <f t="shared" si="12"/>
        <v>8.7376460310314413E-3</v>
      </c>
    </row>
    <row r="66" spans="1:11">
      <c r="A66" s="699" t="str">
        <f t="shared" si="13"/>
        <v>stateLargeOffice</v>
      </c>
      <c r="B66" s="382" t="s">
        <v>928</v>
      </c>
      <c r="C66" s="382" t="s">
        <v>917</v>
      </c>
      <c r="D66" s="382" t="s">
        <v>419</v>
      </c>
      <c r="E66" s="382" t="s">
        <v>240</v>
      </c>
      <c r="F66" s="701">
        <v>13.558531220230348</v>
      </c>
      <c r="G66" s="701">
        <v>5.9212557374209629</v>
      </c>
      <c r="H66" s="702">
        <f t="shared" si="11"/>
        <v>2.0204159473139301E-2</v>
      </c>
      <c r="I66" s="701">
        <v>0.23616177362085386</v>
      </c>
      <c r="J66" s="698">
        <v>1.7017233913570602</v>
      </c>
      <c r="K66" s="702">
        <f t="shared" si="12"/>
        <v>5.8065201543084704E-3</v>
      </c>
    </row>
    <row r="67" spans="1:11">
      <c r="A67" s="699" t="str">
        <f t="shared" si="13"/>
        <v>stateSecondarySchool</v>
      </c>
      <c r="B67" s="382" t="s">
        <v>928</v>
      </c>
      <c r="C67" s="382" t="s">
        <v>423</v>
      </c>
      <c r="D67" s="382" t="s">
        <v>419</v>
      </c>
      <c r="E67" s="382" t="s">
        <v>240</v>
      </c>
      <c r="F67" s="701">
        <v>8.6987998753117104</v>
      </c>
      <c r="G67" s="701">
        <v>15.085611615801749</v>
      </c>
      <c r="H67" s="702">
        <f t="shared" si="11"/>
        <v>5.1474233904353399E-2</v>
      </c>
      <c r="I67" s="701">
        <v>0.45037530182480257</v>
      </c>
      <c r="J67" s="698">
        <v>1.8576559593080759</v>
      </c>
      <c r="K67" s="702">
        <f t="shared" si="12"/>
        <v>6.3385840626494173E-3</v>
      </c>
    </row>
    <row r="68" spans="1:11">
      <c r="A68" s="699"/>
      <c r="B68" s="382"/>
      <c r="C68" s="382"/>
      <c r="D68" s="382"/>
      <c r="E68" s="382"/>
      <c r="F68" s="701"/>
      <c r="G68" s="701"/>
      <c r="H68" s="702"/>
      <c r="I68" s="701"/>
      <c r="J68" s="698"/>
      <c r="K68" s="702"/>
    </row>
    <row r="69" spans="1:11">
      <c r="A69" s="699" t="str">
        <f t="shared" si="13"/>
        <v>localSmallOffice</v>
      </c>
      <c r="B69" s="382" t="s">
        <v>927</v>
      </c>
      <c r="C69" s="382" t="s">
        <v>417</v>
      </c>
      <c r="D69" s="382" t="s">
        <v>420</v>
      </c>
      <c r="E69" s="382" t="s">
        <v>277</v>
      </c>
      <c r="F69" s="701">
        <v>10.89548112706005</v>
      </c>
      <c r="G69" s="701">
        <v>8.9726209463051312</v>
      </c>
      <c r="H69" s="702">
        <f t="shared" si="11"/>
        <v>3.0615847808346537E-2</v>
      </c>
      <c r="I69" s="701">
        <v>0.23689526847421516</v>
      </c>
      <c r="J69" s="698">
        <v>2.8360180754917552</v>
      </c>
      <c r="K69" s="702">
        <f t="shared" si="12"/>
        <v>9.6768935521265136E-3</v>
      </c>
    </row>
    <row r="70" spans="1:11">
      <c r="A70" s="699" t="str">
        <f t="shared" si="13"/>
        <v>localSecondarySchool</v>
      </c>
      <c r="B70" s="382" t="s">
        <v>927</v>
      </c>
      <c r="C70" s="382" t="s">
        <v>423</v>
      </c>
      <c r="D70" s="382" t="s">
        <v>420</v>
      </c>
      <c r="E70" s="382" t="s">
        <v>277</v>
      </c>
      <c r="F70" s="701">
        <v>6.7641296296295996</v>
      </c>
      <c r="G70" s="701">
        <v>12.8838518518518</v>
      </c>
      <c r="H70" s="702">
        <f t="shared" si="11"/>
        <v>4.3961519141629456E-2</v>
      </c>
      <c r="I70" s="701">
        <v>0.55572222222222134</v>
      </c>
      <c r="J70" s="698">
        <v>1.3470925925925867</v>
      </c>
      <c r="K70" s="702">
        <f t="shared" si="12"/>
        <v>4.5964698659814616E-3</v>
      </c>
    </row>
    <row r="71" spans="1:11">
      <c r="A71" s="699" t="str">
        <f t="shared" si="13"/>
        <v>localLargeOffice</v>
      </c>
      <c r="B71" s="382" t="s">
        <v>927</v>
      </c>
      <c r="C71" s="382" t="s">
        <v>917</v>
      </c>
      <c r="D71" s="382" t="s">
        <v>420</v>
      </c>
      <c r="E71" s="382" t="s">
        <v>277</v>
      </c>
      <c r="F71" s="701">
        <v>9.6875296296296263</v>
      </c>
      <c r="G71" s="701">
        <v>0.96720740740740674</v>
      </c>
      <c r="H71" s="702">
        <f t="shared" si="11"/>
        <v>3.3002480503185163E-3</v>
      </c>
      <c r="I71" s="701">
        <v>0.33164074074074001</v>
      </c>
      <c r="J71" s="698">
        <v>0.64158148148148131</v>
      </c>
      <c r="K71" s="702">
        <f t="shared" si="12"/>
        <v>2.1891664778037031E-3</v>
      </c>
    </row>
    <row r="72" spans="1:11">
      <c r="A72" s="699"/>
      <c r="B72" s="382"/>
      <c r="C72" s="382"/>
      <c r="D72" s="382"/>
      <c r="E72" s="382"/>
      <c r="F72" s="701"/>
      <c r="G72" s="701"/>
      <c r="H72" s="702"/>
      <c r="I72" s="701"/>
      <c r="J72" s="698"/>
      <c r="K72" s="702"/>
    </row>
    <row r="73" spans="1:11">
      <c r="A73" s="699" t="str">
        <f t="shared" si="13"/>
        <v>stateSmallOffice</v>
      </c>
      <c r="B73" s="382" t="s">
        <v>928</v>
      </c>
      <c r="C73" s="382" t="s">
        <v>417</v>
      </c>
      <c r="D73" s="382" t="s">
        <v>420</v>
      </c>
      <c r="E73" s="382" t="s">
        <v>277</v>
      </c>
      <c r="F73" s="701">
        <v>9.5289789789789712</v>
      </c>
      <c r="G73" s="701">
        <v>9.6274024024023763</v>
      </c>
      <c r="H73" s="702">
        <f t="shared" si="11"/>
        <v>3.2850054460735648E-2</v>
      </c>
      <c r="I73" s="701">
        <v>0.23671171171171063</v>
      </c>
      <c r="J73" s="698">
        <v>3.3985735735735636</v>
      </c>
      <c r="K73" s="702">
        <f t="shared" si="12"/>
        <v>1.1596412231906873E-2</v>
      </c>
    </row>
    <row r="74" spans="1:11">
      <c r="A74" s="699"/>
      <c r="B74" s="382"/>
      <c r="C74" s="382"/>
      <c r="D74" s="382"/>
      <c r="E74" s="382"/>
      <c r="F74" s="701"/>
      <c r="G74" s="701"/>
      <c r="H74" s="702"/>
      <c r="I74" s="701"/>
      <c r="J74" s="698"/>
      <c r="K74" s="702"/>
    </row>
    <row r="75" spans="1:11">
      <c r="A75" s="699" t="str">
        <f t="shared" si="13"/>
        <v>localPrimarySchool</v>
      </c>
      <c r="B75" s="382" t="s">
        <v>927</v>
      </c>
      <c r="C75" s="382" t="s">
        <v>422</v>
      </c>
      <c r="D75" s="382" t="s">
        <v>420</v>
      </c>
      <c r="E75" s="382" t="s">
        <v>240</v>
      </c>
      <c r="F75" s="701">
        <v>8.610737033064499</v>
      </c>
      <c r="G75" s="701">
        <v>11.139924389888614</v>
      </c>
      <c r="H75" s="702">
        <f t="shared" si="11"/>
        <v>3.801099274763893E-2</v>
      </c>
      <c r="I75" s="701">
        <v>0.43396297620466334</v>
      </c>
      <c r="J75" s="698">
        <v>1.8782961903626854</v>
      </c>
      <c r="K75" s="702">
        <f t="shared" si="12"/>
        <v>6.409011441280324E-3</v>
      </c>
    </row>
    <row r="76" spans="1:11">
      <c r="A76" s="699" t="str">
        <f t="shared" si="13"/>
        <v>localSmallOffice</v>
      </c>
      <c r="B76" s="382" t="s">
        <v>927</v>
      </c>
      <c r="C76" s="382" t="s">
        <v>417</v>
      </c>
      <c r="D76" s="382" t="s">
        <v>420</v>
      </c>
      <c r="E76" s="382" t="s">
        <v>240</v>
      </c>
      <c r="F76" s="701">
        <v>9.829124579124553</v>
      </c>
      <c r="G76" s="701">
        <v>7.8120370370370136</v>
      </c>
      <c r="H76" s="702">
        <f t="shared" si="11"/>
        <v>2.6655771867592513E-2</v>
      </c>
      <c r="I76" s="701">
        <v>0.63181818181818106</v>
      </c>
      <c r="J76" s="698">
        <v>2.0725869809203115</v>
      </c>
      <c r="K76" s="702">
        <f t="shared" si="12"/>
        <v>7.0719590136644125E-3</v>
      </c>
    </row>
    <row r="77" spans="1:11">
      <c r="A77" s="699" t="str">
        <f t="shared" si="13"/>
        <v>localMediumOffice</v>
      </c>
      <c r="B77" s="382" t="s">
        <v>927</v>
      </c>
      <c r="C77" s="382" t="s">
        <v>424</v>
      </c>
      <c r="D77" s="382" t="s">
        <v>420</v>
      </c>
      <c r="E77" s="382" t="s">
        <v>240</v>
      </c>
      <c r="F77" s="701">
        <v>11.698637939574025</v>
      </c>
      <c r="G77" s="701">
        <v>5.3877497110780848</v>
      </c>
      <c r="H77" s="702">
        <f t="shared" si="11"/>
        <v>1.8383761686907689E-2</v>
      </c>
      <c r="I77" s="701">
        <v>0.20599719333003177</v>
      </c>
      <c r="J77" s="698">
        <v>1.9411342248637913</v>
      </c>
      <c r="K77" s="702">
        <f t="shared" si="12"/>
        <v>6.6234236751609617E-3</v>
      </c>
    </row>
    <row r="78" spans="1:11">
      <c r="A78" s="699" t="str">
        <f t="shared" si="13"/>
        <v>localSecondarySchool</v>
      </c>
      <c r="B78" s="382" t="s">
        <v>927</v>
      </c>
      <c r="C78" s="382" t="s">
        <v>423</v>
      </c>
      <c r="D78" s="382" t="s">
        <v>420</v>
      </c>
      <c r="E78" s="382" t="s">
        <v>240</v>
      </c>
      <c r="F78" s="701">
        <v>8.3262575546257374</v>
      </c>
      <c r="G78" s="701">
        <v>17.295733767240012</v>
      </c>
      <c r="H78" s="702">
        <f t="shared" si="11"/>
        <v>5.9015482312284102E-2</v>
      </c>
      <c r="I78" s="701">
        <v>0.37663412366341137</v>
      </c>
      <c r="J78" s="698">
        <v>2.3617836665116969</v>
      </c>
      <c r="K78" s="702">
        <f t="shared" si="12"/>
        <v>8.0587388816348877E-3</v>
      </c>
    </row>
    <row r="79" spans="1:11">
      <c r="A79" s="699" t="str">
        <f t="shared" si="13"/>
        <v>localLargeOffice</v>
      </c>
      <c r="B79" s="382" t="s">
        <v>927</v>
      </c>
      <c r="C79" s="382" t="s">
        <v>917</v>
      </c>
      <c r="D79" s="382" t="s">
        <v>420</v>
      </c>
      <c r="E79" s="382" t="s">
        <v>240</v>
      </c>
      <c r="F79" s="701">
        <v>13.26509853249474</v>
      </c>
      <c r="G79" s="701">
        <v>9.6923815513626774</v>
      </c>
      <c r="H79" s="702">
        <f t="shared" si="11"/>
        <v>3.3071772479048196E-2</v>
      </c>
      <c r="I79" s="701">
        <v>0.20035010482180293</v>
      </c>
      <c r="J79" s="698">
        <v>1.730134171907751</v>
      </c>
      <c r="K79" s="702">
        <f t="shared" si="12"/>
        <v>5.9034617434674851E-3</v>
      </c>
    </row>
    <row r="80" spans="1:11">
      <c r="A80" s="699"/>
      <c r="B80" s="382"/>
      <c r="C80" s="382"/>
      <c r="D80" s="382"/>
      <c r="E80" s="382"/>
      <c r="F80" s="701"/>
      <c r="G80" s="701"/>
      <c r="H80" s="702"/>
      <c r="I80" s="701"/>
      <c r="J80" s="698"/>
      <c r="K80" s="702"/>
    </row>
    <row r="81" spans="1:15">
      <c r="A81" s="699" t="str">
        <f t="shared" si="13"/>
        <v>statePrimarySchool</v>
      </c>
      <c r="B81" s="382" t="s">
        <v>928</v>
      </c>
      <c r="C81" s="382" t="s">
        <v>422</v>
      </c>
      <c r="D81" s="382" t="s">
        <v>420</v>
      </c>
      <c r="E81" s="382" t="s">
        <v>240</v>
      </c>
      <c r="F81" s="701">
        <v>8.7803913591010296</v>
      </c>
      <c r="G81" s="701">
        <v>11.635633052407218</v>
      </c>
      <c r="H81" s="702">
        <f t="shared" si="11"/>
        <v>3.970242059907382E-2</v>
      </c>
      <c r="I81" s="701">
        <v>0.44893732442119438</v>
      </c>
      <c r="J81" s="698">
        <v>2.0050750750750725</v>
      </c>
      <c r="K81" s="702">
        <f t="shared" si="12"/>
        <v>6.8415988717417334E-3</v>
      </c>
    </row>
    <row r="82" spans="1:15">
      <c r="A82" s="699" t="str">
        <f t="shared" si="13"/>
        <v>stateSmallOffice</v>
      </c>
      <c r="B82" s="382" t="s">
        <v>928</v>
      </c>
      <c r="C82" s="382" t="s">
        <v>417</v>
      </c>
      <c r="D82" s="382" t="s">
        <v>420</v>
      </c>
      <c r="E82" s="382" t="s">
        <v>240</v>
      </c>
      <c r="F82" s="701">
        <v>9.5427777777777738</v>
      </c>
      <c r="G82" s="701">
        <v>7.3409259259259194</v>
      </c>
      <c r="H82" s="702">
        <f t="shared" si="11"/>
        <v>2.5048274329814792E-2</v>
      </c>
      <c r="I82" s="701">
        <v>1.1003703703703682</v>
      </c>
      <c r="J82" s="698">
        <v>3.1390740740740668</v>
      </c>
      <c r="K82" s="702">
        <f t="shared" si="12"/>
        <v>1.0710963350185161E-2</v>
      </c>
    </row>
    <row r="83" spans="1:15">
      <c r="A83" s="699" t="str">
        <f t="shared" si="13"/>
        <v>stateMediumOffice</v>
      </c>
      <c r="B83" s="382" t="s">
        <v>928</v>
      </c>
      <c r="C83" s="382" t="s">
        <v>424</v>
      </c>
      <c r="D83" s="382" t="s">
        <v>420</v>
      </c>
      <c r="E83" s="382" t="s">
        <v>240</v>
      </c>
      <c r="F83" s="701">
        <v>9.2950793650793138</v>
      </c>
      <c r="G83" s="701">
        <v>7.1465079365078861</v>
      </c>
      <c r="H83" s="702">
        <f t="shared" si="11"/>
        <v>2.4384892736983955E-2</v>
      </c>
      <c r="I83" s="701">
        <v>0.24460317460317488</v>
      </c>
      <c r="J83" s="698">
        <v>2.78</v>
      </c>
      <c r="K83" s="702">
        <f t="shared" si="12"/>
        <v>9.4857519800000002E-3</v>
      </c>
    </row>
    <row r="84" spans="1:15">
      <c r="A84" s="699" t="str">
        <f t="shared" si="13"/>
        <v>stateSecondarySchool</v>
      </c>
      <c r="B84" s="382" t="s">
        <v>928</v>
      </c>
      <c r="C84" s="382" t="s">
        <v>423</v>
      </c>
      <c r="D84" s="382" t="s">
        <v>420</v>
      </c>
      <c r="E84" s="382" t="s">
        <v>240</v>
      </c>
      <c r="F84" s="701">
        <v>8.4110091926458637</v>
      </c>
      <c r="G84" s="701">
        <v>13.6846742605915</v>
      </c>
      <c r="H84" s="702">
        <f t="shared" si="11"/>
        <v>4.6694038116208939E-2</v>
      </c>
      <c r="I84" s="701">
        <v>0.44668265387689648</v>
      </c>
      <c r="J84" s="698">
        <v>1.8207853717026359</v>
      </c>
      <c r="K84" s="702">
        <f t="shared" si="12"/>
        <v>6.2127764189868042E-3</v>
      </c>
    </row>
    <row r="85" spans="1:15">
      <c r="A85" s="699" t="str">
        <f t="shared" si="13"/>
        <v/>
      </c>
      <c r="B85" s="382"/>
      <c r="C85" s="382"/>
      <c r="D85" s="382"/>
      <c r="E85" s="382"/>
      <c r="F85" s="701"/>
      <c r="G85" s="701"/>
      <c r="H85" s="702"/>
      <c r="I85" s="701"/>
      <c r="J85" s="698"/>
      <c r="K85" s="702"/>
    </row>
    <row r="86" spans="1:15" s="173" customFormat="1">
      <c r="A86" s="699" t="s">
        <v>921</v>
      </c>
      <c r="B86" s="710"/>
      <c r="C86" s="710" t="s">
        <v>921</v>
      </c>
      <c r="D86" s="710" t="s">
        <v>419</v>
      </c>
      <c r="E86" s="710" t="s">
        <v>277</v>
      </c>
      <c r="F86" s="698">
        <v>5.9566567038959564</v>
      </c>
      <c r="G86" s="698">
        <v>2.80680876723821</v>
      </c>
      <c r="H86" s="702">
        <f>G86*0.003412141</f>
        <v>9.5772272738529531E-3</v>
      </c>
      <c r="I86" s="698">
        <v>0.26528498767762532</v>
      </c>
      <c r="J86" s="698">
        <v>1.2362592417807112</v>
      </c>
      <c r="K86" s="702">
        <f>J86*0.003412141</f>
        <v>4.2182908455088777E-3</v>
      </c>
      <c r="O86" s="326"/>
    </row>
    <row r="87" spans="1:15">
      <c r="B87" s="382"/>
      <c r="C87" s="382"/>
      <c r="D87" s="382"/>
      <c r="E87" s="382"/>
      <c r="F87" s="701"/>
      <c r="G87" s="701"/>
      <c r="H87" s="702"/>
      <c r="I87" s="701"/>
      <c r="J87" s="698"/>
      <c r="K87" s="702"/>
    </row>
    <row r="88" spans="1:15" ht="18.75">
      <c r="B88" s="172"/>
      <c r="I88" s="176"/>
      <c r="J88" s="176"/>
    </row>
    <row r="89" spans="1:15">
      <c r="B89" s="421" t="s">
        <v>929</v>
      </c>
      <c r="C89" s="708" t="s">
        <v>425</v>
      </c>
      <c r="D89" s="707"/>
      <c r="E89" s="707"/>
      <c r="F89" s="707"/>
      <c r="G89" s="707"/>
      <c r="H89" s="707"/>
      <c r="I89" s="707"/>
      <c r="J89" s="707"/>
      <c r="K89" s="707"/>
    </row>
    <row r="90" spans="1:15" s="173" customFormat="1">
      <c r="B90" s="709" t="s">
        <v>413</v>
      </c>
      <c r="C90" s="709" t="s">
        <v>414</v>
      </c>
      <c r="D90" s="709" t="s">
        <v>415</v>
      </c>
      <c r="E90" s="709" t="s">
        <v>416</v>
      </c>
      <c r="F90" s="709" t="s">
        <v>922</v>
      </c>
      <c r="G90" s="709" t="s">
        <v>923</v>
      </c>
      <c r="H90" s="709" t="s">
        <v>924</v>
      </c>
      <c r="I90" s="709" t="s">
        <v>914</v>
      </c>
      <c r="J90" s="709" t="s">
        <v>915</v>
      </c>
      <c r="K90" s="709" t="s">
        <v>916</v>
      </c>
      <c r="L90" s="699"/>
      <c r="M90" s="699"/>
      <c r="O90" s="326"/>
    </row>
    <row r="91" spans="1:15">
      <c r="A91" s="699" t="str">
        <f>_xlfn.CONCAT(B91,C91)</f>
        <v>Vehicle service or repair</v>
      </c>
      <c r="B91" s="705"/>
      <c r="C91" s="382" t="s">
        <v>276</v>
      </c>
      <c r="D91" s="382" t="s">
        <v>419</v>
      </c>
      <c r="E91" s="382" t="s">
        <v>277</v>
      </c>
      <c r="F91" s="383">
        <v>6.1</v>
      </c>
      <c r="G91" s="705"/>
      <c r="H91" s="706">
        <f>1039/10^6*29.8</f>
        <v>3.0962200000000002E-2</v>
      </c>
      <c r="I91" s="384">
        <f>F91*I86/F86</f>
        <v>0.27166890846254482</v>
      </c>
      <c r="J91" s="705"/>
      <c r="K91" s="384">
        <f>H91*K86/H86</f>
        <v>1.3637304522718201E-2</v>
      </c>
      <c r="L91" s="326"/>
    </row>
    <row r="92" spans="1:15" ht="18.75">
      <c r="B92" s="172"/>
      <c r="I92" s="176"/>
      <c r="J92" s="176"/>
    </row>
    <row r="93" spans="1:15" ht="18.75">
      <c r="B93" s="172"/>
      <c r="I93" s="176"/>
      <c r="J93" s="176"/>
    </row>
    <row r="94" spans="1:15" ht="18.75">
      <c r="B94" s="172"/>
      <c r="I94" s="176"/>
      <c r="J94" s="176"/>
    </row>
    <row r="95" spans="1:15" ht="18.75">
      <c r="B95" s="172"/>
      <c r="I95" s="176"/>
      <c r="J95" s="176"/>
    </row>
    <row r="96" spans="1:15" ht="18.75">
      <c r="B96" s="172"/>
      <c r="I96" s="176"/>
      <c r="J96" s="176"/>
    </row>
    <row r="98" spans="1:27">
      <c r="H98" s="321"/>
    </row>
    <row r="99" spans="1:27" ht="21">
      <c r="A99" s="1" t="s">
        <v>426</v>
      </c>
      <c r="H99" s="321"/>
    </row>
    <row r="101" spans="1:27">
      <c r="B101" s="218" t="s">
        <v>427</v>
      </c>
      <c r="C101" s="27" t="s">
        <v>428</v>
      </c>
      <c r="D101" s="27" t="s">
        <v>429</v>
      </c>
      <c r="E101" s="209" t="s">
        <v>430</v>
      </c>
      <c r="G101" s="15" t="s">
        <v>431</v>
      </c>
      <c r="H101" s="217" t="s">
        <v>393</v>
      </c>
      <c r="I101" s="15" t="s">
        <v>432</v>
      </c>
      <c r="J101" s="15" t="s">
        <v>363</v>
      </c>
      <c r="K101" s="15" t="s">
        <v>433</v>
      </c>
      <c r="L101" s="15" t="s">
        <v>434</v>
      </c>
      <c r="N101" s="218" t="s">
        <v>435</v>
      </c>
      <c r="O101" s="27" t="s">
        <v>428</v>
      </c>
      <c r="P101" s="27" t="s">
        <v>429</v>
      </c>
      <c r="Q101" s="27" t="s">
        <v>430</v>
      </c>
      <c r="S101" s="15" t="s">
        <v>436</v>
      </c>
      <c r="T101" s="27" t="s">
        <v>428</v>
      </c>
      <c r="U101" s="27" t="s">
        <v>429</v>
      </c>
      <c r="V101" s="27" t="s">
        <v>430</v>
      </c>
      <c r="Y101" s="218"/>
      <c r="Z101" s="159" t="s">
        <v>437</v>
      </c>
      <c r="AA101" s="389" t="s">
        <v>438</v>
      </c>
    </row>
    <row r="102" spans="1:27">
      <c r="B102" s="387" t="s">
        <v>161</v>
      </c>
      <c r="C102" s="324" t="e">
        <f t="shared" ref="C102:D106" si="14">O102*$C$4+T102*$C$5</f>
        <v>#VALUE!</v>
      </c>
      <c r="D102" s="324">
        <f t="shared" si="14"/>
        <v>0</v>
      </c>
      <c r="E102" s="324">
        <f t="shared" ref="E102:E105" si="15">Q102*$C$4+V102*$C$5</f>
        <v>0</v>
      </c>
      <c r="G102" s="387" t="s">
        <v>439</v>
      </c>
      <c r="H102" s="387" t="s">
        <v>440</v>
      </c>
      <c r="I102" s="387" t="s">
        <v>161</v>
      </c>
      <c r="J102" s="348" cm="1">
        <f t="array" ref="J102">INDEX(PATHWAYS_Health_EF_Buildings!$I$2:$I$76,MATCH('Buildings Inputs'!H102&amp;'Buildings Inputs'!G102&amp;'Buildings Inputs'!I102,PATHWAYS_Health_EF_Buildings!$A$2:$A$76&amp;PATHWAYS_Health_EF_Buildings!$B$2:$B$76&amp;PATHWAYS_Health_EF_Buildings!$D$2:$D$76,0))</f>
        <v>0.35555555555555557</v>
      </c>
      <c r="K102" s="348" t="str" cm="1">
        <f t="array" ref="K102">INDEX(PATHWAYS_Health_EF_Buildings!$H$2:$H$76,MATCH('Buildings Inputs'!H102&amp;'Buildings Inputs'!G102&amp;'Buildings Inputs'!I102,PATHWAYS_Health_EF_Buildings!$A$2:$A$76&amp;PATHWAYS_Health_EF_Buildings!$B$2:$B$76&amp;PATHWAYS_Health_EF_Buildings!$D$2:$D$76,0))</f>
        <v>KG</v>
      </c>
      <c r="L102" s="348" t="str" cm="1">
        <f t="array" ref="L102">INDEX(PATHWAYS_Health_EF_Buildings!$G$2:$G$76,MATCH('Buildings Inputs'!H102&amp;'Buildings Inputs'!G102&amp;'Buildings Inputs'!I102,PATHWAYS_Health_EF_Buildings!$A$2:$A$76&amp;PATHWAYS_Health_EF_Buildings!$B$2:$B$76&amp;PATHWAYS_Health_EF_Buildings!$D$2:$D$76,0))</f>
        <v>E3GAL</v>
      </c>
      <c r="N102" s="387" t="s">
        <v>161</v>
      </c>
      <c r="O102" s="324" t="e">
        <f>('3. CoolingHeating Centers'!$H$64/$Z$103)*$J107</f>
        <v>#VALUE!</v>
      </c>
      <c r="P102" s="324">
        <f>('4. Advanced EPCs'!$I$72/$Z$103)*$J107</f>
        <v>0</v>
      </c>
      <c r="Q102" s="324">
        <f>('4. Advanced EPCs'!$I$74/$Z$103)*$J107</f>
        <v>0</v>
      </c>
      <c r="S102" s="387" t="s">
        <v>161</v>
      </c>
      <c r="T102" s="324" t="e">
        <f>('3. CoolingHeating Centers'!$I$65/$Z$102)*$J102</f>
        <v>#VALUE!</v>
      </c>
      <c r="U102" s="324">
        <f>('4. Advanced EPCs'!$J$73/$Z$102)*$J102</f>
        <v>0</v>
      </c>
      <c r="V102" s="324">
        <f>('4. Advanced EPCs'!$J$75/$Z$102)*$J102</f>
        <v>0</v>
      </c>
      <c r="Y102" s="387" t="s">
        <v>441</v>
      </c>
      <c r="Z102" s="348">
        <f>U111</f>
        <v>138.5</v>
      </c>
      <c r="AA102" s="387" t="s">
        <v>442</v>
      </c>
    </row>
    <row r="103" spans="1:27">
      <c r="B103" s="387" t="s">
        <v>204</v>
      </c>
      <c r="C103" s="324" t="e">
        <f t="shared" si="14"/>
        <v>#VALUE!</v>
      </c>
      <c r="D103" s="324">
        <f t="shared" si="14"/>
        <v>0</v>
      </c>
      <c r="E103" s="324">
        <f>Q103*$C$4+V103*$C$5</f>
        <v>0</v>
      </c>
      <c r="G103" s="387" t="s">
        <v>439</v>
      </c>
      <c r="H103" s="387" t="s">
        <v>440</v>
      </c>
      <c r="I103" s="387" t="s">
        <v>204</v>
      </c>
      <c r="J103" s="348" cm="1">
        <f t="array" ref="J103">INDEX(PATHWAYS_Health_EF_Buildings!$I$2:$I$76,MATCH('Buildings Inputs'!H103&amp;'Buildings Inputs'!G103&amp;'Buildings Inputs'!I103,PATHWAYS_Health_EF_Buildings!$A$2:$A$76&amp;PATHWAYS_Health_EF_Buildings!$B$2:$B$76&amp;PATHWAYS_Health_EF_Buildings!$D$2:$D$76,0))</f>
        <v>8.8888888888888893</v>
      </c>
      <c r="K103" s="348" t="str" cm="1">
        <f t="array" ref="K103">INDEX(PATHWAYS_Health_EF_Buildings!$H$2:$H$76,MATCH('Buildings Inputs'!H103&amp;'Buildings Inputs'!G103&amp;'Buildings Inputs'!I103,PATHWAYS_Health_EF_Buildings!$A$2:$A$76&amp;PATHWAYS_Health_EF_Buildings!$B$2:$B$76&amp;PATHWAYS_Health_EF_Buildings!$D$2:$D$76,0))</f>
        <v>KG</v>
      </c>
      <c r="L103" s="348" t="str" cm="1">
        <f t="array" ref="L103">INDEX(PATHWAYS_Health_EF_Buildings!$G$2:$G$76,MATCH('Buildings Inputs'!H103&amp;'Buildings Inputs'!G103&amp;'Buildings Inputs'!I103,PATHWAYS_Health_EF_Buildings!$A$2:$A$76&amp;PATHWAYS_Health_EF_Buildings!$B$2:$B$76&amp;PATHWAYS_Health_EF_Buildings!$D$2:$D$76,0))</f>
        <v>E3GAL</v>
      </c>
      <c r="N103" s="387" t="s">
        <v>204</v>
      </c>
      <c r="O103" s="324" t="e">
        <f>('3. CoolingHeating Centers'!$H$64/$Z$103)*$J108</f>
        <v>#VALUE!</v>
      </c>
      <c r="P103" s="324">
        <f>('4. Advanced EPCs'!$I$72/$Z$103)*$J108</f>
        <v>0</v>
      </c>
      <c r="Q103" s="324">
        <f>('4. Advanced EPCs'!$I$74/$Z$103)*$J108</f>
        <v>0</v>
      </c>
      <c r="S103" s="387" t="s">
        <v>204</v>
      </c>
      <c r="T103" s="324" t="e">
        <f>('3. CoolingHeating Centers'!$I$65/$Z$102)*$J103</f>
        <v>#VALUE!</v>
      </c>
      <c r="U103" s="324">
        <f>('4. Advanced EPCs'!$J$73/$Z$102)*$J103</f>
        <v>0</v>
      </c>
      <c r="V103" s="324">
        <f>('4. Advanced EPCs'!$J$75/$Z$102)*$J103</f>
        <v>0</v>
      </c>
      <c r="Y103" s="387" t="s">
        <v>443</v>
      </c>
      <c r="Z103" s="320">
        <f>P111</f>
        <v>1038</v>
      </c>
      <c r="AA103" s="387" t="s">
        <v>444</v>
      </c>
    </row>
    <row r="104" spans="1:27">
      <c r="B104" s="387" t="s">
        <v>445</v>
      </c>
      <c r="C104" s="324" t="e">
        <f t="shared" si="14"/>
        <v>#VALUE!</v>
      </c>
      <c r="D104" s="324">
        <f t="shared" si="14"/>
        <v>0</v>
      </c>
      <c r="E104" s="324">
        <f t="shared" si="15"/>
        <v>0</v>
      </c>
      <c r="G104" s="387" t="s">
        <v>439</v>
      </c>
      <c r="H104" s="387" t="s">
        <v>440</v>
      </c>
      <c r="I104" s="387" t="s">
        <v>445</v>
      </c>
      <c r="J104" s="348" cm="1">
        <f t="array" ref="J104">INDEX(PATHWAYS_Health_EF_Buildings!$I$2:$I$76,MATCH('Buildings Inputs'!H104&amp;'Buildings Inputs'!G104&amp;'Buildings Inputs'!I104,PATHWAYS_Health_EF_Buildings!$A$2:$A$76&amp;PATHWAYS_Health_EF_Buildings!$B$2:$B$76&amp;PATHWAYS_Health_EF_Buildings!$D$2:$D$76,0))</f>
        <v>3.5555555555555557E-3</v>
      </c>
      <c r="K104" s="348" t="str" cm="1">
        <f t="array" ref="K104">INDEX(PATHWAYS_Health_EF_Buildings!$H$2:$H$76,MATCH('Buildings Inputs'!H104&amp;'Buildings Inputs'!G104&amp;'Buildings Inputs'!I104,PATHWAYS_Health_EF_Buildings!$A$2:$A$76&amp;PATHWAYS_Health_EF_Buildings!$B$2:$B$76&amp;PATHWAYS_Health_EF_Buildings!$D$2:$D$76,0))</f>
        <v>KG</v>
      </c>
      <c r="L104" s="348" t="str" cm="1">
        <f t="array" ref="L104">INDEX(PATHWAYS_Health_EF_Buildings!$G$2:$G$76,MATCH('Buildings Inputs'!H104&amp;'Buildings Inputs'!G104&amp;'Buildings Inputs'!I104,PATHWAYS_Health_EF_Buildings!$A$2:$A$76&amp;PATHWAYS_Health_EF_Buildings!$B$2:$B$76&amp;PATHWAYS_Health_EF_Buildings!$D$2:$D$76,0))</f>
        <v>E3GAL</v>
      </c>
      <c r="N104" s="387" t="s">
        <v>445</v>
      </c>
      <c r="O104" s="324" t="e">
        <f>('3. CoolingHeating Centers'!$H$64/$Z$103)*$J109</f>
        <v>#VALUE!</v>
      </c>
      <c r="P104" s="324">
        <f>('4. Advanced EPCs'!$I$72/$Z$103)*$J109</f>
        <v>0</v>
      </c>
      <c r="Q104" s="324">
        <f>('4. Advanced EPCs'!$I$74/$Z$103)*$J109</f>
        <v>0</v>
      </c>
      <c r="S104" s="387" t="s">
        <v>445</v>
      </c>
      <c r="T104" s="324" t="e">
        <f>('3. CoolingHeating Centers'!$I$65/$Z$102)*$J104</f>
        <v>#VALUE!</v>
      </c>
      <c r="U104" s="324">
        <f>('4. Advanced EPCs'!$J$73/$Z$102)*$J104</f>
        <v>0</v>
      </c>
      <c r="V104" s="324">
        <f>('4. Advanced EPCs'!$J$75/$Z$102)*$J104</f>
        <v>0</v>
      </c>
    </row>
    <row r="105" spans="1:27">
      <c r="B105" s="387" t="s">
        <v>165</v>
      </c>
      <c r="C105" s="324" t="e">
        <f t="shared" si="14"/>
        <v>#VALUE!</v>
      </c>
      <c r="D105" s="324">
        <f t="shared" si="14"/>
        <v>0</v>
      </c>
      <c r="E105" s="324">
        <f t="shared" si="15"/>
        <v>0</v>
      </c>
      <c r="G105" s="387" t="s">
        <v>439</v>
      </c>
      <c r="H105" s="387" t="s">
        <v>440</v>
      </c>
      <c r="I105" s="387" t="s">
        <v>165</v>
      </c>
      <c r="J105" s="348" cm="1">
        <f t="array" ref="J105">INDEX(PATHWAYS_Health_EF_Buildings!$I$2:$I$76,MATCH('Buildings Inputs'!H105&amp;'Buildings Inputs'!G105&amp;'Buildings Inputs'!I105,PATHWAYS_Health_EF_Buildings!$A$2:$A$76&amp;PATHWAYS_Health_EF_Buildings!$B$2:$B$76&amp;PATHWAYS_Health_EF_Buildings!$D$2:$D$76,0))</f>
        <v>9.4666666666666663E-2</v>
      </c>
      <c r="K105" s="348" t="str" cm="1">
        <f t="array" ref="K105">INDEX(PATHWAYS_Health_EF_Buildings!$H$2:$H$76,MATCH('Buildings Inputs'!H105&amp;'Buildings Inputs'!G105&amp;'Buildings Inputs'!I105,PATHWAYS_Health_EF_Buildings!$A$2:$A$76&amp;PATHWAYS_Health_EF_Buildings!$B$2:$B$76&amp;PATHWAYS_Health_EF_Buildings!$D$2:$D$76,0))</f>
        <v>KG</v>
      </c>
      <c r="L105" s="348" t="str" cm="1">
        <f t="array" ref="L105">INDEX(PATHWAYS_Health_EF_Buildings!$G$2:$G$76,MATCH('Buildings Inputs'!H105&amp;'Buildings Inputs'!G105&amp;'Buildings Inputs'!I105,PATHWAYS_Health_EF_Buildings!$A$2:$A$76&amp;PATHWAYS_Health_EF_Buildings!$B$2:$B$76&amp;PATHWAYS_Health_EF_Buildings!$D$2:$D$76,0))</f>
        <v>E3GAL</v>
      </c>
      <c r="N105" s="387" t="s">
        <v>165</v>
      </c>
      <c r="O105" s="324" t="e">
        <f>('3. CoolingHeating Centers'!$H$64/$Z$103)*$J110</f>
        <v>#VALUE!</v>
      </c>
      <c r="P105" s="324">
        <f>('4. Advanced EPCs'!$I$72/$Z$103)*$J110</f>
        <v>0</v>
      </c>
      <c r="Q105" s="324">
        <f>('4. Advanced EPCs'!$I$74/$Z$103)*$J110</f>
        <v>0</v>
      </c>
      <c r="S105" s="387" t="s">
        <v>165</v>
      </c>
      <c r="T105" s="324" t="e">
        <f>('3. CoolingHeating Centers'!$I$65/$Z$102)*$J105</f>
        <v>#VALUE!</v>
      </c>
      <c r="U105" s="324">
        <f>('4. Advanced EPCs'!$J$73/$Z$102)*$J105</f>
        <v>0</v>
      </c>
      <c r="V105" s="324">
        <f>('4. Advanced EPCs'!$J$75/$Z$102)*$J105</f>
        <v>0</v>
      </c>
    </row>
    <row r="106" spans="1:27">
      <c r="B106" s="387" t="s">
        <v>166</v>
      </c>
      <c r="C106" s="324" t="e">
        <f t="shared" si="14"/>
        <v>#VALUE!</v>
      </c>
      <c r="D106" s="324">
        <f t="shared" si="14"/>
        <v>0</v>
      </c>
      <c r="E106" s="324">
        <f>Q106*$C$4+V106*$C$5</f>
        <v>0</v>
      </c>
      <c r="G106" s="387" t="s">
        <v>439</v>
      </c>
      <c r="H106" s="387" t="s">
        <v>440</v>
      </c>
      <c r="I106" s="387" t="s">
        <v>166</v>
      </c>
      <c r="J106" s="348" cm="1">
        <f t="array" ref="J106">INDEX(PATHWAYS_Health_EF_Buildings!$I$2:$I$76,MATCH('Buildings Inputs'!H106&amp;'Buildings Inputs'!G106&amp;'Buildings Inputs'!I106,PATHWAYS_Health_EF_Buildings!$A$2:$A$76&amp;PATHWAYS_Health_EF_Buildings!$B$2:$B$76&amp;PATHWAYS_Health_EF_Buildings!$D$2:$D$76,0))</f>
        <v>0.15111111111111111</v>
      </c>
      <c r="K106" s="348" t="str" cm="1">
        <f t="array" ref="K106">INDEX(PATHWAYS_Health_EF_Buildings!$H$2:$H$76,MATCH('Buildings Inputs'!H106&amp;'Buildings Inputs'!G106&amp;'Buildings Inputs'!I106,PATHWAYS_Health_EF_Buildings!$A$2:$A$76&amp;PATHWAYS_Health_EF_Buildings!$B$2:$B$76&amp;PATHWAYS_Health_EF_Buildings!$D$2:$D$76,0))</f>
        <v>KG</v>
      </c>
      <c r="L106" s="348" t="str" cm="1">
        <f t="array" ref="L106">INDEX(PATHWAYS_Health_EF_Buildings!$G$2:$G$76,MATCH('Buildings Inputs'!H106&amp;'Buildings Inputs'!G106&amp;'Buildings Inputs'!I106,PATHWAYS_Health_EF_Buildings!$A$2:$A$76&amp;PATHWAYS_Health_EF_Buildings!$B$2:$B$76&amp;PATHWAYS_Health_EF_Buildings!$D$2:$D$76,0))</f>
        <v>E3GAL</v>
      </c>
      <c r="N106" s="387" t="s">
        <v>166</v>
      </c>
      <c r="O106" s="324" t="e">
        <f>('3. CoolingHeating Centers'!$H$64/$Z$103)*$J111</f>
        <v>#VALUE!</v>
      </c>
      <c r="P106" s="324">
        <f>('4. Advanced EPCs'!$I$72/$Z$103)*$J111</f>
        <v>0</v>
      </c>
      <c r="Q106" s="324">
        <f>('4. Advanced EPCs'!$I$74/$Z$103)*$J111</f>
        <v>0</v>
      </c>
      <c r="S106" s="387" t="s">
        <v>166</v>
      </c>
      <c r="T106" s="324" t="e">
        <f>('3. CoolingHeating Centers'!$I$65/$Z$102)*$J106</f>
        <v>#VALUE!</v>
      </c>
      <c r="U106" s="324">
        <f>('4. Advanced EPCs'!$J$73/$Z$102)*$J106</f>
        <v>0</v>
      </c>
      <c r="V106" s="324">
        <f>('4. Advanced EPCs'!$J$75/$Z$102)*$J106</f>
        <v>0</v>
      </c>
    </row>
    <row r="107" spans="1:27">
      <c r="G107" s="387" t="s">
        <v>446</v>
      </c>
      <c r="H107" s="387" t="s">
        <v>440</v>
      </c>
      <c r="I107" s="387" t="s">
        <v>161</v>
      </c>
      <c r="J107" s="348" cm="1">
        <f t="array" ref="J107">INDEX(PATHWAYS_Health_EF_Buildings!$I$2:$I$76,MATCH('Buildings Inputs'!H107&amp;'Buildings Inputs'!G107&amp;'Buildings Inputs'!I107,PATHWAYS_Health_EF_Buildings!$A$2:$A$76&amp;PATHWAYS_Health_EF_Buildings!$B$2:$B$76&amp;PATHWAYS_Health_EF_Buildings!$D$2:$D$76,0))</f>
        <v>0.21777777777777776</v>
      </c>
      <c r="K107" s="348" t="str" cm="1">
        <f t="array" ref="K107">INDEX(PATHWAYS_Health_EF_Buildings!$H$2:$H$76,MATCH('Buildings Inputs'!H107&amp;'Buildings Inputs'!G107&amp;'Buildings Inputs'!I107,PATHWAYS_Health_EF_Buildings!$A$2:$A$76&amp;PATHWAYS_Health_EF_Buildings!$B$2:$B$76&amp;PATHWAYS_Health_EF_Buildings!$D$2:$D$76,0))</f>
        <v>KG</v>
      </c>
      <c r="L107" s="348" t="str" cm="1">
        <f t="array" ref="L107">INDEX(PATHWAYS_Health_EF_Buildings!$G$2:$G$76,MATCH('Buildings Inputs'!H107&amp;'Buildings Inputs'!G107&amp;'Buildings Inputs'!I107,PATHWAYS_Health_EF_Buildings!$A$2:$A$76&amp;PATHWAYS_Health_EF_Buildings!$B$2:$B$76&amp;PATHWAYS_Health_EF_Buildings!$D$2:$D$76,0))</f>
        <v>E6FT3</v>
      </c>
    </row>
    <row r="108" spans="1:27">
      <c r="G108" s="387" t="s">
        <v>446</v>
      </c>
      <c r="H108" s="387" t="s">
        <v>440</v>
      </c>
      <c r="I108" s="387" t="s">
        <v>204</v>
      </c>
      <c r="J108" s="348" cm="1">
        <f t="array" ref="J108">INDEX(PATHWAYS_Health_EF_Buildings!$I$2:$I$76,MATCH('Buildings Inputs'!H108&amp;'Buildings Inputs'!G108&amp;'Buildings Inputs'!I108,PATHWAYS_Health_EF_Buildings!$A$2:$A$76&amp;PATHWAYS_Health_EF_Buildings!$B$2:$B$76&amp;PATHWAYS_Health_EF_Buildings!$D$2:$D$76,0))</f>
        <v>44.444444444444443</v>
      </c>
      <c r="K108" s="348" t="str" cm="1">
        <f t="array" ref="K108">INDEX(PATHWAYS_Health_EF_Buildings!$H$2:$H$76,MATCH('Buildings Inputs'!H108&amp;'Buildings Inputs'!G108&amp;'Buildings Inputs'!I108,PATHWAYS_Health_EF_Buildings!$A$2:$A$76&amp;PATHWAYS_Health_EF_Buildings!$B$2:$B$76&amp;PATHWAYS_Health_EF_Buildings!$D$2:$D$76,0))</f>
        <v>KG</v>
      </c>
      <c r="L108" s="348" t="str" cm="1">
        <f t="array" ref="L108">INDEX(PATHWAYS_Health_EF_Buildings!$G$2:$G$76,MATCH('Buildings Inputs'!H108&amp;'Buildings Inputs'!G108&amp;'Buildings Inputs'!I108,PATHWAYS_Health_EF_Buildings!$A$2:$A$76&amp;PATHWAYS_Health_EF_Buildings!$B$2:$B$76&amp;PATHWAYS_Health_EF_Buildings!$D$2:$D$76,0))</f>
        <v>E6FT3</v>
      </c>
      <c r="N108" s="218" t="s">
        <v>447</v>
      </c>
      <c r="O108" s="180"/>
      <c r="P108" s="180"/>
      <c r="S108" s="218" t="s">
        <v>448</v>
      </c>
      <c r="T108" s="180"/>
      <c r="U108" s="180"/>
    </row>
    <row r="109" spans="1:27">
      <c r="G109" s="387" t="s">
        <v>446</v>
      </c>
      <c r="H109" s="387" t="s">
        <v>440</v>
      </c>
      <c r="I109" s="387" t="s">
        <v>445</v>
      </c>
      <c r="J109" s="348" cm="1">
        <f t="array" ref="J109">INDEX(PATHWAYS_Health_EF_Buildings!$I$2:$I$76,MATCH('Buildings Inputs'!H109&amp;'Buildings Inputs'!G109&amp;'Buildings Inputs'!I109,PATHWAYS_Health_EF_Buildings!$A$2:$A$76&amp;PATHWAYS_Health_EF_Buildings!$B$2:$B$76&amp;PATHWAYS_Health_EF_Buildings!$D$2:$D$76,0))</f>
        <v>0.19111111111111112</v>
      </c>
      <c r="K109" s="348" t="str" cm="1">
        <f t="array" ref="K109">INDEX(PATHWAYS_Health_EF_Buildings!$H$2:$H$76,MATCH('Buildings Inputs'!H109&amp;'Buildings Inputs'!G109&amp;'Buildings Inputs'!I109,PATHWAYS_Health_EF_Buildings!$A$2:$A$76&amp;PATHWAYS_Health_EF_Buildings!$B$2:$B$76&amp;PATHWAYS_Health_EF_Buildings!$D$2:$D$76,0))</f>
        <v>KG</v>
      </c>
      <c r="L109" s="348" t="str" cm="1">
        <f t="array" ref="L109">INDEX(PATHWAYS_Health_EF_Buildings!$G$2:$G$76,MATCH('Buildings Inputs'!H109&amp;'Buildings Inputs'!G109&amp;'Buildings Inputs'!I109,PATHWAYS_Health_EF_Buildings!$A$2:$A$76&amp;PATHWAYS_Health_EF_Buildings!$B$2:$B$76&amp;PATHWAYS_Health_EF_Buildings!$D$2:$D$76,0))</f>
        <v>E6FT3</v>
      </c>
      <c r="N109" s="208" t="s">
        <v>449</v>
      </c>
      <c r="O109" s="154" t="s">
        <v>450</v>
      </c>
      <c r="P109" s="154" t="s">
        <v>437</v>
      </c>
      <c r="S109" s="208" t="s">
        <v>451</v>
      </c>
      <c r="T109" s="154" t="s">
        <v>450</v>
      </c>
      <c r="U109" s="154" t="s">
        <v>437</v>
      </c>
    </row>
    <row r="110" spans="1:27">
      <c r="G110" s="387" t="s">
        <v>446</v>
      </c>
      <c r="H110" s="387" t="s">
        <v>440</v>
      </c>
      <c r="I110" s="387" t="s">
        <v>165</v>
      </c>
      <c r="J110" s="348" cm="1">
        <f t="array" ref="J110">INDEX(PATHWAYS_Health_EF_Buildings!$I$2:$I$76,MATCH('Buildings Inputs'!H110&amp;'Buildings Inputs'!G110&amp;'Buildings Inputs'!I110,PATHWAYS_Health_EF_Buildings!$A$2:$A$76&amp;PATHWAYS_Health_EF_Buildings!$B$2:$B$76&amp;PATHWAYS_Health_EF_Buildings!$D$2:$D$76,0))</f>
        <v>0.26666666666666666</v>
      </c>
      <c r="K110" s="348" t="str" cm="1">
        <f t="array" ref="K110">INDEX(PATHWAYS_Health_EF_Buildings!$H$2:$H$76,MATCH('Buildings Inputs'!H110&amp;'Buildings Inputs'!G110&amp;'Buildings Inputs'!I110,PATHWAYS_Health_EF_Buildings!$A$2:$A$76&amp;PATHWAYS_Health_EF_Buildings!$B$2:$B$76&amp;PATHWAYS_Health_EF_Buildings!$D$2:$D$76,0))</f>
        <v>KG</v>
      </c>
      <c r="L110" s="348" t="str" cm="1">
        <f t="array" ref="L110">INDEX(PATHWAYS_Health_EF_Buildings!$G$2:$G$76,MATCH('Buildings Inputs'!H110&amp;'Buildings Inputs'!G110&amp;'Buildings Inputs'!I110,PATHWAYS_Health_EF_Buildings!$A$2:$A$76&amp;PATHWAYS_Health_EF_Buildings!$B$2:$B$76&amp;PATHWAYS_Health_EF_Buildings!$D$2:$D$76,0))</f>
        <v>E6FT3</v>
      </c>
      <c r="N110" s="390">
        <v>1</v>
      </c>
      <c r="O110" s="37">
        <v>1038</v>
      </c>
      <c r="P110" s="348">
        <f>O110/10^6</f>
        <v>1.0380000000000001E-3</v>
      </c>
      <c r="S110" s="390">
        <v>1</v>
      </c>
      <c r="T110" s="37">
        <v>138500</v>
      </c>
      <c r="U110" s="348">
        <f>T110/10^6</f>
        <v>0.13850000000000001</v>
      </c>
    </row>
    <row r="111" spans="1:27">
      <c r="G111" s="387" t="s">
        <v>446</v>
      </c>
      <c r="H111" s="387" t="s">
        <v>440</v>
      </c>
      <c r="I111" s="387" t="s">
        <v>166</v>
      </c>
      <c r="J111" s="348" cm="1">
        <f t="array" ref="J111">INDEX(PATHWAYS_Health_EF_Buildings!$I$2:$I$76,MATCH('Buildings Inputs'!H111&amp;'Buildings Inputs'!G111&amp;'Buildings Inputs'!I111,PATHWAYS_Health_EF_Buildings!$A$2:$A$76&amp;PATHWAYS_Health_EF_Buildings!$B$2:$B$76&amp;PATHWAYS_Health_EF_Buildings!$D$2:$D$76,0))</f>
        <v>2.4444444444444446</v>
      </c>
      <c r="K111" s="348" t="str" cm="1">
        <f t="array" ref="K111">INDEX(PATHWAYS_Health_EF_Buildings!$H$2:$H$76,MATCH('Buildings Inputs'!H111&amp;'Buildings Inputs'!G111&amp;'Buildings Inputs'!I111,PATHWAYS_Health_EF_Buildings!$A$2:$A$76&amp;PATHWAYS_Health_EF_Buildings!$B$2:$B$76&amp;PATHWAYS_Health_EF_Buildings!$D$2:$D$76,0))</f>
        <v>KG</v>
      </c>
      <c r="L111" s="348" t="str" cm="1">
        <f t="array" ref="L111">INDEX(PATHWAYS_Health_EF_Buildings!$G$2:$G$76,MATCH('Buildings Inputs'!H111&amp;'Buildings Inputs'!G111&amp;'Buildings Inputs'!I111,PATHWAYS_Health_EF_Buildings!$A$2:$A$76&amp;PATHWAYS_Health_EF_Buildings!$B$2:$B$76&amp;PATHWAYS_Health_EF_Buildings!$D$2:$D$76,0))</f>
        <v>E6FT3</v>
      </c>
      <c r="N111" s="325">
        <v>1000000</v>
      </c>
      <c r="O111" s="344">
        <f>O110*N111</f>
        <v>1038000000</v>
      </c>
      <c r="P111" s="320">
        <f>O111/10^6</f>
        <v>1038</v>
      </c>
      <c r="S111" s="325">
        <v>1000</v>
      </c>
      <c r="T111" s="344">
        <f>T110*S111</f>
        <v>138500000</v>
      </c>
      <c r="U111" s="320">
        <f>T111/10^6</f>
        <v>138.5</v>
      </c>
    </row>
    <row r="114" spans="1:14" ht="21">
      <c r="A114" s="1" t="s">
        <v>70</v>
      </c>
      <c r="J114" s="40"/>
      <c r="K114" s="40"/>
      <c r="L114" s="40"/>
      <c r="M114" s="40"/>
      <c r="N114" s="40"/>
    </row>
    <row r="117" spans="1:14">
      <c r="B117" s="15" t="s">
        <v>452</v>
      </c>
      <c r="C117" s="15"/>
      <c r="D117" s="4" t="s">
        <v>195</v>
      </c>
    </row>
    <row r="118" spans="1:14">
      <c r="B118" s="391" t="s">
        <v>453</v>
      </c>
      <c r="C118" s="392">
        <f>'Funding Matrix'!K5</f>
        <v>0</v>
      </c>
      <c r="D118" s="373" t="s">
        <v>454</v>
      </c>
    </row>
    <row r="119" spans="1:14">
      <c r="B119" s="391" t="s">
        <v>455</v>
      </c>
      <c r="C119" s="393">
        <v>0.7</v>
      </c>
    </row>
    <row r="120" spans="1:14">
      <c r="B120" s="391" t="s">
        <v>456</v>
      </c>
      <c r="C120" s="393">
        <v>0.3</v>
      </c>
    </row>
  </sheetData>
  <hyperlinks>
    <hyperlink ref="D118" r:id="rId1" display="IRS" xr:uid="{BF79DB10-FFA9-4D57-A660-727824466532}"/>
    <hyperlink ref="D4" r:id="rId2" display="Integration Analysis, Annex 1 - High Technology Cost Trajectory" xr:uid="{FF0A95D0-FBC1-4EC3-A78B-9B54C357AA21}"/>
    <hyperlink ref="D5" r:id="rId3" display="Integration Analysis, Annex 1 - High Technology Cost Trajectory" xr:uid="{B23B01D7-D749-4AA1-85E5-4AA792227DA4}"/>
    <hyperlink ref="C43" r:id="rId4" location="c33-c36" xr:uid="{C418BEC8-33B1-491F-8C1B-4A4837E6FB91}"/>
    <hyperlink ref="C89" r:id="rId5" location="c33-c36" xr:uid="{BFB891B4-D0A1-4458-98EA-B76FBEFAC02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5B7D8-8758-4573-A623-46F3DB1F14E5}">
  <sheetPr>
    <tabColor theme="0" tint="-4.9989318521683403E-2"/>
  </sheetPr>
  <dimension ref="B2:N14"/>
  <sheetViews>
    <sheetView workbookViewId="0">
      <selection activeCell="I5" sqref="I5"/>
    </sheetView>
  </sheetViews>
  <sheetFormatPr defaultColWidth="8.85546875" defaultRowHeight="15"/>
  <cols>
    <col min="2" max="2" width="22" style="12" customWidth="1"/>
    <col min="3" max="3" width="26.28515625" bestFit="1" customWidth="1"/>
    <col min="4" max="4" width="15.42578125" customWidth="1"/>
    <col min="5" max="5" width="51.42578125" customWidth="1"/>
    <col min="6" max="6" width="17.140625" style="746" bestFit="1" customWidth="1"/>
    <col min="7" max="7" width="15.5703125" style="12" customWidth="1"/>
    <col min="8" max="9" width="15.5703125" customWidth="1"/>
    <col min="10" max="10" width="15.5703125" hidden="1" customWidth="1"/>
    <col min="11" max="11" width="17.5703125" customWidth="1"/>
    <col min="12" max="14" width="50.5703125" style="12" customWidth="1"/>
  </cols>
  <sheetData>
    <row r="2" spans="2:14" s="199" customFormat="1" ht="63">
      <c r="B2" s="632" t="s">
        <v>393</v>
      </c>
      <c r="C2" s="632" t="s">
        <v>457</v>
      </c>
      <c r="D2" s="632" t="s">
        <v>45</v>
      </c>
      <c r="E2" s="632" t="s">
        <v>201</v>
      </c>
      <c r="F2" s="745" t="s">
        <v>458</v>
      </c>
      <c r="G2" s="632" t="s">
        <v>459</v>
      </c>
      <c r="H2" s="632" t="s">
        <v>460</v>
      </c>
      <c r="I2" s="632" t="s">
        <v>461</v>
      </c>
      <c r="J2" s="632" t="s">
        <v>976</v>
      </c>
      <c r="K2" s="632" t="s">
        <v>462</v>
      </c>
      <c r="L2" s="632" t="s">
        <v>43</v>
      </c>
      <c r="M2" s="632" t="s">
        <v>463</v>
      </c>
      <c r="N2" s="747" t="s">
        <v>464</v>
      </c>
    </row>
    <row r="3" spans="2:14" ht="75">
      <c r="B3" s="634" t="s">
        <v>957</v>
      </c>
      <c r="C3" s="599" t="s">
        <v>149</v>
      </c>
      <c r="D3" s="599" t="s">
        <v>465</v>
      </c>
      <c r="E3" s="599" t="s">
        <v>469</v>
      </c>
      <c r="F3" s="633">
        <v>9500000</v>
      </c>
      <c r="G3" s="634" t="s">
        <v>468</v>
      </c>
      <c r="H3" s="599" t="s">
        <v>468</v>
      </c>
      <c r="I3" s="599" t="s">
        <v>470</v>
      </c>
      <c r="J3" s="635">
        <v>150000</v>
      </c>
      <c r="K3" s="635"/>
      <c r="L3" s="634" t="s">
        <v>471</v>
      </c>
      <c r="M3" s="634" t="s">
        <v>472</v>
      </c>
      <c r="N3" s="748" t="s">
        <v>473</v>
      </c>
    </row>
    <row r="4" spans="2:14" ht="60">
      <c r="B4" s="634" t="s">
        <v>142</v>
      </c>
      <c r="C4" s="599" t="s">
        <v>146</v>
      </c>
      <c r="D4" s="599" t="s">
        <v>465</v>
      </c>
      <c r="E4" s="599" t="s">
        <v>474</v>
      </c>
      <c r="F4" s="633">
        <v>14250000</v>
      </c>
      <c r="G4" s="599" t="s">
        <v>468</v>
      </c>
      <c r="H4" s="599" t="s">
        <v>468</v>
      </c>
      <c r="I4" s="599" t="s">
        <v>174</v>
      </c>
      <c r="J4" s="635"/>
      <c r="K4" s="635"/>
      <c r="L4" s="634" t="s">
        <v>475</v>
      </c>
      <c r="M4" s="634" t="s">
        <v>476</v>
      </c>
      <c r="N4" s="748" t="s">
        <v>477</v>
      </c>
    </row>
    <row r="5" spans="2:14" ht="75">
      <c r="B5" s="634" t="s">
        <v>142</v>
      </c>
      <c r="C5" s="599" t="s">
        <v>478</v>
      </c>
      <c r="D5" s="599" t="s">
        <v>465</v>
      </c>
      <c r="E5" s="599" t="s">
        <v>479</v>
      </c>
      <c r="F5" s="633"/>
      <c r="G5" s="634" t="s">
        <v>466</v>
      </c>
      <c r="H5" s="599" t="s">
        <v>466</v>
      </c>
      <c r="I5" s="599" t="s">
        <v>235</v>
      </c>
      <c r="J5" s="635">
        <v>5</v>
      </c>
      <c r="K5" s="635"/>
      <c r="L5" s="634" t="s">
        <v>999</v>
      </c>
      <c r="M5" s="634" t="s">
        <v>480</v>
      </c>
      <c r="N5" s="749"/>
    </row>
    <row r="6" spans="2:14" ht="30">
      <c r="B6" s="634" t="s">
        <v>142</v>
      </c>
      <c r="C6" s="599" t="s">
        <v>478</v>
      </c>
      <c r="D6" s="599" t="s">
        <v>465</v>
      </c>
      <c r="E6" s="599" t="s">
        <v>481</v>
      </c>
      <c r="F6" s="633"/>
      <c r="G6" s="634" t="s">
        <v>466</v>
      </c>
      <c r="H6" s="599" t="s">
        <v>466</v>
      </c>
      <c r="I6" s="599" t="s">
        <v>482</v>
      </c>
      <c r="J6" s="636">
        <v>0.3</v>
      </c>
      <c r="K6" s="636">
        <v>0.3</v>
      </c>
      <c r="L6" s="634" t="s">
        <v>467</v>
      </c>
      <c r="M6" s="634" t="s">
        <v>480</v>
      </c>
      <c r="N6" s="749"/>
    </row>
    <row r="7" spans="2:14" ht="30">
      <c r="B7" s="634" t="s">
        <v>142</v>
      </c>
      <c r="C7" s="599" t="s">
        <v>478</v>
      </c>
      <c r="D7" s="599" t="s">
        <v>465</v>
      </c>
      <c r="E7" s="599" t="s">
        <v>483</v>
      </c>
      <c r="F7" s="633"/>
      <c r="G7" s="634" t="s">
        <v>466</v>
      </c>
      <c r="H7" s="599" t="s">
        <v>466</v>
      </c>
      <c r="I7" s="599" t="s">
        <v>482</v>
      </c>
      <c r="J7" s="636">
        <v>0.1</v>
      </c>
      <c r="K7" s="636">
        <v>0.1</v>
      </c>
      <c r="L7" s="634" t="s">
        <v>467</v>
      </c>
      <c r="M7" s="634" t="s">
        <v>480</v>
      </c>
      <c r="N7" s="749"/>
    </row>
    <row r="8" spans="2:14" ht="30">
      <c r="B8" s="634" t="s">
        <v>142</v>
      </c>
      <c r="C8" s="599" t="s">
        <v>478</v>
      </c>
      <c r="D8" s="599" t="s">
        <v>465</v>
      </c>
      <c r="E8" s="599" t="s">
        <v>484</v>
      </c>
      <c r="F8" s="633"/>
      <c r="G8" s="634" t="s">
        <v>466</v>
      </c>
      <c r="H8" s="599" t="s">
        <v>466</v>
      </c>
      <c r="I8" s="599" t="s">
        <v>482</v>
      </c>
      <c r="J8" s="636">
        <v>0.1</v>
      </c>
      <c r="K8" s="636">
        <v>0.1</v>
      </c>
      <c r="L8" s="634" t="s">
        <v>467</v>
      </c>
      <c r="M8" s="634" t="s">
        <v>480</v>
      </c>
      <c r="N8" s="749"/>
    </row>
    <row r="9" spans="2:14" ht="120">
      <c r="B9" s="634" t="s">
        <v>142</v>
      </c>
      <c r="C9" s="599" t="s">
        <v>478</v>
      </c>
      <c r="D9" s="599" t="s">
        <v>406</v>
      </c>
      <c r="E9" s="599" t="s">
        <v>485</v>
      </c>
      <c r="F9" s="633"/>
      <c r="G9" s="634" t="s">
        <v>466</v>
      </c>
      <c r="H9" s="599" t="s">
        <v>466</v>
      </c>
      <c r="I9" s="599" t="s">
        <v>486</v>
      </c>
      <c r="J9" s="637">
        <v>0.25</v>
      </c>
      <c r="K9" s="637"/>
      <c r="L9" s="634" t="s">
        <v>487</v>
      </c>
      <c r="M9" s="634"/>
      <c r="N9" s="748" t="s">
        <v>488</v>
      </c>
    </row>
    <row r="10" spans="2:14" ht="225">
      <c r="B10" s="634" t="s">
        <v>142</v>
      </c>
      <c r="C10" s="599" t="s">
        <v>478</v>
      </c>
      <c r="D10" s="599" t="s">
        <v>465</v>
      </c>
      <c r="E10" s="599" t="s">
        <v>489</v>
      </c>
      <c r="F10" s="633">
        <v>250000000</v>
      </c>
      <c r="G10" s="634" t="s">
        <v>468</v>
      </c>
      <c r="H10" s="599" t="s">
        <v>468</v>
      </c>
      <c r="I10" s="599"/>
      <c r="J10" s="635"/>
      <c r="K10" s="635"/>
      <c r="L10" s="634" t="s">
        <v>490</v>
      </c>
      <c r="M10" s="634"/>
      <c r="N10" s="748" t="s">
        <v>491</v>
      </c>
    </row>
    <row r="11" spans="2:14" ht="105">
      <c r="B11" s="634" t="s">
        <v>142</v>
      </c>
      <c r="C11" s="599" t="s">
        <v>478</v>
      </c>
      <c r="D11" s="599" t="s">
        <v>406</v>
      </c>
      <c r="E11" s="599" t="s">
        <v>492</v>
      </c>
      <c r="F11" s="633">
        <v>250000000</v>
      </c>
      <c r="G11" s="634" t="s">
        <v>468</v>
      </c>
      <c r="H11" s="599" t="s">
        <v>468</v>
      </c>
      <c r="I11" s="599" t="s">
        <v>493</v>
      </c>
      <c r="J11" s="635">
        <v>25000</v>
      </c>
      <c r="K11" s="635"/>
      <c r="L11" s="634" t="s">
        <v>494</v>
      </c>
      <c r="M11" s="634" t="s">
        <v>495</v>
      </c>
      <c r="N11" s="748" t="s">
        <v>977</v>
      </c>
    </row>
    <row r="12" spans="2:14" ht="30">
      <c r="B12" s="634" t="s">
        <v>142</v>
      </c>
      <c r="C12" s="599" t="s">
        <v>478</v>
      </c>
      <c r="D12" s="599" t="s">
        <v>465</v>
      </c>
      <c r="E12" s="599" t="s">
        <v>496</v>
      </c>
      <c r="F12" s="633">
        <v>800000000</v>
      </c>
      <c r="G12" s="599" t="s">
        <v>468</v>
      </c>
      <c r="H12" s="599" t="s">
        <v>468</v>
      </c>
      <c r="I12" s="599" t="s">
        <v>174</v>
      </c>
      <c r="J12" s="635">
        <v>0</v>
      </c>
      <c r="K12" s="635"/>
      <c r="L12" s="634" t="s">
        <v>497</v>
      </c>
      <c r="M12" s="634" t="s">
        <v>498</v>
      </c>
      <c r="N12" s="748" t="s">
        <v>499</v>
      </c>
    </row>
    <row r="13" spans="2:14" ht="90">
      <c r="B13" s="634" t="s">
        <v>142</v>
      </c>
      <c r="C13" s="599" t="s">
        <v>478</v>
      </c>
      <c r="D13" s="599" t="s">
        <v>406</v>
      </c>
      <c r="E13" s="599" t="s">
        <v>500</v>
      </c>
      <c r="F13" s="633">
        <v>10000000</v>
      </c>
      <c r="G13" s="634" t="s">
        <v>468</v>
      </c>
      <c r="H13" s="599" t="s">
        <v>468</v>
      </c>
      <c r="I13" s="599" t="s">
        <v>501</v>
      </c>
      <c r="J13" s="637"/>
      <c r="K13" s="635"/>
      <c r="L13" s="634" t="s">
        <v>502</v>
      </c>
      <c r="M13" s="634" t="s">
        <v>503</v>
      </c>
      <c r="N13" s="748" t="s">
        <v>504</v>
      </c>
    </row>
    <row r="14" spans="2:14" ht="105">
      <c r="B14" s="634" t="s">
        <v>505</v>
      </c>
      <c r="C14" s="599" t="s">
        <v>478</v>
      </c>
      <c r="D14" s="599" t="s">
        <v>465</v>
      </c>
      <c r="E14" s="599" t="s">
        <v>506</v>
      </c>
      <c r="F14" s="633">
        <v>7000000000</v>
      </c>
      <c r="G14" s="634" t="s">
        <v>468</v>
      </c>
      <c r="H14" s="599" t="s">
        <v>468</v>
      </c>
      <c r="I14" s="599" t="s">
        <v>174</v>
      </c>
      <c r="J14" s="635"/>
      <c r="K14" s="635"/>
      <c r="L14" s="634" t="s">
        <v>507</v>
      </c>
      <c r="M14" s="634" t="s">
        <v>508</v>
      </c>
      <c r="N14" s="748" t="s">
        <v>509</v>
      </c>
    </row>
  </sheetData>
  <phoneticPr fontId="98" type="noConversion"/>
  <hyperlinks>
    <hyperlink ref="N12" r:id="rId1" display="https://www.hud.gov/GRRP" xr:uid="{8E0AE40D-9D4E-4AC1-A31D-30DA49C12B04}"/>
    <hyperlink ref="N10" r:id="rId2" xr:uid="{5D0B5550-3A29-4305-A26F-A16060ACDE87}"/>
    <hyperlink ref="N11" r:id="rId3" xr:uid="{DBD1A19A-E14E-4225-BB4A-D391C7F96DD9}"/>
    <hyperlink ref="N9" r:id="rId4" xr:uid="{34262CD9-BB63-4439-A170-DEBF7DD8AB27}"/>
    <hyperlink ref="N3" r:id="rId5" xr:uid="{CF408009-3FC2-4625-B25A-259B30805F52}"/>
    <hyperlink ref="N4" r:id="rId6" location="IRA" xr:uid="{2C3220BB-6DAD-4626-8C05-C5B488832DC5}"/>
    <hyperlink ref="N13" r:id="rId7" xr:uid="{1D5284FA-D19C-4BA9-A452-864BB3BFA476}"/>
    <hyperlink ref="N14" r:id="rId8" xr:uid="{A95133A0-1CFA-47C2-92EC-30998AB62C48}"/>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9D4B4-02B0-4E9B-94FF-2D551B8368D5}">
  <sheetPr>
    <tabColor theme="0" tint="-4.9989318521683403E-2"/>
  </sheetPr>
  <dimension ref="A1:I76"/>
  <sheetViews>
    <sheetView workbookViewId="0">
      <selection activeCell="L10" sqref="L10"/>
    </sheetView>
  </sheetViews>
  <sheetFormatPr defaultColWidth="8.85546875" defaultRowHeight="15"/>
  <cols>
    <col min="1" max="1" width="14.42578125" customWidth="1"/>
    <col min="2" max="2" width="18.42578125" customWidth="1"/>
    <col min="3" max="3" width="24.42578125" bestFit="1" customWidth="1"/>
    <col min="4" max="4" width="13.140625" bestFit="1" customWidth="1"/>
    <col min="5" max="5" width="11.42578125" customWidth="1"/>
    <col min="6" max="6" width="10.85546875" customWidth="1"/>
    <col min="7" max="8" width="14.5703125" customWidth="1"/>
    <col min="9" max="9" width="11" bestFit="1" customWidth="1"/>
  </cols>
  <sheetData>
    <row r="1" spans="1:9" ht="30">
      <c r="A1" s="750" t="s">
        <v>393</v>
      </c>
      <c r="B1" s="750" t="s">
        <v>431</v>
      </c>
      <c r="C1" s="750" t="s">
        <v>180</v>
      </c>
      <c r="D1" s="750" t="s">
        <v>432</v>
      </c>
      <c r="E1" s="750" t="s">
        <v>363</v>
      </c>
      <c r="F1" s="750" t="s">
        <v>433</v>
      </c>
      <c r="G1" s="750" t="s">
        <v>434</v>
      </c>
      <c r="H1" s="751" t="s">
        <v>433</v>
      </c>
      <c r="I1" s="751" t="s">
        <v>511</v>
      </c>
    </row>
    <row r="2" spans="1:9">
      <c r="A2" s="752" t="s">
        <v>440</v>
      </c>
      <c r="B2" s="752" t="s">
        <v>512</v>
      </c>
      <c r="C2" s="752" t="s">
        <v>513</v>
      </c>
      <c r="D2" s="752" t="s">
        <v>161</v>
      </c>
      <c r="E2" s="753">
        <v>0.03</v>
      </c>
      <c r="F2" s="752" t="s">
        <v>514</v>
      </c>
      <c r="G2" s="752" t="s">
        <v>515</v>
      </c>
      <c r="H2" s="752" t="s">
        <v>516</v>
      </c>
      <c r="I2" s="754">
        <f>E2/2.25</f>
        <v>1.3333333333333332E-2</v>
      </c>
    </row>
    <row r="3" spans="1:9">
      <c r="A3" s="752" t="s">
        <v>517</v>
      </c>
      <c r="B3" s="752" t="s">
        <v>439</v>
      </c>
      <c r="C3" s="752" t="s">
        <v>513</v>
      </c>
      <c r="D3" s="752" t="s">
        <v>161</v>
      </c>
      <c r="E3" s="753">
        <v>0.8</v>
      </c>
      <c r="F3" s="752" t="s">
        <v>514</v>
      </c>
      <c r="G3" s="752" t="s">
        <v>442</v>
      </c>
      <c r="H3" s="752" t="s">
        <v>516</v>
      </c>
      <c r="I3" s="754">
        <f t="shared" ref="I3:I66" si="0">E3/2.25</f>
        <v>0.35555555555555557</v>
      </c>
    </row>
    <row r="4" spans="1:9">
      <c r="A4" s="752" t="s">
        <v>517</v>
      </c>
      <c r="B4" s="752" t="s">
        <v>518</v>
      </c>
      <c r="C4" s="752" t="s">
        <v>513</v>
      </c>
      <c r="D4" s="752" t="s">
        <v>161</v>
      </c>
      <c r="E4" s="753">
        <v>0.8</v>
      </c>
      <c r="F4" s="752" t="s">
        <v>514</v>
      </c>
      <c r="G4" s="752" t="s">
        <v>442</v>
      </c>
      <c r="H4" s="752" t="s">
        <v>516</v>
      </c>
      <c r="I4" s="754">
        <f t="shared" si="0"/>
        <v>0.35555555555555557</v>
      </c>
    </row>
    <row r="5" spans="1:9">
      <c r="A5" s="752" t="s">
        <v>517</v>
      </c>
      <c r="B5" s="752" t="s">
        <v>446</v>
      </c>
      <c r="C5" s="752" t="s">
        <v>513</v>
      </c>
      <c r="D5" s="752" t="s">
        <v>161</v>
      </c>
      <c r="E5" s="753">
        <v>3.2</v>
      </c>
      <c r="F5" s="752" t="s">
        <v>514</v>
      </c>
      <c r="G5" s="752" t="s">
        <v>444</v>
      </c>
      <c r="H5" s="752" t="s">
        <v>516</v>
      </c>
      <c r="I5" s="754">
        <f t="shared" si="0"/>
        <v>1.4222222222222223</v>
      </c>
    </row>
    <row r="6" spans="1:9">
      <c r="A6" s="752" t="s">
        <v>517</v>
      </c>
      <c r="B6" s="752" t="s">
        <v>519</v>
      </c>
      <c r="C6" s="752" t="s">
        <v>513</v>
      </c>
      <c r="D6" s="752" t="s">
        <v>161</v>
      </c>
      <c r="E6" s="753">
        <v>7.0000000000000001E-3</v>
      </c>
      <c r="F6" s="752" t="s">
        <v>514</v>
      </c>
      <c r="G6" s="752" t="s">
        <v>520</v>
      </c>
      <c r="H6" s="752" t="s">
        <v>516</v>
      </c>
      <c r="I6" s="754">
        <f t="shared" si="0"/>
        <v>3.1111111111111114E-3</v>
      </c>
    </row>
    <row r="7" spans="1:9">
      <c r="A7" s="752" t="s">
        <v>517</v>
      </c>
      <c r="B7" s="752" t="s">
        <v>512</v>
      </c>
      <c r="C7" s="752" t="s">
        <v>513</v>
      </c>
      <c r="D7" s="752" t="s">
        <v>161</v>
      </c>
      <c r="E7" s="753">
        <v>0.03</v>
      </c>
      <c r="F7" s="752" t="s">
        <v>514</v>
      </c>
      <c r="G7" s="752" t="s">
        <v>515</v>
      </c>
      <c r="H7" s="752" t="s">
        <v>516</v>
      </c>
      <c r="I7" s="754">
        <f t="shared" si="0"/>
        <v>1.3333333333333332E-2</v>
      </c>
    </row>
    <row r="8" spans="1:9">
      <c r="A8" s="752" t="s">
        <v>440</v>
      </c>
      <c r="B8" s="752" t="s">
        <v>439</v>
      </c>
      <c r="C8" s="752" t="s">
        <v>513</v>
      </c>
      <c r="D8" s="752" t="s">
        <v>161</v>
      </c>
      <c r="E8" s="753">
        <v>0.8</v>
      </c>
      <c r="F8" s="752" t="s">
        <v>514</v>
      </c>
      <c r="G8" s="752" t="s">
        <v>442</v>
      </c>
      <c r="H8" s="752" t="s">
        <v>516</v>
      </c>
      <c r="I8" s="754">
        <f t="shared" si="0"/>
        <v>0.35555555555555557</v>
      </c>
    </row>
    <row r="9" spans="1:9">
      <c r="A9" s="752" t="s">
        <v>440</v>
      </c>
      <c r="B9" s="752" t="s">
        <v>518</v>
      </c>
      <c r="C9" s="752" t="s">
        <v>513</v>
      </c>
      <c r="D9" s="752" t="s">
        <v>161</v>
      </c>
      <c r="E9" s="753">
        <v>0.8</v>
      </c>
      <c r="F9" s="752" t="s">
        <v>514</v>
      </c>
      <c r="G9" s="752" t="s">
        <v>442</v>
      </c>
      <c r="H9" s="752" t="s">
        <v>516</v>
      </c>
      <c r="I9" s="754">
        <f t="shared" si="0"/>
        <v>0.35555555555555557</v>
      </c>
    </row>
    <row r="10" spans="1:9">
      <c r="A10" s="752" t="s">
        <v>440</v>
      </c>
      <c r="B10" s="752" t="s">
        <v>446</v>
      </c>
      <c r="C10" s="752" t="s">
        <v>513</v>
      </c>
      <c r="D10" s="752" t="s">
        <v>161</v>
      </c>
      <c r="E10" s="753">
        <v>0.49</v>
      </c>
      <c r="F10" s="752" t="s">
        <v>514</v>
      </c>
      <c r="G10" s="752" t="s">
        <v>444</v>
      </c>
      <c r="H10" s="752" t="s">
        <v>516</v>
      </c>
      <c r="I10" s="754">
        <f t="shared" si="0"/>
        <v>0.21777777777777776</v>
      </c>
    </row>
    <row r="11" spans="1:9">
      <c r="A11" s="752" t="s">
        <v>440</v>
      </c>
      <c r="B11" s="752" t="s">
        <v>519</v>
      </c>
      <c r="C11" s="752" t="s">
        <v>513</v>
      </c>
      <c r="D11" s="752" t="s">
        <v>161</v>
      </c>
      <c r="E11" s="753">
        <v>5.0000000000000001E-3</v>
      </c>
      <c r="F11" s="752" t="s">
        <v>514</v>
      </c>
      <c r="G11" s="752" t="s">
        <v>520</v>
      </c>
      <c r="H11" s="752" t="s">
        <v>516</v>
      </c>
      <c r="I11" s="754">
        <f t="shared" si="0"/>
        <v>2.2222222222222222E-3</v>
      </c>
    </row>
    <row r="12" spans="1:9">
      <c r="A12" s="752" t="s">
        <v>521</v>
      </c>
      <c r="B12" s="752" t="s">
        <v>512</v>
      </c>
      <c r="C12" s="752" t="s">
        <v>513</v>
      </c>
      <c r="D12" s="752" t="s">
        <v>161</v>
      </c>
      <c r="E12" s="753">
        <v>2</v>
      </c>
      <c r="F12" s="752" t="s">
        <v>514</v>
      </c>
      <c r="G12" s="752" t="s">
        <v>515</v>
      </c>
      <c r="H12" s="752" t="s">
        <v>516</v>
      </c>
      <c r="I12" s="754">
        <f t="shared" si="0"/>
        <v>0.88888888888888884</v>
      </c>
    </row>
    <row r="13" spans="1:9">
      <c r="A13" s="752" t="s">
        <v>521</v>
      </c>
      <c r="B13" s="752" t="s">
        <v>439</v>
      </c>
      <c r="C13" s="752" t="s">
        <v>513</v>
      </c>
      <c r="D13" s="752" t="s">
        <v>161</v>
      </c>
      <c r="E13" s="753">
        <v>1</v>
      </c>
      <c r="F13" s="752" t="s">
        <v>514</v>
      </c>
      <c r="G13" s="752" t="s">
        <v>442</v>
      </c>
      <c r="H13" s="752" t="s">
        <v>516</v>
      </c>
      <c r="I13" s="754">
        <f t="shared" si="0"/>
        <v>0.44444444444444442</v>
      </c>
    </row>
    <row r="14" spans="1:9">
      <c r="A14" s="752" t="s">
        <v>521</v>
      </c>
      <c r="B14" s="752" t="s">
        <v>446</v>
      </c>
      <c r="C14" s="752" t="s">
        <v>513</v>
      </c>
      <c r="D14" s="752" t="s">
        <v>161</v>
      </c>
      <c r="E14" s="753">
        <v>20</v>
      </c>
      <c r="F14" s="752" t="s">
        <v>514</v>
      </c>
      <c r="G14" s="752" t="s">
        <v>444</v>
      </c>
      <c r="H14" s="752" t="s">
        <v>516</v>
      </c>
      <c r="I14" s="754">
        <f t="shared" si="0"/>
        <v>8.8888888888888893</v>
      </c>
    </row>
    <row r="15" spans="1:9">
      <c r="A15" s="752" t="s">
        <v>521</v>
      </c>
      <c r="B15" s="752" t="s">
        <v>522</v>
      </c>
      <c r="C15" s="752" t="s">
        <v>513</v>
      </c>
      <c r="D15" s="752" t="s">
        <v>161</v>
      </c>
      <c r="E15" s="753">
        <v>1.95</v>
      </c>
      <c r="F15" s="752" t="s">
        <v>514</v>
      </c>
      <c r="G15" s="752" t="s">
        <v>523</v>
      </c>
      <c r="H15" s="752" t="s">
        <v>516</v>
      </c>
      <c r="I15" s="754">
        <f t="shared" si="0"/>
        <v>0.8666666666666667</v>
      </c>
    </row>
    <row r="16" spans="1:9">
      <c r="A16" s="752" t="s">
        <v>521</v>
      </c>
      <c r="B16" s="752" t="s">
        <v>519</v>
      </c>
      <c r="C16" s="752" t="s">
        <v>513</v>
      </c>
      <c r="D16" s="752" t="s">
        <v>161</v>
      </c>
      <c r="E16" s="753">
        <v>0.1016</v>
      </c>
      <c r="F16" s="752" t="s">
        <v>514</v>
      </c>
      <c r="G16" s="752" t="s">
        <v>520</v>
      </c>
      <c r="H16" s="752" t="s">
        <v>516</v>
      </c>
      <c r="I16" s="754">
        <f t="shared" si="0"/>
        <v>4.5155555555555553E-2</v>
      </c>
    </row>
    <row r="17" spans="1:9">
      <c r="A17" s="752" t="s">
        <v>440</v>
      </c>
      <c r="B17" s="752" t="s">
        <v>512</v>
      </c>
      <c r="C17" s="752" t="s">
        <v>524</v>
      </c>
      <c r="D17" s="752" t="s">
        <v>204</v>
      </c>
      <c r="E17" s="753">
        <v>10.199999999999999</v>
      </c>
      <c r="F17" s="752" t="s">
        <v>514</v>
      </c>
      <c r="G17" s="752" t="s">
        <v>515</v>
      </c>
      <c r="H17" s="752" t="s">
        <v>516</v>
      </c>
      <c r="I17" s="754">
        <f t="shared" si="0"/>
        <v>4.5333333333333332</v>
      </c>
    </row>
    <row r="18" spans="1:9">
      <c r="A18" s="752" t="s">
        <v>517</v>
      </c>
      <c r="B18" s="752" t="s">
        <v>439</v>
      </c>
      <c r="C18" s="752" t="s">
        <v>524</v>
      </c>
      <c r="D18" s="752" t="s">
        <v>204</v>
      </c>
      <c r="E18" s="753">
        <v>312</v>
      </c>
      <c r="F18" s="752" t="s">
        <v>514</v>
      </c>
      <c r="G18" s="752" t="s">
        <v>442</v>
      </c>
      <c r="H18" s="752" t="s">
        <v>516</v>
      </c>
      <c r="I18" s="754">
        <f t="shared" si="0"/>
        <v>138.66666666666666</v>
      </c>
    </row>
    <row r="19" spans="1:9">
      <c r="A19" s="752" t="s">
        <v>517</v>
      </c>
      <c r="B19" s="752" t="s">
        <v>518</v>
      </c>
      <c r="C19" s="752" t="s">
        <v>524</v>
      </c>
      <c r="D19" s="752" t="s">
        <v>204</v>
      </c>
      <c r="E19" s="753">
        <v>55</v>
      </c>
      <c r="F19" s="752" t="s">
        <v>514</v>
      </c>
      <c r="G19" s="752" t="s">
        <v>442</v>
      </c>
      <c r="H19" s="752" t="s">
        <v>516</v>
      </c>
      <c r="I19" s="754">
        <f t="shared" si="0"/>
        <v>24.444444444444443</v>
      </c>
    </row>
    <row r="20" spans="1:9">
      <c r="A20" s="752" t="s">
        <v>517</v>
      </c>
      <c r="B20" s="752" t="s">
        <v>446</v>
      </c>
      <c r="C20" s="752" t="s">
        <v>524</v>
      </c>
      <c r="D20" s="752" t="s">
        <v>204</v>
      </c>
      <c r="E20" s="753">
        <v>100</v>
      </c>
      <c r="F20" s="752" t="s">
        <v>514</v>
      </c>
      <c r="G20" s="752" t="s">
        <v>444</v>
      </c>
      <c r="H20" s="752" t="s">
        <v>516</v>
      </c>
      <c r="I20" s="754">
        <f t="shared" si="0"/>
        <v>44.444444444444443</v>
      </c>
    </row>
    <row r="21" spans="1:9">
      <c r="A21" s="752" t="s">
        <v>517</v>
      </c>
      <c r="B21" s="752" t="s">
        <v>519</v>
      </c>
      <c r="C21" s="752" t="s">
        <v>524</v>
      </c>
      <c r="D21" s="752" t="s">
        <v>204</v>
      </c>
      <c r="E21" s="753">
        <v>0.22</v>
      </c>
      <c r="F21" s="752" t="s">
        <v>514</v>
      </c>
      <c r="G21" s="752" t="s">
        <v>520</v>
      </c>
      <c r="H21" s="752" t="s">
        <v>516</v>
      </c>
      <c r="I21" s="754">
        <f t="shared" si="0"/>
        <v>9.7777777777777783E-2</v>
      </c>
    </row>
    <row r="22" spans="1:9">
      <c r="A22" s="752" t="s">
        <v>517</v>
      </c>
      <c r="B22" s="752" t="s">
        <v>512</v>
      </c>
      <c r="C22" s="752" t="s">
        <v>524</v>
      </c>
      <c r="D22" s="752" t="s">
        <v>204</v>
      </c>
      <c r="E22" s="753">
        <v>10.199999999999999</v>
      </c>
      <c r="F22" s="752" t="s">
        <v>514</v>
      </c>
      <c r="G22" s="752" t="s">
        <v>515</v>
      </c>
      <c r="H22" s="752" t="s">
        <v>516</v>
      </c>
      <c r="I22" s="754">
        <f t="shared" si="0"/>
        <v>4.5333333333333332</v>
      </c>
    </row>
    <row r="23" spans="1:9">
      <c r="A23" s="752" t="s">
        <v>440</v>
      </c>
      <c r="B23" s="752" t="s">
        <v>439</v>
      </c>
      <c r="C23" s="752" t="s">
        <v>524</v>
      </c>
      <c r="D23" s="752" t="s">
        <v>204</v>
      </c>
      <c r="E23" s="753">
        <v>20</v>
      </c>
      <c r="F23" s="752" t="s">
        <v>514</v>
      </c>
      <c r="G23" s="752" t="s">
        <v>442</v>
      </c>
      <c r="H23" s="752" t="s">
        <v>516</v>
      </c>
      <c r="I23" s="754">
        <f t="shared" si="0"/>
        <v>8.8888888888888893</v>
      </c>
    </row>
    <row r="24" spans="1:9">
      <c r="A24" s="752" t="s">
        <v>440</v>
      </c>
      <c r="B24" s="752" t="s">
        <v>518</v>
      </c>
      <c r="C24" s="752" t="s">
        <v>524</v>
      </c>
      <c r="D24" s="752" t="s">
        <v>204</v>
      </c>
      <c r="E24" s="753">
        <v>55</v>
      </c>
      <c r="F24" s="752" t="s">
        <v>514</v>
      </c>
      <c r="G24" s="752" t="s">
        <v>442</v>
      </c>
      <c r="H24" s="752" t="s">
        <v>516</v>
      </c>
      <c r="I24" s="754">
        <f t="shared" si="0"/>
        <v>24.444444444444443</v>
      </c>
    </row>
    <row r="25" spans="1:9">
      <c r="A25" s="752" t="s">
        <v>440</v>
      </c>
      <c r="B25" s="752" t="s">
        <v>446</v>
      </c>
      <c r="C25" s="752" t="s">
        <v>524</v>
      </c>
      <c r="D25" s="752" t="s">
        <v>204</v>
      </c>
      <c r="E25" s="753">
        <v>100</v>
      </c>
      <c r="F25" s="752" t="s">
        <v>514</v>
      </c>
      <c r="G25" s="752" t="s">
        <v>444</v>
      </c>
      <c r="H25" s="752" t="s">
        <v>516</v>
      </c>
      <c r="I25" s="754">
        <f t="shared" si="0"/>
        <v>44.444444444444443</v>
      </c>
    </row>
    <row r="26" spans="1:9">
      <c r="A26" s="752" t="s">
        <v>440</v>
      </c>
      <c r="B26" s="752" t="s">
        <v>519</v>
      </c>
      <c r="C26" s="752" t="s">
        <v>524</v>
      </c>
      <c r="D26" s="752" t="s">
        <v>204</v>
      </c>
      <c r="E26" s="753">
        <v>0.22</v>
      </c>
      <c r="F26" s="752" t="s">
        <v>514</v>
      </c>
      <c r="G26" s="752" t="s">
        <v>520</v>
      </c>
      <c r="H26" s="752" t="s">
        <v>516</v>
      </c>
      <c r="I26" s="754">
        <f t="shared" si="0"/>
        <v>9.7777777777777783E-2</v>
      </c>
    </row>
    <row r="27" spans="1:9">
      <c r="A27" s="752" t="s">
        <v>521</v>
      </c>
      <c r="B27" s="752" t="s">
        <v>512</v>
      </c>
      <c r="C27" s="752" t="s">
        <v>524</v>
      </c>
      <c r="D27" s="752" t="s">
        <v>204</v>
      </c>
      <c r="E27" s="753">
        <v>6.66</v>
      </c>
      <c r="F27" s="752" t="s">
        <v>514</v>
      </c>
      <c r="G27" s="752" t="s">
        <v>515</v>
      </c>
      <c r="H27" s="752" t="s">
        <v>516</v>
      </c>
      <c r="I27" s="754">
        <f t="shared" si="0"/>
        <v>2.96</v>
      </c>
    </row>
    <row r="28" spans="1:9">
      <c r="A28" s="752" t="s">
        <v>521</v>
      </c>
      <c r="B28" s="752" t="s">
        <v>439</v>
      </c>
      <c r="C28" s="752" t="s">
        <v>524</v>
      </c>
      <c r="D28" s="752" t="s">
        <v>204</v>
      </c>
      <c r="E28" s="753">
        <v>18</v>
      </c>
      <c r="F28" s="752" t="s">
        <v>514</v>
      </c>
      <c r="G28" s="752" t="s">
        <v>442</v>
      </c>
      <c r="H28" s="752" t="s">
        <v>516</v>
      </c>
      <c r="I28" s="754">
        <f t="shared" si="0"/>
        <v>8</v>
      </c>
    </row>
    <row r="29" spans="1:9">
      <c r="A29" s="752" t="s">
        <v>521</v>
      </c>
      <c r="B29" s="752" t="s">
        <v>446</v>
      </c>
      <c r="C29" s="752" t="s">
        <v>524</v>
      </c>
      <c r="D29" s="752" t="s">
        <v>204</v>
      </c>
      <c r="E29" s="753">
        <v>94</v>
      </c>
      <c r="F29" s="752" t="s">
        <v>514</v>
      </c>
      <c r="G29" s="752" t="s">
        <v>444</v>
      </c>
      <c r="H29" s="752" t="s">
        <v>516</v>
      </c>
      <c r="I29" s="754">
        <f t="shared" si="0"/>
        <v>41.777777777777779</v>
      </c>
    </row>
    <row r="30" spans="1:9">
      <c r="A30" s="752" t="s">
        <v>521</v>
      </c>
      <c r="B30" s="752" t="s">
        <v>522</v>
      </c>
      <c r="C30" s="752" t="s">
        <v>524</v>
      </c>
      <c r="D30" s="752" t="s">
        <v>204</v>
      </c>
      <c r="E30" s="753">
        <v>562.79999999999995</v>
      </c>
      <c r="F30" s="752" t="s">
        <v>514</v>
      </c>
      <c r="G30" s="752" t="s">
        <v>523</v>
      </c>
      <c r="H30" s="752" t="s">
        <v>516</v>
      </c>
      <c r="I30" s="754">
        <f t="shared" si="0"/>
        <v>250.13333333333333</v>
      </c>
    </row>
    <row r="31" spans="1:9">
      <c r="A31" s="752" t="s">
        <v>521</v>
      </c>
      <c r="B31" s="752" t="s">
        <v>519</v>
      </c>
      <c r="C31" s="752" t="s">
        <v>524</v>
      </c>
      <c r="D31" s="752" t="s">
        <v>204</v>
      </c>
      <c r="E31" s="753">
        <v>0.23319999999999999</v>
      </c>
      <c r="F31" s="752" t="s">
        <v>514</v>
      </c>
      <c r="G31" s="752" t="s">
        <v>520</v>
      </c>
      <c r="H31" s="752" t="s">
        <v>516</v>
      </c>
      <c r="I31" s="754">
        <f t="shared" si="0"/>
        <v>0.10364444444444444</v>
      </c>
    </row>
    <row r="32" spans="1:9">
      <c r="A32" s="752" t="s">
        <v>440</v>
      </c>
      <c r="B32" s="752" t="s">
        <v>512</v>
      </c>
      <c r="C32" s="752" t="s">
        <v>525</v>
      </c>
      <c r="D32" s="752" t="s">
        <v>445</v>
      </c>
      <c r="E32" s="753">
        <v>4.4611200000000002</v>
      </c>
      <c r="F32" s="752" t="s">
        <v>514</v>
      </c>
      <c r="G32" s="752" t="s">
        <v>515</v>
      </c>
      <c r="H32" s="752" t="s">
        <v>516</v>
      </c>
      <c r="I32" s="754">
        <f t="shared" si="0"/>
        <v>1.98272</v>
      </c>
    </row>
    <row r="33" spans="1:9">
      <c r="A33" s="752" t="s">
        <v>517</v>
      </c>
      <c r="B33" s="752" t="s">
        <v>439</v>
      </c>
      <c r="C33" s="752" t="s">
        <v>525</v>
      </c>
      <c r="D33" s="752" t="s">
        <v>445</v>
      </c>
      <c r="E33" s="755">
        <v>24.571999999999996</v>
      </c>
      <c r="F33" s="752" t="s">
        <v>514</v>
      </c>
      <c r="G33" s="752" t="s">
        <v>442</v>
      </c>
      <c r="H33" s="752" t="s">
        <v>516</v>
      </c>
      <c r="I33" s="754">
        <f t="shared" si="0"/>
        <v>10.920888888888888</v>
      </c>
    </row>
    <row r="34" spans="1:9">
      <c r="A34" s="752" t="s">
        <v>517</v>
      </c>
      <c r="B34" s="752" t="s">
        <v>518</v>
      </c>
      <c r="C34" s="752" t="s">
        <v>525</v>
      </c>
      <c r="D34" s="752" t="s">
        <v>445</v>
      </c>
      <c r="E34" s="753">
        <v>11.230411999999999</v>
      </c>
      <c r="F34" s="752" t="s">
        <v>514</v>
      </c>
      <c r="G34" s="752" t="s">
        <v>442</v>
      </c>
      <c r="H34" s="752" t="s">
        <v>516</v>
      </c>
      <c r="I34" s="754">
        <f t="shared" si="0"/>
        <v>4.9912942222222219</v>
      </c>
    </row>
    <row r="35" spans="1:9">
      <c r="A35" s="752" t="s">
        <v>517</v>
      </c>
      <c r="B35" s="752" t="s">
        <v>446</v>
      </c>
      <c r="C35" s="752" t="s">
        <v>525</v>
      </c>
      <c r="D35" s="752" t="s">
        <v>445</v>
      </c>
      <c r="E35" s="753">
        <v>0.43</v>
      </c>
      <c r="F35" s="752" t="s">
        <v>514</v>
      </c>
      <c r="G35" s="752" t="s">
        <v>444</v>
      </c>
      <c r="H35" s="752" t="s">
        <v>516</v>
      </c>
      <c r="I35" s="754">
        <f t="shared" si="0"/>
        <v>0.19111111111111112</v>
      </c>
    </row>
    <row r="36" spans="1:9">
      <c r="A36" s="752" t="s">
        <v>517</v>
      </c>
      <c r="B36" s="752" t="s">
        <v>519</v>
      </c>
      <c r="C36" s="752" t="s">
        <v>525</v>
      </c>
      <c r="D36" s="752" t="s">
        <v>445</v>
      </c>
      <c r="E36" s="753">
        <v>0.44700000000000001</v>
      </c>
      <c r="F36" s="752" t="s">
        <v>514</v>
      </c>
      <c r="G36" s="752" t="s">
        <v>520</v>
      </c>
      <c r="H36" s="752" t="s">
        <v>516</v>
      </c>
      <c r="I36" s="754">
        <f t="shared" si="0"/>
        <v>0.19866666666666666</v>
      </c>
    </row>
    <row r="37" spans="1:9">
      <c r="A37" s="752" t="s">
        <v>517</v>
      </c>
      <c r="B37" s="752" t="s">
        <v>512</v>
      </c>
      <c r="C37" s="752" t="s">
        <v>525</v>
      </c>
      <c r="D37" s="752" t="s">
        <v>445</v>
      </c>
      <c r="E37" s="753">
        <v>4.4611200000000011</v>
      </c>
      <c r="F37" s="752" t="s">
        <v>514</v>
      </c>
      <c r="G37" s="752" t="s">
        <v>515</v>
      </c>
      <c r="H37" s="752" t="s">
        <v>516</v>
      </c>
      <c r="I37" s="754">
        <f t="shared" si="0"/>
        <v>1.9827200000000005</v>
      </c>
    </row>
    <row r="38" spans="1:9">
      <c r="A38" s="752" t="s">
        <v>440</v>
      </c>
      <c r="B38" s="752" t="s">
        <v>439</v>
      </c>
      <c r="C38" s="752" t="s">
        <v>525</v>
      </c>
      <c r="D38" s="752" t="s">
        <v>445</v>
      </c>
      <c r="E38" s="753">
        <v>8.0000000000000002E-3</v>
      </c>
      <c r="F38" s="752" t="s">
        <v>514</v>
      </c>
      <c r="G38" s="752" t="s">
        <v>442</v>
      </c>
      <c r="H38" s="752" t="s">
        <v>516</v>
      </c>
      <c r="I38" s="754">
        <f t="shared" si="0"/>
        <v>3.5555555555555557E-3</v>
      </c>
    </row>
    <row r="39" spans="1:9">
      <c r="A39" s="752" t="s">
        <v>440</v>
      </c>
      <c r="B39" s="752" t="s">
        <v>518</v>
      </c>
      <c r="C39" s="752" t="s">
        <v>525</v>
      </c>
      <c r="D39" s="752" t="s">
        <v>445</v>
      </c>
      <c r="E39" s="753">
        <v>5.5005119999999996</v>
      </c>
      <c r="F39" s="752" t="s">
        <v>514</v>
      </c>
      <c r="G39" s="752" t="s">
        <v>442</v>
      </c>
      <c r="H39" s="752" t="s">
        <v>516</v>
      </c>
      <c r="I39" s="754">
        <f t="shared" si="0"/>
        <v>2.4446719999999997</v>
      </c>
    </row>
    <row r="40" spans="1:9">
      <c r="A40" s="752" t="s">
        <v>440</v>
      </c>
      <c r="B40" s="752" t="s">
        <v>446</v>
      </c>
      <c r="C40" s="752" t="s">
        <v>525</v>
      </c>
      <c r="D40" s="752" t="s">
        <v>445</v>
      </c>
      <c r="E40" s="753">
        <v>0.43</v>
      </c>
      <c r="F40" s="752" t="s">
        <v>514</v>
      </c>
      <c r="G40" s="752" t="s">
        <v>444</v>
      </c>
      <c r="H40" s="752" t="s">
        <v>516</v>
      </c>
      <c r="I40" s="754">
        <f t="shared" si="0"/>
        <v>0.19111111111111112</v>
      </c>
    </row>
    <row r="41" spans="1:9">
      <c r="A41" s="752" t="s">
        <v>440</v>
      </c>
      <c r="B41" s="752" t="s">
        <v>519</v>
      </c>
      <c r="C41" s="752" t="s">
        <v>525</v>
      </c>
      <c r="D41" s="752" t="s">
        <v>445</v>
      </c>
      <c r="E41" s="753">
        <v>0.44700000000000001</v>
      </c>
      <c r="F41" s="752" t="s">
        <v>514</v>
      </c>
      <c r="G41" s="752" t="s">
        <v>520</v>
      </c>
      <c r="H41" s="752" t="s">
        <v>516</v>
      </c>
      <c r="I41" s="754">
        <f t="shared" si="0"/>
        <v>0.19866666666666666</v>
      </c>
    </row>
    <row r="42" spans="1:9">
      <c r="A42" s="752" t="s">
        <v>521</v>
      </c>
      <c r="B42" s="752" t="s">
        <v>512</v>
      </c>
      <c r="C42" s="752" t="s">
        <v>525</v>
      </c>
      <c r="D42" s="752" t="s">
        <v>445</v>
      </c>
      <c r="E42" s="753">
        <v>4.7759999999999998</v>
      </c>
      <c r="F42" s="752" t="s">
        <v>514</v>
      </c>
      <c r="G42" s="752" t="s">
        <v>515</v>
      </c>
      <c r="H42" s="752" t="s">
        <v>516</v>
      </c>
      <c r="I42" s="754">
        <f t="shared" si="0"/>
        <v>2.1226666666666665</v>
      </c>
    </row>
    <row r="43" spans="1:9">
      <c r="A43" s="752" t="s">
        <v>521</v>
      </c>
      <c r="B43" s="752" t="s">
        <v>439</v>
      </c>
      <c r="C43" s="752" t="s">
        <v>525</v>
      </c>
      <c r="D43" s="752" t="s">
        <v>445</v>
      </c>
      <c r="E43" s="753">
        <v>8.0000000000000002E-3</v>
      </c>
      <c r="F43" s="752" t="s">
        <v>514</v>
      </c>
      <c r="G43" s="752" t="s">
        <v>442</v>
      </c>
      <c r="H43" s="752" t="s">
        <v>516</v>
      </c>
      <c r="I43" s="754">
        <f t="shared" si="0"/>
        <v>3.5555555555555557E-3</v>
      </c>
    </row>
    <row r="44" spans="1:9">
      <c r="A44" s="752" t="s">
        <v>521</v>
      </c>
      <c r="B44" s="752" t="s">
        <v>446</v>
      </c>
      <c r="C44" s="752" t="s">
        <v>525</v>
      </c>
      <c r="D44" s="752" t="s">
        <v>445</v>
      </c>
      <c r="E44" s="753">
        <v>0.43</v>
      </c>
      <c r="F44" s="752" t="s">
        <v>514</v>
      </c>
      <c r="G44" s="752" t="s">
        <v>444</v>
      </c>
      <c r="H44" s="752" t="s">
        <v>516</v>
      </c>
      <c r="I44" s="754">
        <f t="shared" si="0"/>
        <v>0.19111111111111112</v>
      </c>
    </row>
    <row r="45" spans="1:9">
      <c r="A45" s="752" t="s">
        <v>521</v>
      </c>
      <c r="B45" s="752" t="s">
        <v>522</v>
      </c>
      <c r="C45" s="752" t="s">
        <v>525</v>
      </c>
      <c r="D45" s="752" t="s">
        <v>445</v>
      </c>
      <c r="E45" s="753">
        <v>1.71</v>
      </c>
      <c r="F45" s="752" t="s">
        <v>514</v>
      </c>
      <c r="G45" s="752" t="s">
        <v>523</v>
      </c>
      <c r="H45" s="752" t="s">
        <v>516</v>
      </c>
      <c r="I45" s="754">
        <f t="shared" si="0"/>
        <v>0.76</v>
      </c>
    </row>
    <row r="46" spans="1:9">
      <c r="A46" s="752" t="s">
        <v>521</v>
      </c>
      <c r="B46" s="752" t="s">
        <v>519</v>
      </c>
      <c r="C46" s="752" t="s">
        <v>525</v>
      </c>
      <c r="D46" s="752" t="s">
        <v>445</v>
      </c>
      <c r="E46" s="753">
        <v>1.8559000000000001</v>
      </c>
      <c r="F46" s="752" t="s">
        <v>514</v>
      </c>
      <c r="G46" s="752" t="s">
        <v>520</v>
      </c>
      <c r="H46" s="752" t="s">
        <v>516</v>
      </c>
      <c r="I46" s="754">
        <f t="shared" si="0"/>
        <v>0.82484444444444449</v>
      </c>
    </row>
    <row r="47" spans="1:9">
      <c r="A47" s="752" t="s">
        <v>440</v>
      </c>
      <c r="B47" s="752" t="s">
        <v>512</v>
      </c>
      <c r="C47" s="752" t="s">
        <v>526</v>
      </c>
      <c r="D47" s="752" t="s">
        <v>165</v>
      </c>
      <c r="E47" s="753">
        <v>72.896000000000001</v>
      </c>
      <c r="F47" s="752" t="s">
        <v>514</v>
      </c>
      <c r="G47" s="752" t="s">
        <v>515</v>
      </c>
      <c r="H47" s="752" t="s">
        <v>516</v>
      </c>
      <c r="I47" s="754">
        <f t="shared" si="0"/>
        <v>32.398222222222223</v>
      </c>
    </row>
    <row r="48" spans="1:9">
      <c r="A48" s="752" t="s">
        <v>517</v>
      </c>
      <c r="B48" s="752" t="s">
        <v>439</v>
      </c>
      <c r="C48" s="752" t="s">
        <v>526</v>
      </c>
      <c r="D48" s="752" t="s">
        <v>165</v>
      </c>
      <c r="E48" s="756">
        <v>1.99285</v>
      </c>
      <c r="F48" s="752" t="s">
        <v>514</v>
      </c>
      <c r="G48" s="752" t="s">
        <v>442</v>
      </c>
      <c r="H48" s="752" t="s">
        <v>516</v>
      </c>
      <c r="I48" s="754">
        <f t="shared" si="0"/>
        <v>0.88571111111111112</v>
      </c>
    </row>
    <row r="49" spans="1:9">
      <c r="A49" s="752" t="s">
        <v>517</v>
      </c>
      <c r="B49" s="752" t="s">
        <v>518</v>
      </c>
      <c r="C49" s="752" t="s">
        <v>526</v>
      </c>
      <c r="D49" s="752" t="s">
        <v>165</v>
      </c>
      <c r="E49" s="753">
        <v>240.21</v>
      </c>
      <c r="F49" s="752" t="s">
        <v>514</v>
      </c>
      <c r="G49" s="752" t="s">
        <v>442</v>
      </c>
      <c r="H49" s="752" t="s">
        <v>516</v>
      </c>
      <c r="I49" s="754">
        <f t="shared" si="0"/>
        <v>106.76</v>
      </c>
    </row>
    <row r="50" spans="1:9">
      <c r="A50" s="752" t="s">
        <v>517</v>
      </c>
      <c r="B50" s="752" t="s">
        <v>446</v>
      </c>
      <c r="C50" s="752" t="s">
        <v>526</v>
      </c>
      <c r="D50" s="752" t="s">
        <v>165</v>
      </c>
      <c r="E50" s="753">
        <v>0.6</v>
      </c>
      <c r="F50" s="752" t="s">
        <v>514</v>
      </c>
      <c r="G50" s="752" t="s">
        <v>444</v>
      </c>
      <c r="H50" s="752" t="s">
        <v>516</v>
      </c>
      <c r="I50" s="754">
        <f t="shared" si="0"/>
        <v>0.26666666666666666</v>
      </c>
    </row>
    <row r="51" spans="1:9">
      <c r="A51" s="752" t="s">
        <v>517</v>
      </c>
      <c r="B51" s="752" t="s">
        <v>519</v>
      </c>
      <c r="C51" s="752" t="s">
        <v>526</v>
      </c>
      <c r="D51" s="752" t="s">
        <v>165</v>
      </c>
      <c r="E51" s="753">
        <v>2.5000000000000001E-2</v>
      </c>
      <c r="F51" s="752" t="s">
        <v>514</v>
      </c>
      <c r="G51" s="752" t="s">
        <v>520</v>
      </c>
      <c r="H51" s="752" t="s">
        <v>516</v>
      </c>
      <c r="I51" s="754">
        <f t="shared" si="0"/>
        <v>1.1111111111111112E-2</v>
      </c>
    </row>
    <row r="52" spans="1:9">
      <c r="A52" s="752" t="s">
        <v>517</v>
      </c>
      <c r="B52" s="752" t="s">
        <v>512</v>
      </c>
      <c r="C52" s="752" t="s">
        <v>526</v>
      </c>
      <c r="D52" s="752" t="s">
        <v>165</v>
      </c>
      <c r="E52" s="753">
        <v>48.183999999999997</v>
      </c>
      <c r="F52" s="752" t="s">
        <v>514</v>
      </c>
      <c r="G52" s="752" t="s">
        <v>515</v>
      </c>
      <c r="H52" s="752" t="s">
        <v>516</v>
      </c>
      <c r="I52" s="754">
        <f t="shared" si="0"/>
        <v>21.415111111111109</v>
      </c>
    </row>
    <row r="53" spans="1:9">
      <c r="A53" s="752" t="s">
        <v>440</v>
      </c>
      <c r="B53" s="752" t="s">
        <v>439</v>
      </c>
      <c r="C53" s="752" t="s">
        <v>526</v>
      </c>
      <c r="D53" s="752" t="s">
        <v>165</v>
      </c>
      <c r="E53" s="753">
        <v>0.21299999999999999</v>
      </c>
      <c r="F53" s="752" t="s">
        <v>514</v>
      </c>
      <c r="G53" s="752" t="s">
        <v>442</v>
      </c>
      <c r="H53" s="752" t="s">
        <v>516</v>
      </c>
      <c r="I53" s="754">
        <f t="shared" si="0"/>
        <v>9.4666666666666663E-2</v>
      </c>
    </row>
    <row r="54" spans="1:9">
      <c r="A54" s="752" t="s">
        <v>440</v>
      </c>
      <c r="B54" s="752" t="s">
        <v>518</v>
      </c>
      <c r="C54" s="752" t="s">
        <v>526</v>
      </c>
      <c r="D54" s="752" t="s">
        <v>165</v>
      </c>
      <c r="E54" s="753">
        <v>240.21</v>
      </c>
      <c r="F54" s="752" t="s">
        <v>514</v>
      </c>
      <c r="G54" s="752" t="s">
        <v>442</v>
      </c>
      <c r="H54" s="752" t="s">
        <v>516</v>
      </c>
      <c r="I54" s="754">
        <f t="shared" si="0"/>
        <v>106.76</v>
      </c>
    </row>
    <row r="55" spans="1:9">
      <c r="A55" s="752" t="s">
        <v>440</v>
      </c>
      <c r="B55" s="752" t="s">
        <v>446</v>
      </c>
      <c r="C55" s="752" t="s">
        <v>526</v>
      </c>
      <c r="D55" s="752" t="s">
        <v>165</v>
      </c>
      <c r="E55" s="753">
        <v>0.6</v>
      </c>
      <c r="F55" s="752" t="s">
        <v>514</v>
      </c>
      <c r="G55" s="752" t="s">
        <v>444</v>
      </c>
      <c r="H55" s="752" t="s">
        <v>516</v>
      </c>
      <c r="I55" s="754">
        <f t="shared" si="0"/>
        <v>0.26666666666666666</v>
      </c>
    </row>
    <row r="56" spans="1:9">
      <c r="A56" s="752" t="s">
        <v>440</v>
      </c>
      <c r="B56" s="752" t="s">
        <v>519</v>
      </c>
      <c r="C56" s="752" t="s">
        <v>526</v>
      </c>
      <c r="D56" s="752" t="s">
        <v>165</v>
      </c>
      <c r="E56" s="753">
        <v>2.5000000000000001E-2</v>
      </c>
      <c r="F56" s="752" t="s">
        <v>514</v>
      </c>
      <c r="G56" s="752" t="s">
        <v>520</v>
      </c>
      <c r="H56" s="752" t="s">
        <v>516</v>
      </c>
      <c r="I56" s="754">
        <f t="shared" si="0"/>
        <v>1.1111111111111112E-2</v>
      </c>
    </row>
    <row r="57" spans="1:9">
      <c r="A57" s="752" t="s">
        <v>521</v>
      </c>
      <c r="B57" s="752" t="s">
        <v>512</v>
      </c>
      <c r="C57" s="752" t="s">
        <v>526</v>
      </c>
      <c r="D57" s="752" t="s">
        <v>165</v>
      </c>
      <c r="E57" s="753">
        <v>34.200000000000003</v>
      </c>
      <c r="F57" s="752" t="s">
        <v>514</v>
      </c>
      <c r="G57" s="752" t="s">
        <v>515</v>
      </c>
      <c r="H57" s="752" t="s">
        <v>516</v>
      </c>
      <c r="I57" s="754">
        <f t="shared" si="0"/>
        <v>15.200000000000001</v>
      </c>
    </row>
    <row r="58" spans="1:9">
      <c r="A58" s="752" t="s">
        <v>521</v>
      </c>
      <c r="B58" s="752" t="s">
        <v>439</v>
      </c>
      <c r="C58" s="752" t="s">
        <v>526</v>
      </c>
      <c r="D58" s="752" t="s">
        <v>165</v>
      </c>
      <c r="E58" s="753">
        <v>0.21299999999999999</v>
      </c>
      <c r="F58" s="752" t="s">
        <v>514</v>
      </c>
      <c r="G58" s="752" t="s">
        <v>442</v>
      </c>
      <c r="H58" s="752" t="s">
        <v>516</v>
      </c>
      <c r="I58" s="754">
        <f t="shared" si="0"/>
        <v>9.4666666666666663E-2</v>
      </c>
    </row>
    <row r="59" spans="1:9">
      <c r="A59" s="752" t="s">
        <v>521</v>
      </c>
      <c r="B59" s="752" t="s">
        <v>446</v>
      </c>
      <c r="C59" s="752" t="s">
        <v>526</v>
      </c>
      <c r="D59" s="752" t="s">
        <v>165</v>
      </c>
      <c r="E59" s="753">
        <v>0.6</v>
      </c>
      <c r="F59" s="752" t="s">
        <v>514</v>
      </c>
      <c r="G59" s="752" t="s">
        <v>444</v>
      </c>
      <c r="H59" s="752" t="s">
        <v>516</v>
      </c>
      <c r="I59" s="754">
        <f t="shared" si="0"/>
        <v>0.26666666666666666</v>
      </c>
    </row>
    <row r="60" spans="1:9">
      <c r="A60" s="752" t="s">
        <v>521</v>
      </c>
      <c r="B60" s="752" t="s">
        <v>522</v>
      </c>
      <c r="C60" s="752" t="s">
        <v>526</v>
      </c>
      <c r="D60" s="752" t="s">
        <v>165</v>
      </c>
      <c r="E60" s="753">
        <v>2.39</v>
      </c>
      <c r="F60" s="752" t="s">
        <v>514</v>
      </c>
      <c r="G60" s="752" t="s">
        <v>523</v>
      </c>
      <c r="H60" s="752" t="s">
        <v>516</v>
      </c>
      <c r="I60" s="754">
        <f t="shared" si="0"/>
        <v>1.0622222222222222</v>
      </c>
    </row>
    <row r="61" spans="1:9">
      <c r="A61" s="752" t="s">
        <v>521</v>
      </c>
      <c r="B61" s="752" t="s">
        <v>519</v>
      </c>
      <c r="C61" s="752" t="s">
        <v>526</v>
      </c>
      <c r="D61" s="752" t="s">
        <v>165</v>
      </c>
      <c r="E61" s="753">
        <v>5.5399999999999998E-2</v>
      </c>
      <c r="F61" s="752" t="s">
        <v>514</v>
      </c>
      <c r="G61" s="752" t="s">
        <v>520</v>
      </c>
      <c r="H61" s="752" t="s">
        <v>516</v>
      </c>
      <c r="I61" s="754">
        <f t="shared" si="0"/>
        <v>2.4622222222222222E-2</v>
      </c>
    </row>
    <row r="62" spans="1:9">
      <c r="A62" s="752" t="s">
        <v>440</v>
      </c>
      <c r="B62" s="752" t="s">
        <v>512</v>
      </c>
      <c r="C62" s="752" t="s">
        <v>527</v>
      </c>
      <c r="D62" s="752" t="s">
        <v>166</v>
      </c>
      <c r="E62" s="753">
        <v>0.15</v>
      </c>
      <c r="F62" s="752" t="s">
        <v>514</v>
      </c>
      <c r="G62" s="752" t="s">
        <v>515</v>
      </c>
      <c r="H62" s="752" t="s">
        <v>516</v>
      </c>
      <c r="I62" s="754">
        <f t="shared" si="0"/>
        <v>6.6666666666666666E-2</v>
      </c>
    </row>
    <row r="63" spans="1:9">
      <c r="A63" s="752" t="s">
        <v>517</v>
      </c>
      <c r="B63" s="752" t="s">
        <v>439</v>
      </c>
      <c r="C63" s="752" t="s">
        <v>527</v>
      </c>
      <c r="D63" s="752" t="s">
        <v>166</v>
      </c>
      <c r="E63" s="753">
        <v>21.1</v>
      </c>
      <c r="F63" s="752" t="s">
        <v>514</v>
      </c>
      <c r="G63" s="752" t="s">
        <v>442</v>
      </c>
      <c r="H63" s="752" t="s">
        <v>516</v>
      </c>
      <c r="I63" s="754">
        <f t="shared" si="0"/>
        <v>9.3777777777777782</v>
      </c>
    </row>
    <row r="64" spans="1:9">
      <c r="A64" s="752" t="s">
        <v>517</v>
      </c>
      <c r="B64" s="752" t="s">
        <v>518</v>
      </c>
      <c r="C64" s="752" t="s">
        <v>527</v>
      </c>
      <c r="D64" s="752" t="s">
        <v>166</v>
      </c>
      <c r="E64" s="753">
        <v>0.28000000000000003</v>
      </c>
      <c r="F64" s="752" t="s">
        <v>514</v>
      </c>
      <c r="G64" s="752" t="s">
        <v>442</v>
      </c>
      <c r="H64" s="752" t="s">
        <v>516</v>
      </c>
      <c r="I64" s="754">
        <f t="shared" si="0"/>
        <v>0.12444444444444445</v>
      </c>
    </row>
    <row r="65" spans="1:9">
      <c r="A65" s="752" t="s">
        <v>517</v>
      </c>
      <c r="B65" s="752" t="s">
        <v>446</v>
      </c>
      <c r="C65" s="752" t="s">
        <v>527</v>
      </c>
      <c r="D65" s="752" t="s">
        <v>166</v>
      </c>
      <c r="E65" s="753">
        <v>5.5</v>
      </c>
      <c r="F65" s="752" t="s">
        <v>514</v>
      </c>
      <c r="G65" s="752" t="s">
        <v>444</v>
      </c>
      <c r="H65" s="752" t="s">
        <v>516</v>
      </c>
      <c r="I65" s="754">
        <f t="shared" si="0"/>
        <v>2.4444444444444446</v>
      </c>
    </row>
    <row r="66" spans="1:9">
      <c r="A66" s="752" t="s">
        <v>517</v>
      </c>
      <c r="B66" s="752" t="s">
        <v>519</v>
      </c>
      <c r="C66" s="752" t="s">
        <v>527</v>
      </c>
      <c r="D66" s="752" t="s">
        <v>166</v>
      </c>
      <c r="E66" s="753">
        <v>1.7000000000000001E-2</v>
      </c>
      <c r="F66" s="752" t="s">
        <v>514</v>
      </c>
      <c r="G66" s="752" t="s">
        <v>520</v>
      </c>
      <c r="H66" s="752" t="s">
        <v>516</v>
      </c>
      <c r="I66" s="754">
        <f t="shared" si="0"/>
        <v>7.5555555555555558E-3</v>
      </c>
    </row>
    <row r="67" spans="1:9">
      <c r="A67" s="752" t="s">
        <v>517</v>
      </c>
      <c r="B67" s="752" t="s">
        <v>512</v>
      </c>
      <c r="C67" s="752" t="s">
        <v>527</v>
      </c>
      <c r="D67" s="752" t="s">
        <v>166</v>
      </c>
      <c r="E67" s="753">
        <v>0.15</v>
      </c>
      <c r="F67" s="752" t="s">
        <v>514</v>
      </c>
      <c r="G67" s="752" t="s">
        <v>515</v>
      </c>
      <c r="H67" s="752" t="s">
        <v>516</v>
      </c>
      <c r="I67" s="754">
        <f t="shared" ref="I67:I76" si="1">E67/2.25</f>
        <v>6.6666666666666666E-2</v>
      </c>
    </row>
    <row r="68" spans="1:9">
      <c r="A68" s="752" t="s">
        <v>440</v>
      </c>
      <c r="B68" s="752" t="s">
        <v>439</v>
      </c>
      <c r="C68" s="752" t="s">
        <v>527</v>
      </c>
      <c r="D68" s="752" t="s">
        <v>166</v>
      </c>
      <c r="E68" s="753">
        <v>0.34</v>
      </c>
      <c r="F68" s="752" t="s">
        <v>514</v>
      </c>
      <c r="G68" s="752" t="s">
        <v>442</v>
      </c>
      <c r="H68" s="752" t="s">
        <v>516</v>
      </c>
      <c r="I68" s="754">
        <f t="shared" si="1"/>
        <v>0.15111111111111111</v>
      </c>
    </row>
    <row r="69" spans="1:9">
      <c r="A69" s="752" t="s">
        <v>440</v>
      </c>
      <c r="B69" s="752" t="s">
        <v>518</v>
      </c>
      <c r="C69" s="752" t="s">
        <v>527</v>
      </c>
      <c r="D69" s="752" t="s">
        <v>166</v>
      </c>
      <c r="E69" s="753">
        <v>1.1299999999999999</v>
      </c>
      <c r="F69" s="752" t="s">
        <v>514</v>
      </c>
      <c r="G69" s="752" t="s">
        <v>442</v>
      </c>
      <c r="H69" s="752" t="s">
        <v>516</v>
      </c>
      <c r="I69" s="754">
        <f t="shared" si="1"/>
        <v>0.50222222222222213</v>
      </c>
    </row>
    <row r="70" spans="1:9">
      <c r="A70" s="752" t="s">
        <v>440</v>
      </c>
      <c r="B70" s="752" t="s">
        <v>446</v>
      </c>
      <c r="C70" s="752" t="s">
        <v>527</v>
      </c>
      <c r="D70" s="752" t="s">
        <v>166</v>
      </c>
      <c r="E70" s="753">
        <v>5.5</v>
      </c>
      <c r="F70" s="752" t="s">
        <v>514</v>
      </c>
      <c r="G70" s="752" t="s">
        <v>444</v>
      </c>
      <c r="H70" s="752" t="s">
        <v>516</v>
      </c>
      <c r="I70" s="754">
        <f t="shared" si="1"/>
        <v>2.4444444444444446</v>
      </c>
    </row>
    <row r="71" spans="1:9">
      <c r="A71" s="752" t="s">
        <v>440</v>
      </c>
      <c r="B71" s="752" t="s">
        <v>519</v>
      </c>
      <c r="C71" s="752" t="s">
        <v>527</v>
      </c>
      <c r="D71" s="752" t="s">
        <v>166</v>
      </c>
      <c r="E71" s="753">
        <v>1.7000000000000001E-2</v>
      </c>
      <c r="F71" s="752" t="s">
        <v>514</v>
      </c>
      <c r="G71" s="752" t="s">
        <v>520</v>
      </c>
      <c r="H71" s="752" t="s">
        <v>516</v>
      </c>
      <c r="I71" s="754">
        <f t="shared" si="1"/>
        <v>7.5555555555555558E-3</v>
      </c>
    </row>
    <row r="72" spans="1:9">
      <c r="A72" s="752" t="s">
        <v>521</v>
      </c>
      <c r="B72" s="752" t="s">
        <v>512</v>
      </c>
      <c r="C72" s="752" t="s">
        <v>527</v>
      </c>
      <c r="D72" s="752" t="s">
        <v>166</v>
      </c>
      <c r="E72" s="753">
        <v>10</v>
      </c>
      <c r="F72" s="752" t="s">
        <v>514</v>
      </c>
      <c r="G72" s="752" t="s">
        <v>515</v>
      </c>
      <c r="H72" s="752" t="s">
        <v>516</v>
      </c>
      <c r="I72" s="754">
        <f t="shared" si="1"/>
        <v>4.4444444444444446</v>
      </c>
    </row>
    <row r="73" spans="1:9">
      <c r="A73" s="752" t="s">
        <v>521</v>
      </c>
      <c r="B73" s="752" t="s">
        <v>439</v>
      </c>
      <c r="C73" s="752" t="s">
        <v>527</v>
      </c>
      <c r="D73" s="752" t="s">
        <v>166</v>
      </c>
      <c r="E73" s="753">
        <v>0.71299999999999997</v>
      </c>
      <c r="F73" s="752" t="s">
        <v>514</v>
      </c>
      <c r="G73" s="752" t="s">
        <v>442</v>
      </c>
      <c r="H73" s="752" t="s">
        <v>516</v>
      </c>
      <c r="I73" s="754">
        <f t="shared" si="1"/>
        <v>0.31688888888888889</v>
      </c>
    </row>
    <row r="74" spans="1:9">
      <c r="A74" s="752" t="s">
        <v>521</v>
      </c>
      <c r="B74" s="752" t="s">
        <v>446</v>
      </c>
      <c r="C74" s="752" t="s">
        <v>527</v>
      </c>
      <c r="D74" s="752" t="s">
        <v>166</v>
      </c>
      <c r="E74" s="753">
        <v>5.5</v>
      </c>
      <c r="F74" s="752" t="s">
        <v>514</v>
      </c>
      <c r="G74" s="752" t="s">
        <v>444</v>
      </c>
      <c r="H74" s="752" t="s">
        <v>516</v>
      </c>
      <c r="I74" s="754">
        <f t="shared" si="1"/>
        <v>2.4444444444444446</v>
      </c>
    </row>
    <row r="75" spans="1:9">
      <c r="A75" s="752" t="s">
        <v>521</v>
      </c>
      <c r="B75" s="752" t="s">
        <v>522</v>
      </c>
      <c r="C75" s="752" t="s">
        <v>527</v>
      </c>
      <c r="D75" s="752" t="s">
        <v>166</v>
      </c>
      <c r="E75" s="753">
        <v>21.91</v>
      </c>
      <c r="F75" s="752" t="s">
        <v>514</v>
      </c>
      <c r="G75" s="752" t="s">
        <v>523</v>
      </c>
      <c r="H75" s="752" t="s">
        <v>516</v>
      </c>
      <c r="I75" s="754">
        <f t="shared" si="1"/>
        <v>9.7377777777777776</v>
      </c>
    </row>
    <row r="76" spans="1:9">
      <c r="A76" s="752" t="s">
        <v>521</v>
      </c>
      <c r="B76" s="752" t="s">
        <v>519</v>
      </c>
      <c r="C76" s="752" t="s">
        <v>527</v>
      </c>
      <c r="D76" s="752" t="s">
        <v>166</v>
      </c>
      <c r="E76" s="753">
        <v>1.9177999999999999</v>
      </c>
      <c r="F76" s="752" t="s">
        <v>514</v>
      </c>
      <c r="G76" s="752" t="s">
        <v>520</v>
      </c>
      <c r="H76" s="752" t="s">
        <v>516</v>
      </c>
      <c r="I76" s="754">
        <f t="shared" si="1"/>
        <v>0.85235555555555553</v>
      </c>
    </row>
  </sheetData>
  <autoFilter ref="A1:G76" xr:uid="{9719D4B4-02B0-4E9B-94FF-2D551B8368D5}"/>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05B4-6CDE-440A-85D0-6B253F34371A}">
  <sheetPr>
    <tabColor theme="0" tint="-4.9989318521683403E-2"/>
  </sheetPr>
  <dimension ref="A1:AM47"/>
  <sheetViews>
    <sheetView workbookViewId="0">
      <selection activeCell="AL37" sqref="AL37"/>
    </sheetView>
  </sheetViews>
  <sheetFormatPr defaultColWidth="8.85546875" defaultRowHeight="15"/>
  <cols>
    <col min="2" max="5" width="16.85546875" customWidth="1"/>
    <col min="6" max="29" width="9.5703125" bestFit="1" customWidth="1"/>
    <col min="30" max="30" width="11" bestFit="1" customWidth="1"/>
  </cols>
  <sheetData>
    <row r="1" spans="1:38" ht="21">
      <c r="A1" s="140" t="s">
        <v>528</v>
      </c>
    </row>
    <row r="3" spans="1:38">
      <c r="C3" s="141" t="s">
        <v>529</v>
      </c>
      <c r="D3" s="141" t="s">
        <v>349</v>
      </c>
      <c r="E3" s="220">
        <v>2020</v>
      </c>
      <c r="F3" s="220">
        <v>2021</v>
      </c>
      <c r="G3" s="220">
        <v>2022</v>
      </c>
      <c r="H3" s="220">
        <v>2023</v>
      </c>
      <c r="I3" s="220">
        <f t="shared" ref="I3:AI3" si="0">H3+1</f>
        <v>2024</v>
      </c>
      <c r="J3" s="220">
        <f t="shared" si="0"/>
        <v>2025</v>
      </c>
      <c r="K3" s="220">
        <f t="shared" si="0"/>
        <v>2026</v>
      </c>
      <c r="L3" s="220">
        <f t="shared" si="0"/>
        <v>2027</v>
      </c>
      <c r="M3" s="220">
        <f t="shared" si="0"/>
        <v>2028</v>
      </c>
      <c r="N3" s="220">
        <f t="shared" si="0"/>
        <v>2029</v>
      </c>
      <c r="O3" s="220">
        <f t="shared" si="0"/>
        <v>2030</v>
      </c>
      <c r="P3" s="220">
        <f t="shared" si="0"/>
        <v>2031</v>
      </c>
      <c r="Q3" s="220">
        <f t="shared" si="0"/>
        <v>2032</v>
      </c>
      <c r="R3" s="220">
        <f t="shared" si="0"/>
        <v>2033</v>
      </c>
      <c r="S3" s="220">
        <f t="shared" si="0"/>
        <v>2034</v>
      </c>
      <c r="T3" s="220">
        <f t="shared" si="0"/>
        <v>2035</v>
      </c>
      <c r="U3" s="220">
        <f t="shared" si="0"/>
        <v>2036</v>
      </c>
      <c r="V3" s="220">
        <f t="shared" si="0"/>
        <v>2037</v>
      </c>
      <c r="W3" s="220">
        <f t="shared" si="0"/>
        <v>2038</v>
      </c>
      <c r="X3" s="220">
        <f t="shared" si="0"/>
        <v>2039</v>
      </c>
      <c r="Y3" s="220">
        <f t="shared" si="0"/>
        <v>2040</v>
      </c>
      <c r="Z3" s="220">
        <f t="shared" si="0"/>
        <v>2041</v>
      </c>
      <c r="AA3" s="220">
        <f t="shared" si="0"/>
        <v>2042</v>
      </c>
      <c r="AB3" s="220">
        <f t="shared" si="0"/>
        <v>2043</v>
      </c>
      <c r="AC3" s="220">
        <f t="shared" si="0"/>
        <v>2044</v>
      </c>
      <c r="AD3" s="220">
        <f t="shared" si="0"/>
        <v>2045</v>
      </c>
      <c r="AE3" s="220">
        <f t="shared" si="0"/>
        <v>2046</v>
      </c>
      <c r="AF3" s="220">
        <f t="shared" si="0"/>
        <v>2047</v>
      </c>
      <c r="AG3" s="220">
        <f t="shared" si="0"/>
        <v>2048</v>
      </c>
      <c r="AH3" s="220">
        <f t="shared" si="0"/>
        <v>2049</v>
      </c>
      <c r="AI3" s="220">
        <f t="shared" si="0"/>
        <v>2050</v>
      </c>
      <c r="AJ3" s="220"/>
      <c r="AK3" s="220"/>
      <c r="AL3" s="221"/>
    </row>
    <row r="4" spans="1:38">
      <c r="C4" s="142" t="s">
        <v>530</v>
      </c>
      <c r="D4" s="142" t="s">
        <v>531</v>
      </c>
      <c r="E4" s="143"/>
      <c r="F4" s="143"/>
      <c r="G4" s="143"/>
      <c r="H4" s="144">
        <f>SUMIFS(H5:H10,$C$5:$C$10,'Summary Dashboard'!$C$3)</f>
        <v>2.3449999999999998E-4</v>
      </c>
      <c r="I4" s="144">
        <f>SUMIFS(I5:I10,$C$5:$C$10,'Summary Dashboard'!$C$3)</f>
        <v>2.2379999999999999E-4</v>
      </c>
      <c r="J4" s="144">
        <f>SUMIFS(J5:J10,$C$5:$C$10,'Summary Dashboard'!$C$3)</f>
        <v>2.0919999999999999E-4</v>
      </c>
      <c r="K4" s="144">
        <f>SUMIFS(K5:K10,$C$5:$C$10,'Summary Dashboard'!$C$3)</f>
        <v>1.863E-4</v>
      </c>
      <c r="L4" s="144">
        <f>SUMIFS(L5:L10,$C$5:$C$10,'Summary Dashboard'!$C$3)</f>
        <v>1.582E-4</v>
      </c>
      <c r="M4" s="144">
        <f>SUMIFS(M5:M10,$C$5:$C$10,'Summary Dashboard'!$C$3)</f>
        <v>1.295E-4</v>
      </c>
      <c r="N4" s="144">
        <f>SUMIFS(N5:N10,$C$5:$C$10,'Summary Dashboard'!$C$3)</f>
        <v>1.072E-4</v>
      </c>
      <c r="O4" s="144">
        <f>SUMIFS(O5:O10,$C$5:$C$10,'Summary Dashboard'!$C$3)</f>
        <v>8.5400000000000002E-5</v>
      </c>
      <c r="P4" s="144">
        <f>SUMIFS(P5:P10,$C$5:$C$10,'Summary Dashboard'!$C$3)</f>
        <v>7.9200000000000001E-5</v>
      </c>
      <c r="Q4" s="144">
        <f>SUMIFS(Q5:Q10,$C$5:$C$10,'Summary Dashboard'!$C$3)</f>
        <v>7.3399999999999995E-5</v>
      </c>
      <c r="R4" s="144">
        <f>SUMIFS(R5:R10,$C$5:$C$10,'Summary Dashboard'!$C$3)</f>
        <v>6.5200000000000013E-5</v>
      </c>
      <c r="S4" s="144">
        <f>SUMIFS(S5:S10,$C$5:$C$10,'Summary Dashboard'!$C$3)</f>
        <v>6.0300000000000002E-5</v>
      </c>
      <c r="T4" s="144">
        <f>SUMIFS(T5:T10,$C$5:$C$10,'Summary Dashboard'!$C$3)</f>
        <v>5.5799999999999994E-5</v>
      </c>
      <c r="U4" s="144">
        <f>SUMIFS(U5:U10,$C$5:$C$10,'Summary Dashboard'!$C$3)</f>
        <v>4.2400000000000001E-5</v>
      </c>
      <c r="V4" s="144">
        <f>SUMIFS(V5:V10,$C$5:$C$10,'Summary Dashboard'!$C$3)</f>
        <v>3.2400000000000001E-5</v>
      </c>
      <c r="W4" s="144">
        <f>SUMIFS(W5:W10,$C$5:$C$10,'Summary Dashboard'!$C$3)</f>
        <v>2.0300000000000002E-5</v>
      </c>
      <c r="X4" s="144">
        <f>SUMIFS(X5:X10,$C$5:$C$10,'Summary Dashboard'!$C$3)</f>
        <v>8.6999999999999997E-6</v>
      </c>
      <c r="Y4" s="144">
        <f>SUMIFS(Y5:Y10,$C$5:$C$10,'Summary Dashboard'!$C$3)</f>
        <v>4.9999999999999998E-7</v>
      </c>
      <c r="Z4" s="144">
        <f>SUMIFS(Z5:Z10,$C$5:$C$10,'Summary Dashboard'!$C$3)</f>
        <v>4.9999999999999998E-7</v>
      </c>
      <c r="AA4" s="144">
        <f>SUMIFS(AA5:AA10,$C$5:$C$10,'Summary Dashboard'!$C$3)</f>
        <v>5.9999999999999997E-7</v>
      </c>
      <c r="AB4" s="144">
        <f>SUMIFS(AB5:AB10,$C$5:$C$10,'Summary Dashboard'!$C$3)</f>
        <v>5.9999999999999997E-7</v>
      </c>
      <c r="AC4" s="144">
        <f>SUMIFS(AC5:AC10,$C$5:$C$10,'Summary Dashboard'!$C$3)</f>
        <v>5.9999999999999997E-7</v>
      </c>
      <c r="AD4" s="410">
        <f>SUMIFS(AD5:AD10,$C$5:$C$10,'Summary Dashboard'!$C$3)</f>
        <v>5.9999999999999997E-7</v>
      </c>
      <c r="AE4" s="144">
        <f>SUMIFS(AE5:AE10,$C$5:$C$10,'Summary Dashboard'!$C$3)</f>
        <v>6.9999999999999997E-7</v>
      </c>
      <c r="AF4" s="144">
        <f>SUMIFS(AF5:AF10,$C$5:$C$10,'Summary Dashboard'!$C$3)</f>
        <v>8.0000000000000007E-7</v>
      </c>
      <c r="AG4" s="144">
        <f>SUMIFS(AG5:AG10,$C$5:$C$10,'Summary Dashboard'!$C$3)</f>
        <v>8.9999999999999996E-7</v>
      </c>
      <c r="AH4" s="144">
        <f>SUMIFS(AH5:AH10,$C$5:$C$10,'Summary Dashboard'!$C$3)</f>
        <v>8.9999999999999996E-7</v>
      </c>
      <c r="AI4" s="144">
        <f>SUMIFS(AI5:AI10,$C$5:$C$10,'Summary Dashboard'!$C$3)</f>
        <v>9.9999999999999995E-7</v>
      </c>
    </row>
    <row r="5" spans="1:38">
      <c r="C5" s="222" t="s">
        <v>532</v>
      </c>
      <c r="D5" t="s">
        <v>531</v>
      </c>
      <c r="E5" s="145"/>
      <c r="F5" s="145"/>
      <c r="G5" s="145"/>
      <c r="H5" s="146">
        <f>(H20*'EPA Emission Factors Hub'!$D$9+'EPA Grid Emission Factors'!H24+'EPA Grid Emission Factors'!H28*'EPA Emission Factors Hub'!$D$10)/1000</f>
        <v>2.3269999999999999E-4</v>
      </c>
      <c r="I5" s="146">
        <f>(I20*'EPA Emission Factors Hub'!$D$9+'EPA Grid Emission Factors'!I24+'EPA Grid Emission Factors'!I28*'EPA Emission Factors Hub'!$D$10)/1000</f>
        <v>2.218E-4</v>
      </c>
      <c r="J5" s="146">
        <f>(J20*'EPA Emission Factors Hub'!$D$9+'EPA Grid Emission Factors'!J24+'EPA Grid Emission Factors'!J28*'EPA Emission Factors Hub'!$D$10)/1000</f>
        <v>2.076E-4</v>
      </c>
      <c r="K5" s="146">
        <f>(K20*'EPA Emission Factors Hub'!$D$9+'EPA Grid Emission Factors'!K24+'EPA Grid Emission Factors'!K28*'EPA Emission Factors Hub'!$D$10)/1000</f>
        <v>1.8819999999999999E-4</v>
      </c>
      <c r="L5" s="146">
        <f>(L20*'EPA Emission Factors Hub'!$D$9+'EPA Grid Emission Factors'!L24+'EPA Grid Emission Factors'!L28*'EPA Emission Factors Hub'!$D$10)/1000</f>
        <v>1.685E-4</v>
      </c>
      <c r="M5" s="146">
        <f>(M20*'EPA Emission Factors Hub'!$D$9+'EPA Grid Emission Factors'!M24+'EPA Grid Emission Factors'!M28*'EPA Emission Factors Hub'!$D$10)/1000</f>
        <v>1.4860000000000001E-4</v>
      </c>
      <c r="N5" s="146">
        <f>(N20*'EPA Emission Factors Hub'!$D$9+'EPA Grid Emission Factors'!N24+'EPA Grid Emission Factors'!N28*'EPA Emission Factors Hub'!$D$10)/1000</f>
        <v>1.283E-4</v>
      </c>
      <c r="O5" s="146">
        <f>(O20*'EPA Emission Factors Hub'!$D$9+'EPA Grid Emission Factors'!O24+'EPA Grid Emission Factors'!O28*'EPA Emission Factors Hub'!$D$10)/1000</f>
        <v>1.0789999999999999E-4</v>
      </c>
      <c r="P5" s="146">
        <f>(P20*'EPA Emission Factors Hub'!$D$9+'EPA Grid Emission Factors'!P24+'EPA Grid Emission Factors'!P28*'EPA Emission Factors Hub'!$D$10)/1000</f>
        <v>1.0499999999999999E-4</v>
      </c>
      <c r="Q5" s="146">
        <f>(Q20*'EPA Emission Factors Hub'!$D$9+'EPA Grid Emission Factors'!Q24+'EPA Grid Emission Factors'!Q28*'EPA Emission Factors Hub'!$D$10)/1000</f>
        <v>1.021E-4</v>
      </c>
      <c r="R5" s="146">
        <f>(R20*'EPA Emission Factors Hub'!$D$9+'EPA Grid Emission Factors'!R24+'EPA Grid Emission Factors'!R28*'EPA Emission Factors Hub'!$D$10)/1000</f>
        <v>9.9000000000000008E-5</v>
      </c>
      <c r="S5" s="146">
        <f>(S20*'EPA Emission Factors Hub'!$D$9+'EPA Grid Emission Factors'!S24+'EPA Grid Emission Factors'!S28*'EPA Emission Factors Hub'!$D$10)/1000</f>
        <v>9.6000000000000002E-5</v>
      </c>
      <c r="T5" s="146">
        <f>(T20*'EPA Emission Factors Hub'!$D$9+'EPA Grid Emission Factors'!T24+'EPA Grid Emission Factors'!T28*'EPA Emission Factors Hub'!$D$10)/1000</f>
        <v>8.9999999999999992E-5</v>
      </c>
      <c r="U5" s="146">
        <f>(U20*'EPA Emission Factors Hub'!$D$9+'EPA Grid Emission Factors'!U24+'EPA Grid Emission Factors'!U28*'EPA Emission Factors Hub'!$D$10)/1000</f>
        <v>9.0800000000000012E-5</v>
      </c>
      <c r="V5" s="146">
        <f>(V20*'EPA Emission Factors Hub'!$D$9+'EPA Grid Emission Factors'!V24+'EPA Grid Emission Factors'!V28*'EPA Emission Factors Hub'!$D$10)/1000</f>
        <v>9.4400000000000004E-5</v>
      </c>
      <c r="W5" s="146">
        <f>(W20*'EPA Emission Factors Hub'!$D$9+'EPA Grid Emission Factors'!W24+'EPA Grid Emission Factors'!W28*'EPA Emission Factors Hub'!$D$10)/1000</f>
        <v>9.5000000000000005E-5</v>
      </c>
      <c r="X5" s="146">
        <f>(X20*'EPA Emission Factors Hub'!$D$9+'EPA Grid Emission Factors'!X24+'EPA Grid Emission Factors'!X28*'EPA Emission Factors Hub'!$D$10)/1000</f>
        <v>9.5600000000000006E-5</v>
      </c>
      <c r="Y5" s="146">
        <f>(Y20*'EPA Emission Factors Hub'!$D$9+'EPA Grid Emission Factors'!Y24+'EPA Grid Emission Factors'!Y28*'EPA Emission Factors Hub'!$D$10)/1000</f>
        <v>9.6100000000000005E-5</v>
      </c>
      <c r="Z5" s="146">
        <f>(Z20*'EPA Emission Factors Hub'!$D$9+'EPA Grid Emission Factors'!Z24+'EPA Grid Emission Factors'!Z28*'EPA Emission Factors Hub'!$D$10)/1000</f>
        <v>9.7199999999999991E-5</v>
      </c>
      <c r="AA5" s="146">
        <f>(AA20*'EPA Emission Factors Hub'!$D$9+'EPA Grid Emission Factors'!AA24+'EPA Grid Emission Factors'!AA28*'EPA Emission Factors Hub'!$D$10)/1000</f>
        <v>9.8400000000000007E-5</v>
      </c>
      <c r="AB5" s="146">
        <f>(AB20*'EPA Emission Factors Hub'!$D$9+'EPA Grid Emission Factors'!AB24+'EPA Grid Emission Factors'!AB28*'EPA Emission Factors Hub'!$D$10)/1000</f>
        <v>9.9400000000000004E-5</v>
      </c>
      <c r="AC5" s="146">
        <f>(AC20*'EPA Emission Factors Hub'!$D$9+'EPA Grid Emission Factors'!AC24+'EPA Grid Emission Factors'!AC28*'EPA Emission Factors Hub'!$D$10)/1000</f>
        <v>1.004E-4</v>
      </c>
      <c r="AD5" s="146">
        <f>(AD20*'EPA Emission Factors Hub'!$D$9+'EPA Grid Emission Factors'!AD24+'EPA Grid Emission Factors'!AD28*'EPA Emission Factors Hub'!$D$10)/1000</f>
        <v>1.014E-4</v>
      </c>
      <c r="AE5" s="146">
        <f>(AE20*'EPA Emission Factors Hub'!$D$9+'EPA Grid Emission Factors'!AE24+'EPA Grid Emission Factors'!AE28*'EPA Emission Factors Hub'!$D$10)/1000</f>
        <v>1.075E-4</v>
      </c>
      <c r="AF5" s="146">
        <f>(AF20*'EPA Emission Factors Hub'!$D$9+'EPA Grid Emission Factors'!AF24+'EPA Grid Emission Factors'!AF28*'EPA Emission Factors Hub'!$D$10)/1000</f>
        <v>1.1629999999999999E-4</v>
      </c>
      <c r="AG5" s="146">
        <f>(AG20*'EPA Emission Factors Hub'!$D$9+'EPA Grid Emission Factors'!AG24+'EPA Grid Emission Factors'!AG28*'EPA Emission Factors Hub'!$D$10)/1000</f>
        <v>1.22E-4</v>
      </c>
      <c r="AH5" s="146">
        <f>(AH20*'EPA Emission Factors Hub'!$D$9+'EPA Grid Emission Factors'!AH24+'EPA Grid Emission Factors'!AH28*'EPA Emission Factors Hub'!$D$10)/1000</f>
        <v>1.2770000000000001E-4</v>
      </c>
      <c r="AI5" s="146">
        <f>(AI20*'EPA Emission Factors Hub'!$D$9+'EPA Grid Emission Factors'!AI24+'EPA Grid Emission Factors'!AI28*'EPA Emission Factors Hub'!$D$10)/1000</f>
        <v>1.3309999999999998E-4</v>
      </c>
    </row>
    <row r="6" spans="1:38">
      <c r="C6" s="222" t="s">
        <v>533</v>
      </c>
      <c r="D6" t="s">
        <v>531</v>
      </c>
      <c r="E6" s="145"/>
      <c r="F6" s="145"/>
      <c r="G6" s="145"/>
      <c r="H6" s="146">
        <f>(H21*'EPA Emission Factors Hub'!$D$9+'EPA Grid Emission Factors'!H25+'EPA Grid Emission Factors'!H29*'EPA Emission Factors Hub'!$D$10)/1000</f>
        <v>2.3489999999999999E-4</v>
      </c>
      <c r="I6" s="146">
        <f>(I21*'EPA Emission Factors Hub'!$D$9+'EPA Grid Emission Factors'!I25+'EPA Grid Emission Factors'!I29*'EPA Emission Factors Hub'!$D$10)/1000</f>
        <v>2.2419999999999997E-4</v>
      </c>
      <c r="J6" s="146">
        <f>(J21*'EPA Emission Factors Hub'!$D$9+'EPA Grid Emission Factors'!J25+'EPA Grid Emission Factors'!J29*'EPA Emission Factors Hub'!$D$10)/1000</f>
        <v>2.0979999999999998E-4</v>
      </c>
      <c r="K6" s="146">
        <f>(K21*'EPA Emission Factors Hub'!$D$9+'EPA Grid Emission Factors'!K25+'EPA Grid Emission Factors'!K29*'EPA Emission Factors Hub'!$D$10)/1000</f>
        <v>1.852E-4</v>
      </c>
      <c r="L6" s="146">
        <f>(L21*'EPA Emission Factors Hub'!$D$9+'EPA Grid Emission Factors'!L25+'EPA Grid Emission Factors'!L29*'EPA Emission Factors Hub'!$D$10)/1000</f>
        <v>1.5980000000000001E-4</v>
      </c>
      <c r="M6" s="146">
        <f>(M21*'EPA Emission Factors Hub'!$D$9+'EPA Grid Emission Factors'!M25+'EPA Grid Emission Factors'!M29*'EPA Emission Factors Hub'!$D$10)/1000</f>
        <v>1.315E-4</v>
      </c>
      <c r="N6" s="146">
        <f>(N21*'EPA Emission Factors Hub'!$D$9+'EPA Grid Emission Factors'!N25+'EPA Grid Emission Factors'!N29*'EPA Emission Factors Hub'!$D$10)/1000</f>
        <v>1.059E-4</v>
      </c>
      <c r="O6" s="146">
        <f>(O21*'EPA Emission Factors Hub'!$D$9+'EPA Grid Emission Factors'!O25+'EPA Grid Emission Factors'!O29*'EPA Emission Factors Hub'!$D$10)/1000</f>
        <v>8.14E-5</v>
      </c>
      <c r="P6" s="146">
        <f>(P21*'EPA Emission Factors Hub'!$D$9+'EPA Grid Emission Factors'!P25+'EPA Grid Emission Factors'!P29*'EPA Emission Factors Hub'!$D$10)/1000</f>
        <v>7.6200000000000009E-5</v>
      </c>
      <c r="Q6" s="146">
        <f>(Q21*'EPA Emission Factors Hub'!$D$9+'EPA Grid Emission Factors'!Q25+'EPA Grid Emission Factors'!Q29*'EPA Emission Factors Hub'!$D$10)/1000</f>
        <v>6.8700000000000003E-5</v>
      </c>
      <c r="R6" s="146">
        <f>(R21*'EPA Emission Factors Hub'!$D$9+'EPA Grid Emission Factors'!R25+'EPA Grid Emission Factors'!R29*'EPA Emission Factors Hub'!$D$10)/1000</f>
        <v>6.4399999999999993E-5</v>
      </c>
      <c r="S6" s="146">
        <f>(S21*'EPA Emission Factors Hub'!$D$9+'EPA Grid Emission Factors'!S25+'EPA Grid Emission Factors'!S29*'EPA Emission Factors Hub'!$D$10)/1000</f>
        <v>6.05E-5</v>
      </c>
      <c r="T6" s="146">
        <f>(T21*'EPA Emission Factors Hub'!$D$9+'EPA Grid Emission Factors'!T25+'EPA Grid Emission Factors'!T29*'EPA Emission Factors Hub'!$D$10)/1000</f>
        <v>5.6900000000000001E-5</v>
      </c>
      <c r="U6" s="146">
        <f>(U21*'EPA Emission Factors Hub'!$D$9+'EPA Grid Emission Factors'!U25+'EPA Grid Emission Factors'!U29*'EPA Emission Factors Hub'!$D$10)/1000</f>
        <v>4.3099999999999997E-5</v>
      </c>
      <c r="V6" s="146">
        <f>(V21*'EPA Emission Factors Hub'!$D$9+'EPA Grid Emission Factors'!V25+'EPA Grid Emission Factors'!V29*'EPA Emission Factors Hub'!$D$10)/1000</f>
        <v>3.2799999999999998E-5</v>
      </c>
      <c r="W6" s="146">
        <f>(W21*'EPA Emission Factors Hub'!$D$9+'EPA Grid Emission Factors'!W25+'EPA Grid Emission Factors'!W29*'EPA Emission Factors Hub'!$D$10)/1000</f>
        <v>2.05E-5</v>
      </c>
      <c r="X6" s="146">
        <f>(X21*'EPA Emission Factors Hub'!$D$9+'EPA Grid Emission Factors'!X25+'EPA Grid Emission Factors'!X29*'EPA Emission Factors Hub'!$D$10)/1000</f>
        <v>8.6999999999999997E-6</v>
      </c>
      <c r="Y6" s="146">
        <f>(Y21*'EPA Emission Factors Hub'!$D$9+'EPA Grid Emission Factors'!Y25+'EPA Grid Emission Factors'!Y29*'EPA Emission Factors Hub'!$D$10)/1000</f>
        <v>2.0000000000000002E-7</v>
      </c>
      <c r="Z6" s="146">
        <f>(Z21*'EPA Emission Factors Hub'!$D$9+'EPA Grid Emission Factors'!Z25+'EPA Grid Emission Factors'!Z29*'EPA Emission Factors Hub'!$D$10)/1000</f>
        <v>2.9999999999999999E-7</v>
      </c>
      <c r="AA6" s="146">
        <f>(AA21*'EPA Emission Factors Hub'!$D$9+'EPA Grid Emission Factors'!AA25+'EPA Grid Emission Factors'!AA29*'EPA Emission Factors Hub'!$D$10)/1000</f>
        <v>4.9999999999999998E-7</v>
      </c>
      <c r="AB6" s="146">
        <f>(AB21*'EPA Emission Factors Hub'!$D$9+'EPA Grid Emission Factors'!AB25+'EPA Grid Emission Factors'!AB29*'EPA Emission Factors Hub'!$D$10)/1000</f>
        <v>5.9999999999999997E-7</v>
      </c>
      <c r="AC6" s="146">
        <f>(AC21*'EPA Emission Factors Hub'!$D$9+'EPA Grid Emission Factors'!AC25+'EPA Grid Emission Factors'!AC29*'EPA Emission Factors Hub'!$D$10)/1000</f>
        <v>6.9999999999999997E-7</v>
      </c>
      <c r="AD6" s="146">
        <f>(AD21*'EPA Emission Factors Hub'!$D$9+'EPA Grid Emission Factors'!AD25+'EPA Grid Emission Factors'!AD29*'EPA Emission Factors Hub'!$D$10)/1000</f>
        <v>8.0000000000000007E-7</v>
      </c>
      <c r="AE6" s="146">
        <f>(AE21*'EPA Emission Factors Hub'!$D$9+'EPA Grid Emission Factors'!AE25+'EPA Grid Emission Factors'!AE29*'EPA Emission Factors Hub'!$D$10)/1000</f>
        <v>8.9999999999999996E-7</v>
      </c>
      <c r="AF6" s="146">
        <f>(AF21*'EPA Emission Factors Hub'!$D$9+'EPA Grid Emission Factors'!AF25+'EPA Grid Emission Factors'!AF29*'EPA Emission Factors Hub'!$D$10)/1000</f>
        <v>8.9999999999999996E-7</v>
      </c>
      <c r="AG6" s="146">
        <f>(AG21*'EPA Emission Factors Hub'!$D$9+'EPA Grid Emission Factors'!AG25+'EPA Grid Emission Factors'!AG29*'EPA Emission Factors Hub'!$D$10)/1000</f>
        <v>9.9999999999999995E-7</v>
      </c>
      <c r="AH6" s="146">
        <f>(AH21*'EPA Emission Factors Hub'!$D$9+'EPA Grid Emission Factors'!AH25+'EPA Grid Emission Factors'!AH29*'EPA Emission Factors Hub'!$D$10)/1000</f>
        <v>1.1000000000000001E-6</v>
      </c>
      <c r="AI6" s="146">
        <f>(AI21*'EPA Emission Factors Hub'!$D$9+'EPA Grid Emission Factors'!AI25+'EPA Grid Emission Factors'!AI29*'EPA Emission Factors Hub'!$D$10)/1000</f>
        <v>1.1000000000000001E-6</v>
      </c>
    </row>
    <row r="7" spans="1:38">
      <c r="C7" s="222" t="s">
        <v>534</v>
      </c>
      <c r="D7" t="s">
        <v>531</v>
      </c>
      <c r="E7" s="145"/>
      <c r="F7" s="145"/>
      <c r="G7" s="145"/>
      <c r="H7" s="146">
        <f>(H22*'EPA Emission Factors Hub'!$D$9+'EPA Grid Emission Factors'!H26+'EPA Grid Emission Factors'!H30*'EPA Emission Factors Hub'!$D$10)/1000</f>
        <v>2.342E-4</v>
      </c>
      <c r="I7" s="146">
        <f>(I22*'EPA Emission Factors Hub'!$D$9+'EPA Grid Emission Factors'!I26+'EPA Grid Emission Factors'!I30*'EPA Emission Factors Hub'!$D$10)/1000</f>
        <v>2.2330000000000001E-4</v>
      </c>
      <c r="J7" s="146">
        <f>(J22*'EPA Emission Factors Hub'!$D$9+'EPA Grid Emission Factors'!J26+'EPA Grid Emission Factors'!J30*'EPA Emission Factors Hub'!$D$10)/1000</f>
        <v>2.086E-4</v>
      </c>
      <c r="K7" s="146">
        <f>(K22*'EPA Emission Factors Hub'!$D$9+'EPA Grid Emission Factors'!K26+'EPA Grid Emission Factors'!K30*'EPA Emission Factors Hub'!$D$10)/1000</f>
        <v>1.8590000000000002E-4</v>
      </c>
      <c r="L7" s="146">
        <f>(L22*'EPA Emission Factors Hub'!$D$9+'EPA Grid Emission Factors'!L26+'EPA Grid Emission Factors'!L30*'EPA Emission Factors Hub'!$D$10)/1000</f>
        <v>1.5799999999999999E-4</v>
      </c>
      <c r="M7" s="146">
        <f>(M22*'EPA Emission Factors Hub'!$D$9+'EPA Grid Emission Factors'!M26+'EPA Grid Emission Factors'!M30*'EPA Emission Factors Hub'!$D$10)/1000</f>
        <v>1.2940000000000003E-4</v>
      </c>
      <c r="N7" s="146">
        <f>(N22*'EPA Emission Factors Hub'!$D$9+'EPA Grid Emission Factors'!N26+'EPA Grid Emission Factors'!N30*'EPA Emission Factors Hub'!$D$10)/1000</f>
        <v>1.0779999999999999E-4</v>
      </c>
      <c r="O7" s="146">
        <f>(O22*'EPA Emission Factors Hub'!$D$9+'EPA Grid Emission Factors'!O26+'EPA Grid Emission Factors'!O30*'EPA Emission Factors Hub'!$D$10)/1000</f>
        <v>8.6500000000000002E-5</v>
      </c>
      <c r="P7" s="146">
        <f>(P22*'EPA Emission Factors Hub'!$D$9+'EPA Grid Emission Factors'!P26+'EPA Grid Emission Factors'!P30*'EPA Emission Factors Hub'!$D$10)/1000</f>
        <v>8.0100000000000009E-5</v>
      </c>
      <c r="Q7" s="146">
        <f>(Q22*'EPA Emission Factors Hub'!$D$9+'EPA Grid Emission Factors'!Q26+'EPA Grid Emission Factors'!Q30*'EPA Emission Factors Hub'!$D$10)/1000</f>
        <v>7.4300000000000004E-5</v>
      </c>
      <c r="R7" s="146">
        <f>(R22*'EPA Emission Factors Hub'!$D$9+'EPA Grid Emission Factors'!R26+'EPA Grid Emission Factors'!R30*'EPA Emission Factors Hub'!$D$10)/1000</f>
        <v>6.6000000000000005E-5</v>
      </c>
      <c r="S7" s="146">
        <f>(S22*'EPA Emission Factors Hub'!$D$9+'EPA Grid Emission Factors'!S26+'EPA Grid Emission Factors'!S30*'EPA Emission Factors Hub'!$D$10)/1000</f>
        <v>6.1099999999999994E-5</v>
      </c>
      <c r="T7" s="146">
        <f>(T22*'EPA Emission Factors Hub'!$D$9+'EPA Grid Emission Factors'!T26+'EPA Grid Emission Factors'!T30*'EPA Emission Factors Hub'!$D$10)/1000</f>
        <v>5.6499999999999998E-5</v>
      </c>
      <c r="U7" s="146">
        <f>(U22*'EPA Emission Factors Hub'!$D$9+'EPA Grid Emission Factors'!U26+'EPA Grid Emission Factors'!U30*'EPA Emission Factors Hub'!$D$10)/1000</f>
        <v>4.2799999999999997E-5</v>
      </c>
      <c r="V7" s="146">
        <f>(V22*'EPA Emission Factors Hub'!$D$9+'EPA Grid Emission Factors'!V26+'EPA Grid Emission Factors'!V30*'EPA Emission Factors Hub'!$D$10)/1000</f>
        <v>3.2700000000000002E-5</v>
      </c>
      <c r="W7" s="146">
        <f>(W22*'EPA Emission Factors Hub'!$D$9+'EPA Grid Emission Factors'!W26+'EPA Grid Emission Factors'!W30*'EPA Emission Factors Hub'!$D$10)/1000</f>
        <v>2.0400000000000001E-5</v>
      </c>
      <c r="X7" s="146">
        <f>(X22*'EPA Emission Factors Hub'!$D$9+'EPA Grid Emission Factors'!X26+'EPA Grid Emission Factors'!X30*'EPA Emission Factors Hub'!$D$10)/1000</f>
        <v>8.8000000000000004E-6</v>
      </c>
      <c r="Y7" s="146">
        <f>(Y22*'EPA Emission Factors Hub'!$D$9+'EPA Grid Emission Factors'!Y26+'EPA Grid Emission Factors'!Y30*'EPA Emission Factors Hub'!$D$10)/1000</f>
        <v>4.0000000000000003E-7</v>
      </c>
      <c r="Z7" s="146">
        <f>(Z22*'EPA Emission Factors Hub'!$D$9+'EPA Grid Emission Factors'!Z26+'EPA Grid Emission Factors'!Z30*'EPA Emission Factors Hub'!$D$10)/1000</f>
        <v>4.9999999999999998E-7</v>
      </c>
      <c r="AA7" s="146">
        <f>(AA22*'EPA Emission Factors Hub'!$D$9+'EPA Grid Emission Factors'!AA26+'EPA Grid Emission Factors'!AA30*'EPA Emission Factors Hub'!$D$10)/1000</f>
        <v>5.9999999999999997E-7</v>
      </c>
      <c r="AB7" s="146">
        <f>(AB22*'EPA Emission Factors Hub'!$D$9+'EPA Grid Emission Factors'!AB26+'EPA Grid Emission Factors'!AB30*'EPA Emission Factors Hub'!$D$10)/1000</f>
        <v>6.9999999999999997E-7</v>
      </c>
      <c r="AC7" s="146">
        <f>(AC22*'EPA Emission Factors Hub'!$D$9+'EPA Grid Emission Factors'!AC26+'EPA Grid Emission Factors'!AC30*'EPA Emission Factors Hub'!$D$10)/1000</f>
        <v>6.9999999999999997E-7</v>
      </c>
      <c r="AD7" s="146">
        <f>(AD22*'EPA Emission Factors Hub'!$D$9+'EPA Grid Emission Factors'!AD26+'EPA Grid Emission Factors'!AD30*'EPA Emission Factors Hub'!$D$10)/1000</f>
        <v>6.9999999999999997E-7</v>
      </c>
      <c r="AE7" s="146">
        <f>(AE22*'EPA Emission Factors Hub'!$D$9+'EPA Grid Emission Factors'!AE26+'EPA Grid Emission Factors'!AE30*'EPA Emission Factors Hub'!$D$10)/1000</f>
        <v>8.0000000000000007E-7</v>
      </c>
      <c r="AF7" s="146">
        <f>(AF22*'EPA Emission Factors Hub'!$D$9+'EPA Grid Emission Factors'!AF26+'EPA Grid Emission Factors'!AF30*'EPA Emission Factors Hub'!$D$10)/1000</f>
        <v>8.9999999999999996E-7</v>
      </c>
      <c r="AG7" s="146">
        <f>(AG22*'EPA Emission Factors Hub'!$D$9+'EPA Grid Emission Factors'!AG26+'EPA Grid Emission Factors'!AG30*'EPA Emission Factors Hub'!$D$10)/1000</f>
        <v>9.9999999999999995E-7</v>
      </c>
      <c r="AH7" s="146">
        <f>(AH22*'EPA Emission Factors Hub'!$D$9+'EPA Grid Emission Factors'!AH26+'EPA Grid Emission Factors'!AH30*'EPA Emission Factors Hub'!$D$10)/1000</f>
        <v>9.9999999999999995E-7</v>
      </c>
      <c r="AI7" s="146">
        <f>(AI22*'EPA Emission Factors Hub'!$D$9+'EPA Grid Emission Factors'!AI26+'EPA Grid Emission Factors'!AI30*'EPA Emission Factors Hub'!$D$10)/1000</f>
        <v>1.1000000000000001E-6</v>
      </c>
    </row>
    <row r="8" spans="1:38">
      <c r="C8" s="222" t="s">
        <v>126</v>
      </c>
      <c r="D8" t="s">
        <v>531</v>
      </c>
      <c r="E8" s="145"/>
      <c r="F8" s="145"/>
      <c r="G8" s="145"/>
      <c r="H8" s="146">
        <f>(H23*'EPA Emission Factors Hub'!$D$9+'EPA Grid Emission Factors'!H27+'EPA Grid Emission Factors'!H31*'EPA Emission Factors Hub'!$D$10)/1000</f>
        <v>2.3449999999999998E-4</v>
      </c>
      <c r="I8" s="146">
        <f>(I23*'EPA Emission Factors Hub'!$D$9+'EPA Grid Emission Factors'!I27+'EPA Grid Emission Factors'!I31*'EPA Emission Factors Hub'!$D$10)/1000</f>
        <v>2.2379999999999999E-4</v>
      </c>
      <c r="J8" s="146">
        <f>(J23*'EPA Emission Factors Hub'!$D$9+'EPA Grid Emission Factors'!J27+'EPA Grid Emission Factors'!J31*'EPA Emission Factors Hub'!$D$10)/1000</f>
        <v>2.0919999999999999E-4</v>
      </c>
      <c r="K8" s="146">
        <f>(K23*'EPA Emission Factors Hub'!$D$9+'EPA Grid Emission Factors'!K27+'EPA Grid Emission Factors'!K31*'EPA Emission Factors Hub'!$D$10)/1000</f>
        <v>1.863E-4</v>
      </c>
      <c r="L8" s="146">
        <f>(L23*'EPA Emission Factors Hub'!$D$9+'EPA Grid Emission Factors'!L27+'EPA Grid Emission Factors'!L31*'EPA Emission Factors Hub'!$D$10)/1000</f>
        <v>1.582E-4</v>
      </c>
      <c r="M8" s="146">
        <f>(M23*'EPA Emission Factors Hub'!$D$9+'EPA Grid Emission Factors'!M27+'EPA Grid Emission Factors'!M31*'EPA Emission Factors Hub'!$D$10)/1000</f>
        <v>1.295E-4</v>
      </c>
      <c r="N8" s="146">
        <f>(N23*'EPA Emission Factors Hub'!$D$9+'EPA Grid Emission Factors'!N27+'EPA Grid Emission Factors'!N31*'EPA Emission Factors Hub'!$D$10)/1000</f>
        <v>1.072E-4</v>
      </c>
      <c r="O8" s="146">
        <f>(O23*'EPA Emission Factors Hub'!$D$9+'EPA Grid Emission Factors'!O27+'EPA Grid Emission Factors'!O31*'EPA Emission Factors Hub'!$D$10)/1000</f>
        <v>8.5400000000000002E-5</v>
      </c>
      <c r="P8" s="146">
        <f>(P23*'EPA Emission Factors Hub'!$D$9+'EPA Grid Emission Factors'!P27+'EPA Grid Emission Factors'!P31*'EPA Emission Factors Hub'!$D$10)/1000</f>
        <v>7.9200000000000001E-5</v>
      </c>
      <c r="Q8" s="146">
        <f>(Q23*'EPA Emission Factors Hub'!$D$9+'EPA Grid Emission Factors'!Q27+'EPA Grid Emission Factors'!Q31*'EPA Emission Factors Hub'!$D$10)/1000</f>
        <v>7.3399999999999995E-5</v>
      </c>
      <c r="R8" s="146">
        <f>(R23*'EPA Emission Factors Hub'!$D$9+'EPA Grid Emission Factors'!R27+'EPA Grid Emission Factors'!R31*'EPA Emission Factors Hub'!$D$10)/1000</f>
        <v>6.5200000000000013E-5</v>
      </c>
      <c r="S8" s="146">
        <f>(S23*'EPA Emission Factors Hub'!$D$9+'EPA Grid Emission Factors'!S27+'EPA Grid Emission Factors'!S31*'EPA Emission Factors Hub'!$D$10)/1000</f>
        <v>6.0300000000000002E-5</v>
      </c>
      <c r="T8" s="146">
        <f>(T23*'EPA Emission Factors Hub'!$D$9+'EPA Grid Emission Factors'!T27+'EPA Grid Emission Factors'!T31*'EPA Emission Factors Hub'!$D$10)/1000</f>
        <v>5.5799999999999994E-5</v>
      </c>
      <c r="U8" s="146">
        <f>(U23*'EPA Emission Factors Hub'!$D$9+'EPA Grid Emission Factors'!U27+'EPA Grid Emission Factors'!U31*'EPA Emission Factors Hub'!$D$10)/1000</f>
        <v>4.2400000000000001E-5</v>
      </c>
      <c r="V8" s="146">
        <f>(V23*'EPA Emission Factors Hub'!$D$9+'EPA Grid Emission Factors'!V27+'EPA Grid Emission Factors'!V31*'EPA Emission Factors Hub'!$D$10)/1000</f>
        <v>3.2400000000000001E-5</v>
      </c>
      <c r="W8" s="146">
        <f>(W23*'EPA Emission Factors Hub'!$D$9+'EPA Grid Emission Factors'!W27+'EPA Grid Emission Factors'!W31*'EPA Emission Factors Hub'!$D$10)/1000</f>
        <v>2.0300000000000002E-5</v>
      </c>
      <c r="X8" s="146">
        <f>(X23*'EPA Emission Factors Hub'!$D$9+'EPA Grid Emission Factors'!X27+'EPA Grid Emission Factors'!X31*'EPA Emission Factors Hub'!$D$10)/1000</f>
        <v>8.6999999999999997E-6</v>
      </c>
      <c r="Y8" s="146">
        <f>(Y23*'EPA Emission Factors Hub'!$D$9+'EPA Grid Emission Factors'!Y27+'EPA Grid Emission Factors'!Y31*'EPA Emission Factors Hub'!$D$10)/1000</f>
        <v>4.9999999999999998E-7</v>
      </c>
      <c r="Z8" s="146">
        <f>(Z23*'EPA Emission Factors Hub'!$D$9+'EPA Grid Emission Factors'!Z27+'EPA Grid Emission Factors'!Z31*'EPA Emission Factors Hub'!$D$10)/1000</f>
        <v>4.9999999999999998E-7</v>
      </c>
      <c r="AA8" s="146">
        <f>(AA23*'EPA Emission Factors Hub'!$D$9+'EPA Grid Emission Factors'!AA27+'EPA Grid Emission Factors'!AA31*'EPA Emission Factors Hub'!$D$10)/1000</f>
        <v>5.9999999999999997E-7</v>
      </c>
      <c r="AB8" s="146">
        <f>(AB23*'EPA Emission Factors Hub'!$D$9+'EPA Grid Emission Factors'!AB27+'EPA Grid Emission Factors'!AB31*'EPA Emission Factors Hub'!$D$10)/1000</f>
        <v>5.9999999999999997E-7</v>
      </c>
      <c r="AC8" s="146">
        <f>(AC23*'EPA Emission Factors Hub'!$D$9+'EPA Grid Emission Factors'!AC27+'EPA Grid Emission Factors'!AC31*'EPA Emission Factors Hub'!$D$10)/1000</f>
        <v>5.9999999999999997E-7</v>
      </c>
      <c r="AD8" s="146">
        <f>(AD23*'EPA Emission Factors Hub'!$D$9+'EPA Grid Emission Factors'!AD27+'EPA Grid Emission Factors'!AD31*'EPA Emission Factors Hub'!$D$10)/1000</f>
        <v>5.9999999999999997E-7</v>
      </c>
      <c r="AE8" s="146">
        <f>(AE23*'EPA Emission Factors Hub'!$D$9+'EPA Grid Emission Factors'!AE27+'EPA Grid Emission Factors'!AE31*'EPA Emission Factors Hub'!$D$10)/1000</f>
        <v>6.9999999999999997E-7</v>
      </c>
      <c r="AF8" s="146">
        <f>(AF23*'EPA Emission Factors Hub'!$D$9+'EPA Grid Emission Factors'!AF27+'EPA Grid Emission Factors'!AF31*'EPA Emission Factors Hub'!$D$10)/1000</f>
        <v>8.0000000000000007E-7</v>
      </c>
      <c r="AG8" s="146">
        <f>(AG23*'EPA Emission Factors Hub'!$D$9+'EPA Grid Emission Factors'!AG27+'EPA Grid Emission Factors'!AG31*'EPA Emission Factors Hub'!$D$10)/1000</f>
        <v>8.9999999999999996E-7</v>
      </c>
      <c r="AH8" s="146">
        <f>(AH23*'EPA Emission Factors Hub'!$D$9+'EPA Grid Emission Factors'!AH27+'EPA Grid Emission Factors'!AH31*'EPA Emission Factors Hub'!$D$10)/1000</f>
        <v>8.9999999999999996E-7</v>
      </c>
      <c r="AI8" s="146">
        <f>(AI23*'EPA Emission Factors Hub'!$D$9+'EPA Grid Emission Factors'!AI27+'EPA Grid Emission Factors'!AI31*'EPA Emission Factors Hub'!$D$10)/1000</f>
        <v>9.9999999999999995E-7</v>
      </c>
    </row>
    <row r="9" spans="1:38">
      <c r="C9" t="s">
        <v>535</v>
      </c>
      <c r="D9" t="s">
        <v>531</v>
      </c>
      <c r="E9" s="145"/>
      <c r="F9" s="145"/>
      <c r="G9" s="145"/>
      <c r="H9" s="146">
        <f>(G45+G46*'EPA Emission Factors Hub'!$D$9+'EPA Grid Emission Factors'!G47*'EPA Emission Factors Hub'!$D$10)/10^3</f>
        <v>3.6168163412333553E-4</v>
      </c>
      <c r="I9" s="146">
        <f>(H45+H46*'EPA Emission Factors Hub'!$D$9+'EPA Grid Emission Factors'!H47*'EPA Emission Factors Hub'!$D$10)/10^3</f>
        <v>3.4974400137592583E-4</v>
      </c>
      <c r="J9" s="146">
        <f>(I45+I46*'EPA Emission Factors Hub'!$D$9+'EPA Grid Emission Factors'!I47*'EPA Emission Factors Hub'!$D$10)/10^3</f>
        <v>3.1333216139423965E-4</v>
      </c>
      <c r="K9" s="146">
        <f>(J45+J46*'EPA Emission Factors Hub'!$D$9+'EPA Grid Emission Factors'!J47*'EPA Emission Factors Hub'!$D$10)/10^3</f>
        <v>3.0082565185409062E-4</v>
      </c>
      <c r="L9" s="146">
        <f>(K45+K46*'EPA Emission Factors Hub'!$D$9+'EPA Grid Emission Factors'!K47*'EPA Emission Factors Hub'!$D$10)/10^3</f>
        <v>2.6531501164845267E-4</v>
      </c>
      <c r="M9" s="146">
        <f>(L45+L46*'EPA Emission Factors Hub'!$D$9+'EPA Grid Emission Factors'!L47*'EPA Emission Factors Hub'!$D$10)/10^3</f>
        <v>2.3309414463091663E-4</v>
      </c>
      <c r="N9" s="146">
        <f>(M45+M46*'EPA Emission Factors Hub'!$D$9+'EPA Grid Emission Factors'!M47*'EPA Emission Factors Hub'!$D$10)/10^3</f>
        <v>1.8112978975354507E-4</v>
      </c>
      <c r="O9" s="146">
        <f>(N45+N46*'EPA Emission Factors Hub'!$D$9+'EPA Grid Emission Factors'!N47*'EPA Emission Factors Hub'!$D$10)/10^3</f>
        <v>1.5991788673129341E-4</v>
      </c>
      <c r="P9" s="146">
        <f>(O45+O46*'EPA Emission Factors Hub'!$D$9+'EPA Grid Emission Factors'!O47*'EPA Emission Factors Hub'!$D$10)/10^3</f>
        <v>1.3311647480252145E-4</v>
      </c>
      <c r="Q9" s="146">
        <f>(P45+P46*'EPA Emission Factors Hub'!$D$9+'EPA Grid Emission Factors'!P47*'EPA Emission Factors Hub'!$D$10)/10^3</f>
        <v>1.1980482732226931E-4</v>
      </c>
      <c r="R9" s="146">
        <f>(Q45+Q46*'EPA Emission Factors Hub'!$D$9+'EPA Grid Emission Factors'!Q47*'EPA Emission Factors Hub'!$D$10)/10^3</f>
        <v>1.0649317984201717E-4</v>
      </c>
      <c r="S9" s="146">
        <f>(R45+R46*'EPA Emission Factors Hub'!$D$9+'EPA Grid Emission Factors'!R47*'EPA Emission Factors Hub'!$D$10)/10^3</f>
        <v>9.3181532361765037E-5</v>
      </c>
      <c r="T9" s="146">
        <f>(S45+S46*'EPA Emission Factors Hub'!$D$9+'EPA Grid Emission Factors'!S47*'EPA Emission Factors Hub'!$D$10)/10^3</f>
        <v>7.9869884881512889E-5</v>
      </c>
      <c r="U9" s="146">
        <f>(T45+T46*'EPA Emission Factors Hub'!$D$9+'EPA Grid Emission Factors'!T47*'EPA Emission Factors Hub'!$D$10)/10^3</f>
        <v>6.6558237401260754E-5</v>
      </c>
      <c r="V9" s="146">
        <f>(U45+U46*'EPA Emission Factors Hub'!$D$9+'EPA Grid Emission Factors'!U47*'EPA Emission Factors Hub'!$D$10)/10^3</f>
        <v>5.3246589921008606E-5</v>
      </c>
      <c r="W9" s="146">
        <f>(V45+V46*'EPA Emission Factors Hub'!$D$9+'EPA Grid Emission Factors'!V47*'EPA Emission Factors Hub'!$D$10)/10^3</f>
        <v>3.9934942440756458E-5</v>
      </c>
      <c r="X9" s="146">
        <f>(W45+W46*'EPA Emission Factors Hub'!$D$9+'EPA Grid Emission Factors'!W47*'EPA Emission Factors Hub'!$D$10)/10^3</f>
        <v>2.6623294960504317E-5</v>
      </c>
      <c r="Y9" s="146">
        <f>(X45+X46*'EPA Emission Factors Hub'!$D$9+'EPA Grid Emission Factors'!X47*'EPA Emission Factors Hub'!$D$10)/10^3</f>
        <v>1.331164748025217E-5</v>
      </c>
      <c r="Z9" s="146">
        <f>(Y45+Y46*'EPA Emission Factors Hub'!$D$9+'EPA Grid Emission Factors'!Y47*'EPA Emission Factors Hub'!$D$10)/10^3</f>
        <v>0</v>
      </c>
      <c r="AA9" s="146">
        <f>(Z45+Z46*'EPA Emission Factors Hub'!$D$9+'EPA Grid Emission Factors'!Z47*'EPA Emission Factors Hub'!$D$10)/10^3</f>
        <v>0</v>
      </c>
      <c r="AB9" s="146">
        <f>(AA45+AA46*'EPA Emission Factors Hub'!$D$9+'EPA Grid Emission Factors'!AA47*'EPA Emission Factors Hub'!$D$10)/10^3</f>
        <v>0</v>
      </c>
      <c r="AC9" s="146">
        <f>(AB45+AB46*'EPA Emission Factors Hub'!$D$9+'EPA Grid Emission Factors'!AB47*'EPA Emission Factors Hub'!$D$10)/10^3</f>
        <v>0</v>
      </c>
      <c r="AD9" s="146">
        <f>(AC45+AC46*'EPA Emission Factors Hub'!$D$9+'EPA Grid Emission Factors'!AC47*'EPA Emission Factors Hub'!$D$10)/10^3</f>
        <v>0</v>
      </c>
      <c r="AE9" s="146">
        <f>(AD45+AD46*'EPA Emission Factors Hub'!$D$9+'EPA Grid Emission Factors'!AD47*'EPA Emission Factors Hub'!$D$10)/10^3</f>
        <v>0</v>
      </c>
      <c r="AF9" s="146">
        <f>(AE45+AE46*'EPA Emission Factors Hub'!$D$9+'EPA Grid Emission Factors'!AE47*'EPA Emission Factors Hub'!$D$10)/10^3</f>
        <v>0</v>
      </c>
      <c r="AG9" s="146">
        <f>(AF45+AF46*'EPA Emission Factors Hub'!$D$9+'EPA Grid Emission Factors'!AF47*'EPA Emission Factors Hub'!$D$10)/10^3</f>
        <v>0</v>
      </c>
      <c r="AH9" s="146">
        <f>(AG45+AG46*'EPA Emission Factors Hub'!$D$9+'EPA Grid Emission Factors'!AG47*'EPA Emission Factors Hub'!$D$10)/10^3</f>
        <v>0</v>
      </c>
      <c r="AI9" s="146">
        <f>(AH45+AH46*'EPA Emission Factors Hub'!$D$9+'EPA Grid Emission Factors'!AH47*'EPA Emission Factors Hub'!$D$10)/10^3</f>
        <v>0</v>
      </c>
    </row>
    <row r="10" spans="1:38">
      <c r="C10" s="222" t="s">
        <v>536</v>
      </c>
      <c r="D10" t="s">
        <v>531</v>
      </c>
      <c r="E10" s="145"/>
      <c r="F10" s="145"/>
      <c r="G10" s="145"/>
      <c r="H10" s="146">
        <f t="shared" ref="H10:AI10" si="1">H37</f>
        <v>4.2262585034013602E-4</v>
      </c>
      <c r="I10" s="146">
        <f t="shared" si="1"/>
        <v>4.2262585034013602E-4</v>
      </c>
      <c r="J10" s="146">
        <f t="shared" si="1"/>
        <v>4.2262585034013602E-4</v>
      </c>
      <c r="K10" s="146">
        <f t="shared" si="1"/>
        <v>4.2262585034013602E-4</v>
      </c>
      <c r="L10" s="146">
        <f t="shared" si="1"/>
        <v>4.2262585034013602E-4</v>
      </c>
      <c r="M10" s="146">
        <f t="shared" si="1"/>
        <v>4.2262585034013602E-4</v>
      </c>
      <c r="N10" s="146">
        <f t="shared" si="1"/>
        <v>4.2262585034013602E-4</v>
      </c>
      <c r="O10" s="146">
        <f t="shared" si="1"/>
        <v>4.2262585034013602E-4</v>
      </c>
      <c r="P10" s="146">
        <f t="shared" si="1"/>
        <v>4.2262585034013602E-4</v>
      </c>
      <c r="Q10" s="146">
        <f t="shared" si="1"/>
        <v>4.2262585034013602E-4</v>
      </c>
      <c r="R10" s="146">
        <f t="shared" si="1"/>
        <v>4.2262585034013602E-4</v>
      </c>
      <c r="S10" s="146">
        <f t="shared" si="1"/>
        <v>4.2262585034013602E-4</v>
      </c>
      <c r="T10" s="146">
        <f t="shared" si="1"/>
        <v>4.2262585034013602E-4</v>
      </c>
      <c r="U10" s="146">
        <f t="shared" si="1"/>
        <v>4.2262585034013602E-4</v>
      </c>
      <c r="V10" s="146">
        <f t="shared" si="1"/>
        <v>4.2262585034013602E-4</v>
      </c>
      <c r="W10" s="146">
        <f t="shared" si="1"/>
        <v>4.2262585034013602E-4</v>
      </c>
      <c r="X10" s="146">
        <f t="shared" si="1"/>
        <v>4.2262585034013602E-4</v>
      </c>
      <c r="Y10" s="146">
        <f t="shared" si="1"/>
        <v>4.2262585034013602E-4</v>
      </c>
      <c r="Z10" s="146">
        <f t="shared" si="1"/>
        <v>4.2262585034013602E-4</v>
      </c>
      <c r="AA10" s="146">
        <f t="shared" si="1"/>
        <v>4.2262585034013602E-4</v>
      </c>
      <c r="AB10" s="146">
        <f t="shared" si="1"/>
        <v>4.2262585034013602E-4</v>
      </c>
      <c r="AC10" s="146">
        <f t="shared" si="1"/>
        <v>4.2262585034013602E-4</v>
      </c>
      <c r="AD10" s="146">
        <f t="shared" si="1"/>
        <v>4.2262585034013602E-4</v>
      </c>
      <c r="AE10" s="146">
        <f t="shared" si="1"/>
        <v>4.2262585034013602E-4</v>
      </c>
      <c r="AF10" s="146">
        <f t="shared" si="1"/>
        <v>4.2262585034013602E-4</v>
      </c>
      <c r="AG10" s="146">
        <f t="shared" si="1"/>
        <v>4.2262585034013602E-4</v>
      </c>
      <c r="AH10" s="146">
        <f t="shared" si="1"/>
        <v>4.2262585034013602E-4</v>
      </c>
      <c r="AI10" s="146">
        <f t="shared" si="1"/>
        <v>4.2262585034013602E-4</v>
      </c>
    </row>
    <row r="11" spans="1:38">
      <c r="C11" s="222"/>
      <c r="E11" s="145"/>
      <c r="F11" s="145"/>
      <c r="G11" s="145"/>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row>
    <row r="12" spans="1:38">
      <c r="C12" s="222"/>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row>
    <row r="13" spans="1:38">
      <c r="C13" s="222"/>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row>
    <row r="14" spans="1:38">
      <c r="C14" s="222"/>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row>
    <row r="15" spans="1:38" s="139" customFormat="1" ht="21">
      <c r="A15" s="140" t="s">
        <v>537</v>
      </c>
      <c r="C15" s="223"/>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row>
    <row r="16" spans="1:38">
      <c r="C16" s="222"/>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row>
    <row r="17" spans="1:38">
      <c r="A17" s="4" t="s">
        <v>538</v>
      </c>
      <c r="C17" s="222"/>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row>
    <row r="19" spans="1:38">
      <c r="A19" s="141" t="s">
        <v>431</v>
      </c>
      <c r="B19" s="141" t="s">
        <v>529</v>
      </c>
      <c r="C19" s="141" t="s">
        <v>180</v>
      </c>
      <c r="D19" s="141" t="s">
        <v>349</v>
      </c>
      <c r="E19" s="220">
        <v>2020</v>
      </c>
      <c r="F19" s="220">
        <v>2021</v>
      </c>
      <c r="G19" s="220">
        <v>2022</v>
      </c>
      <c r="H19" s="220">
        <v>2023</v>
      </c>
      <c r="I19" s="220">
        <v>2024</v>
      </c>
      <c r="J19" s="220">
        <v>2025</v>
      </c>
      <c r="K19" s="220">
        <v>2026</v>
      </c>
      <c r="L19" s="220">
        <v>2027</v>
      </c>
      <c r="M19" s="220">
        <v>2028</v>
      </c>
      <c r="N19" s="220">
        <v>2029</v>
      </c>
      <c r="O19" s="220">
        <v>2030</v>
      </c>
      <c r="P19" s="220">
        <v>2031</v>
      </c>
      <c r="Q19" s="220">
        <v>2032</v>
      </c>
      <c r="R19" s="220">
        <v>2033</v>
      </c>
      <c r="S19" s="220">
        <v>2034</v>
      </c>
      <c r="T19" s="220">
        <v>2035</v>
      </c>
      <c r="U19" s="220">
        <v>2036</v>
      </c>
      <c r="V19" s="220">
        <v>2037</v>
      </c>
      <c r="W19" s="220">
        <v>2038</v>
      </c>
      <c r="X19" s="220">
        <v>2039</v>
      </c>
      <c r="Y19" s="220">
        <v>2040</v>
      </c>
      <c r="Z19" s="220">
        <v>2041</v>
      </c>
      <c r="AA19" s="220">
        <v>2042</v>
      </c>
      <c r="AB19" s="220">
        <v>2043</v>
      </c>
      <c r="AC19" s="220">
        <v>2044</v>
      </c>
      <c r="AD19" s="220">
        <v>2045</v>
      </c>
      <c r="AE19" s="220">
        <v>2046</v>
      </c>
      <c r="AF19" s="220">
        <v>2047</v>
      </c>
      <c r="AG19" s="220">
        <v>2048</v>
      </c>
      <c r="AH19" s="220">
        <v>2049</v>
      </c>
      <c r="AI19" s="220">
        <v>2050</v>
      </c>
      <c r="AJ19" s="220">
        <v>2051</v>
      </c>
      <c r="AK19" s="728">
        <v>2052</v>
      </c>
      <c r="AL19" s="728">
        <v>2053</v>
      </c>
    </row>
    <row r="20" spans="1:38">
      <c r="A20" s="222" t="s">
        <v>418</v>
      </c>
      <c r="B20" s="222" t="s">
        <v>539</v>
      </c>
      <c r="C20" s="222" t="s">
        <v>183</v>
      </c>
      <c r="D20" s="222" t="s">
        <v>540</v>
      </c>
      <c r="E20" s="224">
        <v>1.2999999999999999E-3</v>
      </c>
      <c r="F20" s="224">
        <v>1.2999999999999999E-3</v>
      </c>
      <c r="G20" s="224">
        <v>1.1999999999999999E-3</v>
      </c>
      <c r="H20" s="224">
        <v>1.1000000000000001E-3</v>
      </c>
      <c r="I20" s="224">
        <v>1.1000000000000001E-3</v>
      </c>
      <c r="J20" s="224">
        <v>1E-3</v>
      </c>
      <c r="K20" s="224">
        <v>8.9999999999999998E-4</v>
      </c>
      <c r="L20" s="224">
        <v>8.0000000000000004E-4</v>
      </c>
      <c r="M20" s="224">
        <v>6.9999999999999999E-4</v>
      </c>
      <c r="N20" s="224">
        <v>5.9999999999999995E-4</v>
      </c>
      <c r="O20" s="224">
        <v>5.0000000000000001E-4</v>
      </c>
      <c r="P20" s="224">
        <v>5.0000000000000001E-4</v>
      </c>
      <c r="Q20" s="224">
        <v>5.0000000000000001E-4</v>
      </c>
      <c r="R20" s="224">
        <v>5.0000000000000001E-4</v>
      </c>
      <c r="S20" s="224">
        <v>5.0000000000000001E-4</v>
      </c>
      <c r="T20" s="224">
        <v>4.0000000000000002E-4</v>
      </c>
      <c r="U20" s="224">
        <v>4.0000000000000002E-4</v>
      </c>
      <c r="V20" s="224">
        <v>5.0000000000000001E-4</v>
      </c>
      <c r="W20" s="224">
        <v>5.0000000000000001E-4</v>
      </c>
      <c r="X20" s="224">
        <v>5.0000000000000001E-4</v>
      </c>
      <c r="Y20" s="224">
        <v>5.0000000000000001E-4</v>
      </c>
      <c r="Z20" s="224">
        <v>5.0000000000000001E-4</v>
      </c>
      <c r="AA20" s="224">
        <v>5.0000000000000001E-4</v>
      </c>
      <c r="AB20" s="224">
        <v>5.0000000000000001E-4</v>
      </c>
      <c r="AC20" s="224">
        <v>5.0000000000000001E-4</v>
      </c>
      <c r="AD20" s="224">
        <v>5.0000000000000001E-4</v>
      </c>
      <c r="AE20" s="224">
        <v>5.0000000000000001E-4</v>
      </c>
      <c r="AF20" s="224">
        <v>5.9999999999999995E-4</v>
      </c>
      <c r="AG20" s="224">
        <v>5.9999999999999995E-4</v>
      </c>
      <c r="AH20" s="224">
        <v>5.9999999999999995E-4</v>
      </c>
      <c r="AI20" s="224">
        <v>5.9999999999999995E-4</v>
      </c>
      <c r="AJ20" s="224">
        <v>5.9999999999999995E-4</v>
      </c>
      <c r="AK20" s="224">
        <v>5.9999999999999995E-4</v>
      </c>
      <c r="AL20" s="729">
        <v>5.9999999999999995E-4</v>
      </c>
    </row>
    <row r="21" spans="1:38">
      <c r="A21" s="222" t="s">
        <v>418</v>
      </c>
      <c r="B21" s="222" t="s">
        <v>541</v>
      </c>
      <c r="C21" s="222" t="s">
        <v>183</v>
      </c>
      <c r="D21" s="222" t="s">
        <v>540</v>
      </c>
      <c r="E21" s="224">
        <v>1.2999999999999999E-3</v>
      </c>
      <c r="F21" s="224">
        <v>1.2999999999999999E-3</v>
      </c>
      <c r="G21" s="224">
        <v>1.1999999999999999E-3</v>
      </c>
      <c r="H21" s="224">
        <v>1.1000000000000001E-3</v>
      </c>
      <c r="I21" s="224">
        <v>1.1000000000000001E-3</v>
      </c>
      <c r="J21" s="224">
        <v>1E-3</v>
      </c>
      <c r="K21" s="224">
        <v>8.9999999999999998E-4</v>
      </c>
      <c r="L21" s="224">
        <v>8.0000000000000004E-4</v>
      </c>
      <c r="M21" s="224">
        <v>5.9999999999999995E-4</v>
      </c>
      <c r="N21" s="224">
        <v>5.0000000000000001E-4</v>
      </c>
      <c r="O21" s="224">
        <v>4.0000000000000002E-4</v>
      </c>
      <c r="P21" s="224">
        <v>4.0000000000000002E-4</v>
      </c>
      <c r="Q21" s="224">
        <v>2.9999999999999997E-4</v>
      </c>
      <c r="R21" s="224">
        <v>2.9999999999999997E-4</v>
      </c>
      <c r="S21" s="224">
        <v>2.9999999999999997E-4</v>
      </c>
      <c r="T21" s="224">
        <v>2.9999999999999997E-4</v>
      </c>
      <c r="U21" s="224">
        <v>2.0000000000000001E-4</v>
      </c>
      <c r="V21" s="224">
        <v>2.0000000000000001E-4</v>
      </c>
      <c r="W21" s="224">
        <v>1E-4</v>
      </c>
      <c r="X21" s="224">
        <v>0</v>
      </c>
      <c r="Y21" s="224">
        <v>0</v>
      </c>
      <c r="Z21" s="224">
        <v>0</v>
      </c>
      <c r="AA21" s="224">
        <v>0</v>
      </c>
      <c r="AB21" s="224">
        <v>0</v>
      </c>
      <c r="AC21" s="224">
        <v>0</v>
      </c>
      <c r="AD21" s="224">
        <v>0</v>
      </c>
      <c r="AE21" s="224">
        <v>0</v>
      </c>
      <c r="AF21" s="224">
        <v>0</v>
      </c>
      <c r="AG21" s="224">
        <v>0</v>
      </c>
      <c r="AH21" s="224">
        <v>0</v>
      </c>
      <c r="AI21" s="224">
        <v>0</v>
      </c>
      <c r="AJ21" s="224">
        <v>0</v>
      </c>
      <c r="AK21" s="224">
        <v>0</v>
      </c>
      <c r="AL21" s="224">
        <v>0</v>
      </c>
    </row>
    <row r="22" spans="1:38">
      <c r="A22" s="222" t="s">
        <v>418</v>
      </c>
      <c r="B22" s="222" t="s">
        <v>542</v>
      </c>
      <c r="C22" s="222" t="s">
        <v>183</v>
      </c>
      <c r="D22" s="222" t="s">
        <v>540</v>
      </c>
      <c r="E22" s="224">
        <v>1.2999999999999999E-3</v>
      </c>
      <c r="F22" s="224">
        <v>1.2999999999999999E-3</v>
      </c>
      <c r="G22" s="224">
        <v>1.1999999999999999E-3</v>
      </c>
      <c r="H22" s="224">
        <v>1.1000000000000001E-3</v>
      </c>
      <c r="I22" s="224">
        <v>1.1000000000000001E-3</v>
      </c>
      <c r="J22" s="224">
        <v>1E-3</v>
      </c>
      <c r="K22" s="224">
        <v>8.9999999999999998E-4</v>
      </c>
      <c r="L22" s="224">
        <v>8.0000000000000004E-4</v>
      </c>
      <c r="M22" s="224">
        <v>5.9999999999999995E-4</v>
      </c>
      <c r="N22" s="224">
        <v>5.0000000000000001E-4</v>
      </c>
      <c r="O22" s="224">
        <v>4.0000000000000002E-4</v>
      </c>
      <c r="P22" s="224">
        <v>4.0000000000000002E-4</v>
      </c>
      <c r="Q22" s="224">
        <v>4.0000000000000002E-4</v>
      </c>
      <c r="R22" s="224">
        <v>2.9999999999999997E-4</v>
      </c>
      <c r="S22" s="224">
        <v>2.9999999999999997E-4</v>
      </c>
      <c r="T22" s="224">
        <v>2.9999999999999997E-4</v>
      </c>
      <c r="U22" s="224">
        <v>2.0000000000000001E-4</v>
      </c>
      <c r="V22" s="224">
        <v>2.0000000000000001E-4</v>
      </c>
      <c r="W22" s="224">
        <v>1E-4</v>
      </c>
      <c r="X22" s="224">
        <v>0</v>
      </c>
      <c r="Y22" s="224">
        <v>0</v>
      </c>
      <c r="Z22" s="224">
        <v>0</v>
      </c>
      <c r="AA22" s="224">
        <v>0</v>
      </c>
      <c r="AB22" s="224">
        <v>0</v>
      </c>
      <c r="AC22" s="224">
        <v>0</v>
      </c>
      <c r="AD22" s="224">
        <v>0</v>
      </c>
      <c r="AE22" s="224">
        <v>0</v>
      </c>
      <c r="AF22" s="224">
        <v>0</v>
      </c>
      <c r="AG22" s="224">
        <v>0</v>
      </c>
      <c r="AH22" s="224">
        <v>0</v>
      </c>
      <c r="AI22" s="224">
        <v>0</v>
      </c>
      <c r="AJ22" s="224">
        <v>0</v>
      </c>
      <c r="AK22" s="224">
        <v>0</v>
      </c>
      <c r="AL22" s="224">
        <v>0</v>
      </c>
    </row>
    <row r="23" spans="1:38">
      <c r="A23" s="222" t="s">
        <v>418</v>
      </c>
      <c r="B23" s="222" t="s">
        <v>543</v>
      </c>
      <c r="C23" s="222" t="s">
        <v>183</v>
      </c>
      <c r="D23" s="222" t="s">
        <v>540</v>
      </c>
      <c r="E23" s="224">
        <v>1.2999999999999999E-3</v>
      </c>
      <c r="F23" s="224">
        <v>1.2999999999999999E-3</v>
      </c>
      <c r="G23" s="224">
        <v>1.1999999999999999E-3</v>
      </c>
      <c r="H23" s="224">
        <v>1.1000000000000001E-3</v>
      </c>
      <c r="I23" s="224">
        <v>1.1000000000000001E-3</v>
      </c>
      <c r="J23" s="224">
        <v>1E-3</v>
      </c>
      <c r="K23" s="224">
        <v>8.9999999999999998E-4</v>
      </c>
      <c r="L23" s="224">
        <v>8.0000000000000004E-4</v>
      </c>
      <c r="M23" s="224">
        <v>5.9999999999999995E-4</v>
      </c>
      <c r="N23" s="224">
        <v>5.0000000000000001E-4</v>
      </c>
      <c r="O23" s="224">
        <v>4.0000000000000002E-4</v>
      </c>
      <c r="P23" s="224">
        <v>4.0000000000000002E-4</v>
      </c>
      <c r="Q23" s="224">
        <v>4.0000000000000002E-4</v>
      </c>
      <c r="R23" s="224">
        <v>2.9999999999999997E-4</v>
      </c>
      <c r="S23" s="224">
        <v>2.9999999999999997E-4</v>
      </c>
      <c r="T23" s="224">
        <v>2.9999999999999997E-4</v>
      </c>
      <c r="U23" s="224">
        <v>2.0000000000000001E-4</v>
      </c>
      <c r="V23" s="224">
        <v>2.0000000000000001E-4</v>
      </c>
      <c r="W23" s="224">
        <v>1E-4</v>
      </c>
      <c r="X23" s="224">
        <v>0</v>
      </c>
      <c r="Y23" s="224">
        <v>0</v>
      </c>
      <c r="Z23" s="224">
        <v>0</v>
      </c>
      <c r="AA23" s="224">
        <v>0</v>
      </c>
      <c r="AB23" s="224">
        <v>0</v>
      </c>
      <c r="AC23" s="224">
        <v>0</v>
      </c>
      <c r="AD23" s="224">
        <v>0</v>
      </c>
      <c r="AE23" s="224">
        <v>0</v>
      </c>
      <c r="AF23" s="224">
        <v>0</v>
      </c>
      <c r="AG23" s="224">
        <v>0</v>
      </c>
      <c r="AH23" s="224">
        <v>0</v>
      </c>
      <c r="AI23" s="224">
        <v>0</v>
      </c>
      <c r="AJ23" s="224">
        <v>0</v>
      </c>
      <c r="AK23" s="224">
        <v>0</v>
      </c>
      <c r="AL23" s="224">
        <v>0</v>
      </c>
    </row>
    <row r="24" spans="1:38">
      <c r="A24" s="222" t="s">
        <v>418</v>
      </c>
      <c r="B24" s="222" t="s">
        <v>539</v>
      </c>
      <c r="C24" s="222" t="s">
        <v>185</v>
      </c>
      <c r="D24" s="222" t="s">
        <v>544</v>
      </c>
      <c r="E24" s="224">
        <v>0.2344</v>
      </c>
      <c r="F24" s="224">
        <v>0.2235</v>
      </c>
      <c r="G24" s="224">
        <v>0.2127</v>
      </c>
      <c r="H24" s="224">
        <v>0.2019</v>
      </c>
      <c r="I24" s="224">
        <v>0.191</v>
      </c>
      <c r="J24" s="224">
        <v>0.17960000000000001</v>
      </c>
      <c r="K24" s="224">
        <v>0.16300000000000001</v>
      </c>
      <c r="L24" s="224">
        <v>0.14610000000000001</v>
      </c>
      <c r="M24" s="224">
        <v>0.129</v>
      </c>
      <c r="N24" s="224">
        <v>0.1115</v>
      </c>
      <c r="O24" s="224">
        <v>9.3899999999999997E-2</v>
      </c>
      <c r="P24" s="224">
        <v>9.0999999999999998E-2</v>
      </c>
      <c r="Q24" s="224">
        <v>8.8099999999999998E-2</v>
      </c>
      <c r="R24" s="224">
        <v>8.5000000000000006E-2</v>
      </c>
      <c r="S24" s="224">
        <v>8.2000000000000003E-2</v>
      </c>
      <c r="T24" s="224">
        <v>7.8799999999999995E-2</v>
      </c>
      <c r="U24" s="224">
        <v>7.9600000000000004E-2</v>
      </c>
      <c r="V24" s="224">
        <v>8.0399999999999999E-2</v>
      </c>
      <c r="W24" s="224">
        <v>8.1000000000000003E-2</v>
      </c>
      <c r="X24" s="224">
        <v>8.1600000000000006E-2</v>
      </c>
      <c r="Y24" s="224">
        <v>8.2100000000000006E-2</v>
      </c>
      <c r="Z24" s="224">
        <v>8.3199999999999996E-2</v>
      </c>
      <c r="AA24" s="224">
        <v>8.4400000000000003E-2</v>
      </c>
      <c r="AB24" s="224">
        <v>8.5400000000000004E-2</v>
      </c>
      <c r="AC24" s="224">
        <v>8.6400000000000005E-2</v>
      </c>
      <c r="AD24" s="224">
        <v>8.7400000000000005E-2</v>
      </c>
      <c r="AE24" s="224">
        <v>9.35E-2</v>
      </c>
      <c r="AF24" s="224">
        <v>9.9500000000000005E-2</v>
      </c>
      <c r="AG24" s="224">
        <v>0.1052</v>
      </c>
      <c r="AH24" s="224">
        <v>0.1109</v>
      </c>
      <c r="AI24" s="224">
        <v>0.1163</v>
      </c>
      <c r="AJ24" s="224">
        <v>0.1163</v>
      </c>
      <c r="AK24" s="224">
        <v>0.1163</v>
      </c>
      <c r="AL24" s="224">
        <v>0.1163</v>
      </c>
    </row>
    <row r="25" spans="1:38">
      <c r="A25" s="222" t="s">
        <v>418</v>
      </c>
      <c r="B25" s="222" t="s">
        <v>541</v>
      </c>
      <c r="C25" s="222" t="s">
        <v>185</v>
      </c>
      <c r="D25" s="222" t="s">
        <v>544</v>
      </c>
      <c r="E25" s="224">
        <v>0.2339</v>
      </c>
      <c r="F25" s="224">
        <v>0.22409999999999999</v>
      </c>
      <c r="G25" s="224">
        <v>0.2142</v>
      </c>
      <c r="H25" s="224">
        <v>0.2041</v>
      </c>
      <c r="I25" s="224">
        <v>0.19339999999999999</v>
      </c>
      <c r="J25" s="224">
        <v>0.18179999999999999</v>
      </c>
      <c r="K25" s="224">
        <v>0.16</v>
      </c>
      <c r="L25" s="224">
        <v>0.13739999999999999</v>
      </c>
      <c r="M25" s="224">
        <v>0.1147</v>
      </c>
      <c r="N25" s="224">
        <v>9.1899999999999996E-2</v>
      </c>
      <c r="O25" s="224">
        <v>7.0199999999999999E-2</v>
      </c>
      <c r="P25" s="224">
        <v>6.5000000000000002E-2</v>
      </c>
      <c r="Q25" s="224">
        <v>6.0299999999999999E-2</v>
      </c>
      <c r="R25" s="224">
        <v>5.6000000000000001E-2</v>
      </c>
      <c r="S25" s="224">
        <v>5.21E-2</v>
      </c>
      <c r="T25" s="224">
        <v>4.8500000000000001E-2</v>
      </c>
      <c r="U25" s="224">
        <v>3.7499999999999999E-2</v>
      </c>
      <c r="V25" s="224">
        <v>2.7199999999999998E-2</v>
      </c>
      <c r="W25" s="224">
        <v>1.77E-2</v>
      </c>
      <c r="X25" s="224">
        <v>8.6999999999999994E-3</v>
      </c>
      <c r="Y25" s="224">
        <v>2.0000000000000001E-4</v>
      </c>
      <c r="Z25" s="224">
        <v>2.9999999999999997E-4</v>
      </c>
      <c r="AA25" s="224">
        <v>5.0000000000000001E-4</v>
      </c>
      <c r="AB25" s="224">
        <v>5.9999999999999995E-4</v>
      </c>
      <c r="AC25" s="224">
        <v>6.9999999999999999E-4</v>
      </c>
      <c r="AD25" s="224">
        <v>8.0000000000000004E-4</v>
      </c>
      <c r="AE25" s="224">
        <v>8.9999999999999998E-4</v>
      </c>
      <c r="AF25" s="224">
        <v>8.9999999999999998E-4</v>
      </c>
      <c r="AG25" s="224">
        <v>1E-3</v>
      </c>
      <c r="AH25" s="224">
        <v>1.1000000000000001E-3</v>
      </c>
      <c r="AI25" s="224">
        <v>1.1000000000000001E-3</v>
      </c>
      <c r="AJ25" s="224">
        <v>1.1000000000000001E-3</v>
      </c>
      <c r="AK25" s="224">
        <v>1.1000000000000001E-3</v>
      </c>
      <c r="AL25" s="224">
        <v>1.1000000000000001E-3</v>
      </c>
    </row>
    <row r="26" spans="1:38">
      <c r="A26" s="222" t="s">
        <v>418</v>
      </c>
      <c r="B26" s="222" t="s">
        <v>542</v>
      </c>
      <c r="C26" s="222" t="s">
        <v>185</v>
      </c>
      <c r="D26" s="222" t="s">
        <v>544</v>
      </c>
      <c r="E26" s="224">
        <v>0.2339</v>
      </c>
      <c r="F26" s="224">
        <v>0.2238</v>
      </c>
      <c r="G26" s="224">
        <v>0.21379999999999999</v>
      </c>
      <c r="H26" s="224">
        <v>0.2034</v>
      </c>
      <c r="I26" s="224">
        <v>0.1925</v>
      </c>
      <c r="J26" s="224">
        <v>0.18060000000000001</v>
      </c>
      <c r="K26" s="224">
        <v>0.16070000000000001</v>
      </c>
      <c r="L26" s="224">
        <v>0.1356</v>
      </c>
      <c r="M26" s="224">
        <v>0.11260000000000001</v>
      </c>
      <c r="N26" s="224">
        <v>9.3799999999999994E-2</v>
      </c>
      <c r="O26" s="224">
        <v>7.5300000000000006E-2</v>
      </c>
      <c r="P26" s="224">
        <v>6.8900000000000003E-2</v>
      </c>
      <c r="Q26" s="224">
        <v>6.3100000000000003E-2</v>
      </c>
      <c r="R26" s="224">
        <v>5.7599999999999998E-2</v>
      </c>
      <c r="S26" s="224">
        <v>5.2699999999999997E-2</v>
      </c>
      <c r="T26" s="224">
        <v>4.8099999999999997E-2</v>
      </c>
      <c r="U26" s="224">
        <v>3.7199999999999997E-2</v>
      </c>
      <c r="V26" s="224">
        <v>2.7099999999999999E-2</v>
      </c>
      <c r="W26" s="224">
        <v>1.7600000000000001E-2</v>
      </c>
      <c r="X26" s="224">
        <v>8.8000000000000005E-3</v>
      </c>
      <c r="Y26" s="224">
        <v>4.0000000000000002E-4</v>
      </c>
      <c r="Z26" s="224">
        <v>5.0000000000000001E-4</v>
      </c>
      <c r="AA26" s="224">
        <v>5.9999999999999995E-4</v>
      </c>
      <c r="AB26" s="224">
        <v>6.9999999999999999E-4</v>
      </c>
      <c r="AC26" s="224">
        <v>6.9999999999999999E-4</v>
      </c>
      <c r="AD26" s="224">
        <v>6.9999999999999999E-4</v>
      </c>
      <c r="AE26" s="224">
        <v>8.0000000000000004E-4</v>
      </c>
      <c r="AF26" s="224">
        <v>8.9999999999999998E-4</v>
      </c>
      <c r="AG26" s="224">
        <v>1E-3</v>
      </c>
      <c r="AH26" s="224">
        <v>1E-3</v>
      </c>
      <c r="AI26" s="224">
        <v>1.1000000000000001E-3</v>
      </c>
      <c r="AJ26" s="224">
        <v>1.1000000000000001E-3</v>
      </c>
      <c r="AK26" s="224">
        <v>1.1000000000000001E-3</v>
      </c>
      <c r="AL26" s="224">
        <v>1.1000000000000001E-3</v>
      </c>
    </row>
    <row r="27" spans="1:38">
      <c r="A27" s="222" t="s">
        <v>418</v>
      </c>
      <c r="B27" s="222" t="s">
        <v>543</v>
      </c>
      <c r="C27" s="222" t="s">
        <v>185</v>
      </c>
      <c r="D27" s="222" t="s">
        <v>544</v>
      </c>
      <c r="E27" s="224">
        <v>0.2339</v>
      </c>
      <c r="F27" s="224">
        <v>0.22389999999999999</v>
      </c>
      <c r="G27" s="224">
        <v>0.214</v>
      </c>
      <c r="H27" s="224">
        <v>0.20369999999999999</v>
      </c>
      <c r="I27" s="224">
        <v>0.193</v>
      </c>
      <c r="J27" s="224">
        <v>0.1812</v>
      </c>
      <c r="K27" s="224">
        <v>0.16109999999999999</v>
      </c>
      <c r="L27" s="224">
        <v>0.1358</v>
      </c>
      <c r="M27" s="224">
        <v>0.11269999999999999</v>
      </c>
      <c r="N27" s="224">
        <v>9.3200000000000005E-2</v>
      </c>
      <c r="O27" s="224">
        <v>7.4200000000000002E-2</v>
      </c>
      <c r="P27" s="224">
        <v>6.8000000000000005E-2</v>
      </c>
      <c r="Q27" s="224">
        <v>6.2199999999999998E-2</v>
      </c>
      <c r="R27" s="224">
        <v>5.6800000000000003E-2</v>
      </c>
      <c r="S27" s="224">
        <v>5.1900000000000002E-2</v>
      </c>
      <c r="T27" s="224">
        <v>4.7399999999999998E-2</v>
      </c>
      <c r="U27" s="224">
        <v>3.6799999999999999E-2</v>
      </c>
      <c r="V27" s="224">
        <v>2.6800000000000001E-2</v>
      </c>
      <c r="W27" s="224">
        <v>1.7500000000000002E-2</v>
      </c>
      <c r="X27" s="224">
        <v>8.6999999999999994E-3</v>
      </c>
      <c r="Y27" s="224">
        <v>5.0000000000000001E-4</v>
      </c>
      <c r="Z27" s="224">
        <v>5.0000000000000001E-4</v>
      </c>
      <c r="AA27" s="224">
        <v>5.9999999999999995E-4</v>
      </c>
      <c r="AB27" s="224">
        <v>5.9999999999999995E-4</v>
      </c>
      <c r="AC27" s="224">
        <v>5.9999999999999995E-4</v>
      </c>
      <c r="AD27" s="224">
        <v>5.9999999999999995E-4</v>
      </c>
      <c r="AE27" s="224">
        <v>6.9999999999999999E-4</v>
      </c>
      <c r="AF27" s="224">
        <v>8.0000000000000004E-4</v>
      </c>
      <c r="AG27" s="224">
        <v>8.9999999999999998E-4</v>
      </c>
      <c r="AH27" s="224">
        <v>8.9999999999999998E-4</v>
      </c>
      <c r="AI27" s="224">
        <v>1E-3</v>
      </c>
      <c r="AJ27" s="224">
        <v>1E-3</v>
      </c>
      <c r="AK27" s="224">
        <v>1E-3</v>
      </c>
      <c r="AL27" s="224">
        <v>1E-3</v>
      </c>
    </row>
    <row r="28" spans="1:38">
      <c r="A28" s="222" t="s">
        <v>418</v>
      </c>
      <c r="B28" s="222" t="s">
        <v>539</v>
      </c>
      <c r="C28" s="222" t="s">
        <v>184</v>
      </c>
      <c r="D28" s="222" t="s">
        <v>545</v>
      </c>
      <c r="E28" s="224">
        <v>0</v>
      </c>
      <c r="F28" s="224">
        <v>0</v>
      </c>
      <c r="G28" s="224">
        <v>0</v>
      </c>
      <c r="H28" s="224">
        <v>0</v>
      </c>
      <c r="I28" s="224">
        <v>0</v>
      </c>
      <c r="J28" s="224">
        <v>0</v>
      </c>
      <c r="K28" s="224">
        <v>0</v>
      </c>
      <c r="L28" s="224">
        <v>0</v>
      </c>
      <c r="M28" s="224">
        <v>0</v>
      </c>
      <c r="N28" s="224">
        <v>0</v>
      </c>
      <c r="O28" s="224">
        <v>0</v>
      </c>
      <c r="P28" s="224">
        <v>0</v>
      </c>
      <c r="Q28" s="224">
        <v>0</v>
      </c>
      <c r="R28" s="224">
        <v>0</v>
      </c>
      <c r="S28" s="224">
        <v>0</v>
      </c>
      <c r="T28" s="224">
        <v>0</v>
      </c>
      <c r="U28" s="224">
        <v>0</v>
      </c>
      <c r="V28" s="224">
        <v>0</v>
      </c>
      <c r="W28" s="224">
        <v>0</v>
      </c>
      <c r="X28" s="224">
        <v>0</v>
      </c>
      <c r="Y28" s="224">
        <v>0</v>
      </c>
      <c r="Z28" s="224">
        <v>0</v>
      </c>
      <c r="AA28" s="224">
        <v>0</v>
      </c>
      <c r="AB28" s="224">
        <v>0</v>
      </c>
      <c r="AC28" s="224">
        <v>0</v>
      </c>
      <c r="AD28" s="224">
        <v>0</v>
      </c>
      <c r="AE28" s="224">
        <v>0</v>
      </c>
      <c r="AF28" s="224">
        <v>0</v>
      </c>
      <c r="AG28" s="224">
        <v>0</v>
      </c>
      <c r="AH28" s="224">
        <v>0</v>
      </c>
      <c r="AI28" s="224">
        <v>0</v>
      </c>
      <c r="AJ28" s="224">
        <v>0</v>
      </c>
      <c r="AK28" s="224">
        <v>0</v>
      </c>
      <c r="AL28" s="224">
        <v>0</v>
      </c>
    </row>
    <row r="29" spans="1:38">
      <c r="A29" s="222" t="s">
        <v>418</v>
      </c>
      <c r="B29" s="222" t="s">
        <v>541</v>
      </c>
      <c r="C29" s="222" t="s">
        <v>184</v>
      </c>
      <c r="D29" s="222" t="s">
        <v>545</v>
      </c>
      <c r="E29" s="224">
        <v>0</v>
      </c>
      <c r="F29" s="224">
        <v>0</v>
      </c>
      <c r="G29" s="224">
        <v>0</v>
      </c>
      <c r="H29" s="224">
        <v>0</v>
      </c>
      <c r="I29" s="224">
        <v>0</v>
      </c>
      <c r="J29" s="224">
        <v>0</v>
      </c>
      <c r="K29" s="224">
        <v>0</v>
      </c>
      <c r="L29" s="224">
        <v>0</v>
      </c>
      <c r="M29" s="224">
        <v>0</v>
      </c>
      <c r="N29" s="224">
        <v>0</v>
      </c>
      <c r="O29" s="224">
        <v>0</v>
      </c>
      <c r="P29" s="224">
        <v>0</v>
      </c>
      <c r="Q29" s="224">
        <v>0</v>
      </c>
      <c r="R29" s="224">
        <v>0</v>
      </c>
      <c r="S29" s="224">
        <v>0</v>
      </c>
      <c r="T29" s="224">
        <v>0</v>
      </c>
      <c r="U29" s="224">
        <v>0</v>
      </c>
      <c r="V29" s="224">
        <v>0</v>
      </c>
      <c r="W29" s="224">
        <v>0</v>
      </c>
      <c r="X29" s="224">
        <v>0</v>
      </c>
      <c r="Y29" s="224">
        <v>0</v>
      </c>
      <c r="Z29" s="224">
        <v>0</v>
      </c>
      <c r="AA29" s="224">
        <v>0</v>
      </c>
      <c r="AB29" s="224">
        <v>0</v>
      </c>
      <c r="AC29" s="224">
        <v>0</v>
      </c>
      <c r="AD29" s="224">
        <v>0</v>
      </c>
      <c r="AE29" s="224">
        <v>0</v>
      </c>
      <c r="AF29" s="224">
        <v>0</v>
      </c>
      <c r="AG29" s="224">
        <v>0</v>
      </c>
      <c r="AH29" s="224">
        <v>0</v>
      </c>
      <c r="AI29" s="224">
        <v>0</v>
      </c>
      <c r="AJ29" s="224">
        <v>0</v>
      </c>
      <c r="AK29" s="224">
        <v>0</v>
      </c>
      <c r="AL29" s="224">
        <v>0</v>
      </c>
    </row>
    <row r="30" spans="1:38">
      <c r="A30" s="222" t="s">
        <v>418</v>
      </c>
      <c r="B30" s="222" t="s">
        <v>542</v>
      </c>
      <c r="C30" s="222" t="s">
        <v>184</v>
      </c>
      <c r="D30" s="222" t="s">
        <v>545</v>
      </c>
      <c r="E30" s="224">
        <v>0</v>
      </c>
      <c r="F30" s="224">
        <v>0</v>
      </c>
      <c r="G30" s="224">
        <v>0</v>
      </c>
      <c r="H30" s="224">
        <v>0</v>
      </c>
      <c r="I30" s="224">
        <v>0</v>
      </c>
      <c r="J30" s="224">
        <v>0</v>
      </c>
      <c r="K30" s="224">
        <v>0</v>
      </c>
      <c r="L30" s="224">
        <v>0</v>
      </c>
      <c r="M30" s="224">
        <v>0</v>
      </c>
      <c r="N30" s="224">
        <v>0</v>
      </c>
      <c r="O30" s="224">
        <v>0</v>
      </c>
      <c r="P30" s="224">
        <v>0</v>
      </c>
      <c r="Q30" s="224">
        <v>0</v>
      </c>
      <c r="R30" s="224">
        <v>0</v>
      </c>
      <c r="S30" s="224">
        <v>0</v>
      </c>
      <c r="T30" s="224">
        <v>0</v>
      </c>
      <c r="U30" s="224">
        <v>0</v>
      </c>
      <c r="V30" s="224">
        <v>0</v>
      </c>
      <c r="W30" s="224">
        <v>0</v>
      </c>
      <c r="X30" s="224">
        <v>0</v>
      </c>
      <c r="Y30" s="224">
        <v>0</v>
      </c>
      <c r="Z30" s="224">
        <v>0</v>
      </c>
      <c r="AA30" s="224">
        <v>0</v>
      </c>
      <c r="AB30" s="224">
        <v>0</v>
      </c>
      <c r="AC30" s="224">
        <v>0</v>
      </c>
      <c r="AD30" s="224">
        <v>0</v>
      </c>
      <c r="AE30" s="224">
        <v>0</v>
      </c>
      <c r="AF30" s="224">
        <v>0</v>
      </c>
      <c r="AG30" s="224">
        <v>0</v>
      </c>
      <c r="AH30" s="224">
        <v>0</v>
      </c>
      <c r="AI30" s="224">
        <v>0</v>
      </c>
      <c r="AJ30" s="224">
        <v>0</v>
      </c>
      <c r="AK30" s="224">
        <v>0</v>
      </c>
      <c r="AL30" s="224">
        <v>0</v>
      </c>
    </row>
    <row r="31" spans="1:38">
      <c r="A31" s="222" t="s">
        <v>418</v>
      </c>
      <c r="B31" s="222" t="s">
        <v>543</v>
      </c>
      <c r="C31" s="222" t="s">
        <v>184</v>
      </c>
      <c r="D31" s="222" t="s">
        <v>545</v>
      </c>
      <c r="E31" s="224">
        <v>0</v>
      </c>
      <c r="F31" s="224">
        <v>0</v>
      </c>
      <c r="G31" s="224">
        <v>0</v>
      </c>
      <c r="H31" s="224">
        <v>0</v>
      </c>
      <c r="I31" s="224">
        <v>0</v>
      </c>
      <c r="J31" s="224">
        <v>0</v>
      </c>
      <c r="K31" s="224">
        <v>0</v>
      </c>
      <c r="L31" s="224">
        <v>0</v>
      </c>
      <c r="M31" s="224">
        <v>0</v>
      </c>
      <c r="N31" s="224">
        <v>0</v>
      </c>
      <c r="O31" s="224">
        <v>0</v>
      </c>
      <c r="P31" s="224">
        <v>0</v>
      </c>
      <c r="Q31" s="224">
        <v>0</v>
      </c>
      <c r="R31" s="224">
        <v>0</v>
      </c>
      <c r="S31" s="224">
        <v>0</v>
      </c>
      <c r="T31" s="224">
        <v>0</v>
      </c>
      <c r="U31" s="224">
        <v>0</v>
      </c>
      <c r="V31" s="224">
        <v>0</v>
      </c>
      <c r="W31" s="224">
        <v>0</v>
      </c>
      <c r="X31" s="224">
        <v>0</v>
      </c>
      <c r="Y31" s="224">
        <v>0</v>
      </c>
      <c r="Z31" s="224">
        <v>0</v>
      </c>
      <c r="AA31" s="224">
        <v>0</v>
      </c>
      <c r="AB31" s="224">
        <v>0</v>
      </c>
      <c r="AC31" s="224">
        <v>0</v>
      </c>
      <c r="AD31" s="224">
        <v>0</v>
      </c>
      <c r="AE31" s="224">
        <v>0</v>
      </c>
      <c r="AF31" s="224">
        <v>0</v>
      </c>
      <c r="AG31" s="224">
        <v>0</v>
      </c>
      <c r="AH31" s="224">
        <v>0</v>
      </c>
      <c r="AI31" s="224">
        <v>0</v>
      </c>
      <c r="AJ31" s="224">
        <v>0</v>
      </c>
      <c r="AK31" s="224">
        <v>0</v>
      </c>
      <c r="AL31" s="224">
        <v>0</v>
      </c>
    </row>
    <row r="34" spans="1:39">
      <c r="A34" s="148" t="s">
        <v>22</v>
      </c>
      <c r="AJ34" s="730"/>
      <c r="AK34" s="730"/>
      <c r="AL34" s="730"/>
      <c r="AM34" s="730"/>
    </row>
    <row r="35" spans="1:39">
      <c r="A35" s="222" t="s">
        <v>339</v>
      </c>
      <c r="B35" s="174" t="s">
        <v>332</v>
      </c>
      <c r="AJ35" s="730"/>
      <c r="AK35" s="730"/>
      <c r="AL35" s="730"/>
      <c r="AM35" s="730"/>
    </row>
    <row r="36" spans="1:39">
      <c r="C36" s="141" t="s">
        <v>529</v>
      </c>
      <c r="D36" s="141" t="s">
        <v>349</v>
      </c>
      <c r="E36" s="220">
        <v>2020</v>
      </c>
      <c r="F36" s="220">
        <v>2021</v>
      </c>
      <c r="G36" s="220">
        <v>2022</v>
      </c>
      <c r="H36" s="220">
        <v>2023</v>
      </c>
      <c r="I36" s="220">
        <f t="shared" ref="I36:AI36" si="2">H36+1</f>
        <v>2024</v>
      </c>
      <c r="J36" s="220">
        <f t="shared" si="2"/>
        <v>2025</v>
      </c>
      <c r="K36" s="220">
        <f t="shared" si="2"/>
        <v>2026</v>
      </c>
      <c r="L36" s="220">
        <f t="shared" si="2"/>
        <v>2027</v>
      </c>
      <c r="M36" s="220">
        <f t="shared" si="2"/>
        <v>2028</v>
      </c>
      <c r="N36" s="220">
        <f t="shared" si="2"/>
        <v>2029</v>
      </c>
      <c r="O36" s="220">
        <f t="shared" si="2"/>
        <v>2030</v>
      </c>
      <c r="P36" s="220">
        <f t="shared" si="2"/>
        <v>2031</v>
      </c>
      <c r="Q36" s="220">
        <f t="shared" si="2"/>
        <v>2032</v>
      </c>
      <c r="R36" s="220">
        <f t="shared" si="2"/>
        <v>2033</v>
      </c>
      <c r="S36" s="220">
        <f t="shared" si="2"/>
        <v>2034</v>
      </c>
      <c r="T36" s="220">
        <f t="shared" si="2"/>
        <v>2035</v>
      </c>
      <c r="U36" s="220">
        <f t="shared" si="2"/>
        <v>2036</v>
      </c>
      <c r="V36" s="220">
        <f t="shared" si="2"/>
        <v>2037</v>
      </c>
      <c r="W36" s="220">
        <f t="shared" si="2"/>
        <v>2038</v>
      </c>
      <c r="X36" s="220">
        <f t="shared" si="2"/>
        <v>2039</v>
      </c>
      <c r="Y36" s="220">
        <f t="shared" si="2"/>
        <v>2040</v>
      </c>
      <c r="Z36" s="220">
        <f t="shared" si="2"/>
        <v>2041</v>
      </c>
      <c r="AA36" s="220">
        <f t="shared" si="2"/>
        <v>2042</v>
      </c>
      <c r="AB36" s="220">
        <f t="shared" si="2"/>
        <v>2043</v>
      </c>
      <c r="AC36" s="220">
        <f t="shared" si="2"/>
        <v>2044</v>
      </c>
      <c r="AD36" s="220">
        <f t="shared" si="2"/>
        <v>2045</v>
      </c>
      <c r="AE36" s="220">
        <f t="shared" si="2"/>
        <v>2046</v>
      </c>
      <c r="AF36" s="220">
        <f t="shared" si="2"/>
        <v>2047</v>
      </c>
      <c r="AG36" s="220">
        <f t="shared" si="2"/>
        <v>2048</v>
      </c>
      <c r="AH36" s="220">
        <f t="shared" si="2"/>
        <v>2049</v>
      </c>
      <c r="AI36" s="732">
        <f t="shared" si="2"/>
        <v>2050</v>
      </c>
      <c r="AJ36" s="731"/>
      <c r="AK36" s="731"/>
      <c r="AL36" s="731"/>
      <c r="AM36" s="730"/>
    </row>
    <row r="37" spans="1:39">
      <c r="C37" t="s">
        <v>546</v>
      </c>
      <c r="D37" t="s">
        <v>531</v>
      </c>
      <c r="E37" s="145"/>
      <c r="F37" s="145"/>
      <c r="G37" s="145"/>
      <c r="H37">
        <f>'EPA Emission Factors Hub'!X338</f>
        <v>4.2262585034013602E-4</v>
      </c>
      <c r="I37">
        <f t="shared" ref="I37:AI37" si="3">H37</f>
        <v>4.2262585034013602E-4</v>
      </c>
      <c r="J37">
        <f t="shared" si="3"/>
        <v>4.2262585034013602E-4</v>
      </c>
      <c r="K37">
        <f t="shared" si="3"/>
        <v>4.2262585034013602E-4</v>
      </c>
      <c r="L37">
        <f t="shared" si="3"/>
        <v>4.2262585034013602E-4</v>
      </c>
      <c r="M37">
        <f t="shared" si="3"/>
        <v>4.2262585034013602E-4</v>
      </c>
      <c r="N37">
        <f t="shared" si="3"/>
        <v>4.2262585034013602E-4</v>
      </c>
      <c r="O37">
        <f t="shared" si="3"/>
        <v>4.2262585034013602E-4</v>
      </c>
      <c r="P37">
        <f t="shared" si="3"/>
        <v>4.2262585034013602E-4</v>
      </c>
      <c r="Q37">
        <f t="shared" si="3"/>
        <v>4.2262585034013602E-4</v>
      </c>
      <c r="R37">
        <f t="shared" si="3"/>
        <v>4.2262585034013602E-4</v>
      </c>
      <c r="S37">
        <f t="shared" si="3"/>
        <v>4.2262585034013602E-4</v>
      </c>
      <c r="T37">
        <f t="shared" si="3"/>
        <v>4.2262585034013602E-4</v>
      </c>
      <c r="U37">
        <f t="shared" si="3"/>
        <v>4.2262585034013602E-4</v>
      </c>
      <c r="V37">
        <f t="shared" si="3"/>
        <v>4.2262585034013602E-4</v>
      </c>
      <c r="W37">
        <f t="shared" si="3"/>
        <v>4.2262585034013602E-4</v>
      </c>
      <c r="X37">
        <f t="shared" si="3"/>
        <v>4.2262585034013602E-4</v>
      </c>
      <c r="Y37">
        <f t="shared" si="3"/>
        <v>4.2262585034013602E-4</v>
      </c>
      <c r="Z37">
        <f t="shared" si="3"/>
        <v>4.2262585034013602E-4</v>
      </c>
      <c r="AA37">
        <f t="shared" si="3"/>
        <v>4.2262585034013602E-4</v>
      </c>
      <c r="AB37">
        <f t="shared" si="3"/>
        <v>4.2262585034013602E-4</v>
      </c>
      <c r="AC37">
        <f t="shared" si="3"/>
        <v>4.2262585034013602E-4</v>
      </c>
      <c r="AD37">
        <f t="shared" si="3"/>
        <v>4.2262585034013602E-4</v>
      </c>
      <c r="AE37">
        <f t="shared" si="3"/>
        <v>4.2262585034013602E-4</v>
      </c>
      <c r="AF37">
        <f t="shared" si="3"/>
        <v>4.2262585034013602E-4</v>
      </c>
      <c r="AG37">
        <f t="shared" si="3"/>
        <v>4.2262585034013602E-4</v>
      </c>
      <c r="AH37">
        <f t="shared" si="3"/>
        <v>4.2262585034013602E-4</v>
      </c>
      <c r="AI37">
        <f t="shared" si="3"/>
        <v>4.2262585034013602E-4</v>
      </c>
      <c r="AJ37" s="730"/>
      <c r="AK37" s="730"/>
      <c r="AL37" s="730"/>
      <c r="AM37" s="730"/>
    </row>
    <row r="38" spans="1:39">
      <c r="C38" t="s">
        <v>547</v>
      </c>
      <c r="D38" t="s">
        <v>531</v>
      </c>
      <c r="E38" s="145"/>
      <c r="F38" s="145"/>
      <c r="G38" s="145"/>
    </row>
    <row r="41" spans="1:39">
      <c r="A41" s="225" t="s">
        <v>548</v>
      </c>
      <c r="C41" s="4"/>
    </row>
    <row r="42" spans="1:39">
      <c r="A42" s="196" t="s">
        <v>339</v>
      </c>
      <c r="B42" s="174" t="s">
        <v>549</v>
      </c>
    </row>
    <row r="44" spans="1:39">
      <c r="B44" s="141" t="s">
        <v>529</v>
      </c>
      <c r="C44" s="141" t="s">
        <v>180</v>
      </c>
      <c r="D44" s="141" t="s">
        <v>349</v>
      </c>
      <c r="E44" s="141"/>
      <c r="F44" s="141"/>
      <c r="G44" s="141">
        <v>2022</v>
      </c>
      <c r="H44" s="141">
        <v>2023</v>
      </c>
      <c r="I44" s="141">
        <v>2024</v>
      </c>
      <c r="J44" s="141">
        <v>2025</v>
      </c>
      <c r="K44" s="141">
        <v>2026</v>
      </c>
      <c r="L44" s="141">
        <v>2027</v>
      </c>
      <c r="M44" s="141">
        <v>2028</v>
      </c>
      <c r="N44" s="141">
        <v>2029</v>
      </c>
      <c r="O44" s="141">
        <v>2030</v>
      </c>
      <c r="P44" s="141">
        <v>2031</v>
      </c>
      <c r="Q44" s="141">
        <v>2032</v>
      </c>
      <c r="R44" s="141">
        <v>2033</v>
      </c>
      <c r="S44" s="141">
        <v>2034</v>
      </c>
      <c r="T44" s="141">
        <v>2035</v>
      </c>
      <c r="U44" s="141">
        <v>2036</v>
      </c>
      <c r="V44" s="141">
        <v>2037</v>
      </c>
      <c r="W44" s="141">
        <v>2038</v>
      </c>
      <c r="X44" s="141">
        <v>2039</v>
      </c>
      <c r="Y44" s="141">
        <v>2040</v>
      </c>
      <c r="Z44" s="141">
        <v>2041</v>
      </c>
      <c r="AA44" s="141">
        <v>2042</v>
      </c>
      <c r="AB44" s="141">
        <v>2043</v>
      </c>
      <c r="AC44" s="141">
        <v>2044</v>
      </c>
      <c r="AD44" s="141">
        <v>2045</v>
      </c>
      <c r="AE44" s="141">
        <v>2046</v>
      </c>
      <c r="AF44" s="141">
        <v>2047</v>
      </c>
      <c r="AG44" s="141">
        <v>2048</v>
      </c>
      <c r="AH44" s="141">
        <v>2049</v>
      </c>
      <c r="AI44" s="141">
        <v>2050</v>
      </c>
    </row>
    <row r="45" spans="1:39">
      <c r="B45" t="s">
        <v>550</v>
      </c>
      <c r="C45" t="s">
        <v>185</v>
      </c>
      <c r="D45" t="s">
        <v>551</v>
      </c>
      <c r="E45" s="145"/>
      <c r="F45" s="145"/>
      <c r="G45" s="149">
        <v>0.31268981692759745</v>
      </c>
      <c r="H45" s="149">
        <v>0.30236920386306038</v>
      </c>
      <c r="I45" s="149">
        <v>0.27088955296658196</v>
      </c>
      <c r="J45" s="149">
        <v>0.26007712067929889</v>
      </c>
      <c r="K45" s="149">
        <v>0.22937659696651272</v>
      </c>
      <c r="L45" s="149">
        <v>0.20152022810945841</v>
      </c>
      <c r="M45" s="149">
        <v>0.15659473817477981</v>
      </c>
      <c r="N45" s="149">
        <v>0.13825610705022559</v>
      </c>
      <c r="O45" s="149">
        <v>0.11508509752489532</v>
      </c>
      <c r="P45" s="150">
        <v>0.10357658777240579</v>
      </c>
      <c r="Q45" s="150">
        <v>9.2068078019916261E-2</v>
      </c>
      <c r="R45" s="150">
        <v>8.0559568267426732E-2</v>
      </c>
      <c r="S45" s="150">
        <v>6.9051058514937202E-2</v>
      </c>
      <c r="T45" s="150">
        <v>5.7542548762447673E-2</v>
      </c>
      <c r="U45" s="150">
        <v>4.6034039009958144E-2</v>
      </c>
      <c r="V45" s="150">
        <v>3.4525529257468615E-2</v>
      </c>
      <c r="W45" s="150">
        <v>2.3017019504979083E-2</v>
      </c>
      <c r="X45" s="150">
        <v>1.150850975248955E-2</v>
      </c>
      <c r="Y45" s="151">
        <v>0</v>
      </c>
      <c r="Z45" s="151">
        <v>0</v>
      </c>
      <c r="AA45" s="151">
        <v>0</v>
      </c>
      <c r="AB45" s="151">
        <v>0</v>
      </c>
      <c r="AC45" s="151">
        <v>0</v>
      </c>
      <c r="AD45" s="151">
        <v>0</v>
      </c>
      <c r="AE45" s="151">
        <v>0</v>
      </c>
      <c r="AF45" s="151">
        <v>0</v>
      </c>
      <c r="AG45" s="151">
        <v>0</v>
      </c>
      <c r="AH45" s="151">
        <v>0</v>
      </c>
      <c r="AI45" s="151">
        <v>0</v>
      </c>
    </row>
    <row r="46" spans="1:39">
      <c r="B46" t="s">
        <v>550</v>
      </c>
      <c r="C46" t="s">
        <v>183</v>
      </c>
      <c r="D46" t="s">
        <v>551</v>
      </c>
      <c r="E46" s="145"/>
      <c r="F46" s="145"/>
      <c r="G46" s="149">
        <v>1.7288495600260674E-3</v>
      </c>
      <c r="H46" s="149">
        <v>1.6717873009120918E-3</v>
      </c>
      <c r="I46" s="149">
        <v>1.4977375632618485E-3</v>
      </c>
      <c r="J46" s="149">
        <v>1.4379560552282521E-3</v>
      </c>
      <c r="K46" s="149">
        <v>1.2682140807855409E-3</v>
      </c>
      <c r="L46" s="149">
        <v>1.1141973254090991E-3</v>
      </c>
      <c r="M46" s="149">
        <v>8.6580607854764853E-4</v>
      </c>
      <c r="N46" s="149">
        <v>7.6441251651007496E-4</v>
      </c>
      <c r="O46" s="149">
        <v>6.3630092651063895E-4</v>
      </c>
      <c r="P46" s="150">
        <v>5.7267083385957509E-4</v>
      </c>
      <c r="Q46" s="150">
        <v>5.0904074120851123E-4</v>
      </c>
      <c r="R46" s="150">
        <v>4.4541064855744736E-4</v>
      </c>
      <c r="S46" s="150">
        <v>3.817805559063835E-4</v>
      </c>
      <c r="T46" s="150">
        <v>3.1815046325531964E-4</v>
      </c>
      <c r="U46" s="150">
        <v>2.5452037060425578E-4</v>
      </c>
      <c r="V46" s="150">
        <v>1.9089027795319189E-4</v>
      </c>
      <c r="W46" s="150">
        <v>1.27260185302128E-4</v>
      </c>
      <c r="X46" s="150">
        <v>6.3630092651064107E-5</v>
      </c>
      <c r="Y46" s="151">
        <v>0</v>
      </c>
      <c r="Z46" s="151">
        <v>0</v>
      </c>
      <c r="AA46" s="151">
        <v>0</v>
      </c>
      <c r="AB46" s="151">
        <v>0</v>
      </c>
      <c r="AC46" s="151">
        <v>0</v>
      </c>
      <c r="AD46" s="151">
        <v>0</v>
      </c>
      <c r="AE46" s="151">
        <v>0</v>
      </c>
      <c r="AF46" s="151">
        <v>0</v>
      </c>
      <c r="AG46" s="151">
        <v>0</v>
      </c>
      <c r="AH46" s="151">
        <v>0</v>
      </c>
      <c r="AI46" s="151">
        <v>0</v>
      </c>
    </row>
    <row r="47" spans="1:39">
      <c r="B47" t="s">
        <v>550</v>
      </c>
      <c r="C47" t="s">
        <v>272</v>
      </c>
      <c r="D47" t="s">
        <v>551</v>
      </c>
      <c r="E47" s="145"/>
      <c r="F47" s="145"/>
      <c r="G47" s="152">
        <v>2.2038849622949992E-6</v>
      </c>
      <c r="H47" s="152">
        <v>2.1311437257619747E-6</v>
      </c>
      <c r="I47" s="152">
        <v>1.9092704012299213E-6</v>
      </c>
      <c r="J47" s="152">
        <v>1.8330627486817294E-6</v>
      </c>
      <c r="K47" s="152">
        <v>1.6166808299803057E-6</v>
      </c>
      <c r="L47" s="152">
        <v>1.4203449434093018E-6</v>
      </c>
      <c r="M47" s="152">
        <v>1.1037033186080082E-6</v>
      </c>
      <c r="N47" s="152">
        <v>9.7444988221024315E-7</v>
      </c>
      <c r="O47" s="152">
        <v>8.1113711444622649E-7</v>
      </c>
      <c r="P47" s="153">
        <v>7.3002340300160383E-7</v>
      </c>
      <c r="Q47" s="153">
        <v>6.4890969155698117E-7</v>
      </c>
      <c r="R47" s="153">
        <v>5.6779598011235851E-7</v>
      </c>
      <c r="S47" s="153">
        <v>4.8668226866773585E-7</v>
      </c>
      <c r="T47" s="153">
        <v>4.0556855722311319E-7</v>
      </c>
      <c r="U47" s="153">
        <v>3.2445484577849053E-7</v>
      </c>
      <c r="V47" s="153">
        <v>2.4334113433386787E-7</v>
      </c>
      <c r="W47" s="153">
        <v>1.6222742288924521E-7</v>
      </c>
      <c r="X47" s="153">
        <v>8.1113711444622567E-8</v>
      </c>
      <c r="Y47" s="151">
        <v>0</v>
      </c>
      <c r="Z47" s="151">
        <v>0</v>
      </c>
      <c r="AA47" s="151">
        <v>0</v>
      </c>
      <c r="AB47" s="151">
        <v>0</v>
      </c>
      <c r="AC47" s="151">
        <v>0</v>
      </c>
      <c r="AD47" s="151">
        <v>0</v>
      </c>
      <c r="AE47" s="151">
        <v>0</v>
      </c>
      <c r="AF47" s="151">
        <v>0</v>
      </c>
      <c r="AG47" s="151">
        <v>0</v>
      </c>
      <c r="AH47" s="151">
        <v>0</v>
      </c>
      <c r="AI47" s="151">
        <v>0</v>
      </c>
    </row>
  </sheetData>
  <hyperlinks>
    <hyperlink ref="B42" r:id="rId1" xr:uid="{99B1B49D-EE7E-4B4B-80F8-17ADEB9C5E26}"/>
    <hyperlink ref="B35" r:id="rId2" xr:uid="{19B26D99-A5BC-4755-965E-E84FB4D09556}"/>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E3717-D899-4E8B-90FF-AEF8A0A09A92}">
  <sheetPr>
    <tabColor theme="0" tint="-4.9989318521683403E-2"/>
  </sheetPr>
  <dimension ref="A1:AM376"/>
  <sheetViews>
    <sheetView topLeftCell="A306" workbookViewId="0">
      <selection activeCell="D325" sqref="D325"/>
    </sheetView>
  </sheetViews>
  <sheetFormatPr defaultColWidth="8.85546875" defaultRowHeight="15"/>
  <cols>
    <col min="2" max="2" width="29.42578125" customWidth="1"/>
    <col min="3" max="3" width="28.42578125" customWidth="1"/>
    <col min="4" max="4" width="14.42578125" customWidth="1"/>
    <col min="7" max="9" width="9.5703125" bestFit="1" customWidth="1"/>
    <col min="10" max="10" width="12.42578125" customWidth="1"/>
    <col min="11" max="11" width="6.42578125" customWidth="1"/>
    <col min="15" max="15" width="25" customWidth="1"/>
    <col min="16" max="16" width="28.42578125" customWidth="1"/>
    <col min="17" max="17" width="14.42578125" customWidth="1"/>
    <col min="18" max="22" width="8.85546875" bestFit="1" customWidth="1"/>
    <col min="23" max="23" width="12.42578125" customWidth="1"/>
    <col min="24" max="24" width="15.42578125" customWidth="1"/>
    <col min="25" max="26" width="12.42578125" bestFit="1" customWidth="1"/>
  </cols>
  <sheetData>
    <row r="1" spans="1:39">
      <c r="A1" s="41"/>
      <c r="B1" s="508"/>
      <c r="C1" s="508"/>
      <c r="D1" s="508"/>
      <c r="E1" s="508"/>
      <c r="F1" s="508"/>
      <c r="G1" s="508"/>
      <c r="H1" s="508"/>
      <c r="I1" s="508"/>
      <c r="J1" s="508"/>
      <c r="K1" s="508"/>
      <c r="L1" s="508"/>
      <c r="M1" s="508"/>
      <c r="N1" s="41"/>
      <c r="O1" s="508"/>
      <c r="P1" s="508"/>
      <c r="Q1" s="508"/>
      <c r="R1" s="508"/>
      <c r="S1" s="508"/>
      <c r="T1" s="508"/>
      <c r="U1" s="508"/>
      <c r="V1" s="508"/>
      <c r="W1" s="508"/>
      <c r="X1" s="508"/>
      <c r="Y1" s="508"/>
      <c r="Z1" s="508"/>
      <c r="AA1" s="508"/>
      <c r="AB1" s="508"/>
      <c r="AC1" s="508"/>
      <c r="AD1" s="508"/>
      <c r="AE1" s="508"/>
      <c r="AF1" s="508"/>
      <c r="AG1" s="508"/>
      <c r="AH1" s="508"/>
      <c r="AI1" s="508"/>
      <c r="AJ1" s="508"/>
      <c r="AK1" s="508"/>
      <c r="AL1" s="508"/>
      <c r="AM1" s="508"/>
    </row>
    <row r="2" spans="1:39" ht="20.25">
      <c r="A2" s="816" t="s">
        <v>552</v>
      </c>
      <c r="B2" s="817"/>
      <c r="C2" s="817"/>
      <c r="D2" s="817"/>
      <c r="E2" s="817"/>
      <c r="F2" s="817"/>
      <c r="G2" s="817"/>
      <c r="H2" s="817"/>
      <c r="I2" s="817"/>
      <c r="J2" s="817"/>
      <c r="K2" s="508"/>
      <c r="L2" s="508"/>
      <c r="M2" s="508"/>
      <c r="N2" s="820" t="s">
        <v>553</v>
      </c>
      <c r="O2" s="817"/>
      <c r="P2" s="817"/>
      <c r="Q2" s="817"/>
      <c r="R2" s="817"/>
      <c r="S2" s="817"/>
      <c r="T2" s="817"/>
      <c r="U2" s="817"/>
      <c r="V2" s="817"/>
      <c r="W2" s="817"/>
      <c r="X2" s="695"/>
      <c r="Y2" s="508"/>
      <c r="Z2" s="508"/>
      <c r="AA2" s="508"/>
      <c r="AB2" s="508"/>
      <c r="AC2" s="508"/>
      <c r="AD2" s="508"/>
      <c r="AE2" s="508"/>
      <c r="AF2" s="508"/>
      <c r="AG2" s="508"/>
      <c r="AH2" s="508"/>
      <c r="AI2" s="508"/>
      <c r="AJ2" s="508"/>
      <c r="AK2" s="508"/>
      <c r="AL2" s="508"/>
      <c r="AM2" s="508"/>
    </row>
    <row r="3" spans="1:39">
      <c r="A3" s="41"/>
      <c r="B3" s="508"/>
      <c r="C3" s="508"/>
      <c r="D3" s="226"/>
      <c r="E3" s="42" t="s">
        <v>554</v>
      </c>
      <c r="F3" s="43"/>
      <c r="G3" s="508"/>
      <c r="H3" s="508"/>
      <c r="I3" s="508"/>
      <c r="J3" s="508"/>
      <c r="K3" s="508"/>
      <c r="L3" s="508"/>
      <c r="M3" s="508"/>
      <c r="N3" s="86"/>
      <c r="O3" s="86"/>
      <c r="P3" s="86"/>
      <c r="Q3" s="86"/>
      <c r="R3" s="86"/>
      <c r="S3" s="86"/>
      <c r="T3" s="86"/>
      <c r="U3" s="86"/>
      <c r="V3" s="86"/>
      <c r="W3" s="86"/>
      <c r="X3" s="86"/>
      <c r="Y3" s="508"/>
      <c r="Z3" s="508"/>
      <c r="AA3" s="508"/>
      <c r="AB3" s="508"/>
      <c r="AC3" s="508"/>
      <c r="AD3" s="508"/>
      <c r="AE3" s="508"/>
      <c r="AF3" s="508"/>
      <c r="AG3" s="508"/>
      <c r="AH3" s="508"/>
      <c r="AI3" s="508"/>
      <c r="AJ3" s="508"/>
      <c r="AK3" s="508"/>
      <c r="AL3" s="508"/>
      <c r="AM3" s="508"/>
    </row>
    <row r="4" spans="1:39" ht="18">
      <c r="A4" s="41"/>
      <c r="B4" s="44" t="s">
        <v>555</v>
      </c>
      <c r="C4" s="508"/>
      <c r="D4" s="508"/>
      <c r="E4" s="508"/>
      <c r="F4" s="227"/>
      <c r="G4" s="508"/>
      <c r="H4" s="508"/>
      <c r="I4" s="508"/>
      <c r="J4" s="508"/>
      <c r="K4" s="508"/>
      <c r="L4" s="508"/>
      <c r="M4" s="508"/>
      <c r="O4" s="86" t="s">
        <v>556</v>
      </c>
      <c r="P4" s="638" t="str">
        <f>'Summary Dashboard'!C4</f>
        <v>Included</v>
      </c>
      <c r="Q4" s="639">
        <f>IF(P4="included",1,0)</f>
        <v>1</v>
      </c>
      <c r="R4" s="86"/>
      <c r="S4" s="86"/>
      <c r="T4" s="86"/>
      <c r="U4" s="86"/>
      <c r="V4" s="86"/>
      <c r="W4" s="86"/>
      <c r="X4" s="86"/>
      <c r="Y4" s="508"/>
      <c r="Z4" s="508"/>
      <c r="AA4" s="508"/>
      <c r="AB4" s="508"/>
      <c r="AC4" s="508"/>
      <c r="AD4" s="508"/>
      <c r="AE4" s="508"/>
      <c r="AF4" s="508"/>
      <c r="AG4" s="508"/>
      <c r="AH4" s="508"/>
      <c r="AI4" s="508"/>
      <c r="AJ4" s="508"/>
      <c r="AK4" s="508"/>
      <c r="AL4" s="508"/>
      <c r="AM4" s="508"/>
    </row>
    <row r="5" spans="1:39" ht="50.45" customHeight="1">
      <c r="A5" s="41"/>
      <c r="B5" s="818" t="s">
        <v>979</v>
      </c>
      <c r="C5" s="817"/>
      <c r="D5" s="817"/>
      <c r="E5" s="817"/>
      <c r="F5" s="817"/>
      <c r="G5" s="817"/>
      <c r="H5" s="817"/>
      <c r="I5" s="817"/>
      <c r="J5" s="817"/>
      <c r="K5" s="508"/>
      <c r="L5" s="508"/>
      <c r="M5" s="508"/>
      <c r="N5" s="86"/>
      <c r="O5" s="86"/>
      <c r="P5" s="86"/>
      <c r="Q5" s="86"/>
      <c r="R5" s="86"/>
      <c r="S5" s="86"/>
      <c r="T5" s="86"/>
      <c r="U5" s="86"/>
      <c r="V5" s="86"/>
      <c r="W5" s="86"/>
      <c r="X5" s="86"/>
      <c r="Y5" s="508"/>
      <c r="Z5" s="508"/>
      <c r="AA5" s="508"/>
      <c r="AB5" s="508"/>
      <c r="AC5" s="508"/>
      <c r="AD5" s="508"/>
      <c r="AE5" s="508"/>
      <c r="AF5" s="508"/>
      <c r="AG5" s="508"/>
      <c r="AH5" s="508"/>
      <c r="AI5" s="508"/>
      <c r="AJ5" s="508"/>
      <c r="AK5" s="508"/>
      <c r="AL5" s="508"/>
      <c r="AM5" s="508"/>
    </row>
    <row r="6" spans="1:39" ht="15.75" thickBot="1">
      <c r="A6" s="41"/>
      <c r="B6" s="45"/>
      <c r="C6" s="693"/>
      <c r="D6" s="693"/>
      <c r="E6" s="693"/>
      <c r="F6" s="693"/>
      <c r="G6" s="693"/>
      <c r="H6" s="693"/>
      <c r="I6" s="693"/>
      <c r="J6" s="693"/>
      <c r="K6" s="508"/>
      <c r="L6" s="508"/>
      <c r="M6" s="508"/>
      <c r="N6" s="86"/>
      <c r="O6" s="86"/>
      <c r="P6" s="86"/>
      <c r="Q6" s="86"/>
      <c r="R6" s="86"/>
      <c r="S6" s="86"/>
      <c r="T6" s="86"/>
      <c r="U6" s="86"/>
      <c r="V6" s="86"/>
      <c r="W6" s="86"/>
      <c r="X6" s="86"/>
      <c r="Y6" s="508"/>
      <c r="Z6" s="508"/>
      <c r="AA6" s="508"/>
      <c r="AB6" s="508"/>
      <c r="AC6" s="508"/>
      <c r="AD6" s="508"/>
      <c r="AE6" s="508"/>
      <c r="AF6" s="508"/>
      <c r="AG6" s="508"/>
      <c r="AH6" s="508"/>
      <c r="AI6" s="508"/>
      <c r="AJ6" s="508"/>
      <c r="AK6" s="508"/>
      <c r="AL6" s="508"/>
      <c r="AM6" s="508"/>
    </row>
    <row r="7" spans="1:39" ht="15.75" thickBot="1">
      <c r="A7" s="41"/>
      <c r="B7" s="508"/>
      <c r="C7" s="760" t="s">
        <v>410</v>
      </c>
      <c r="D7" s="761" t="s">
        <v>59</v>
      </c>
      <c r="E7" s="693"/>
      <c r="F7" s="693"/>
      <c r="G7" s="738"/>
      <c r="H7" s="738"/>
      <c r="I7" s="693"/>
      <c r="J7" s="693"/>
      <c r="K7" s="508"/>
      <c r="L7" s="508"/>
      <c r="M7" s="508"/>
      <c r="N7" s="86"/>
      <c r="O7" s="86"/>
      <c r="P7" s="86"/>
      <c r="Q7" s="86"/>
      <c r="R7" s="86"/>
      <c r="S7" s="86"/>
      <c r="T7" s="86"/>
      <c r="U7" s="86"/>
      <c r="V7" s="86"/>
      <c r="W7" s="86"/>
      <c r="X7" s="86"/>
      <c r="Y7" s="508"/>
      <c r="Z7" s="508"/>
      <c r="AA7" s="508"/>
      <c r="AB7" s="508"/>
      <c r="AC7" s="508"/>
      <c r="AD7" s="508"/>
      <c r="AE7" s="508"/>
      <c r="AF7" s="508"/>
      <c r="AG7" s="508"/>
      <c r="AH7" s="508"/>
      <c r="AI7" s="508"/>
      <c r="AJ7" s="508"/>
      <c r="AK7" s="508"/>
      <c r="AL7" s="508"/>
      <c r="AM7" s="508"/>
    </row>
    <row r="8" spans="1:39" ht="15.75">
      <c r="A8" s="41"/>
      <c r="B8" s="508"/>
      <c r="C8" s="758" t="s">
        <v>978</v>
      </c>
      <c r="D8" s="759">
        <v>1</v>
      </c>
      <c r="E8" s="45"/>
      <c r="F8" s="45"/>
      <c r="G8" s="738"/>
      <c r="H8" s="738"/>
      <c r="I8" s="508"/>
      <c r="J8" s="508"/>
      <c r="K8" s="508"/>
      <c r="L8" s="508"/>
      <c r="M8" s="508"/>
      <c r="N8" s="86"/>
      <c r="O8" s="86"/>
      <c r="P8" s="86"/>
      <c r="Q8" s="86"/>
      <c r="R8" s="86"/>
      <c r="S8" s="86"/>
      <c r="T8" s="86"/>
      <c r="U8" s="86"/>
      <c r="V8" s="86"/>
      <c r="W8" s="86"/>
      <c r="X8" s="86"/>
      <c r="Y8" s="508"/>
      <c r="Z8" s="508"/>
      <c r="AA8" s="508"/>
      <c r="AB8" s="228"/>
      <c r="AC8" s="508"/>
      <c r="AD8" s="508"/>
      <c r="AE8" s="508"/>
      <c r="AF8" s="508"/>
      <c r="AG8" s="508"/>
      <c r="AH8" s="508"/>
      <c r="AI8" s="508"/>
      <c r="AJ8" s="508"/>
      <c r="AK8" s="508"/>
      <c r="AL8" s="508"/>
      <c r="AM8" s="508"/>
    </row>
    <row r="9" spans="1:39" ht="15.75">
      <c r="A9" s="41"/>
      <c r="B9" s="508"/>
      <c r="C9" s="757" t="s">
        <v>557</v>
      </c>
      <c r="D9" s="734">
        <v>28</v>
      </c>
      <c r="E9" s="45"/>
      <c r="F9" s="45"/>
      <c r="G9" s="508"/>
      <c r="H9" s="762"/>
      <c r="I9" s="508"/>
      <c r="J9" s="508"/>
      <c r="K9" s="508"/>
      <c r="L9" s="508"/>
      <c r="M9" s="508"/>
      <c r="N9" s="86"/>
      <c r="O9" s="86"/>
      <c r="P9" s="86"/>
      <c r="Q9" s="86"/>
      <c r="R9" s="86"/>
      <c r="S9" s="86"/>
      <c r="T9" s="86"/>
      <c r="U9" s="86"/>
      <c r="V9" s="86"/>
      <c r="W9" s="86"/>
      <c r="X9" s="86"/>
      <c r="Y9" s="508"/>
      <c r="Z9" s="508"/>
      <c r="AA9" s="508"/>
      <c r="AB9" s="228"/>
      <c r="AC9" s="508"/>
      <c r="AD9" s="508"/>
      <c r="AE9" s="508"/>
      <c r="AF9" s="508"/>
      <c r="AG9" s="508"/>
      <c r="AH9" s="508"/>
      <c r="AI9" s="508"/>
      <c r="AJ9" s="508"/>
      <c r="AK9" s="508"/>
      <c r="AL9" s="508"/>
      <c r="AM9" s="508"/>
    </row>
    <row r="10" spans="1:39" ht="16.5" thickBot="1">
      <c r="A10" s="41"/>
      <c r="B10" s="508"/>
      <c r="C10" s="516" t="s">
        <v>558</v>
      </c>
      <c r="D10" s="517">
        <v>265</v>
      </c>
      <c r="E10" s="508"/>
      <c r="F10" s="508"/>
      <c r="G10" s="508"/>
      <c r="H10" s="508"/>
      <c r="I10" s="508"/>
      <c r="J10" s="508"/>
      <c r="K10" s="508"/>
      <c r="L10" s="508"/>
      <c r="M10" s="508"/>
      <c r="N10" s="86"/>
      <c r="O10" s="86"/>
      <c r="P10" s="86"/>
      <c r="Q10" s="86"/>
      <c r="R10" s="86"/>
      <c r="S10" s="86"/>
      <c r="T10" s="86"/>
      <c r="U10" s="86"/>
      <c r="V10" s="86"/>
      <c r="W10" s="86"/>
      <c r="X10" s="86"/>
      <c r="Y10" s="508"/>
      <c r="Z10" s="508"/>
      <c r="AA10" s="229"/>
      <c r="AB10" s="229"/>
      <c r="AC10" s="508"/>
      <c r="AD10" s="508"/>
      <c r="AE10" s="508"/>
      <c r="AF10" s="508"/>
      <c r="AG10" s="508"/>
      <c r="AH10" s="508"/>
      <c r="AI10" s="508"/>
      <c r="AJ10" s="508"/>
      <c r="AK10" s="508"/>
      <c r="AL10" s="508"/>
      <c r="AM10" s="508"/>
    </row>
    <row r="11" spans="1:39" ht="23.45" customHeight="1">
      <c r="A11" s="41"/>
      <c r="B11" s="508"/>
      <c r="C11" s="819" t="s">
        <v>559</v>
      </c>
      <c r="D11" s="819"/>
      <c r="E11" s="819"/>
      <c r="F11" s="819"/>
      <c r="G11" s="819"/>
      <c r="H11" s="508"/>
      <c r="I11" s="508"/>
      <c r="J11" s="508"/>
      <c r="K11" s="508"/>
      <c r="L11" s="508"/>
      <c r="M11" s="508"/>
      <c r="N11" s="86"/>
      <c r="O11" s="86"/>
      <c r="P11" s="86"/>
      <c r="Q11" s="86"/>
      <c r="R11" s="86"/>
      <c r="S11" s="86"/>
      <c r="T11" s="86"/>
      <c r="U11" s="86"/>
      <c r="V11" s="86"/>
      <c r="W11" s="86"/>
      <c r="X11" s="86"/>
      <c r="Y11" s="508"/>
      <c r="Z11" s="508"/>
      <c r="AA11" s="229"/>
      <c r="AB11" s="229"/>
      <c r="AC11" s="508"/>
      <c r="AD11" s="508"/>
      <c r="AE11" s="508"/>
      <c r="AF11" s="508"/>
      <c r="AG11" s="508"/>
      <c r="AH11" s="508"/>
      <c r="AI11" s="508"/>
      <c r="AJ11" s="508"/>
      <c r="AK11" s="508"/>
      <c r="AL11" s="508"/>
      <c r="AM11" s="508"/>
    </row>
    <row r="12" spans="1:39">
      <c r="A12" s="41"/>
      <c r="B12" s="508"/>
      <c r="C12" s="508"/>
      <c r="D12" s="508"/>
      <c r="E12" s="508"/>
      <c r="F12" s="508"/>
      <c r="G12" s="508"/>
      <c r="H12" s="508"/>
      <c r="I12" s="508"/>
      <c r="J12" s="508"/>
      <c r="K12" s="508"/>
      <c r="L12" s="508"/>
      <c r="M12" s="508"/>
      <c r="N12" s="640"/>
      <c r="O12" s="640"/>
      <c r="P12" s="640"/>
      <c r="Q12" s="640"/>
      <c r="R12" s="640"/>
      <c r="S12" s="640"/>
      <c r="T12" s="640"/>
      <c r="U12" s="640"/>
      <c r="V12" s="640"/>
      <c r="W12" s="640"/>
      <c r="X12" s="640"/>
      <c r="Y12" s="508"/>
      <c r="Z12" s="508"/>
      <c r="AA12" s="229"/>
      <c r="AB12" s="229"/>
      <c r="AC12" s="508"/>
      <c r="AD12" s="508"/>
      <c r="AE12" s="508"/>
      <c r="AF12" s="508"/>
      <c r="AG12" s="508"/>
      <c r="AH12" s="508"/>
      <c r="AI12" s="508"/>
      <c r="AJ12" s="508"/>
      <c r="AK12" s="508"/>
      <c r="AL12" s="508"/>
      <c r="AM12" s="508"/>
    </row>
    <row r="13" spans="1:39" ht="15.75">
      <c r="A13" s="641" t="s">
        <v>560</v>
      </c>
      <c r="B13" s="518" t="s">
        <v>561</v>
      </c>
      <c r="C13" s="519"/>
      <c r="D13" s="519"/>
      <c r="E13" s="520"/>
      <c r="F13" s="520"/>
      <c r="G13" s="520"/>
      <c r="H13" s="520"/>
      <c r="I13" s="520"/>
      <c r="J13" s="520"/>
      <c r="K13" s="50"/>
      <c r="L13" s="50"/>
      <c r="M13" s="50"/>
      <c r="N13" s="641" t="s">
        <v>560</v>
      </c>
      <c r="O13" s="518" t="s">
        <v>561</v>
      </c>
      <c r="P13" s="519"/>
      <c r="Q13" s="519"/>
      <c r="R13" s="520"/>
      <c r="S13" s="520"/>
      <c r="T13" s="520"/>
      <c r="U13" s="520"/>
      <c r="V13" s="520"/>
      <c r="W13" s="520"/>
      <c r="X13" s="521"/>
      <c r="Y13" s="50"/>
      <c r="Z13" s="50"/>
      <c r="AA13" s="230"/>
      <c r="AB13" s="230"/>
      <c r="AC13" s="50"/>
      <c r="AD13" s="50"/>
      <c r="AE13" s="50"/>
      <c r="AF13" s="50"/>
      <c r="AG13" s="50"/>
      <c r="AH13" s="50"/>
      <c r="AI13" s="50"/>
      <c r="AJ13" s="50"/>
      <c r="AK13" s="50"/>
      <c r="AL13" s="50"/>
      <c r="AM13" s="50"/>
    </row>
    <row r="14" spans="1:39" ht="15.75" thickBot="1">
      <c r="A14" s="41"/>
      <c r="B14" s="508"/>
      <c r="C14" s="508"/>
      <c r="D14" s="508"/>
      <c r="E14" s="508"/>
      <c r="F14" s="508"/>
      <c r="G14" s="508"/>
      <c r="H14" s="508"/>
      <c r="I14" s="508"/>
      <c r="J14" s="508"/>
      <c r="K14" s="508"/>
      <c r="L14" s="508"/>
      <c r="M14" s="508"/>
      <c r="N14" s="41"/>
      <c r="O14" s="508"/>
      <c r="P14" s="508"/>
      <c r="Q14" s="508"/>
      <c r="R14" s="508"/>
      <c r="S14" s="508"/>
      <c r="T14" s="508"/>
      <c r="U14" s="508"/>
      <c r="V14" s="508"/>
      <c r="W14" s="508"/>
      <c r="X14" s="508"/>
      <c r="Y14" s="508"/>
      <c r="Z14" s="231"/>
      <c r="AA14" s="231"/>
      <c r="AB14" s="231"/>
      <c r="AC14" s="231"/>
      <c r="AD14" s="231"/>
      <c r="AE14" s="231"/>
      <c r="AF14" s="508"/>
      <c r="AG14" s="508"/>
      <c r="AH14" s="508"/>
      <c r="AI14" s="508"/>
      <c r="AJ14" s="508"/>
      <c r="AK14" s="508"/>
      <c r="AL14" s="508"/>
      <c r="AM14" s="508"/>
    </row>
    <row r="15" spans="1:39" ht="27">
      <c r="A15" s="508"/>
      <c r="B15" s="51" t="s">
        <v>193</v>
      </c>
      <c r="C15" s="52" t="s">
        <v>562</v>
      </c>
      <c r="D15" s="52" t="s">
        <v>563</v>
      </c>
      <c r="E15" s="52" t="s">
        <v>564</v>
      </c>
      <c r="F15" s="52" t="s">
        <v>565</v>
      </c>
      <c r="G15" s="52" t="s">
        <v>563</v>
      </c>
      <c r="H15" s="52" t="s">
        <v>564</v>
      </c>
      <c r="I15" s="53" t="s">
        <v>565</v>
      </c>
      <c r="J15" s="54"/>
      <c r="K15" s="508"/>
      <c r="L15" s="508"/>
      <c r="M15" s="508"/>
      <c r="N15" s="508"/>
      <c r="O15" s="51" t="s">
        <v>193</v>
      </c>
      <c r="P15" s="52" t="s">
        <v>562</v>
      </c>
      <c r="Q15" s="52" t="s">
        <v>566</v>
      </c>
      <c r="R15" s="52" t="s">
        <v>567</v>
      </c>
      <c r="S15" s="52" t="s">
        <v>568</v>
      </c>
      <c r="T15" s="52" t="s">
        <v>566</v>
      </c>
      <c r="U15" s="52" t="s">
        <v>567</v>
      </c>
      <c r="V15" s="484" t="s">
        <v>568</v>
      </c>
      <c r="W15" s="821" t="s">
        <v>569</v>
      </c>
      <c r="X15" s="821" t="s">
        <v>570</v>
      </c>
      <c r="Y15" s="508"/>
      <c r="Z15" s="231"/>
      <c r="AA15" s="231"/>
      <c r="AB15" s="231"/>
      <c r="AC15" s="231"/>
      <c r="AD15" s="231"/>
      <c r="AE15" s="231"/>
      <c r="AF15" s="508"/>
      <c r="AG15" s="508"/>
      <c r="AH15" s="508"/>
      <c r="AI15" s="508"/>
      <c r="AJ15" s="508"/>
      <c r="AK15" s="508"/>
      <c r="AL15" s="508"/>
      <c r="AM15" s="508"/>
    </row>
    <row r="16" spans="1:39" ht="37.5">
      <c r="A16" s="55"/>
      <c r="B16" s="56"/>
      <c r="C16" s="642" t="s">
        <v>571</v>
      </c>
      <c r="D16" s="642" t="s">
        <v>572</v>
      </c>
      <c r="E16" s="642" t="s">
        <v>573</v>
      </c>
      <c r="F16" s="642" t="s">
        <v>574</v>
      </c>
      <c r="G16" s="642" t="s">
        <v>575</v>
      </c>
      <c r="H16" s="642" t="s">
        <v>576</v>
      </c>
      <c r="I16" s="458" t="s">
        <v>577</v>
      </c>
      <c r="J16" s="468"/>
      <c r="K16" s="467"/>
      <c r="L16" s="55"/>
      <c r="M16" s="55"/>
      <c r="N16" s="55"/>
      <c r="O16" s="56"/>
      <c r="P16" s="642" t="s">
        <v>571</v>
      </c>
      <c r="Q16" s="642" t="s">
        <v>578</v>
      </c>
      <c r="R16" s="642" t="s">
        <v>579</v>
      </c>
      <c r="S16" s="642" t="s">
        <v>580</v>
      </c>
      <c r="T16" s="642" t="s">
        <v>581</v>
      </c>
      <c r="U16" s="642" t="s">
        <v>582</v>
      </c>
      <c r="V16" s="458" t="s">
        <v>583</v>
      </c>
      <c r="W16" s="821"/>
      <c r="X16" s="821"/>
      <c r="Y16" s="55"/>
      <c r="Z16" s="231"/>
      <c r="AA16" s="231"/>
      <c r="AB16" s="231"/>
      <c r="AC16" s="231"/>
      <c r="AD16" s="231"/>
      <c r="AE16" s="231"/>
      <c r="AF16" s="55"/>
      <c r="AG16" s="55"/>
      <c r="AH16" s="55"/>
      <c r="AI16" s="55"/>
      <c r="AJ16" s="55"/>
      <c r="AK16" s="55"/>
      <c r="AL16" s="55"/>
      <c r="AM16" s="55"/>
    </row>
    <row r="17" spans="1:39">
      <c r="A17" s="41"/>
      <c r="B17" s="522" t="s">
        <v>584</v>
      </c>
      <c r="C17" s="57"/>
      <c r="D17" s="57"/>
      <c r="E17" s="57"/>
      <c r="F17" s="57"/>
      <c r="G17" s="57"/>
      <c r="H17" s="57"/>
      <c r="I17" s="57"/>
      <c r="J17" s="469"/>
      <c r="K17" s="86"/>
      <c r="L17" s="508"/>
      <c r="M17" s="508"/>
      <c r="N17" s="41"/>
      <c r="O17" s="522" t="s">
        <v>584</v>
      </c>
      <c r="P17" s="57"/>
      <c r="Q17" s="57"/>
      <c r="R17" s="57"/>
      <c r="S17" s="57"/>
      <c r="T17" s="57"/>
      <c r="U17" s="57"/>
      <c r="V17" s="58"/>
      <c r="W17" s="57"/>
      <c r="X17" s="58"/>
      <c r="Y17" s="508"/>
      <c r="Z17" s="231"/>
      <c r="AA17" s="231"/>
      <c r="AB17" s="231"/>
      <c r="AC17" s="231"/>
      <c r="AD17" s="231"/>
      <c r="AE17" s="231"/>
      <c r="AF17" s="508"/>
      <c r="AG17" s="508"/>
      <c r="AH17" s="508"/>
      <c r="AI17" s="508"/>
      <c r="AJ17" s="508"/>
      <c r="AK17" s="508"/>
      <c r="AL17" s="508"/>
      <c r="AM17" s="508"/>
    </row>
    <row r="18" spans="1:39">
      <c r="A18" s="229"/>
      <c r="B18" s="523" t="s">
        <v>585</v>
      </c>
      <c r="C18" s="643">
        <v>25.09</v>
      </c>
      <c r="D18" s="643">
        <v>103.69</v>
      </c>
      <c r="E18" s="644">
        <v>11</v>
      </c>
      <c r="F18" s="645">
        <v>1.6</v>
      </c>
      <c r="G18" s="644">
        <v>2602</v>
      </c>
      <c r="H18" s="644">
        <v>276</v>
      </c>
      <c r="I18" s="459">
        <v>40</v>
      </c>
      <c r="J18" s="470"/>
      <c r="K18" s="86"/>
      <c r="L18" s="508"/>
      <c r="M18" s="508"/>
      <c r="N18" s="229"/>
      <c r="O18" s="524"/>
      <c r="P18" s="646"/>
      <c r="Q18" s="646"/>
      <c r="R18" s="647"/>
      <c r="S18" s="648"/>
      <c r="T18" s="647"/>
      <c r="U18" s="647"/>
      <c r="V18" s="525"/>
      <c r="W18" s="647"/>
      <c r="X18" s="525"/>
      <c r="Y18" s="60"/>
      <c r="Z18" s="60"/>
      <c r="AA18" s="60"/>
      <c r="AB18" s="60"/>
      <c r="AC18" s="60"/>
      <c r="AD18" s="60"/>
      <c r="AE18" s="60"/>
      <c r="AF18" s="508"/>
      <c r="AG18" s="508"/>
      <c r="AH18" s="508"/>
      <c r="AI18" s="508"/>
      <c r="AJ18" s="508"/>
      <c r="AK18" s="508"/>
      <c r="AL18" s="508"/>
      <c r="AM18" s="508"/>
    </row>
    <row r="19" spans="1:39">
      <c r="A19" s="229"/>
      <c r="B19" s="523" t="s">
        <v>586</v>
      </c>
      <c r="C19" s="643">
        <v>24.93</v>
      </c>
      <c r="D19" s="643">
        <v>93.28</v>
      </c>
      <c r="E19" s="644">
        <v>11</v>
      </c>
      <c r="F19" s="645">
        <v>1.6</v>
      </c>
      <c r="G19" s="644">
        <v>2325</v>
      </c>
      <c r="H19" s="644">
        <v>274</v>
      </c>
      <c r="I19" s="459">
        <v>40</v>
      </c>
      <c r="J19" s="470"/>
      <c r="K19" s="86"/>
      <c r="L19" s="508"/>
      <c r="M19" s="508"/>
      <c r="N19" s="229"/>
      <c r="O19" s="524"/>
      <c r="P19" s="646"/>
      <c r="Q19" s="646"/>
      <c r="R19" s="647"/>
      <c r="S19" s="648"/>
      <c r="T19" s="647"/>
      <c r="U19" s="647"/>
      <c r="V19" s="525"/>
      <c r="W19" s="647"/>
      <c r="X19" s="525"/>
      <c r="Y19" s="60"/>
      <c r="Z19" s="60"/>
      <c r="AA19" s="60"/>
      <c r="AB19" s="60"/>
      <c r="AC19" s="60"/>
      <c r="AD19" s="60"/>
      <c r="AE19" s="60"/>
      <c r="AF19" s="508"/>
      <c r="AG19" s="508"/>
      <c r="AH19" s="508"/>
      <c r="AI19" s="508"/>
      <c r="AJ19" s="508"/>
      <c r="AK19" s="508"/>
      <c r="AL19" s="508"/>
      <c r="AM19" s="508"/>
    </row>
    <row r="20" spans="1:39">
      <c r="A20" s="229"/>
      <c r="B20" s="523" t="s">
        <v>587</v>
      </c>
      <c r="C20" s="643">
        <v>17.25</v>
      </c>
      <c r="D20" s="643">
        <v>97.17</v>
      </c>
      <c r="E20" s="644">
        <v>11</v>
      </c>
      <c r="F20" s="645">
        <v>1.6</v>
      </c>
      <c r="G20" s="644">
        <v>1676</v>
      </c>
      <c r="H20" s="644">
        <v>190</v>
      </c>
      <c r="I20" s="459">
        <v>28</v>
      </c>
      <c r="J20" s="470"/>
      <c r="K20" s="86"/>
      <c r="L20" s="508"/>
      <c r="M20" s="508"/>
      <c r="N20" s="229"/>
      <c r="O20" s="524"/>
      <c r="P20" s="646"/>
      <c r="Q20" s="646"/>
      <c r="R20" s="647"/>
      <c r="S20" s="648"/>
      <c r="T20" s="647"/>
      <c r="U20" s="647"/>
      <c r="V20" s="525"/>
      <c r="W20" s="647"/>
      <c r="X20" s="525"/>
      <c r="Y20" s="60"/>
      <c r="Z20" s="60"/>
      <c r="AA20" s="60"/>
      <c r="AB20" s="60"/>
      <c r="AC20" s="60"/>
      <c r="AD20" s="60"/>
      <c r="AE20" s="60"/>
      <c r="AF20" s="508"/>
      <c r="AG20" s="508"/>
      <c r="AH20" s="508"/>
      <c r="AI20" s="508"/>
      <c r="AJ20" s="508"/>
      <c r="AK20" s="508"/>
      <c r="AL20" s="508"/>
      <c r="AM20" s="508"/>
    </row>
    <row r="21" spans="1:39">
      <c r="A21" s="229"/>
      <c r="B21" s="523" t="s">
        <v>588</v>
      </c>
      <c r="C21" s="643">
        <v>14.21</v>
      </c>
      <c r="D21" s="643">
        <v>97.72</v>
      </c>
      <c r="E21" s="644">
        <v>11</v>
      </c>
      <c r="F21" s="645">
        <v>1.6</v>
      </c>
      <c r="G21" s="644">
        <v>1389</v>
      </c>
      <c r="H21" s="644">
        <v>156</v>
      </c>
      <c r="I21" s="459">
        <v>23</v>
      </c>
      <c r="J21" s="470"/>
      <c r="K21" s="86"/>
      <c r="L21" s="508"/>
      <c r="M21" s="508"/>
      <c r="N21" s="229"/>
      <c r="O21" s="524"/>
      <c r="P21" s="646"/>
      <c r="Q21" s="646"/>
      <c r="R21" s="647"/>
      <c r="S21" s="648"/>
      <c r="T21" s="647"/>
      <c r="U21" s="647"/>
      <c r="V21" s="525"/>
      <c r="W21" s="647"/>
      <c r="X21" s="525"/>
      <c r="Y21" s="60"/>
      <c r="Z21" s="60"/>
      <c r="AA21" s="60"/>
      <c r="AB21" s="60"/>
      <c r="AC21" s="60"/>
      <c r="AD21" s="60"/>
      <c r="AE21" s="60"/>
      <c r="AF21" s="508"/>
      <c r="AG21" s="508"/>
      <c r="AH21" s="508"/>
      <c r="AI21" s="508"/>
      <c r="AJ21" s="508"/>
      <c r="AK21" s="508"/>
      <c r="AL21" s="508"/>
      <c r="AM21" s="508"/>
    </row>
    <row r="22" spans="1:39">
      <c r="A22" s="229"/>
      <c r="B22" s="523" t="s">
        <v>589</v>
      </c>
      <c r="C22" s="643">
        <v>21.39</v>
      </c>
      <c r="D22" s="643">
        <v>94.27</v>
      </c>
      <c r="E22" s="644">
        <v>11</v>
      </c>
      <c r="F22" s="645">
        <v>1.6</v>
      </c>
      <c r="G22" s="644">
        <v>2016</v>
      </c>
      <c r="H22" s="644">
        <v>235</v>
      </c>
      <c r="I22" s="459">
        <v>34</v>
      </c>
      <c r="J22" s="470"/>
      <c r="K22" s="86"/>
      <c r="L22" s="508"/>
      <c r="M22" s="508"/>
      <c r="N22" s="229"/>
      <c r="O22" s="524"/>
      <c r="P22" s="646"/>
      <c r="Q22" s="646"/>
      <c r="R22" s="647"/>
      <c r="S22" s="648"/>
      <c r="T22" s="647"/>
      <c r="U22" s="647"/>
      <c r="V22" s="525"/>
      <c r="W22" s="647"/>
      <c r="X22" s="525"/>
      <c r="Y22" s="60"/>
      <c r="Z22" s="60"/>
      <c r="AA22" s="60"/>
      <c r="AB22" s="60"/>
      <c r="AC22" s="60"/>
      <c r="AD22" s="60"/>
      <c r="AE22" s="60"/>
      <c r="AF22" s="508"/>
      <c r="AG22" s="508"/>
      <c r="AH22" s="508"/>
      <c r="AI22" s="508"/>
      <c r="AJ22" s="508"/>
      <c r="AK22" s="508"/>
      <c r="AL22" s="508"/>
      <c r="AM22" s="508"/>
    </row>
    <row r="23" spans="1:39">
      <c r="A23" s="229"/>
      <c r="B23" s="523" t="s">
        <v>590</v>
      </c>
      <c r="C23" s="643">
        <v>19.73</v>
      </c>
      <c r="D23" s="643">
        <v>95.52</v>
      </c>
      <c r="E23" s="644">
        <v>11</v>
      </c>
      <c r="F23" s="645">
        <v>1.6</v>
      </c>
      <c r="G23" s="644">
        <v>1885</v>
      </c>
      <c r="H23" s="644">
        <v>217</v>
      </c>
      <c r="I23" s="459">
        <v>32</v>
      </c>
      <c r="J23" s="470"/>
      <c r="K23" s="86"/>
      <c r="L23" s="508"/>
      <c r="M23" s="508"/>
      <c r="N23" s="229"/>
      <c r="O23" s="524"/>
      <c r="P23" s="646"/>
      <c r="Q23" s="646"/>
      <c r="R23" s="647"/>
      <c r="S23" s="648"/>
      <c r="T23" s="647"/>
      <c r="U23" s="647"/>
      <c r="V23" s="525"/>
      <c r="W23" s="647"/>
      <c r="X23" s="525"/>
      <c r="Y23" s="60"/>
      <c r="Z23" s="60"/>
      <c r="AA23" s="60"/>
      <c r="AB23" s="60"/>
      <c r="AC23" s="60"/>
      <c r="AD23" s="60"/>
      <c r="AE23" s="60"/>
      <c r="AF23" s="508"/>
      <c r="AG23" s="508"/>
      <c r="AH23" s="508"/>
      <c r="AI23" s="508"/>
      <c r="AJ23" s="508"/>
      <c r="AK23" s="508"/>
      <c r="AL23" s="508"/>
      <c r="AM23" s="508"/>
    </row>
    <row r="24" spans="1:39">
      <c r="A24" s="229"/>
      <c r="B24" s="523" t="s">
        <v>591</v>
      </c>
      <c r="C24" s="643">
        <v>26.28</v>
      </c>
      <c r="D24" s="643">
        <v>93.9</v>
      </c>
      <c r="E24" s="644">
        <v>11</v>
      </c>
      <c r="F24" s="645">
        <v>1.6</v>
      </c>
      <c r="G24" s="644">
        <v>2468</v>
      </c>
      <c r="H24" s="644">
        <v>289</v>
      </c>
      <c r="I24" s="459">
        <v>42</v>
      </c>
      <c r="J24" s="470"/>
      <c r="K24" s="86"/>
      <c r="L24" s="508"/>
      <c r="M24" s="508"/>
      <c r="N24" s="229"/>
      <c r="O24" s="524"/>
      <c r="P24" s="646"/>
      <c r="Q24" s="646"/>
      <c r="R24" s="647"/>
      <c r="S24" s="648"/>
      <c r="T24" s="647"/>
      <c r="U24" s="647"/>
      <c r="V24" s="525"/>
      <c r="W24" s="647"/>
      <c r="X24" s="525"/>
      <c r="Y24" s="60"/>
      <c r="Z24" s="60"/>
      <c r="AA24" s="60"/>
      <c r="AB24" s="60"/>
      <c r="AC24" s="60"/>
      <c r="AD24" s="60"/>
      <c r="AE24" s="60"/>
      <c r="AF24" s="508"/>
      <c r="AG24" s="508"/>
      <c r="AH24" s="508"/>
      <c r="AI24" s="508"/>
      <c r="AJ24" s="508"/>
      <c r="AK24" s="508"/>
      <c r="AL24" s="508"/>
      <c r="AM24" s="508"/>
    </row>
    <row r="25" spans="1:39">
      <c r="A25" s="229"/>
      <c r="B25" s="523" t="s">
        <v>592</v>
      </c>
      <c r="C25" s="643">
        <v>22.35</v>
      </c>
      <c r="D25" s="643">
        <v>94.67</v>
      </c>
      <c r="E25" s="644">
        <v>11</v>
      </c>
      <c r="F25" s="645">
        <v>1.6</v>
      </c>
      <c r="G25" s="644">
        <v>2116</v>
      </c>
      <c r="H25" s="644">
        <v>246</v>
      </c>
      <c r="I25" s="459">
        <v>36</v>
      </c>
      <c r="J25" s="470"/>
      <c r="K25" s="86"/>
      <c r="L25" s="508"/>
      <c r="M25" s="508"/>
      <c r="N25" s="229"/>
      <c r="O25" s="524"/>
      <c r="P25" s="646"/>
      <c r="Q25" s="646"/>
      <c r="R25" s="647"/>
      <c r="S25" s="648"/>
      <c r="T25" s="647"/>
      <c r="U25" s="647"/>
      <c r="V25" s="525"/>
      <c r="W25" s="647"/>
      <c r="X25" s="525"/>
      <c r="Y25" s="60"/>
      <c r="Z25" s="60"/>
      <c r="AA25" s="60"/>
      <c r="AB25" s="60"/>
      <c r="AC25" s="60"/>
      <c r="AD25" s="60"/>
      <c r="AE25" s="60"/>
      <c r="AF25" s="508"/>
      <c r="AG25" s="508"/>
      <c r="AH25" s="508"/>
      <c r="AI25" s="508"/>
      <c r="AJ25" s="508"/>
      <c r="AK25" s="508"/>
      <c r="AL25" s="508"/>
      <c r="AM25" s="508"/>
    </row>
    <row r="26" spans="1:39">
      <c r="A26" s="229"/>
      <c r="B26" s="523" t="s">
        <v>593</v>
      </c>
      <c r="C26" s="643">
        <v>24.8</v>
      </c>
      <c r="D26" s="643">
        <v>113.67</v>
      </c>
      <c r="E26" s="644">
        <v>11</v>
      </c>
      <c r="F26" s="645">
        <v>1.6</v>
      </c>
      <c r="G26" s="644">
        <v>2819</v>
      </c>
      <c r="H26" s="644">
        <v>273</v>
      </c>
      <c r="I26" s="459">
        <v>40</v>
      </c>
      <c r="J26" s="470"/>
      <c r="K26" s="86"/>
      <c r="L26" s="508"/>
      <c r="M26" s="508"/>
      <c r="N26" s="229"/>
      <c r="O26" s="524"/>
      <c r="P26" s="646"/>
      <c r="Q26" s="646"/>
      <c r="R26" s="647"/>
      <c r="S26" s="648"/>
      <c r="T26" s="647"/>
      <c r="U26" s="647"/>
      <c r="V26" s="525"/>
      <c r="W26" s="647"/>
      <c r="X26" s="525"/>
      <c r="Y26" s="60"/>
      <c r="Z26" s="60"/>
      <c r="AA26" s="60"/>
      <c r="AB26" s="60"/>
      <c r="AC26" s="60"/>
      <c r="AD26" s="60"/>
      <c r="AE26" s="60"/>
      <c r="AF26" s="508"/>
      <c r="AG26" s="508"/>
      <c r="AH26" s="508"/>
      <c r="AI26" s="508"/>
      <c r="AJ26" s="508"/>
      <c r="AK26" s="508"/>
      <c r="AL26" s="508"/>
      <c r="AM26" s="508"/>
    </row>
    <row r="27" spans="1:39">
      <c r="A27" s="41"/>
      <c r="B27" s="61" t="s">
        <v>594</v>
      </c>
      <c r="C27" s="62"/>
      <c r="D27" s="62"/>
      <c r="E27" s="63"/>
      <c r="F27" s="64"/>
      <c r="G27" s="63"/>
      <c r="H27" s="63"/>
      <c r="I27" s="460"/>
      <c r="J27" s="471"/>
      <c r="K27" s="86"/>
      <c r="L27" s="508"/>
      <c r="M27" s="508"/>
      <c r="N27" s="41"/>
      <c r="O27" s="61" t="s">
        <v>594</v>
      </c>
      <c r="P27" s="62"/>
      <c r="Q27" s="62"/>
      <c r="R27" s="63"/>
      <c r="S27" s="64"/>
      <c r="T27" s="63"/>
      <c r="U27" s="63"/>
      <c r="V27" s="65"/>
      <c r="W27" s="57"/>
      <c r="X27" s="58"/>
      <c r="Y27" s="60"/>
      <c r="Z27" s="60"/>
      <c r="AA27" s="60"/>
      <c r="AB27" s="60"/>
      <c r="AC27" s="60"/>
      <c r="AD27" s="60"/>
      <c r="AE27" s="60"/>
      <c r="AF27" s="508"/>
      <c r="AG27" s="508"/>
      <c r="AH27" s="508"/>
      <c r="AI27" s="508"/>
      <c r="AJ27" s="508"/>
      <c r="AK27" s="508"/>
      <c r="AL27" s="508"/>
      <c r="AM27" s="508"/>
    </row>
    <row r="28" spans="1:39">
      <c r="A28" s="229"/>
      <c r="B28" s="523" t="s">
        <v>595</v>
      </c>
      <c r="C28" s="643">
        <v>9.9499999999999993</v>
      </c>
      <c r="D28" s="643">
        <v>90.7</v>
      </c>
      <c r="E28" s="644">
        <v>32</v>
      </c>
      <c r="F28" s="645">
        <v>4.2</v>
      </c>
      <c r="G28" s="644">
        <v>902</v>
      </c>
      <c r="H28" s="644">
        <v>318</v>
      </c>
      <c r="I28" s="459">
        <v>42</v>
      </c>
      <c r="J28" s="470"/>
      <c r="K28" s="86"/>
      <c r="L28" s="508"/>
      <c r="M28" s="508"/>
      <c r="N28" s="229"/>
      <c r="O28" s="524"/>
      <c r="P28" s="646"/>
      <c r="Q28" s="646"/>
      <c r="R28" s="647"/>
      <c r="S28" s="648"/>
      <c r="T28" s="647"/>
      <c r="U28" s="647"/>
      <c r="V28" s="525"/>
      <c r="W28" s="647"/>
      <c r="X28" s="525"/>
      <c r="Y28" s="60"/>
      <c r="Z28" s="60"/>
      <c r="AA28" s="60"/>
      <c r="AB28" s="60"/>
      <c r="AC28" s="60"/>
      <c r="AD28" s="60"/>
      <c r="AE28" s="60"/>
      <c r="AF28" s="508"/>
      <c r="AG28" s="508"/>
      <c r="AH28" s="508"/>
      <c r="AI28" s="508"/>
      <c r="AJ28" s="508"/>
      <c r="AK28" s="508"/>
      <c r="AL28" s="508"/>
      <c r="AM28" s="508"/>
    </row>
    <row r="29" spans="1:39">
      <c r="A29" s="229"/>
      <c r="B29" s="523" t="s">
        <v>596</v>
      </c>
      <c r="C29" s="643">
        <v>30</v>
      </c>
      <c r="D29" s="643">
        <v>102.41</v>
      </c>
      <c r="E29" s="644">
        <v>32</v>
      </c>
      <c r="F29" s="645">
        <v>4.2</v>
      </c>
      <c r="G29" s="644">
        <v>3072</v>
      </c>
      <c r="H29" s="644">
        <v>960</v>
      </c>
      <c r="I29" s="459">
        <v>126</v>
      </c>
      <c r="J29" s="470"/>
      <c r="K29" s="86"/>
      <c r="L29" s="508"/>
      <c r="M29" s="508"/>
      <c r="N29" s="229"/>
      <c r="O29" s="524"/>
      <c r="P29" s="646"/>
      <c r="Q29" s="646"/>
      <c r="R29" s="647"/>
      <c r="S29" s="648"/>
      <c r="T29" s="647"/>
      <c r="U29" s="647"/>
      <c r="V29" s="525"/>
      <c r="W29" s="647"/>
      <c r="X29" s="525"/>
      <c r="Y29" s="60"/>
      <c r="Z29" s="60"/>
      <c r="AA29" s="60"/>
      <c r="AB29" s="60"/>
      <c r="AC29" s="60"/>
      <c r="AD29" s="60"/>
      <c r="AE29" s="60"/>
      <c r="AF29" s="508"/>
      <c r="AG29" s="508"/>
      <c r="AH29" s="508"/>
      <c r="AI29" s="508"/>
      <c r="AJ29" s="508"/>
      <c r="AK29" s="508"/>
      <c r="AL29" s="508"/>
      <c r="AM29" s="508"/>
    </row>
    <row r="30" spans="1:39">
      <c r="A30" s="229"/>
      <c r="B30" s="523" t="s">
        <v>597</v>
      </c>
      <c r="C30" s="643">
        <v>38</v>
      </c>
      <c r="D30" s="643">
        <v>75</v>
      </c>
      <c r="E30" s="644">
        <v>32</v>
      </c>
      <c r="F30" s="645">
        <v>4.2</v>
      </c>
      <c r="G30" s="644">
        <v>2850</v>
      </c>
      <c r="H30" s="644">
        <v>1216</v>
      </c>
      <c r="I30" s="459">
        <v>160</v>
      </c>
      <c r="J30" s="470"/>
      <c r="K30" s="86"/>
      <c r="L30" s="508"/>
      <c r="M30" s="508"/>
      <c r="N30" s="229"/>
      <c r="O30" s="524"/>
      <c r="P30" s="646"/>
      <c r="Q30" s="646"/>
      <c r="R30" s="647"/>
      <c r="S30" s="648"/>
      <c r="T30" s="647"/>
      <c r="U30" s="647"/>
      <c r="V30" s="525"/>
      <c r="W30" s="647"/>
      <c r="X30" s="525"/>
      <c r="Y30" s="60"/>
      <c r="Z30" s="60"/>
      <c r="AA30" s="60"/>
      <c r="AB30" s="60"/>
      <c r="AC30" s="60"/>
      <c r="AD30" s="60"/>
      <c r="AE30" s="60"/>
      <c r="AF30" s="508"/>
      <c r="AG30" s="508"/>
      <c r="AH30" s="508"/>
      <c r="AI30" s="508"/>
      <c r="AJ30" s="508"/>
      <c r="AK30" s="508"/>
      <c r="AL30" s="508"/>
      <c r="AM30" s="508"/>
    </row>
    <row r="31" spans="1:39">
      <c r="A31" s="229"/>
      <c r="B31" s="523" t="s">
        <v>598</v>
      </c>
      <c r="C31" s="643">
        <v>28</v>
      </c>
      <c r="D31" s="643">
        <v>85.97</v>
      </c>
      <c r="E31" s="644">
        <v>32</v>
      </c>
      <c r="F31" s="645">
        <v>4.2</v>
      </c>
      <c r="G31" s="644">
        <v>2407</v>
      </c>
      <c r="H31" s="644">
        <v>896</v>
      </c>
      <c r="I31" s="459">
        <v>118</v>
      </c>
      <c r="J31" s="470"/>
      <c r="K31" s="86"/>
      <c r="L31" s="508"/>
      <c r="M31" s="508"/>
      <c r="N31" s="229"/>
      <c r="O31" s="524"/>
      <c r="P31" s="646"/>
      <c r="Q31" s="646"/>
      <c r="R31" s="647"/>
      <c r="S31" s="648"/>
      <c r="T31" s="647"/>
      <c r="U31" s="647"/>
      <c r="V31" s="525"/>
      <c r="W31" s="647"/>
      <c r="X31" s="525"/>
      <c r="Y31" s="60"/>
      <c r="Z31" s="60"/>
      <c r="AA31" s="60"/>
      <c r="AB31" s="60"/>
      <c r="AC31" s="60"/>
      <c r="AD31" s="60"/>
      <c r="AE31" s="60"/>
      <c r="AF31" s="508"/>
      <c r="AG31" s="508"/>
      <c r="AH31" s="508"/>
      <c r="AI31" s="508"/>
      <c r="AJ31" s="508"/>
      <c r="AK31" s="508"/>
      <c r="AL31" s="508"/>
      <c r="AM31" s="508"/>
    </row>
    <row r="32" spans="1:39">
      <c r="A32" s="41"/>
      <c r="B32" s="61" t="s">
        <v>599</v>
      </c>
      <c r="C32" s="62"/>
      <c r="D32" s="62"/>
      <c r="E32" s="63"/>
      <c r="F32" s="64"/>
      <c r="G32" s="66"/>
      <c r="H32" s="66"/>
      <c r="I32" s="66"/>
      <c r="J32" s="469"/>
      <c r="K32" s="86"/>
      <c r="L32" s="508"/>
      <c r="M32" s="508"/>
      <c r="N32" s="41"/>
      <c r="O32" s="61" t="s">
        <v>599</v>
      </c>
      <c r="P32" s="62"/>
      <c r="Q32" s="62"/>
      <c r="R32" s="63"/>
      <c r="S32" s="64"/>
      <c r="T32" s="66"/>
      <c r="U32" s="66"/>
      <c r="V32" s="67"/>
      <c r="W32" s="57"/>
      <c r="X32" s="58"/>
      <c r="Y32" s="60"/>
      <c r="Z32" s="60"/>
      <c r="AA32" s="60"/>
      <c r="AB32" s="60"/>
      <c r="AC32" s="60"/>
      <c r="AD32" s="60"/>
      <c r="AE32" s="60"/>
      <c r="AF32" s="508"/>
      <c r="AG32" s="508"/>
      <c r="AH32" s="508"/>
      <c r="AI32" s="508"/>
      <c r="AJ32" s="508"/>
      <c r="AK32" s="508"/>
      <c r="AL32" s="508"/>
      <c r="AM32" s="508"/>
    </row>
    <row r="33" spans="1:39">
      <c r="A33" s="229"/>
      <c r="B33" s="523" t="s">
        <v>600</v>
      </c>
      <c r="C33" s="643">
        <v>8.25</v>
      </c>
      <c r="D33" s="643">
        <v>118.17</v>
      </c>
      <c r="E33" s="644">
        <v>32</v>
      </c>
      <c r="F33" s="645">
        <v>4.2</v>
      </c>
      <c r="G33" s="644">
        <v>975</v>
      </c>
      <c r="H33" s="644">
        <v>264</v>
      </c>
      <c r="I33" s="459">
        <v>35</v>
      </c>
      <c r="J33" s="470"/>
      <c r="K33" s="86"/>
      <c r="L33" s="508"/>
      <c r="M33" s="508"/>
      <c r="N33" s="229"/>
      <c r="O33" s="524"/>
      <c r="P33" s="646"/>
      <c r="Q33" s="646"/>
      <c r="R33" s="647"/>
      <c r="S33" s="648"/>
      <c r="T33" s="647"/>
      <c r="U33" s="647"/>
      <c r="V33" s="525"/>
      <c r="W33" s="647"/>
      <c r="X33" s="525"/>
      <c r="Y33" s="60"/>
      <c r="Z33" s="60"/>
      <c r="AA33" s="60"/>
      <c r="AB33" s="60"/>
      <c r="AC33" s="60"/>
      <c r="AD33" s="60"/>
      <c r="AE33" s="60"/>
      <c r="AF33" s="508"/>
      <c r="AG33" s="508"/>
      <c r="AH33" s="508"/>
      <c r="AI33" s="508"/>
      <c r="AJ33" s="508"/>
      <c r="AK33" s="508"/>
      <c r="AL33" s="508"/>
      <c r="AM33" s="508"/>
    </row>
    <row r="34" spans="1:39">
      <c r="A34" s="229"/>
      <c r="B34" s="523" t="s">
        <v>601</v>
      </c>
      <c r="C34" s="643">
        <v>8</v>
      </c>
      <c r="D34" s="643">
        <v>111.84</v>
      </c>
      <c r="E34" s="644">
        <v>32</v>
      </c>
      <c r="F34" s="645">
        <v>4.2</v>
      </c>
      <c r="G34" s="644">
        <v>895</v>
      </c>
      <c r="H34" s="644">
        <v>256</v>
      </c>
      <c r="I34" s="459">
        <v>34</v>
      </c>
      <c r="J34" s="470"/>
      <c r="K34" s="86"/>
      <c r="L34" s="508"/>
      <c r="M34" s="508"/>
      <c r="N34" s="229"/>
      <c r="O34" s="524"/>
      <c r="P34" s="646"/>
      <c r="Q34" s="646"/>
      <c r="R34" s="647"/>
      <c r="S34" s="648"/>
      <c r="T34" s="647"/>
      <c r="U34" s="647"/>
      <c r="V34" s="525"/>
      <c r="W34" s="647"/>
      <c r="X34" s="525"/>
      <c r="Y34" s="60"/>
      <c r="Z34" s="60"/>
      <c r="AA34" s="60"/>
      <c r="AB34" s="60"/>
      <c r="AC34" s="60"/>
      <c r="AD34" s="60"/>
      <c r="AE34" s="60"/>
      <c r="AF34" s="508"/>
      <c r="AG34" s="508"/>
      <c r="AH34" s="508"/>
      <c r="AI34" s="508"/>
      <c r="AJ34" s="508"/>
      <c r="AK34" s="508"/>
      <c r="AL34" s="508"/>
      <c r="AM34" s="508"/>
    </row>
    <row r="35" spans="1:39">
      <c r="A35" s="229"/>
      <c r="B35" s="523" t="s">
        <v>602</v>
      </c>
      <c r="C35" s="643">
        <v>10.39</v>
      </c>
      <c r="D35" s="643">
        <v>105.51</v>
      </c>
      <c r="E35" s="644">
        <v>32</v>
      </c>
      <c r="F35" s="645">
        <v>4.2</v>
      </c>
      <c r="G35" s="644">
        <v>1096</v>
      </c>
      <c r="H35" s="644">
        <v>332</v>
      </c>
      <c r="I35" s="459">
        <v>44</v>
      </c>
      <c r="J35" s="470"/>
      <c r="K35" s="86"/>
      <c r="L35" s="508"/>
      <c r="M35" s="508"/>
      <c r="N35" s="229"/>
      <c r="O35" s="524"/>
      <c r="P35" s="646"/>
      <c r="Q35" s="646"/>
      <c r="R35" s="647"/>
      <c r="S35" s="648"/>
      <c r="T35" s="647"/>
      <c r="U35" s="647"/>
      <c r="V35" s="525"/>
      <c r="W35" s="647"/>
      <c r="X35" s="525"/>
      <c r="Y35" s="60"/>
      <c r="Z35" s="60"/>
      <c r="AA35" s="60"/>
      <c r="AB35" s="60"/>
      <c r="AC35" s="60"/>
      <c r="AD35" s="60"/>
      <c r="AE35" s="60"/>
      <c r="AF35" s="508"/>
      <c r="AG35" s="508"/>
      <c r="AH35" s="508"/>
      <c r="AI35" s="508"/>
      <c r="AJ35" s="508"/>
      <c r="AK35" s="508"/>
      <c r="AL35" s="508"/>
      <c r="AM35" s="508"/>
    </row>
    <row r="36" spans="1:39">
      <c r="A36" s="229"/>
      <c r="B36" s="523" t="s">
        <v>603</v>
      </c>
      <c r="C36" s="643">
        <v>17.48</v>
      </c>
      <c r="D36" s="643">
        <v>93.8</v>
      </c>
      <c r="E36" s="645">
        <v>7.2</v>
      </c>
      <c r="F36" s="645">
        <v>3.6</v>
      </c>
      <c r="G36" s="644">
        <v>1640</v>
      </c>
      <c r="H36" s="644">
        <v>126</v>
      </c>
      <c r="I36" s="459">
        <v>63</v>
      </c>
      <c r="J36" s="470"/>
      <c r="K36" s="86"/>
      <c r="L36" s="508"/>
      <c r="M36" s="508"/>
      <c r="N36" s="229"/>
      <c r="O36" s="524"/>
      <c r="P36" s="646"/>
      <c r="Q36" s="646"/>
      <c r="R36" s="648"/>
      <c r="S36" s="648"/>
      <c r="T36" s="647"/>
      <c r="U36" s="647"/>
      <c r="V36" s="525"/>
      <c r="W36" s="647"/>
      <c r="X36" s="525"/>
      <c r="Y36" s="60"/>
      <c r="Z36" s="60"/>
      <c r="AA36" s="60"/>
      <c r="AB36" s="60"/>
      <c r="AC36" s="60"/>
      <c r="AD36" s="60"/>
      <c r="AE36" s="60"/>
      <c r="AF36" s="508"/>
      <c r="AG36" s="508"/>
      <c r="AH36" s="508"/>
      <c r="AI36" s="508"/>
      <c r="AJ36" s="508"/>
      <c r="AK36" s="508"/>
      <c r="AL36" s="508"/>
      <c r="AM36" s="508"/>
    </row>
    <row r="37" spans="1:39" ht="36">
      <c r="A37" s="55"/>
      <c r="B37" s="56"/>
      <c r="C37" s="649" t="s">
        <v>604</v>
      </c>
      <c r="D37" s="649" t="s">
        <v>572</v>
      </c>
      <c r="E37" s="649" t="s">
        <v>573</v>
      </c>
      <c r="F37" s="649" t="s">
        <v>574</v>
      </c>
      <c r="G37" s="649" t="s">
        <v>605</v>
      </c>
      <c r="H37" s="649" t="s">
        <v>606</v>
      </c>
      <c r="I37" s="461" t="s">
        <v>607</v>
      </c>
      <c r="J37" s="468"/>
      <c r="K37" s="467"/>
      <c r="L37" s="55"/>
      <c r="M37" s="55"/>
      <c r="N37" s="55"/>
      <c r="O37" s="56"/>
      <c r="P37" s="649" t="s">
        <v>604</v>
      </c>
      <c r="Q37" s="649" t="s">
        <v>578</v>
      </c>
      <c r="R37" s="649" t="s">
        <v>579</v>
      </c>
      <c r="S37" s="649" t="s">
        <v>580</v>
      </c>
      <c r="T37" s="649" t="s">
        <v>608</v>
      </c>
      <c r="U37" s="649" t="s">
        <v>609</v>
      </c>
      <c r="V37" s="526" t="s">
        <v>610</v>
      </c>
      <c r="W37" s="527" t="s">
        <v>569</v>
      </c>
      <c r="X37" s="527" t="s">
        <v>611</v>
      </c>
      <c r="Y37" s="60"/>
      <c r="Z37" s="60"/>
      <c r="AA37" s="60"/>
      <c r="AB37" s="60"/>
      <c r="AC37" s="60"/>
      <c r="AD37" s="60"/>
      <c r="AE37" s="60"/>
      <c r="AF37" s="508"/>
      <c r="AG37" s="55"/>
      <c r="AH37" s="55"/>
      <c r="AI37" s="55"/>
      <c r="AJ37" s="55"/>
      <c r="AK37" s="55"/>
      <c r="AL37" s="55"/>
      <c r="AM37" s="55"/>
    </row>
    <row r="38" spans="1:39">
      <c r="A38" s="41"/>
      <c r="B38" s="528" t="s">
        <v>446</v>
      </c>
      <c r="C38" s="232"/>
      <c r="D38" s="68"/>
      <c r="E38" s="69"/>
      <c r="F38" s="69"/>
      <c r="G38" s="70"/>
      <c r="H38" s="70"/>
      <c r="I38" s="70"/>
      <c r="J38" s="469"/>
      <c r="K38" s="86"/>
      <c r="L38" s="508"/>
      <c r="M38" s="508"/>
      <c r="N38" s="41"/>
      <c r="O38" s="528" t="s">
        <v>446</v>
      </c>
      <c r="P38" s="232"/>
      <c r="Q38" s="68"/>
      <c r="R38" s="69"/>
      <c r="S38" s="69"/>
      <c r="T38" s="70"/>
      <c r="U38" s="70"/>
      <c r="V38" s="71"/>
      <c r="W38" s="57"/>
      <c r="X38" s="58"/>
      <c r="Y38" s="60"/>
      <c r="Z38" s="60"/>
      <c r="AA38" s="60"/>
      <c r="AB38" s="60"/>
      <c r="AC38" s="60"/>
      <c r="AD38" s="60"/>
      <c r="AE38" s="60"/>
      <c r="AF38" s="508"/>
      <c r="AG38" s="508"/>
      <c r="AH38" s="508"/>
      <c r="AI38" s="508"/>
      <c r="AJ38" s="508"/>
      <c r="AK38" s="508"/>
      <c r="AL38" s="508"/>
      <c r="AM38" s="508"/>
    </row>
    <row r="39" spans="1:39">
      <c r="A39" s="233"/>
      <c r="B39" s="523" t="s">
        <v>446</v>
      </c>
      <c r="C39" s="650">
        <v>1.026E-3</v>
      </c>
      <c r="D39" s="643">
        <v>53.06</v>
      </c>
      <c r="E39" s="645">
        <v>1</v>
      </c>
      <c r="F39" s="643">
        <v>0.1</v>
      </c>
      <c r="G39" s="651">
        <v>5.4440000000000002E-2</v>
      </c>
      <c r="H39" s="651">
        <v>1.0300000000000001E-3</v>
      </c>
      <c r="I39" s="462">
        <v>1E-4</v>
      </c>
      <c r="J39" s="470"/>
      <c r="K39" s="86"/>
      <c r="L39" s="508"/>
      <c r="M39" s="508"/>
      <c r="N39" s="233"/>
      <c r="O39" s="529" t="s">
        <v>446</v>
      </c>
      <c r="P39" s="652"/>
      <c r="Q39" s="653">
        <f>D39+'NYS Upstream Emission Factors'!E5/10^3*$Q$4</f>
        <v>65.266000000000005</v>
      </c>
      <c r="R39" s="654">
        <f>E39+'NYS Upstream Emission Factors'!F5*$Q$4</f>
        <v>351</v>
      </c>
      <c r="S39" s="653">
        <f>F39+'NYS Upstream Emission Factors'!G5*$Q$4</f>
        <v>0.24000000000000002</v>
      </c>
      <c r="T39" s="655"/>
      <c r="U39" s="655"/>
      <c r="V39" s="485"/>
      <c r="W39" s="656">
        <f>(Q39+R39*$D$9/1000+S39*$D$10/1000)/10^3</f>
        <v>7.5157600000000005E-2</v>
      </c>
      <c r="X39" s="525"/>
      <c r="Y39" s="206"/>
      <c r="Z39" s="206"/>
      <c r="AA39" s="60"/>
      <c r="AB39" s="60"/>
      <c r="AC39" s="60"/>
      <c r="AD39" s="60"/>
      <c r="AE39" s="60"/>
      <c r="AF39" s="508"/>
      <c r="AG39" s="508"/>
      <c r="AH39" s="508"/>
      <c r="AI39" s="508"/>
      <c r="AJ39" s="508"/>
      <c r="AK39" s="508"/>
      <c r="AL39" s="508"/>
      <c r="AM39" s="508"/>
    </row>
    <row r="40" spans="1:39">
      <c r="A40" s="41"/>
      <c r="B40" s="73" t="s">
        <v>612</v>
      </c>
      <c r="C40" s="74"/>
      <c r="D40" s="74"/>
      <c r="E40" s="74"/>
      <c r="F40" s="74"/>
      <c r="G40" s="75"/>
      <c r="H40" s="76"/>
      <c r="I40" s="463"/>
      <c r="J40" s="469"/>
      <c r="K40" s="86"/>
      <c r="L40" s="508"/>
      <c r="M40" s="508"/>
      <c r="N40" s="41"/>
      <c r="O40" s="73" t="s">
        <v>612</v>
      </c>
      <c r="P40" s="74"/>
      <c r="Q40" s="74"/>
      <c r="R40" s="74"/>
      <c r="S40" s="74"/>
      <c r="T40" s="75"/>
      <c r="U40" s="76"/>
      <c r="V40" s="77"/>
      <c r="W40" s="57"/>
      <c r="X40" s="58"/>
      <c r="Y40" s="60"/>
      <c r="Z40" s="60"/>
      <c r="AA40" s="60"/>
      <c r="AB40" s="60"/>
      <c r="AC40" s="60"/>
      <c r="AD40" s="60"/>
      <c r="AE40" s="60"/>
      <c r="AF40" s="508"/>
      <c r="AG40" s="508"/>
      <c r="AH40" s="508"/>
      <c r="AI40" s="508"/>
      <c r="AJ40" s="508"/>
      <c r="AK40" s="508"/>
      <c r="AL40" s="508"/>
      <c r="AM40" s="508"/>
    </row>
    <row r="41" spans="1:39">
      <c r="A41" s="229"/>
      <c r="B41" s="523" t="s">
        <v>613</v>
      </c>
      <c r="C41" s="650">
        <v>9.2E-5</v>
      </c>
      <c r="D41" s="643">
        <v>274.32</v>
      </c>
      <c r="E41" s="657">
        <v>2.2000000000000002E-2</v>
      </c>
      <c r="F41" s="643">
        <v>0.1</v>
      </c>
      <c r="G41" s="651">
        <v>2.5239999999999999E-2</v>
      </c>
      <c r="H41" s="650">
        <v>1.9999999999999999E-6</v>
      </c>
      <c r="I41" s="464">
        <v>9.0000000000000002E-6</v>
      </c>
      <c r="J41" s="470"/>
      <c r="K41" s="86"/>
      <c r="L41" s="508"/>
      <c r="M41" s="508"/>
      <c r="N41" s="229"/>
      <c r="O41" s="524"/>
      <c r="P41" s="652"/>
      <c r="Q41" s="646"/>
      <c r="R41" s="658"/>
      <c r="S41" s="646"/>
      <c r="T41" s="655"/>
      <c r="U41" s="652"/>
      <c r="V41" s="530"/>
      <c r="W41" s="647"/>
      <c r="X41" s="525"/>
      <c r="Y41" s="60"/>
      <c r="Z41" s="60"/>
      <c r="AA41" s="60"/>
      <c r="AB41" s="60"/>
      <c r="AC41" s="60"/>
      <c r="AD41" s="60"/>
      <c r="AE41" s="60"/>
      <c r="AF41" s="508"/>
      <c r="AG41" s="508"/>
      <c r="AH41" s="508"/>
      <c r="AI41" s="508"/>
      <c r="AJ41" s="508"/>
      <c r="AK41" s="508"/>
      <c r="AL41" s="508"/>
      <c r="AM41" s="508"/>
    </row>
    <row r="42" spans="1:39">
      <c r="A42" s="229"/>
      <c r="B42" s="523" t="s">
        <v>614</v>
      </c>
      <c r="C42" s="650">
        <v>5.9900000000000003E-4</v>
      </c>
      <c r="D42" s="643">
        <v>46.85</v>
      </c>
      <c r="E42" s="643">
        <v>0.48</v>
      </c>
      <c r="F42" s="643">
        <v>0.1</v>
      </c>
      <c r="G42" s="651">
        <v>2.8060000000000002E-2</v>
      </c>
      <c r="H42" s="650">
        <v>2.8800000000000001E-4</v>
      </c>
      <c r="I42" s="464">
        <v>6.0000000000000002E-5</v>
      </c>
      <c r="J42" s="470"/>
      <c r="K42" s="86"/>
      <c r="L42" s="508"/>
      <c r="M42" s="508"/>
      <c r="N42" s="229"/>
      <c r="O42" s="524"/>
      <c r="P42" s="652"/>
      <c r="Q42" s="646"/>
      <c r="R42" s="646"/>
      <c r="S42" s="646"/>
      <c r="T42" s="655"/>
      <c r="U42" s="652"/>
      <c r="V42" s="530"/>
      <c r="W42" s="647"/>
      <c r="X42" s="525"/>
      <c r="Y42" s="60"/>
      <c r="Z42" s="60"/>
      <c r="AA42" s="60"/>
      <c r="AB42" s="60"/>
      <c r="AC42" s="60"/>
      <c r="AD42" s="60"/>
      <c r="AE42" s="60"/>
      <c r="AF42" s="508"/>
      <c r="AG42" s="508"/>
      <c r="AH42" s="508"/>
      <c r="AI42" s="508"/>
      <c r="AJ42" s="508"/>
      <c r="AK42" s="508"/>
      <c r="AL42" s="508"/>
      <c r="AM42" s="508"/>
    </row>
    <row r="43" spans="1:39">
      <c r="A43" s="229"/>
      <c r="B43" s="523" t="s">
        <v>435</v>
      </c>
      <c r="C43" s="650">
        <v>1.3879999999999999E-3</v>
      </c>
      <c r="D43" s="659">
        <v>59</v>
      </c>
      <c r="E43" s="645">
        <v>3</v>
      </c>
      <c r="F43" s="643">
        <v>0.6</v>
      </c>
      <c r="G43" s="651">
        <v>8.1890000000000004E-2</v>
      </c>
      <c r="H43" s="650">
        <v>4.1640000000000002E-3</v>
      </c>
      <c r="I43" s="464">
        <v>8.3299999999999997E-4</v>
      </c>
      <c r="J43" s="470"/>
      <c r="K43" s="86"/>
      <c r="L43" s="508"/>
      <c r="M43" s="508"/>
      <c r="N43" s="229"/>
      <c r="O43" s="524"/>
      <c r="P43" s="652"/>
      <c r="Q43" s="660"/>
      <c r="R43" s="648"/>
      <c r="S43" s="646"/>
      <c r="T43" s="655"/>
      <c r="U43" s="652"/>
      <c r="V43" s="530"/>
      <c r="W43" s="647"/>
      <c r="X43" s="525"/>
      <c r="Y43" s="60"/>
      <c r="Z43" s="60"/>
      <c r="AA43" s="60"/>
      <c r="AB43" s="60"/>
      <c r="AC43" s="60"/>
      <c r="AD43" s="60"/>
      <c r="AE43" s="60"/>
      <c r="AF43" s="508"/>
      <c r="AG43" s="508"/>
      <c r="AH43" s="508"/>
      <c r="AI43" s="508"/>
      <c r="AJ43" s="508"/>
      <c r="AK43" s="508"/>
      <c r="AL43" s="508"/>
      <c r="AM43" s="508"/>
    </row>
    <row r="44" spans="1:39">
      <c r="A44" s="229"/>
      <c r="B44" s="523" t="s">
        <v>615</v>
      </c>
      <c r="C44" s="650">
        <v>2.516E-3</v>
      </c>
      <c r="D44" s="659">
        <v>61.46</v>
      </c>
      <c r="E44" s="645">
        <v>3</v>
      </c>
      <c r="F44" s="643">
        <v>0.6</v>
      </c>
      <c r="G44" s="651">
        <v>0.15462999999999999</v>
      </c>
      <c r="H44" s="650">
        <v>7.548E-3</v>
      </c>
      <c r="I44" s="464">
        <v>1.5100000000000001E-3</v>
      </c>
      <c r="J44" s="470"/>
      <c r="K44" s="86"/>
      <c r="L44" s="508"/>
      <c r="M44" s="508"/>
      <c r="N44" s="229"/>
      <c r="O44" s="524"/>
      <c r="P44" s="652"/>
      <c r="Q44" s="660"/>
      <c r="R44" s="648"/>
      <c r="S44" s="646"/>
      <c r="T44" s="655"/>
      <c r="U44" s="652"/>
      <c r="V44" s="530"/>
      <c r="W44" s="647"/>
      <c r="X44" s="525"/>
      <c r="Y44" s="60"/>
      <c r="Z44" s="60"/>
      <c r="AA44" s="60"/>
      <c r="AB44" s="60"/>
      <c r="AC44" s="60"/>
      <c r="AD44" s="60"/>
      <c r="AE44" s="60"/>
      <c r="AF44" s="508"/>
      <c r="AG44" s="508"/>
      <c r="AH44" s="508"/>
      <c r="AI44" s="508"/>
      <c r="AJ44" s="508"/>
      <c r="AK44" s="508"/>
      <c r="AL44" s="508"/>
      <c r="AM44" s="508"/>
    </row>
    <row r="45" spans="1:39">
      <c r="A45" s="41"/>
      <c r="B45" s="61" t="s">
        <v>616</v>
      </c>
      <c r="C45" s="74"/>
      <c r="D45" s="74"/>
      <c r="E45" s="78"/>
      <c r="F45" s="78"/>
      <c r="G45" s="76"/>
      <c r="H45" s="76"/>
      <c r="I45" s="463"/>
      <c r="J45" s="469"/>
      <c r="K45" s="86"/>
      <c r="L45" s="508"/>
      <c r="M45" s="508"/>
      <c r="N45" s="41"/>
      <c r="O45" s="61" t="s">
        <v>616</v>
      </c>
      <c r="P45" s="74"/>
      <c r="Q45" s="74"/>
      <c r="R45" s="78"/>
      <c r="S45" s="78"/>
      <c r="T45" s="76"/>
      <c r="U45" s="76"/>
      <c r="V45" s="77"/>
      <c r="W45" s="57"/>
      <c r="X45" s="58"/>
      <c r="Y45" s="60"/>
      <c r="Z45" s="60"/>
      <c r="AA45" s="60"/>
      <c r="AB45" s="60"/>
      <c r="AC45" s="60"/>
      <c r="AD45" s="60"/>
      <c r="AE45" s="60"/>
      <c r="AF45" s="508"/>
      <c r="AG45" s="508"/>
      <c r="AH45" s="508"/>
      <c r="AI45" s="508"/>
      <c r="AJ45" s="508"/>
      <c r="AK45" s="508"/>
      <c r="AL45" s="508"/>
      <c r="AM45" s="508"/>
    </row>
    <row r="46" spans="1:39">
      <c r="A46" s="234"/>
      <c r="B46" s="531" t="s">
        <v>617</v>
      </c>
      <c r="C46" s="661">
        <v>4.8500000000000003E-4</v>
      </c>
      <c r="D46" s="662">
        <v>52.07</v>
      </c>
      <c r="E46" s="663">
        <v>3.2</v>
      </c>
      <c r="F46" s="662">
        <v>0.63</v>
      </c>
      <c r="G46" s="650">
        <v>2.5253999999999999E-2</v>
      </c>
      <c r="H46" s="650">
        <v>1.552E-3</v>
      </c>
      <c r="I46" s="464">
        <v>3.0600000000000001E-4</v>
      </c>
      <c r="J46" s="470"/>
      <c r="K46" s="95"/>
      <c r="L46" s="50"/>
      <c r="M46" s="50"/>
      <c r="N46" s="234"/>
      <c r="O46" s="524"/>
      <c r="P46" s="652"/>
      <c r="Q46" s="660"/>
      <c r="R46" s="648"/>
      <c r="S46" s="646"/>
      <c r="T46" s="655"/>
      <c r="U46" s="652"/>
      <c r="V46" s="530"/>
      <c r="W46" s="647"/>
      <c r="X46" s="525"/>
      <c r="Y46" s="60"/>
      <c r="Z46" s="60"/>
      <c r="AA46" s="60"/>
      <c r="AB46" s="60"/>
      <c r="AC46" s="60"/>
      <c r="AD46" s="60"/>
      <c r="AE46" s="60"/>
      <c r="AF46" s="508"/>
      <c r="AG46" s="50"/>
      <c r="AH46" s="50"/>
      <c r="AI46" s="50"/>
      <c r="AJ46" s="50"/>
      <c r="AK46" s="50"/>
      <c r="AL46" s="50"/>
      <c r="AM46" s="50"/>
    </row>
    <row r="47" spans="1:39">
      <c r="A47" s="234"/>
      <c r="B47" s="531" t="s">
        <v>618</v>
      </c>
      <c r="C47" s="661">
        <v>6.5499999999999998E-4</v>
      </c>
      <c r="D47" s="662">
        <v>52.07</v>
      </c>
      <c r="E47" s="663">
        <v>3.2</v>
      </c>
      <c r="F47" s="662">
        <v>0.63</v>
      </c>
      <c r="G47" s="650">
        <v>3.4105999999999997E-2</v>
      </c>
      <c r="H47" s="650">
        <v>2.0960000000000002E-3</v>
      </c>
      <c r="I47" s="464">
        <v>4.1300000000000001E-4</v>
      </c>
      <c r="J47" s="470"/>
      <c r="K47" s="95"/>
      <c r="L47" s="50"/>
      <c r="M47" s="50"/>
      <c r="N47" s="234"/>
      <c r="O47" s="524"/>
      <c r="P47" s="652"/>
      <c r="Q47" s="660"/>
      <c r="R47" s="648"/>
      <c r="S47" s="646"/>
      <c r="T47" s="655"/>
      <c r="U47" s="652"/>
      <c r="V47" s="530"/>
      <c r="W47" s="647"/>
      <c r="X47" s="525"/>
      <c r="Y47" s="60"/>
      <c r="Z47" s="60"/>
      <c r="AA47" s="60"/>
      <c r="AB47" s="60"/>
      <c r="AC47" s="60"/>
      <c r="AD47" s="60"/>
      <c r="AE47" s="60"/>
      <c r="AF47" s="508"/>
      <c r="AG47" s="50"/>
      <c r="AH47" s="50"/>
      <c r="AI47" s="50"/>
      <c r="AJ47" s="50"/>
      <c r="AK47" s="50"/>
      <c r="AL47" s="50"/>
      <c r="AM47" s="50"/>
    </row>
    <row r="48" spans="1:39" ht="37.5">
      <c r="A48" s="55"/>
      <c r="B48" s="56"/>
      <c r="C48" s="649" t="s">
        <v>619</v>
      </c>
      <c r="D48" s="649" t="s">
        <v>572</v>
      </c>
      <c r="E48" s="649" t="s">
        <v>573</v>
      </c>
      <c r="F48" s="649" t="s">
        <v>574</v>
      </c>
      <c r="G48" s="649" t="s">
        <v>620</v>
      </c>
      <c r="H48" s="649" t="s">
        <v>621</v>
      </c>
      <c r="I48" s="461" t="s">
        <v>622</v>
      </c>
      <c r="J48" s="468"/>
      <c r="K48" s="467"/>
      <c r="L48" s="55"/>
      <c r="M48" s="55"/>
      <c r="N48" s="55"/>
      <c r="O48" s="56"/>
      <c r="P48" s="649" t="s">
        <v>619</v>
      </c>
      <c r="Q48" s="649" t="s">
        <v>578</v>
      </c>
      <c r="R48" s="649" t="s">
        <v>579</v>
      </c>
      <c r="S48" s="649" t="s">
        <v>580</v>
      </c>
      <c r="T48" s="649" t="s">
        <v>623</v>
      </c>
      <c r="U48" s="649" t="s">
        <v>624</v>
      </c>
      <c r="V48" s="526" t="s">
        <v>625</v>
      </c>
      <c r="W48" s="527" t="s">
        <v>569</v>
      </c>
      <c r="X48" s="527" t="s">
        <v>626</v>
      </c>
      <c r="Y48" s="60"/>
      <c r="Z48" s="60"/>
      <c r="AA48" s="60"/>
      <c r="AB48" s="60"/>
      <c r="AC48" s="60"/>
      <c r="AD48" s="60"/>
      <c r="AE48" s="60"/>
      <c r="AF48" s="508"/>
      <c r="AG48" s="55"/>
      <c r="AH48" s="55"/>
      <c r="AI48" s="55"/>
      <c r="AJ48" s="55"/>
      <c r="AK48" s="55"/>
      <c r="AL48" s="55"/>
      <c r="AM48" s="55"/>
    </row>
    <row r="49" spans="1:39">
      <c r="A49" s="79"/>
      <c r="B49" s="532" t="s">
        <v>627</v>
      </c>
      <c r="C49" s="80"/>
      <c r="D49" s="80"/>
      <c r="E49" s="80"/>
      <c r="F49" s="80"/>
      <c r="G49" s="80"/>
      <c r="H49" s="80"/>
      <c r="I49" s="80"/>
      <c r="J49" s="469"/>
      <c r="K49" s="95"/>
      <c r="L49" s="50"/>
      <c r="M49" s="50"/>
      <c r="N49" s="79"/>
      <c r="O49" s="532" t="s">
        <v>627</v>
      </c>
      <c r="P49" s="80"/>
      <c r="Q49" s="80"/>
      <c r="R49" s="80"/>
      <c r="S49" s="80"/>
      <c r="T49" s="80"/>
      <c r="U49" s="80"/>
      <c r="V49" s="81"/>
      <c r="W49" s="57"/>
      <c r="X49" s="58"/>
      <c r="Y49" s="60"/>
      <c r="Z49" s="60"/>
      <c r="AA49" s="60"/>
      <c r="AB49" s="60"/>
      <c r="AC49" s="60"/>
      <c r="AD49" s="60"/>
      <c r="AE49" s="60"/>
      <c r="AF49" s="508"/>
      <c r="AG49" s="50"/>
      <c r="AH49" s="50"/>
      <c r="AI49" s="50"/>
      <c r="AJ49" s="50"/>
      <c r="AK49" s="50"/>
      <c r="AL49" s="50"/>
      <c r="AM49" s="50"/>
    </row>
    <row r="50" spans="1:39">
      <c r="A50" s="229"/>
      <c r="B50" s="523" t="s">
        <v>628</v>
      </c>
      <c r="C50" s="657">
        <v>0.158</v>
      </c>
      <c r="D50" s="643">
        <v>75.36</v>
      </c>
      <c r="E50" s="645">
        <v>3</v>
      </c>
      <c r="F50" s="643">
        <v>0.6</v>
      </c>
      <c r="G50" s="643">
        <v>11.91</v>
      </c>
      <c r="H50" s="643">
        <v>0.47</v>
      </c>
      <c r="I50" s="465">
        <v>0.09</v>
      </c>
      <c r="J50" s="470"/>
      <c r="K50" s="86"/>
      <c r="L50" s="508"/>
      <c r="M50" s="508"/>
      <c r="N50" s="229"/>
      <c r="O50" s="524"/>
      <c r="P50" s="658"/>
      <c r="Q50" s="646"/>
      <c r="R50" s="648"/>
      <c r="S50" s="646"/>
      <c r="T50" s="646"/>
      <c r="U50" s="646"/>
      <c r="V50" s="533"/>
      <c r="W50" s="647"/>
      <c r="X50" s="525"/>
      <c r="Y50" s="59"/>
      <c r="Z50" s="60"/>
      <c r="AA50" s="60"/>
      <c r="AB50" s="60"/>
      <c r="AC50" s="60"/>
      <c r="AD50" s="60"/>
      <c r="AE50" s="60"/>
      <c r="AF50" s="508"/>
      <c r="AG50" s="508"/>
      <c r="AH50" s="508"/>
      <c r="AI50" s="508"/>
      <c r="AJ50" s="508"/>
      <c r="AK50" s="508"/>
      <c r="AL50" s="508"/>
      <c r="AM50" s="508"/>
    </row>
    <row r="51" spans="1:39">
      <c r="A51" s="229"/>
      <c r="B51" s="523" t="s">
        <v>629</v>
      </c>
      <c r="C51" s="657">
        <v>0.12</v>
      </c>
      <c r="D51" s="643">
        <v>69.25</v>
      </c>
      <c r="E51" s="645">
        <v>3</v>
      </c>
      <c r="F51" s="643">
        <v>0.6</v>
      </c>
      <c r="G51" s="643">
        <v>8.31</v>
      </c>
      <c r="H51" s="643">
        <v>0.36</v>
      </c>
      <c r="I51" s="465">
        <v>7.0000000000000007E-2</v>
      </c>
      <c r="J51" s="470"/>
      <c r="K51" s="86"/>
      <c r="L51" s="508"/>
      <c r="M51" s="508"/>
      <c r="N51" s="229"/>
      <c r="O51" s="524"/>
      <c r="P51" s="658"/>
      <c r="Q51" s="646"/>
      <c r="R51" s="648"/>
      <c r="S51" s="646"/>
      <c r="T51" s="646"/>
      <c r="U51" s="646"/>
      <c r="V51" s="533"/>
      <c r="W51" s="647"/>
      <c r="X51" s="525"/>
      <c r="Y51" s="59"/>
      <c r="Z51" s="60"/>
      <c r="AA51" s="60"/>
      <c r="AB51" s="60"/>
      <c r="AC51" s="60"/>
      <c r="AD51" s="60"/>
      <c r="AE51" s="60"/>
      <c r="AF51" s="508"/>
      <c r="AG51" s="508"/>
      <c r="AH51" s="508"/>
      <c r="AI51" s="508"/>
      <c r="AJ51" s="508"/>
      <c r="AK51" s="508"/>
      <c r="AL51" s="508"/>
      <c r="AM51" s="508"/>
    </row>
    <row r="52" spans="1:39">
      <c r="A52" s="229"/>
      <c r="B52" s="523" t="s">
        <v>630</v>
      </c>
      <c r="C52" s="657">
        <v>0.10299999999999999</v>
      </c>
      <c r="D52" s="643">
        <v>64.77</v>
      </c>
      <c r="E52" s="645">
        <v>3</v>
      </c>
      <c r="F52" s="643">
        <v>0.6</v>
      </c>
      <c r="G52" s="643">
        <v>6.67</v>
      </c>
      <c r="H52" s="643">
        <v>0.31</v>
      </c>
      <c r="I52" s="465">
        <v>0.06</v>
      </c>
      <c r="J52" s="470"/>
      <c r="K52" s="86"/>
      <c r="L52" s="508"/>
      <c r="M52" s="508"/>
      <c r="N52" s="229"/>
      <c r="O52" s="524"/>
      <c r="P52" s="658"/>
      <c r="Q52" s="646"/>
      <c r="R52" s="648"/>
      <c r="S52" s="646"/>
      <c r="T52" s="646"/>
      <c r="U52" s="646"/>
      <c r="V52" s="533"/>
      <c r="W52" s="647"/>
      <c r="X52" s="525"/>
      <c r="Y52" s="59"/>
      <c r="Z52" s="60"/>
      <c r="AA52" s="60"/>
      <c r="AB52" s="60"/>
      <c r="AC52" s="60"/>
      <c r="AD52" s="60"/>
      <c r="AE52" s="60"/>
      <c r="AF52" s="508"/>
      <c r="AG52" s="508"/>
      <c r="AH52" s="508"/>
      <c r="AI52" s="508"/>
      <c r="AJ52" s="508"/>
      <c r="AK52" s="508"/>
      <c r="AL52" s="508"/>
      <c r="AM52" s="508"/>
    </row>
    <row r="53" spans="1:39">
      <c r="A53" s="229"/>
      <c r="B53" s="523" t="s">
        <v>631</v>
      </c>
      <c r="C53" s="657">
        <v>0.105</v>
      </c>
      <c r="D53" s="643">
        <v>68.72</v>
      </c>
      <c r="E53" s="645">
        <v>3</v>
      </c>
      <c r="F53" s="643">
        <v>0.6</v>
      </c>
      <c r="G53" s="643">
        <v>7.22</v>
      </c>
      <c r="H53" s="643">
        <v>0.32</v>
      </c>
      <c r="I53" s="465">
        <v>0.06</v>
      </c>
      <c r="J53" s="470"/>
      <c r="K53" s="86"/>
      <c r="L53" s="508"/>
      <c r="M53" s="508"/>
      <c r="N53" s="229"/>
      <c r="O53" s="524"/>
      <c r="P53" s="658"/>
      <c r="Q53" s="646"/>
      <c r="R53" s="648"/>
      <c r="S53" s="646"/>
      <c r="T53" s="646"/>
      <c r="U53" s="646"/>
      <c r="V53" s="533"/>
      <c r="W53" s="647"/>
      <c r="X53" s="525"/>
      <c r="Y53" s="59"/>
      <c r="Z53" s="60"/>
      <c r="AA53" s="60"/>
      <c r="AB53" s="60"/>
      <c r="AC53" s="60"/>
      <c r="AD53" s="60"/>
      <c r="AE53" s="60"/>
      <c r="AF53" s="508"/>
      <c r="AG53" s="508"/>
      <c r="AH53" s="508"/>
      <c r="AI53" s="508"/>
      <c r="AJ53" s="508"/>
      <c r="AK53" s="508"/>
      <c r="AL53" s="508"/>
      <c r="AM53" s="508"/>
    </row>
    <row r="54" spans="1:39">
      <c r="A54" s="229"/>
      <c r="B54" s="523" t="s">
        <v>632</v>
      </c>
      <c r="C54" s="657">
        <v>0.13800000000000001</v>
      </c>
      <c r="D54" s="643">
        <v>74.540000000000006</v>
      </c>
      <c r="E54" s="645">
        <v>3</v>
      </c>
      <c r="F54" s="643">
        <v>0.6</v>
      </c>
      <c r="G54" s="643">
        <v>10.29</v>
      </c>
      <c r="H54" s="643">
        <v>0.41</v>
      </c>
      <c r="I54" s="465">
        <v>0.08</v>
      </c>
      <c r="J54" s="470"/>
      <c r="K54" s="86"/>
      <c r="L54" s="508"/>
      <c r="M54" s="508"/>
      <c r="N54" s="229"/>
      <c r="O54" s="524"/>
      <c r="P54" s="658"/>
      <c r="Q54" s="646"/>
      <c r="R54" s="648"/>
      <c r="S54" s="646"/>
      <c r="T54" s="646"/>
      <c r="U54" s="655"/>
      <c r="V54" s="533"/>
      <c r="W54" s="647"/>
      <c r="X54" s="525"/>
      <c r="Y54" s="59"/>
      <c r="Z54" s="60"/>
      <c r="AA54" s="60"/>
      <c r="AB54" s="60"/>
      <c r="AC54" s="60"/>
      <c r="AD54" s="60"/>
      <c r="AE54" s="60"/>
      <c r="AF54" s="508"/>
      <c r="AG54" s="508"/>
      <c r="AH54" s="508"/>
      <c r="AI54" s="508"/>
      <c r="AJ54" s="508"/>
      <c r="AK54" s="508"/>
      <c r="AL54" s="508"/>
      <c r="AM54" s="508"/>
    </row>
    <row r="55" spans="1:39">
      <c r="A55" s="229"/>
      <c r="B55" s="523" t="s">
        <v>633</v>
      </c>
      <c r="C55" s="657">
        <v>0.13900000000000001</v>
      </c>
      <c r="D55" s="643">
        <v>73.25</v>
      </c>
      <c r="E55" s="645">
        <v>3</v>
      </c>
      <c r="F55" s="643">
        <v>0.6</v>
      </c>
      <c r="G55" s="643">
        <v>10.18</v>
      </c>
      <c r="H55" s="643">
        <v>0.42</v>
      </c>
      <c r="I55" s="465">
        <v>0.08</v>
      </c>
      <c r="J55" s="470"/>
      <c r="K55" s="86"/>
      <c r="L55" s="508"/>
      <c r="M55" s="508"/>
      <c r="N55" s="229"/>
      <c r="O55" s="529" t="s">
        <v>633</v>
      </c>
      <c r="P55" s="664">
        <v>0.13900000000000001</v>
      </c>
      <c r="Q55" s="653">
        <f>D55+'NYS Upstream Emission Factors'!E$6/10^3*$Q$4</f>
        <v>87.849000000000004</v>
      </c>
      <c r="R55" s="653">
        <f>E55+'NYS Upstream Emission Factors'!F$6*$Q$4</f>
        <v>122</v>
      </c>
      <c r="S55" s="653">
        <f>F55+'NYS Upstream Emission Factors'!G$6*$Q$4</f>
        <v>0.85</v>
      </c>
      <c r="T55" s="653">
        <f>Q55*'NYS Upstream Emission Factors'!$E$12</f>
        <v>12.035313000000002</v>
      </c>
      <c r="U55" s="653">
        <f>R55*'NYS Upstream Emission Factors'!$E$12</f>
        <v>16.714000000000002</v>
      </c>
      <c r="V55" s="653">
        <f>S55*'NYS Upstream Emission Factors'!$E$12</f>
        <v>0.11645000000000001</v>
      </c>
      <c r="W55" s="656">
        <f>(Q55+R55*$D$9/1000+S55*$D$10/1000)/10^3</f>
        <v>9.1490250000000009E-2</v>
      </c>
      <c r="X55" s="656">
        <f>(T55+U55*$D$9/1000+V55*$D$10/1000)/10^3</f>
        <v>1.2534164250000004E-2</v>
      </c>
      <c r="Y55" s="60"/>
      <c r="Z55" s="60"/>
      <c r="AA55" s="60"/>
      <c r="AB55" s="60"/>
      <c r="AC55" s="60"/>
      <c r="AD55" s="60"/>
      <c r="AE55" s="60"/>
      <c r="AF55" s="508"/>
      <c r="AG55" s="508"/>
      <c r="AH55" s="508"/>
      <c r="AI55" s="508"/>
      <c r="AJ55" s="508"/>
      <c r="AK55" s="508"/>
      <c r="AL55" s="508"/>
      <c r="AM55" s="508"/>
    </row>
    <row r="56" spans="1:39">
      <c r="A56" s="229"/>
      <c r="B56" s="523" t="s">
        <v>634</v>
      </c>
      <c r="C56" s="657">
        <v>0.13800000000000001</v>
      </c>
      <c r="D56" s="643">
        <v>73.959999999999994</v>
      </c>
      <c r="E56" s="645">
        <v>3</v>
      </c>
      <c r="F56" s="643">
        <v>0.6</v>
      </c>
      <c r="G56" s="643">
        <v>10.210000000000001</v>
      </c>
      <c r="H56" s="643">
        <v>0.41</v>
      </c>
      <c r="I56" s="465">
        <v>0.08</v>
      </c>
      <c r="J56" s="470"/>
      <c r="K56" s="86"/>
      <c r="L56" s="508"/>
      <c r="M56" s="508"/>
      <c r="N56" s="229"/>
      <c r="O56" s="529" t="s">
        <v>634</v>
      </c>
      <c r="P56" s="664">
        <v>0.13800000000000001</v>
      </c>
      <c r="Q56" s="653">
        <f>D56+'NYS Upstream Emission Factors'!E$6/10^3*$Q$4</f>
        <v>88.558999999999997</v>
      </c>
      <c r="R56" s="653">
        <f>E56+'NYS Upstream Emission Factors'!F$6*$Q$4</f>
        <v>122</v>
      </c>
      <c r="S56" s="653">
        <f>F56+'NYS Upstream Emission Factors'!G$6*$Q$4</f>
        <v>0.85</v>
      </c>
      <c r="T56" s="653">
        <f>Q56*'NYS Upstream Emission Factors'!$E$12</f>
        <v>12.132583</v>
      </c>
      <c r="U56" s="653">
        <f>R56*'NYS Upstream Emission Factors'!$E$12</f>
        <v>16.714000000000002</v>
      </c>
      <c r="V56" s="653">
        <f>S56*'NYS Upstream Emission Factors'!$E$12</f>
        <v>0.11645000000000001</v>
      </c>
      <c r="W56" s="656">
        <f>(Q56+R56*$D$9/1000+S56*$D$10/1000)/10^3</f>
        <v>9.2200249999999997E-2</v>
      </c>
      <c r="X56" s="665">
        <f>(T56+U56*$D$9/1000+V56*$D$10/1000)/10^3</f>
        <v>1.2631434250000002E-2</v>
      </c>
      <c r="Y56" s="200"/>
      <c r="Z56" s="133"/>
      <c r="AA56" s="60"/>
      <c r="AB56" s="60"/>
      <c r="AC56" s="60"/>
      <c r="AD56" s="60"/>
      <c r="AE56" s="60"/>
      <c r="AF56" s="508"/>
      <c r="AG56" s="508"/>
      <c r="AH56" s="508"/>
      <c r="AI56" s="508"/>
      <c r="AJ56" s="508"/>
      <c r="AK56" s="508"/>
      <c r="AL56" s="508"/>
      <c r="AM56" s="508"/>
    </row>
    <row r="57" spans="1:39">
      <c r="A57" s="229"/>
      <c r="B57" s="523" t="s">
        <v>635</v>
      </c>
      <c r="C57" s="657">
        <v>0.14599999999999999</v>
      </c>
      <c r="D57" s="643">
        <v>75.040000000000006</v>
      </c>
      <c r="E57" s="645">
        <v>3</v>
      </c>
      <c r="F57" s="643">
        <v>0.6</v>
      </c>
      <c r="G57" s="643">
        <v>10.96</v>
      </c>
      <c r="H57" s="643">
        <v>0.44</v>
      </c>
      <c r="I57" s="465">
        <v>0.09</v>
      </c>
      <c r="J57" s="470"/>
      <c r="K57" s="86"/>
      <c r="L57" s="508"/>
      <c r="M57" s="508"/>
      <c r="N57" s="229"/>
      <c r="O57" s="529" t="s">
        <v>635</v>
      </c>
      <c r="P57" s="664">
        <v>0.14599999999999999</v>
      </c>
      <c r="Q57" s="653">
        <f>D57+'NYS Upstream Emission Factors'!E$6/10^3*$Q$4</f>
        <v>89.63900000000001</v>
      </c>
      <c r="R57" s="653">
        <f>E57+'NYS Upstream Emission Factors'!F$6*$Q$4</f>
        <v>122</v>
      </c>
      <c r="S57" s="653">
        <f>F57+'NYS Upstream Emission Factors'!G$6*$Q$4</f>
        <v>0.85</v>
      </c>
      <c r="T57" s="653">
        <f>Q57*'NYS Upstream Emission Factors'!$E$12</f>
        <v>12.280543000000002</v>
      </c>
      <c r="U57" s="653">
        <f>R57*'NYS Upstream Emission Factors'!$E$12</f>
        <v>16.714000000000002</v>
      </c>
      <c r="V57" s="653">
        <f>S57*'NYS Upstream Emission Factors'!$E$12</f>
        <v>0.11645000000000001</v>
      </c>
      <c r="W57" s="656">
        <f>(Q57+R57*$D$9/1000+S57*$D$10/1000)/10^3</f>
        <v>9.3280250000000009E-2</v>
      </c>
      <c r="X57" s="656">
        <f>(T57+U57*$D$9/1000+V57*$D$10/1000)/10^3</f>
        <v>1.2779394250000003E-2</v>
      </c>
      <c r="Y57" s="60"/>
      <c r="Z57" s="60"/>
      <c r="AA57" s="60"/>
      <c r="AB57" s="60"/>
      <c r="AC57" s="60"/>
      <c r="AD57" s="60"/>
      <c r="AE57" s="60"/>
      <c r="AF57" s="508"/>
      <c r="AG57" s="508"/>
      <c r="AH57" s="508"/>
      <c r="AI57" s="508"/>
      <c r="AJ57" s="508"/>
      <c r="AK57" s="508"/>
      <c r="AL57" s="508"/>
      <c r="AM57" s="508"/>
    </row>
    <row r="58" spans="1:39">
      <c r="A58" s="229"/>
      <c r="B58" s="523" t="s">
        <v>636</v>
      </c>
      <c r="C58" s="657">
        <v>6.8000000000000005E-2</v>
      </c>
      <c r="D58" s="643">
        <v>59.6</v>
      </c>
      <c r="E58" s="645">
        <v>3</v>
      </c>
      <c r="F58" s="643">
        <v>0.6</v>
      </c>
      <c r="G58" s="643">
        <v>4.05</v>
      </c>
      <c r="H58" s="643">
        <v>0.2</v>
      </c>
      <c r="I58" s="465">
        <v>0.04</v>
      </c>
      <c r="J58" s="470"/>
      <c r="K58" s="86"/>
      <c r="L58" s="508"/>
      <c r="M58" s="508"/>
      <c r="N58" s="229"/>
      <c r="O58" s="524"/>
      <c r="P58" s="658"/>
      <c r="Q58" s="646"/>
      <c r="R58" s="648"/>
      <c r="S58" s="646"/>
      <c r="T58" s="646"/>
      <c r="U58" s="646"/>
      <c r="V58" s="533"/>
      <c r="W58" s="647"/>
      <c r="X58" s="525"/>
      <c r="Y58" s="60"/>
      <c r="Z58" s="60"/>
      <c r="AA58" s="60"/>
      <c r="AB58" s="60"/>
      <c r="AC58" s="60"/>
      <c r="AD58" s="60"/>
      <c r="AE58" s="60"/>
      <c r="AF58" s="508"/>
      <c r="AG58" s="508"/>
      <c r="AH58" s="508"/>
      <c r="AI58" s="508"/>
      <c r="AJ58" s="508"/>
      <c r="AK58" s="508"/>
      <c r="AL58" s="508"/>
      <c r="AM58" s="508"/>
    </row>
    <row r="59" spans="1:39">
      <c r="A59" s="229"/>
      <c r="B59" s="523" t="s">
        <v>637</v>
      </c>
      <c r="C59" s="657">
        <v>5.8000000000000003E-2</v>
      </c>
      <c r="D59" s="643">
        <v>65.959999999999994</v>
      </c>
      <c r="E59" s="645">
        <v>3</v>
      </c>
      <c r="F59" s="643">
        <v>0.6</v>
      </c>
      <c r="G59" s="643">
        <v>3.83</v>
      </c>
      <c r="H59" s="643">
        <v>0.17</v>
      </c>
      <c r="I59" s="465">
        <v>0.03</v>
      </c>
      <c r="J59" s="470"/>
      <c r="K59" s="86"/>
      <c r="L59" s="508"/>
      <c r="M59" s="508"/>
      <c r="N59" s="229"/>
      <c r="O59" s="524"/>
      <c r="P59" s="658"/>
      <c r="Q59" s="646"/>
      <c r="R59" s="648"/>
      <c r="S59" s="646"/>
      <c r="T59" s="646"/>
      <c r="U59" s="646"/>
      <c r="V59" s="533"/>
      <c r="W59" s="647"/>
      <c r="X59" s="525"/>
      <c r="Y59" s="60"/>
      <c r="Z59" s="60"/>
      <c r="AA59" s="60"/>
      <c r="AB59" s="60"/>
      <c r="AC59" s="60"/>
      <c r="AD59" s="60"/>
      <c r="AE59" s="60"/>
      <c r="AF59" s="508"/>
      <c r="AG59" s="508"/>
      <c r="AH59" s="508"/>
      <c r="AI59" s="508"/>
      <c r="AJ59" s="508"/>
      <c r="AK59" s="508"/>
      <c r="AL59" s="508"/>
      <c r="AM59" s="508"/>
    </row>
    <row r="60" spans="1:39">
      <c r="A60" s="229"/>
      <c r="B60" s="523" t="s">
        <v>638</v>
      </c>
      <c r="C60" s="657">
        <v>0.14799999999999999</v>
      </c>
      <c r="D60" s="643">
        <v>74.92</v>
      </c>
      <c r="E60" s="645">
        <v>3</v>
      </c>
      <c r="F60" s="643">
        <v>0.6</v>
      </c>
      <c r="G60" s="643">
        <v>11.09</v>
      </c>
      <c r="H60" s="643">
        <v>0.44</v>
      </c>
      <c r="I60" s="465">
        <v>0.09</v>
      </c>
      <c r="J60" s="470"/>
      <c r="K60" s="86"/>
      <c r="L60" s="508"/>
      <c r="M60" s="508"/>
      <c r="N60" s="229"/>
      <c r="O60" s="524"/>
      <c r="P60" s="658"/>
      <c r="Q60" s="646"/>
      <c r="R60" s="648"/>
      <c r="S60" s="646"/>
      <c r="T60" s="646"/>
      <c r="U60" s="646"/>
      <c r="V60" s="533"/>
      <c r="W60" s="647"/>
      <c r="X60" s="525"/>
      <c r="Y60" s="60"/>
      <c r="Z60" s="60"/>
      <c r="AA60" s="60"/>
      <c r="AB60" s="60"/>
      <c r="AC60" s="60"/>
      <c r="AD60" s="60"/>
      <c r="AE60" s="60"/>
      <c r="AF60" s="508"/>
      <c r="AG60" s="508"/>
      <c r="AH60" s="508"/>
      <c r="AI60" s="508"/>
      <c r="AJ60" s="508"/>
      <c r="AK60" s="508"/>
      <c r="AL60" s="508"/>
      <c r="AM60" s="508"/>
    </row>
    <row r="61" spans="1:39">
      <c r="A61" s="229"/>
      <c r="B61" s="523" t="s">
        <v>639</v>
      </c>
      <c r="C61" s="657">
        <v>9.9000000000000005E-2</v>
      </c>
      <c r="D61" s="643">
        <v>64.94</v>
      </c>
      <c r="E61" s="645">
        <v>3</v>
      </c>
      <c r="F61" s="643">
        <v>0.6</v>
      </c>
      <c r="G61" s="643">
        <v>6.43</v>
      </c>
      <c r="H61" s="643">
        <v>0.3</v>
      </c>
      <c r="I61" s="465">
        <v>0.06</v>
      </c>
      <c r="J61" s="470"/>
      <c r="K61" s="86"/>
      <c r="L61" s="508"/>
      <c r="M61" s="508"/>
      <c r="N61" s="229"/>
      <c r="O61" s="524"/>
      <c r="P61" s="658"/>
      <c r="Q61" s="646"/>
      <c r="R61" s="648"/>
      <c r="S61" s="646"/>
      <c r="T61" s="646"/>
      <c r="U61" s="646"/>
      <c r="V61" s="533"/>
      <c r="W61" s="647"/>
      <c r="X61" s="525"/>
      <c r="Y61" s="60"/>
      <c r="Z61" s="60"/>
      <c r="AA61" s="60"/>
      <c r="AB61" s="60"/>
      <c r="AC61" s="60"/>
      <c r="AD61" s="60"/>
      <c r="AE61" s="60"/>
      <c r="AF61" s="508"/>
      <c r="AG61" s="508"/>
      <c r="AH61" s="508"/>
      <c r="AI61" s="508"/>
      <c r="AJ61" s="508"/>
      <c r="AK61" s="508"/>
      <c r="AL61" s="508"/>
      <c r="AM61" s="508"/>
    </row>
    <row r="62" spans="1:39">
      <c r="A62" s="229"/>
      <c r="B62" s="523" t="s">
        <v>640</v>
      </c>
      <c r="C62" s="657">
        <v>0.10299999999999999</v>
      </c>
      <c r="D62" s="643">
        <v>68.86</v>
      </c>
      <c r="E62" s="645">
        <v>3</v>
      </c>
      <c r="F62" s="643">
        <v>0.6</v>
      </c>
      <c r="G62" s="643">
        <v>7.09</v>
      </c>
      <c r="H62" s="643">
        <v>0.31</v>
      </c>
      <c r="I62" s="465">
        <v>0.06</v>
      </c>
      <c r="J62" s="470"/>
      <c r="K62" s="86"/>
      <c r="L62" s="508"/>
      <c r="M62" s="508"/>
      <c r="N62" s="229"/>
      <c r="O62" s="524"/>
      <c r="P62" s="658"/>
      <c r="Q62" s="646"/>
      <c r="R62" s="648"/>
      <c r="S62" s="646"/>
      <c r="T62" s="646"/>
      <c r="U62" s="646"/>
      <c r="V62" s="533"/>
      <c r="W62" s="647"/>
      <c r="X62" s="525"/>
      <c r="Y62" s="60"/>
      <c r="Z62" s="60"/>
      <c r="AA62" s="60"/>
      <c r="AB62" s="60"/>
      <c r="AC62" s="60"/>
      <c r="AD62" s="60"/>
      <c r="AE62" s="60"/>
      <c r="AF62" s="508"/>
      <c r="AG62" s="508"/>
      <c r="AH62" s="508"/>
      <c r="AI62" s="508"/>
      <c r="AJ62" s="508"/>
      <c r="AK62" s="508"/>
      <c r="AL62" s="508"/>
      <c r="AM62" s="508"/>
    </row>
    <row r="63" spans="1:39">
      <c r="A63" s="229"/>
      <c r="B63" s="523" t="s">
        <v>641</v>
      </c>
      <c r="C63" s="657">
        <v>0.13500000000000001</v>
      </c>
      <c r="D63" s="643">
        <v>75.2</v>
      </c>
      <c r="E63" s="645">
        <v>3</v>
      </c>
      <c r="F63" s="643">
        <v>0.6</v>
      </c>
      <c r="G63" s="643">
        <v>10.15</v>
      </c>
      <c r="H63" s="643">
        <v>0.41</v>
      </c>
      <c r="I63" s="465">
        <v>0.08</v>
      </c>
      <c r="J63" s="470"/>
      <c r="K63" s="86"/>
      <c r="L63" s="508"/>
      <c r="M63" s="508"/>
      <c r="N63" s="229"/>
      <c r="O63" s="524"/>
      <c r="P63" s="658"/>
      <c r="Q63" s="646"/>
      <c r="R63" s="648"/>
      <c r="S63" s="646"/>
      <c r="T63" s="646"/>
      <c r="U63" s="646"/>
      <c r="V63" s="533"/>
      <c r="W63" s="647"/>
      <c r="X63" s="525"/>
      <c r="Y63" s="60"/>
      <c r="Z63" s="60"/>
      <c r="AA63" s="60"/>
      <c r="AB63" s="60"/>
      <c r="AC63" s="60"/>
      <c r="AD63" s="60"/>
      <c r="AE63" s="60"/>
      <c r="AF63" s="508"/>
      <c r="AG63" s="508"/>
      <c r="AH63" s="508"/>
      <c r="AI63" s="508"/>
      <c r="AJ63" s="508"/>
      <c r="AK63" s="508"/>
      <c r="AL63" s="508"/>
      <c r="AM63" s="508"/>
    </row>
    <row r="64" spans="1:39">
      <c r="A64" s="229"/>
      <c r="B64" s="523" t="s">
        <v>642</v>
      </c>
      <c r="C64" s="657">
        <v>0.13500000000000001</v>
      </c>
      <c r="D64" s="643">
        <v>72.22</v>
      </c>
      <c r="E64" s="645">
        <v>3</v>
      </c>
      <c r="F64" s="643">
        <v>0.6</v>
      </c>
      <c r="G64" s="643">
        <v>9.75</v>
      </c>
      <c r="H64" s="643">
        <v>0.41</v>
      </c>
      <c r="I64" s="465">
        <v>0.08</v>
      </c>
      <c r="J64" s="470"/>
      <c r="K64" s="86"/>
      <c r="L64" s="508"/>
      <c r="M64" s="508"/>
      <c r="N64" s="229"/>
      <c r="O64" s="524"/>
      <c r="P64" s="658"/>
      <c r="Q64" s="646"/>
      <c r="R64" s="648"/>
      <c r="S64" s="646"/>
      <c r="T64" s="646"/>
      <c r="U64" s="646"/>
      <c r="V64" s="533"/>
      <c r="W64" s="647"/>
      <c r="X64" s="525"/>
      <c r="Y64" s="60"/>
      <c r="Z64" s="60"/>
      <c r="AA64" s="60"/>
      <c r="AB64" s="60"/>
      <c r="AC64" s="60"/>
      <c r="AD64" s="60"/>
      <c r="AE64" s="60"/>
      <c r="AF64" s="508"/>
      <c r="AG64" s="508"/>
      <c r="AH64" s="508"/>
      <c r="AI64" s="508"/>
      <c r="AJ64" s="508"/>
      <c r="AK64" s="508"/>
      <c r="AL64" s="508"/>
      <c r="AM64" s="508"/>
    </row>
    <row r="65" spans="1:39">
      <c r="A65" s="229"/>
      <c r="B65" s="523" t="s">
        <v>643</v>
      </c>
      <c r="C65" s="657">
        <v>9.1999999999999998E-2</v>
      </c>
      <c r="D65" s="643">
        <v>61.71</v>
      </c>
      <c r="E65" s="645">
        <v>3</v>
      </c>
      <c r="F65" s="643">
        <v>0.6</v>
      </c>
      <c r="G65" s="643">
        <v>5.68</v>
      </c>
      <c r="H65" s="643">
        <v>0.28000000000000003</v>
      </c>
      <c r="I65" s="465">
        <v>0.06</v>
      </c>
      <c r="J65" s="470"/>
      <c r="K65" s="86"/>
      <c r="L65" s="508"/>
      <c r="M65" s="508"/>
      <c r="N65" s="229"/>
      <c r="O65" s="524"/>
      <c r="P65" s="658"/>
      <c r="Q65" s="646"/>
      <c r="R65" s="648"/>
      <c r="S65" s="646"/>
      <c r="T65" s="646"/>
      <c r="U65" s="646"/>
      <c r="V65" s="533"/>
      <c r="W65" s="647"/>
      <c r="X65" s="525"/>
      <c r="Y65" s="60"/>
      <c r="Z65" s="60"/>
      <c r="AA65" s="60"/>
      <c r="AB65" s="60"/>
      <c r="AC65" s="60"/>
      <c r="AD65" s="60"/>
      <c r="AE65" s="60"/>
      <c r="AF65" s="508"/>
      <c r="AG65" s="508"/>
      <c r="AH65" s="508"/>
      <c r="AI65" s="508"/>
      <c r="AJ65" s="508"/>
      <c r="AK65" s="508"/>
      <c r="AL65" s="508"/>
      <c r="AM65" s="508"/>
    </row>
    <row r="66" spans="1:39">
      <c r="A66" s="229"/>
      <c r="B66" s="523" t="s">
        <v>644</v>
      </c>
      <c r="C66" s="657">
        <v>0.14399999999999999</v>
      </c>
      <c r="D66" s="643">
        <v>74.27</v>
      </c>
      <c r="E66" s="645">
        <v>3</v>
      </c>
      <c r="F66" s="643">
        <v>0.6</v>
      </c>
      <c r="G66" s="643">
        <v>10.69</v>
      </c>
      <c r="H66" s="643">
        <v>0.43</v>
      </c>
      <c r="I66" s="465">
        <v>0.09</v>
      </c>
      <c r="J66" s="470"/>
      <c r="K66" s="86"/>
      <c r="L66" s="508"/>
      <c r="M66" s="508"/>
      <c r="N66" s="229"/>
      <c r="O66" s="524"/>
      <c r="P66" s="658"/>
      <c r="Q66" s="646"/>
      <c r="R66" s="648"/>
      <c r="S66" s="646"/>
      <c r="T66" s="646"/>
      <c r="U66" s="646"/>
      <c r="V66" s="533"/>
      <c r="W66" s="647"/>
      <c r="X66" s="525"/>
      <c r="Y66" s="60"/>
      <c r="Z66" s="60"/>
      <c r="AA66" s="60"/>
      <c r="AB66" s="60"/>
      <c r="AC66" s="60"/>
      <c r="AD66" s="60"/>
      <c r="AE66" s="60"/>
      <c r="AF66" s="508"/>
      <c r="AG66" s="508"/>
      <c r="AH66" s="508"/>
      <c r="AI66" s="508"/>
      <c r="AJ66" s="508"/>
      <c r="AK66" s="508"/>
      <c r="AL66" s="508"/>
      <c r="AM66" s="508"/>
    </row>
    <row r="67" spans="1:39">
      <c r="A67" s="229"/>
      <c r="B67" s="523" t="s">
        <v>645</v>
      </c>
      <c r="C67" s="657">
        <v>0.125</v>
      </c>
      <c r="D67" s="643">
        <v>70.22</v>
      </c>
      <c r="E67" s="645">
        <v>3</v>
      </c>
      <c r="F67" s="643">
        <v>0.6</v>
      </c>
      <c r="G67" s="643">
        <v>8.7799999999999994</v>
      </c>
      <c r="H67" s="643">
        <v>0.38</v>
      </c>
      <c r="I67" s="465">
        <v>0.08</v>
      </c>
      <c r="J67" s="470"/>
      <c r="K67" s="86"/>
      <c r="L67" s="508"/>
      <c r="M67" s="508"/>
      <c r="N67" s="229"/>
      <c r="O67" s="524"/>
      <c r="P67" s="658"/>
      <c r="Q67" s="646"/>
      <c r="R67" s="648"/>
      <c r="S67" s="646"/>
      <c r="T67" s="646"/>
      <c r="U67" s="646"/>
      <c r="V67" s="533"/>
      <c r="W67" s="647"/>
      <c r="X67" s="525"/>
      <c r="Y67" s="60"/>
      <c r="Z67" s="60"/>
      <c r="AA67" s="60"/>
      <c r="AB67" s="60"/>
      <c r="AC67" s="60"/>
      <c r="AD67" s="60"/>
      <c r="AE67" s="60"/>
      <c r="AF67" s="508"/>
      <c r="AG67" s="508"/>
      <c r="AH67" s="508"/>
      <c r="AI67" s="508"/>
      <c r="AJ67" s="508"/>
      <c r="AK67" s="508"/>
      <c r="AL67" s="508"/>
      <c r="AM67" s="508"/>
    </row>
    <row r="68" spans="1:39">
      <c r="A68" s="229"/>
      <c r="B68" s="523" t="s">
        <v>646</v>
      </c>
      <c r="C68" s="657">
        <v>0.125</v>
      </c>
      <c r="D68" s="643">
        <v>68.02</v>
      </c>
      <c r="E68" s="645">
        <v>3</v>
      </c>
      <c r="F68" s="643">
        <v>0.6</v>
      </c>
      <c r="G68" s="643">
        <v>8.5</v>
      </c>
      <c r="H68" s="643">
        <v>0.38</v>
      </c>
      <c r="I68" s="465">
        <v>0.08</v>
      </c>
      <c r="J68" s="470"/>
      <c r="K68" s="86"/>
      <c r="L68" s="508"/>
      <c r="M68" s="508"/>
      <c r="N68" s="229"/>
      <c r="O68" s="524"/>
      <c r="P68" s="658"/>
      <c r="Q68" s="646"/>
      <c r="R68" s="648"/>
      <c r="S68" s="646"/>
      <c r="T68" s="646"/>
      <c r="U68" s="646"/>
      <c r="V68" s="533"/>
      <c r="W68" s="647"/>
      <c r="X68" s="525"/>
      <c r="Y68" s="60"/>
      <c r="Z68" s="60"/>
      <c r="AA68" s="60"/>
      <c r="AB68" s="60"/>
      <c r="AC68" s="60"/>
      <c r="AD68" s="60"/>
      <c r="AE68" s="60"/>
      <c r="AF68" s="508"/>
      <c r="AG68" s="508"/>
      <c r="AH68" s="508"/>
      <c r="AI68" s="508"/>
      <c r="AJ68" s="508"/>
      <c r="AK68" s="508"/>
      <c r="AL68" s="508"/>
      <c r="AM68" s="508"/>
    </row>
    <row r="69" spans="1:39">
      <c r="A69" s="229"/>
      <c r="B69" s="523" t="s">
        <v>647</v>
      </c>
      <c r="C69" s="657">
        <v>0.11</v>
      </c>
      <c r="D69" s="643">
        <v>66.88</v>
      </c>
      <c r="E69" s="645">
        <v>3</v>
      </c>
      <c r="F69" s="643">
        <v>0.6</v>
      </c>
      <c r="G69" s="643">
        <v>7.36</v>
      </c>
      <c r="H69" s="643">
        <v>0.33</v>
      </c>
      <c r="I69" s="465">
        <v>7.0000000000000007E-2</v>
      </c>
      <c r="J69" s="470"/>
      <c r="K69" s="86"/>
      <c r="L69" s="508"/>
      <c r="M69" s="508"/>
      <c r="N69" s="229"/>
      <c r="O69" s="524"/>
      <c r="P69" s="658"/>
      <c r="Q69" s="646"/>
      <c r="R69" s="648"/>
      <c r="S69" s="646"/>
      <c r="T69" s="646"/>
      <c r="U69" s="646"/>
      <c r="V69" s="533"/>
      <c r="W69" s="647"/>
      <c r="X69" s="525"/>
      <c r="Y69" s="60"/>
      <c r="Z69" s="60"/>
      <c r="AA69" s="60"/>
      <c r="AB69" s="60"/>
      <c r="AC69" s="60"/>
      <c r="AD69" s="60"/>
      <c r="AE69" s="60"/>
      <c r="AF69" s="508"/>
      <c r="AG69" s="508"/>
      <c r="AH69" s="508"/>
      <c r="AI69" s="508"/>
      <c r="AJ69" s="508"/>
      <c r="AK69" s="508"/>
      <c r="AL69" s="508"/>
      <c r="AM69" s="508"/>
    </row>
    <row r="70" spans="1:39">
      <c r="A70" s="229"/>
      <c r="B70" s="523" t="s">
        <v>648</v>
      </c>
      <c r="C70" s="657">
        <v>0.13900000000000001</v>
      </c>
      <c r="D70" s="643">
        <v>76.22</v>
      </c>
      <c r="E70" s="645">
        <v>3</v>
      </c>
      <c r="F70" s="643">
        <v>0.6</v>
      </c>
      <c r="G70" s="643">
        <v>10.59</v>
      </c>
      <c r="H70" s="643">
        <v>0.42</v>
      </c>
      <c r="I70" s="465">
        <v>0.08</v>
      </c>
      <c r="J70" s="470"/>
      <c r="K70" s="86"/>
      <c r="L70" s="508"/>
      <c r="M70" s="508"/>
      <c r="N70" s="229"/>
      <c r="O70" s="524"/>
      <c r="P70" s="658"/>
      <c r="Q70" s="646"/>
      <c r="R70" s="648"/>
      <c r="S70" s="646"/>
      <c r="T70" s="646"/>
      <c r="U70" s="646"/>
      <c r="V70" s="533"/>
      <c r="W70" s="647"/>
      <c r="X70" s="525"/>
      <c r="Y70" s="60"/>
      <c r="Z70" s="60"/>
      <c r="AA70" s="60"/>
      <c r="AB70" s="60"/>
      <c r="AC70" s="60"/>
      <c r="AD70" s="60"/>
      <c r="AE70" s="60"/>
      <c r="AF70" s="508"/>
      <c r="AG70" s="508"/>
      <c r="AH70" s="508"/>
      <c r="AI70" s="508"/>
      <c r="AJ70" s="508"/>
      <c r="AK70" s="508"/>
      <c r="AL70" s="508"/>
      <c r="AM70" s="508"/>
    </row>
    <row r="71" spans="1:39">
      <c r="A71" s="229"/>
      <c r="B71" s="523" t="s">
        <v>649</v>
      </c>
      <c r="C71" s="657">
        <v>0.11</v>
      </c>
      <c r="D71" s="643">
        <v>70.02</v>
      </c>
      <c r="E71" s="645">
        <v>3</v>
      </c>
      <c r="F71" s="643">
        <v>0.6</v>
      </c>
      <c r="G71" s="643">
        <v>7.7</v>
      </c>
      <c r="H71" s="643">
        <v>0.33</v>
      </c>
      <c r="I71" s="465">
        <v>7.0000000000000007E-2</v>
      </c>
      <c r="J71" s="470"/>
      <c r="K71" s="86"/>
      <c r="L71" s="508"/>
      <c r="M71" s="508"/>
      <c r="N71" s="229"/>
      <c r="O71" s="524"/>
      <c r="P71" s="658"/>
      <c r="Q71" s="646"/>
      <c r="R71" s="648"/>
      <c r="S71" s="646"/>
      <c r="T71" s="646"/>
      <c r="U71" s="646"/>
      <c r="V71" s="533"/>
      <c r="W71" s="647"/>
      <c r="X71" s="525"/>
      <c r="Y71" s="60"/>
      <c r="Z71" s="60"/>
      <c r="AA71" s="60"/>
      <c r="AB71" s="60"/>
      <c r="AC71" s="60"/>
      <c r="AD71" s="60"/>
      <c r="AE71" s="60"/>
      <c r="AF71" s="508"/>
      <c r="AG71" s="508"/>
      <c r="AH71" s="508"/>
      <c r="AI71" s="508"/>
      <c r="AJ71" s="508"/>
      <c r="AK71" s="508"/>
      <c r="AL71" s="508"/>
      <c r="AM71" s="508"/>
    </row>
    <row r="72" spans="1:39">
      <c r="A72" s="229"/>
      <c r="B72" s="523" t="s">
        <v>650</v>
      </c>
      <c r="C72" s="657">
        <v>0.125</v>
      </c>
      <c r="D72" s="643">
        <v>71.02</v>
      </c>
      <c r="E72" s="645">
        <v>3</v>
      </c>
      <c r="F72" s="643">
        <v>0.6</v>
      </c>
      <c r="G72" s="643">
        <v>8.8800000000000008</v>
      </c>
      <c r="H72" s="643">
        <v>0.38</v>
      </c>
      <c r="I72" s="465">
        <v>0.08</v>
      </c>
      <c r="J72" s="470"/>
      <c r="K72" s="86"/>
      <c r="L72" s="508"/>
      <c r="M72" s="508"/>
      <c r="N72" s="229"/>
      <c r="O72" s="524"/>
      <c r="P72" s="658"/>
      <c r="Q72" s="646"/>
      <c r="R72" s="648"/>
      <c r="S72" s="646"/>
      <c r="T72" s="646"/>
      <c r="U72" s="646"/>
      <c r="V72" s="533"/>
      <c r="W72" s="647"/>
      <c r="X72" s="525"/>
      <c r="Y72" s="60"/>
      <c r="Z72" s="60"/>
      <c r="AA72" s="60"/>
      <c r="AB72" s="60"/>
      <c r="AC72" s="60"/>
      <c r="AD72" s="60"/>
      <c r="AE72" s="60"/>
      <c r="AF72" s="508"/>
      <c r="AG72" s="508"/>
      <c r="AH72" s="508"/>
      <c r="AI72" s="508"/>
      <c r="AJ72" s="508"/>
      <c r="AK72" s="508"/>
      <c r="AL72" s="508"/>
      <c r="AM72" s="508"/>
    </row>
    <row r="73" spans="1:39">
      <c r="A73" s="229"/>
      <c r="B73" s="523" t="s">
        <v>651</v>
      </c>
      <c r="C73" s="657">
        <v>9.0999999999999998E-2</v>
      </c>
      <c r="D73" s="643">
        <v>62.87</v>
      </c>
      <c r="E73" s="645">
        <v>3</v>
      </c>
      <c r="F73" s="643">
        <v>0.6</v>
      </c>
      <c r="G73" s="643">
        <v>5.72</v>
      </c>
      <c r="H73" s="643">
        <v>0.27</v>
      </c>
      <c r="I73" s="465">
        <v>0.05</v>
      </c>
      <c r="J73" s="470"/>
      <c r="K73" s="86"/>
      <c r="L73" s="508"/>
      <c r="M73" s="508"/>
      <c r="N73" s="229"/>
      <c r="O73" s="524"/>
      <c r="P73" s="658"/>
      <c r="Q73" s="646"/>
      <c r="R73" s="648"/>
      <c r="S73" s="646"/>
      <c r="T73" s="646"/>
      <c r="U73" s="646"/>
      <c r="V73" s="533"/>
      <c r="W73" s="647"/>
      <c r="X73" s="525"/>
      <c r="Y73" s="60"/>
      <c r="Z73" s="60"/>
      <c r="AA73" s="60"/>
      <c r="AB73" s="60"/>
      <c r="AC73" s="60"/>
      <c r="AD73" s="60"/>
      <c r="AE73" s="60"/>
      <c r="AF73" s="508"/>
      <c r="AG73" s="508"/>
      <c r="AH73" s="508"/>
      <c r="AI73" s="508"/>
      <c r="AJ73" s="508"/>
      <c r="AK73" s="508"/>
      <c r="AL73" s="508"/>
      <c r="AM73" s="508"/>
    </row>
    <row r="74" spans="1:39">
      <c r="A74" s="229"/>
      <c r="B74" s="523" t="s">
        <v>652</v>
      </c>
      <c r="C74" s="657">
        <v>9.0999999999999998E-2</v>
      </c>
      <c r="D74" s="643">
        <v>67.77</v>
      </c>
      <c r="E74" s="645">
        <v>3</v>
      </c>
      <c r="F74" s="643">
        <v>0.6</v>
      </c>
      <c r="G74" s="643">
        <v>6.17</v>
      </c>
      <c r="H74" s="643">
        <v>0.27</v>
      </c>
      <c r="I74" s="465">
        <v>0.05</v>
      </c>
      <c r="J74" s="470"/>
      <c r="K74" s="86"/>
      <c r="L74" s="508"/>
      <c r="M74" s="508"/>
      <c r="N74" s="229"/>
      <c r="O74" s="524"/>
      <c r="P74" s="658"/>
      <c r="Q74" s="646"/>
      <c r="R74" s="648"/>
      <c r="S74" s="646"/>
      <c r="T74" s="646"/>
      <c r="U74" s="646"/>
      <c r="V74" s="533"/>
      <c r="W74" s="647"/>
      <c r="X74" s="525"/>
      <c r="Y74" s="60"/>
      <c r="Z74" s="60"/>
      <c r="AA74" s="60"/>
      <c r="AB74" s="60"/>
      <c r="AC74" s="60"/>
      <c r="AD74" s="60"/>
      <c r="AE74" s="60"/>
      <c r="AF74" s="508"/>
      <c r="AG74" s="508"/>
      <c r="AH74" s="508"/>
      <c r="AI74" s="508"/>
      <c r="AJ74" s="508"/>
      <c r="AK74" s="508"/>
      <c r="AL74" s="508"/>
      <c r="AM74" s="508"/>
    </row>
    <row r="75" spans="1:39">
      <c r="A75" s="229"/>
      <c r="B75" s="523" t="s">
        <v>653</v>
      </c>
      <c r="C75" s="657">
        <v>0.14000000000000001</v>
      </c>
      <c r="D75" s="643">
        <v>72.930000000000007</v>
      </c>
      <c r="E75" s="645">
        <v>3</v>
      </c>
      <c r="F75" s="643">
        <v>0.6</v>
      </c>
      <c r="G75" s="643">
        <v>10.210000000000001</v>
      </c>
      <c r="H75" s="643">
        <v>0.42</v>
      </c>
      <c r="I75" s="465">
        <v>0.08</v>
      </c>
      <c r="J75" s="470"/>
      <c r="K75" s="86"/>
      <c r="L75" s="508"/>
      <c r="M75" s="508"/>
      <c r="N75" s="229"/>
      <c r="O75" s="524"/>
      <c r="P75" s="658"/>
      <c r="Q75" s="646"/>
      <c r="R75" s="648"/>
      <c r="S75" s="646"/>
      <c r="T75" s="646"/>
      <c r="U75" s="646"/>
      <c r="V75" s="533"/>
      <c r="W75" s="647"/>
      <c r="X75" s="525"/>
      <c r="Y75" s="60"/>
      <c r="Z75" s="60"/>
      <c r="AA75" s="60"/>
      <c r="AB75" s="60"/>
      <c r="AC75" s="60"/>
      <c r="AD75" s="60"/>
      <c r="AE75" s="60"/>
      <c r="AF75" s="508"/>
      <c r="AG75" s="508"/>
      <c r="AH75" s="508"/>
      <c r="AI75" s="508"/>
      <c r="AJ75" s="508"/>
      <c r="AK75" s="508"/>
      <c r="AL75" s="508"/>
      <c r="AM75" s="508"/>
    </row>
    <row r="76" spans="1:39">
      <c r="A76" s="229"/>
      <c r="B76" s="523" t="s">
        <v>654</v>
      </c>
      <c r="C76" s="657">
        <v>0.15</v>
      </c>
      <c r="D76" s="643">
        <v>75.099999999999994</v>
      </c>
      <c r="E76" s="645">
        <v>3</v>
      </c>
      <c r="F76" s="643">
        <v>0.6</v>
      </c>
      <c r="G76" s="643">
        <v>11.27</v>
      </c>
      <c r="H76" s="643">
        <v>0.45</v>
      </c>
      <c r="I76" s="465">
        <v>0.09</v>
      </c>
      <c r="J76" s="470"/>
      <c r="K76" s="86"/>
      <c r="L76" s="508"/>
      <c r="M76" s="508"/>
      <c r="N76" s="229"/>
      <c r="O76" s="524"/>
      <c r="P76" s="658"/>
      <c r="Q76" s="646"/>
      <c r="R76" s="648"/>
      <c r="S76" s="646"/>
      <c r="T76" s="646"/>
      <c r="U76" s="646"/>
      <c r="V76" s="533"/>
      <c r="W76" s="647"/>
      <c r="X76" s="525"/>
      <c r="Y76" s="60"/>
      <c r="Z76" s="60"/>
      <c r="AA76" s="60"/>
      <c r="AB76" s="60"/>
      <c r="AC76" s="60"/>
      <c r="AD76" s="60"/>
      <c r="AE76" s="60"/>
      <c r="AF76" s="508"/>
      <c r="AG76" s="508"/>
      <c r="AH76" s="508"/>
      <c r="AI76" s="508"/>
      <c r="AJ76" s="508"/>
      <c r="AK76" s="508"/>
      <c r="AL76" s="508"/>
      <c r="AM76" s="508"/>
    </row>
    <row r="77" spans="1:39">
      <c r="A77" s="229"/>
      <c r="B77" s="523" t="s">
        <v>655</v>
      </c>
      <c r="C77" s="657">
        <v>0.125</v>
      </c>
      <c r="D77" s="643">
        <v>72.34</v>
      </c>
      <c r="E77" s="645">
        <v>3</v>
      </c>
      <c r="F77" s="643">
        <v>0.6</v>
      </c>
      <c r="G77" s="643">
        <v>9.0399999999999991</v>
      </c>
      <c r="H77" s="643">
        <v>0.38</v>
      </c>
      <c r="I77" s="465">
        <v>0.08</v>
      </c>
      <c r="J77" s="470"/>
      <c r="K77" s="86"/>
      <c r="L77" s="508"/>
      <c r="M77" s="508"/>
      <c r="N77" s="229"/>
      <c r="O77" s="524"/>
      <c r="P77" s="658"/>
      <c r="Q77" s="646"/>
      <c r="R77" s="648"/>
      <c r="S77" s="646"/>
      <c r="T77" s="646"/>
      <c r="U77" s="646"/>
      <c r="V77" s="533"/>
      <c r="W77" s="647"/>
      <c r="X77" s="525"/>
      <c r="Y77" s="60"/>
      <c r="Z77" s="60"/>
      <c r="AA77" s="60"/>
      <c r="AB77" s="60"/>
      <c r="AC77" s="60"/>
      <c r="AD77" s="60"/>
      <c r="AE77" s="60"/>
      <c r="AF77" s="508"/>
      <c r="AG77" s="508"/>
      <c r="AH77" s="508"/>
      <c r="AI77" s="508"/>
      <c r="AJ77" s="508"/>
      <c r="AK77" s="508"/>
      <c r="AL77" s="508"/>
      <c r="AM77" s="508"/>
    </row>
    <row r="78" spans="1:39">
      <c r="A78" s="229"/>
      <c r="B78" s="523" t="s">
        <v>656</v>
      </c>
      <c r="C78" s="657">
        <v>0.13900000000000001</v>
      </c>
      <c r="D78" s="643">
        <v>74.540000000000006</v>
      </c>
      <c r="E78" s="645">
        <v>3</v>
      </c>
      <c r="F78" s="643">
        <v>0.6</v>
      </c>
      <c r="G78" s="643">
        <v>10.36</v>
      </c>
      <c r="H78" s="643">
        <v>0.42</v>
      </c>
      <c r="I78" s="465">
        <v>0.08</v>
      </c>
      <c r="J78" s="470"/>
      <c r="K78" s="86"/>
      <c r="L78" s="508"/>
      <c r="M78" s="508"/>
      <c r="N78" s="229"/>
      <c r="O78" s="524"/>
      <c r="P78" s="658"/>
      <c r="Q78" s="646"/>
      <c r="R78" s="648"/>
      <c r="S78" s="646"/>
      <c r="T78" s="646"/>
      <c r="U78" s="646"/>
      <c r="V78" s="533"/>
      <c r="W78" s="647"/>
      <c r="X78" s="525"/>
      <c r="Y78" s="60"/>
      <c r="Z78" s="60"/>
      <c r="AA78" s="60"/>
      <c r="AB78" s="60"/>
      <c r="AC78" s="60"/>
      <c r="AD78" s="60"/>
      <c r="AE78" s="60"/>
      <c r="AF78" s="508"/>
      <c r="AG78" s="508"/>
      <c r="AH78" s="508"/>
      <c r="AI78" s="508"/>
      <c r="AJ78" s="508"/>
      <c r="AK78" s="508"/>
      <c r="AL78" s="508"/>
      <c r="AM78" s="508"/>
    </row>
    <row r="79" spans="1:39">
      <c r="A79" s="229"/>
      <c r="B79" s="523" t="s">
        <v>657</v>
      </c>
      <c r="C79" s="657">
        <v>0.13800000000000001</v>
      </c>
      <c r="D79" s="643">
        <v>74</v>
      </c>
      <c r="E79" s="645">
        <v>3</v>
      </c>
      <c r="F79" s="643">
        <v>0.6</v>
      </c>
      <c r="G79" s="643">
        <v>10.210000000000001</v>
      </c>
      <c r="H79" s="643">
        <v>0.41</v>
      </c>
      <c r="I79" s="465">
        <v>0.08</v>
      </c>
      <c r="J79" s="470"/>
      <c r="K79" s="86"/>
      <c r="L79" s="508"/>
      <c r="M79" s="508"/>
      <c r="N79" s="229"/>
      <c r="O79" s="524"/>
      <c r="P79" s="658"/>
      <c r="Q79" s="646"/>
      <c r="R79" s="648"/>
      <c r="S79" s="646"/>
      <c r="T79" s="646"/>
      <c r="U79" s="646"/>
      <c r="V79" s="533"/>
      <c r="W79" s="647"/>
      <c r="X79" s="525"/>
      <c r="Y79" s="60"/>
      <c r="Z79" s="60"/>
      <c r="AA79" s="60"/>
      <c r="AB79" s="60"/>
      <c r="AC79" s="60"/>
      <c r="AD79" s="60"/>
      <c r="AE79" s="60"/>
      <c r="AF79" s="508"/>
      <c r="AG79" s="508"/>
      <c r="AH79" s="508"/>
      <c r="AI79" s="508"/>
      <c r="AJ79" s="508"/>
      <c r="AK79" s="508"/>
      <c r="AL79" s="508"/>
      <c r="AM79" s="508"/>
    </row>
    <row r="80" spans="1:39">
      <c r="A80" s="79"/>
      <c r="B80" s="532" t="s">
        <v>658</v>
      </c>
      <c r="C80" s="80"/>
      <c r="D80" s="82"/>
      <c r="E80" s="80"/>
      <c r="F80" s="80"/>
      <c r="G80" s="235"/>
      <c r="H80" s="235"/>
      <c r="I80" s="466"/>
      <c r="J80" s="469"/>
      <c r="K80" s="95"/>
      <c r="L80" s="50"/>
      <c r="M80" s="50"/>
      <c r="N80" s="79"/>
      <c r="O80" s="532" t="s">
        <v>658</v>
      </c>
      <c r="P80" s="80"/>
      <c r="Q80" s="82"/>
      <c r="R80" s="80"/>
      <c r="S80" s="80"/>
      <c r="T80" s="235"/>
      <c r="U80" s="235"/>
      <c r="V80" s="236"/>
      <c r="W80" s="57"/>
      <c r="X80" s="58"/>
      <c r="Y80" s="60"/>
      <c r="Z80" s="60"/>
      <c r="AA80" s="60"/>
      <c r="AB80" s="60"/>
      <c r="AC80" s="60"/>
      <c r="AD80" s="60"/>
      <c r="AE80" s="60"/>
      <c r="AF80" s="50"/>
      <c r="AG80" s="50"/>
      <c r="AH80" s="50"/>
      <c r="AI80" s="50"/>
      <c r="AJ80" s="50"/>
      <c r="AK80" s="50"/>
      <c r="AL80" s="50"/>
      <c r="AM80" s="50"/>
    </row>
    <row r="81" spans="1:39">
      <c r="A81" s="229"/>
      <c r="B81" s="523" t="s">
        <v>659</v>
      </c>
      <c r="C81" s="657">
        <v>0.128</v>
      </c>
      <c r="D81" s="643">
        <v>73.84</v>
      </c>
      <c r="E81" s="645">
        <v>1.1000000000000001</v>
      </c>
      <c r="F81" s="643">
        <v>0.11</v>
      </c>
      <c r="G81" s="643">
        <v>9.4499999999999993</v>
      </c>
      <c r="H81" s="643">
        <v>0.14000000000000001</v>
      </c>
      <c r="I81" s="465">
        <v>0.01</v>
      </c>
      <c r="J81" s="470"/>
      <c r="K81" s="86"/>
      <c r="L81" s="508"/>
      <c r="M81" s="508"/>
      <c r="N81" s="229"/>
      <c r="O81" s="524"/>
      <c r="P81" s="658"/>
      <c r="Q81" s="646"/>
      <c r="R81" s="648"/>
      <c r="S81" s="646"/>
      <c r="T81" s="646"/>
      <c r="U81" s="646"/>
      <c r="V81" s="533"/>
      <c r="W81" s="647"/>
      <c r="X81" s="525"/>
      <c r="Y81" s="60"/>
      <c r="Z81" s="60"/>
      <c r="AA81" s="60"/>
      <c r="AB81" s="60"/>
      <c r="AC81" s="60"/>
      <c r="AD81" s="60"/>
      <c r="AE81" s="60"/>
      <c r="AF81" s="508"/>
      <c r="AG81" s="508"/>
      <c r="AH81" s="508"/>
      <c r="AI81" s="508"/>
      <c r="AJ81" s="508"/>
      <c r="AK81" s="508"/>
      <c r="AL81" s="508"/>
      <c r="AM81" s="508"/>
    </row>
    <row r="82" spans="1:39">
      <c r="A82" s="229"/>
      <c r="B82" s="523" t="s">
        <v>660</v>
      </c>
      <c r="C82" s="657">
        <v>8.4000000000000005E-2</v>
      </c>
      <c r="D82" s="643">
        <v>68.44</v>
      </c>
      <c r="E82" s="645">
        <v>1.1000000000000001</v>
      </c>
      <c r="F82" s="643">
        <v>0.11</v>
      </c>
      <c r="G82" s="643">
        <v>5.75</v>
      </c>
      <c r="H82" s="643">
        <v>0.09</v>
      </c>
      <c r="I82" s="465">
        <v>0.01</v>
      </c>
      <c r="J82" s="470"/>
      <c r="K82" s="86"/>
      <c r="L82" s="508"/>
      <c r="M82" s="508"/>
      <c r="N82" s="229"/>
      <c r="O82" s="524"/>
      <c r="P82" s="658"/>
      <c r="Q82" s="646"/>
      <c r="R82" s="648"/>
      <c r="S82" s="646"/>
      <c r="T82" s="646"/>
      <c r="U82" s="646"/>
      <c r="V82" s="533"/>
      <c r="W82" s="647"/>
      <c r="X82" s="525"/>
      <c r="Y82" s="60"/>
      <c r="Z82" s="60"/>
      <c r="AA82" s="60"/>
      <c r="AB82" s="60"/>
      <c r="AC82" s="60"/>
      <c r="AD82" s="60"/>
      <c r="AE82" s="60"/>
      <c r="AF82" s="508"/>
      <c r="AG82" s="508"/>
      <c r="AH82" s="508"/>
      <c r="AI82" s="508"/>
      <c r="AJ82" s="508"/>
      <c r="AK82" s="508"/>
      <c r="AL82" s="508"/>
      <c r="AM82" s="508"/>
    </row>
    <row r="83" spans="1:39">
      <c r="A83" s="229"/>
      <c r="B83" s="523" t="s">
        <v>661</v>
      </c>
      <c r="C83" s="657">
        <v>0.125</v>
      </c>
      <c r="D83" s="643">
        <v>71.06</v>
      </c>
      <c r="E83" s="645">
        <v>1.1000000000000001</v>
      </c>
      <c r="F83" s="643">
        <v>0.11</v>
      </c>
      <c r="G83" s="643">
        <v>8.8800000000000008</v>
      </c>
      <c r="H83" s="643">
        <v>0.14000000000000001</v>
      </c>
      <c r="I83" s="465">
        <v>0.01</v>
      </c>
      <c r="J83" s="470"/>
      <c r="K83" s="86"/>
      <c r="L83" s="508"/>
      <c r="M83" s="508"/>
      <c r="N83" s="229"/>
      <c r="O83" s="524"/>
      <c r="P83" s="658"/>
      <c r="Q83" s="646"/>
      <c r="R83" s="648"/>
      <c r="S83" s="646"/>
      <c r="T83" s="646"/>
      <c r="U83" s="646"/>
      <c r="V83" s="533"/>
      <c r="W83" s="647"/>
      <c r="X83" s="525"/>
      <c r="Y83" s="60"/>
      <c r="Z83" s="60"/>
      <c r="AA83" s="60"/>
      <c r="AB83" s="60"/>
      <c r="AC83" s="60"/>
      <c r="AD83" s="60"/>
      <c r="AE83" s="60"/>
      <c r="AF83" s="508"/>
      <c r="AG83" s="508"/>
      <c r="AH83" s="508"/>
      <c r="AI83" s="508"/>
      <c r="AJ83" s="508"/>
      <c r="AK83" s="508"/>
      <c r="AL83" s="508"/>
      <c r="AM83" s="508"/>
    </row>
    <row r="84" spans="1:39">
      <c r="A84" s="229"/>
      <c r="B84" s="523" t="s">
        <v>662</v>
      </c>
      <c r="C84" s="657">
        <v>0.12</v>
      </c>
      <c r="D84" s="643">
        <v>81.55</v>
      </c>
      <c r="E84" s="645">
        <v>1.1000000000000001</v>
      </c>
      <c r="F84" s="643">
        <v>0.11</v>
      </c>
      <c r="G84" s="643">
        <v>9.7899999999999991</v>
      </c>
      <c r="H84" s="643">
        <v>0.13</v>
      </c>
      <c r="I84" s="465">
        <v>0.01</v>
      </c>
      <c r="J84" s="470"/>
      <c r="K84" s="86"/>
      <c r="L84" s="508"/>
      <c r="M84" s="508"/>
      <c r="N84" s="229"/>
      <c r="O84" s="524"/>
      <c r="P84" s="658"/>
      <c r="Q84" s="646"/>
      <c r="R84" s="648"/>
      <c r="S84" s="646"/>
      <c r="T84" s="646"/>
      <c r="U84" s="646"/>
      <c r="V84" s="533"/>
      <c r="W84" s="647"/>
      <c r="X84" s="525"/>
      <c r="Y84" s="60"/>
      <c r="Z84" s="60"/>
      <c r="AA84" s="60"/>
      <c r="AB84" s="60"/>
      <c r="AC84" s="60"/>
      <c r="AD84" s="60"/>
      <c r="AE84" s="60"/>
      <c r="AF84" s="508"/>
      <c r="AG84" s="508"/>
      <c r="AH84" s="508"/>
      <c r="AI84" s="508"/>
      <c r="AJ84" s="508"/>
      <c r="AK84" s="508"/>
      <c r="AL84" s="508"/>
      <c r="AM84" s="508"/>
    </row>
    <row r="85" spans="1:39" ht="38.25">
      <c r="A85" s="79"/>
      <c r="B85" s="534" t="s">
        <v>663</v>
      </c>
      <c r="C85" s="80"/>
      <c r="D85" s="82"/>
      <c r="E85" s="80"/>
      <c r="F85" s="80"/>
      <c r="G85" s="235"/>
      <c r="H85" s="235"/>
      <c r="I85" s="236"/>
      <c r="J85" s="508"/>
      <c r="K85" s="50"/>
      <c r="L85" s="50"/>
      <c r="M85" s="50"/>
      <c r="N85" s="79"/>
      <c r="O85" s="534" t="s">
        <v>663</v>
      </c>
      <c r="P85" s="80"/>
      <c r="Q85" s="82"/>
      <c r="R85" s="80"/>
      <c r="S85" s="80"/>
      <c r="T85" s="235"/>
      <c r="U85" s="235"/>
      <c r="V85" s="236"/>
      <c r="W85" s="57"/>
      <c r="X85" s="58"/>
      <c r="Y85" s="60"/>
      <c r="Z85" s="60"/>
      <c r="AA85" s="60"/>
      <c r="AB85" s="60"/>
      <c r="AC85" s="60"/>
      <c r="AD85" s="60"/>
      <c r="AE85" s="60"/>
      <c r="AF85" s="50"/>
      <c r="AG85" s="50"/>
      <c r="AH85" s="50"/>
      <c r="AI85" s="50"/>
      <c r="AJ85" s="50"/>
      <c r="AK85" s="50"/>
      <c r="AL85" s="50"/>
      <c r="AM85" s="50"/>
    </row>
    <row r="86" spans="1:39">
      <c r="A86" s="229"/>
      <c r="B86" s="523" t="s">
        <v>664</v>
      </c>
      <c r="C86" s="235"/>
      <c r="D86" s="645">
        <v>94.4</v>
      </c>
      <c r="E86" s="645">
        <v>1.9</v>
      </c>
      <c r="F86" s="643">
        <v>0.42</v>
      </c>
      <c r="G86" s="235"/>
      <c r="H86" s="235"/>
      <c r="I86" s="236"/>
      <c r="J86" s="508"/>
      <c r="K86" s="508"/>
      <c r="L86" s="508"/>
      <c r="M86" s="508"/>
      <c r="N86" s="229"/>
      <c r="O86" s="524"/>
      <c r="P86" s="235"/>
      <c r="Q86" s="648">
        <v>94.4</v>
      </c>
      <c r="R86" s="648">
        <v>1.9</v>
      </c>
      <c r="S86" s="646">
        <v>0.42</v>
      </c>
      <c r="T86" s="235"/>
      <c r="U86" s="235"/>
      <c r="V86" s="236"/>
      <c r="W86" s="647"/>
      <c r="X86" s="525"/>
      <c r="Y86" s="60"/>
      <c r="Z86" s="60"/>
      <c r="AA86" s="60"/>
      <c r="AB86" s="60"/>
      <c r="AC86" s="60"/>
      <c r="AD86" s="60"/>
      <c r="AE86" s="60"/>
      <c r="AF86" s="508"/>
      <c r="AG86" s="508"/>
      <c r="AH86" s="508"/>
      <c r="AI86" s="508"/>
      <c r="AJ86" s="508"/>
      <c r="AK86" s="508"/>
      <c r="AL86" s="508"/>
      <c r="AM86" s="508"/>
    </row>
    <row r="87" spans="1:39">
      <c r="A87" s="229"/>
      <c r="B87" s="523" t="s">
        <v>665</v>
      </c>
      <c r="C87" s="235"/>
      <c r="D87" s="645">
        <v>93.7</v>
      </c>
      <c r="E87" s="645">
        <v>1.9</v>
      </c>
      <c r="F87" s="643">
        <v>0.42</v>
      </c>
      <c r="G87" s="235"/>
      <c r="H87" s="235"/>
      <c r="I87" s="236"/>
      <c r="J87" s="508"/>
      <c r="K87" s="508"/>
      <c r="L87" s="508"/>
      <c r="M87" s="508"/>
      <c r="N87" s="229"/>
      <c r="O87" s="524"/>
      <c r="P87" s="235"/>
      <c r="Q87" s="648">
        <v>93.7</v>
      </c>
      <c r="R87" s="648">
        <v>1.9</v>
      </c>
      <c r="S87" s="646">
        <v>0.42</v>
      </c>
      <c r="T87" s="235"/>
      <c r="U87" s="235"/>
      <c r="V87" s="236"/>
      <c r="W87" s="647"/>
      <c r="X87" s="525"/>
      <c r="Y87" s="60"/>
      <c r="Z87" s="60"/>
      <c r="AA87" s="60"/>
      <c r="AB87" s="60"/>
      <c r="AC87" s="60"/>
      <c r="AD87" s="60"/>
      <c r="AE87" s="60"/>
      <c r="AF87" s="508"/>
      <c r="AG87" s="508"/>
      <c r="AH87" s="508"/>
      <c r="AI87" s="508"/>
      <c r="AJ87" s="508"/>
      <c r="AK87" s="508"/>
      <c r="AL87" s="508"/>
      <c r="AM87" s="508"/>
    </row>
    <row r="88" spans="1:39">
      <c r="A88" s="229"/>
      <c r="B88" s="523" t="s">
        <v>666</v>
      </c>
      <c r="C88" s="235"/>
      <c r="D88" s="645">
        <v>95.5</v>
      </c>
      <c r="E88" s="645">
        <v>1.9</v>
      </c>
      <c r="F88" s="643">
        <v>0.42</v>
      </c>
      <c r="G88" s="235"/>
      <c r="H88" s="235"/>
      <c r="I88" s="236"/>
      <c r="J88" s="508"/>
      <c r="K88" s="508"/>
      <c r="L88" s="508"/>
      <c r="M88" s="508"/>
      <c r="N88" s="229"/>
      <c r="O88" s="524"/>
      <c r="P88" s="235"/>
      <c r="Q88" s="648">
        <v>95.5</v>
      </c>
      <c r="R88" s="648">
        <v>1.9</v>
      </c>
      <c r="S88" s="646">
        <v>0.42</v>
      </c>
      <c r="T88" s="235"/>
      <c r="U88" s="235"/>
      <c r="V88" s="236"/>
      <c r="W88" s="647"/>
      <c r="X88" s="525"/>
      <c r="Y88" s="60"/>
      <c r="Z88" s="60"/>
      <c r="AA88" s="60"/>
      <c r="AB88" s="60"/>
      <c r="AC88" s="60"/>
      <c r="AD88" s="60"/>
      <c r="AE88" s="60"/>
      <c r="AF88" s="508"/>
      <c r="AG88" s="508"/>
      <c r="AH88" s="508"/>
      <c r="AI88" s="508"/>
      <c r="AJ88" s="508"/>
      <c r="AK88" s="508"/>
      <c r="AL88" s="508"/>
      <c r="AM88" s="508"/>
    </row>
    <row r="89" spans="1:39">
      <c r="A89" s="229"/>
      <c r="B89" s="523" t="s">
        <v>667</v>
      </c>
      <c r="C89" s="235"/>
      <c r="D89" s="645">
        <v>93.7</v>
      </c>
      <c r="E89" s="645">
        <v>1.9</v>
      </c>
      <c r="F89" s="643">
        <v>0.42</v>
      </c>
      <c r="G89" s="235"/>
      <c r="H89" s="235"/>
      <c r="I89" s="236"/>
      <c r="J89" s="508"/>
      <c r="K89" s="508"/>
      <c r="L89" s="508"/>
      <c r="M89" s="508"/>
      <c r="N89" s="229"/>
      <c r="O89" s="524"/>
      <c r="P89" s="235"/>
      <c r="Q89" s="648">
        <v>93.7</v>
      </c>
      <c r="R89" s="648">
        <v>1.9</v>
      </c>
      <c r="S89" s="646">
        <v>0.42</v>
      </c>
      <c r="T89" s="235"/>
      <c r="U89" s="235"/>
      <c r="V89" s="236"/>
      <c r="W89" s="647"/>
      <c r="X89" s="525"/>
      <c r="Y89" s="60"/>
      <c r="Z89" s="60"/>
      <c r="AA89" s="60"/>
      <c r="AB89" s="60"/>
      <c r="AC89" s="60"/>
      <c r="AD89" s="60"/>
      <c r="AE89" s="60"/>
      <c r="AF89" s="508"/>
      <c r="AG89" s="508"/>
      <c r="AH89" s="508"/>
      <c r="AI89" s="508"/>
      <c r="AJ89" s="508"/>
      <c r="AK89" s="508"/>
      <c r="AL89" s="508"/>
      <c r="AM89" s="508"/>
    </row>
    <row r="90" spans="1:39" ht="15.75" thickBot="1">
      <c r="A90" s="229"/>
      <c r="B90" s="535" t="s">
        <v>668</v>
      </c>
      <c r="C90" s="237"/>
      <c r="D90" s="536">
        <v>95.1</v>
      </c>
      <c r="E90" s="536">
        <v>1.9</v>
      </c>
      <c r="F90" s="537">
        <v>0.42</v>
      </c>
      <c r="G90" s="237"/>
      <c r="H90" s="237"/>
      <c r="I90" s="238"/>
      <c r="J90" s="508"/>
      <c r="K90" s="508"/>
      <c r="L90" s="508"/>
      <c r="M90" s="508"/>
      <c r="N90" s="229"/>
      <c r="O90" s="538"/>
      <c r="P90" s="237"/>
      <c r="Q90" s="539">
        <v>95.1</v>
      </c>
      <c r="R90" s="539">
        <v>1.9</v>
      </c>
      <c r="S90" s="540">
        <v>0.42</v>
      </c>
      <c r="T90" s="237"/>
      <c r="U90" s="237"/>
      <c r="V90" s="238"/>
      <c r="W90" s="647"/>
      <c r="X90" s="525"/>
      <c r="Y90" s="60"/>
      <c r="Z90" s="60"/>
      <c r="AA90" s="60"/>
      <c r="AB90" s="60"/>
      <c r="AC90" s="60"/>
      <c r="AD90" s="60"/>
      <c r="AE90" s="60"/>
      <c r="AF90" s="508"/>
      <c r="AG90" s="508"/>
      <c r="AH90" s="508"/>
      <c r="AI90" s="508"/>
      <c r="AJ90" s="508"/>
      <c r="AK90" s="508"/>
      <c r="AL90" s="508"/>
      <c r="AM90" s="508"/>
    </row>
    <row r="91" spans="1:39">
      <c r="A91" s="79"/>
      <c r="B91" s="83" t="s">
        <v>339</v>
      </c>
      <c r="C91" s="50"/>
      <c r="D91" s="84"/>
      <c r="E91" s="84"/>
      <c r="F91" s="84"/>
      <c r="G91" s="50"/>
      <c r="H91" s="50"/>
      <c r="I91" s="50"/>
      <c r="J91" s="50"/>
      <c r="K91" s="50"/>
      <c r="L91" s="50"/>
      <c r="M91" s="50"/>
      <c r="N91" s="79"/>
      <c r="O91" s="83" t="s">
        <v>339</v>
      </c>
      <c r="P91" s="50"/>
      <c r="Q91" s="84"/>
      <c r="R91" s="84"/>
      <c r="S91" s="84"/>
      <c r="T91" s="50"/>
      <c r="U91" s="50"/>
      <c r="V91" s="50"/>
      <c r="W91" s="50"/>
      <c r="X91" s="50"/>
      <c r="Y91" s="60"/>
      <c r="Z91" s="60"/>
      <c r="AA91" s="60"/>
      <c r="AB91" s="60"/>
      <c r="AC91" s="60"/>
      <c r="AD91" s="60"/>
      <c r="AE91" s="60"/>
      <c r="AF91" s="50"/>
      <c r="AG91" s="50"/>
      <c r="AH91" s="50"/>
      <c r="AI91" s="50"/>
      <c r="AJ91" s="50"/>
      <c r="AK91" s="50"/>
      <c r="AL91" s="50"/>
      <c r="AM91" s="50"/>
    </row>
    <row r="92" spans="1:39">
      <c r="A92" s="41"/>
      <c r="B92" s="812" t="s">
        <v>669</v>
      </c>
      <c r="C92" s="812"/>
      <c r="D92" s="812"/>
      <c r="E92" s="812"/>
      <c r="F92" s="812"/>
      <c r="G92" s="812"/>
      <c r="H92" s="812"/>
      <c r="I92" s="812"/>
      <c r="J92" s="812"/>
      <c r="K92" s="508"/>
      <c r="L92" s="508"/>
      <c r="M92" s="508"/>
      <c r="N92" s="41"/>
      <c r="O92" s="812" t="s">
        <v>669</v>
      </c>
      <c r="P92" s="812"/>
      <c r="Q92" s="812"/>
      <c r="R92" s="812"/>
      <c r="S92" s="812"/>
      <c r="T92" s="812"/>
      <c r="U92" s="812"/>
      <c r="V92" s="812"/>
      <c r="W92" s="812"/>
      <c r="X92" s="508"/>
      <c r="Y92" s="72"/>
      <c r="Z92" s="508"/>
      <c r="AA92" s="508"/>
      <c r="AB92" s="508"/>
      <c r="AC92" s="508"/>
      <c r="AD92" s="508"/>
      <c r="AE92" s="508"/>
      <c r="AF92" s="508"/>
      <c r="AG92" s="508"/>
      <c r="AH92" s="508"/>
      <c r="AI92" s="508"/>
      <c r="AJ92" s="508"/>
      <c r="AK92" s="508"/>
      <c r="AL92" s="508"/>
      <c r="AM92" s="508"/>
    </row>
    <row r="93" spans="1:39">
      <c r="A93" s="41"/>
      <c r="B93" s="85" t="s">
        <v>670</v>
      </c>
      <c r="C93" s="508"/>
      <c r="D93" s="508"/>
      <c r="E93" s="508"/>
      <c r="F93" s="508"/>
      <c r="G93" s="508"/>
      <c r="H93" s="508"/>
      <c r="I93" s="508"/>
      <c r="J93" s="45"/>
      <c r="K93" s="508"/>
      <c r="L93" s="508"/>
      <c r="M93" s="508"/>
      <c r="N93" s="41"/>
      <c r="O93" s="85" t="s">
        <v>670</v>
      </c>
      <c r="P93" s="508"/>
      <c r="Q93" s="508"/>
      <c r="R93" s="508"/>
      <c r="S93" s="508"/>
      <c r="T93" s="508"/>
      <c r="U93" s="508"/>
      <c r="V93" s="508"/>
      <c r="W93" s="45"/>
      <c r="X93" s="508"/>
      <c r="Y93" s="72"/>
      <c r="Z93" s="239"/>
      <c r="AA93" s="240"/>
      <c r="AB93" s="240"/>
      <c r="AC93" s="239"/>
      <c r="AD93" s="508"/>
      <c r="AE93" s="241"/>
      <c r="AF93" s="508"/>
      <c r="AG93" s="508"/>
      <c r="AH93" s="508"/>
      <c r="AI93" s="508"/>
      <c r="AJ93" s="508"/>
      <c r="AK93" s="508"/>
      <c r="AL93" s="508"/>
      <c r="AM93" s="508"/>
    </row>
    <row r="94" spans="1:39">
      <c r="A94" s="41"/>
      <c r="B94" s="812" t="s">
        <v>671</v>
      </c>
      <c r="C94" s="812"/>
      <c r="D94" s="812"/>
      <c r="E94" s="812"/>
      <c r="F94" s="812"/>
      <c r="G94" s="812"/>
      <c r="H94" s="812"/>
      <c r="I94" s="812"/>
      <c r="J94" s="812"/>
      <c r="K94" s="508"/>
      <c r="L94" s="508"/>
      <c r="M94" s="508"/>
      <c r="N94" s="41"/>
      <c r="O94" s="812" t="s">
        <v>672</v>
      </c>
      <c r="P94" s="812"/>
      <c r="Q94" s="812"/>
      <c r="R94" s="812"/>
      <c r="S94" s="812"/>
      <c r="T94" s="812"/>
      <c r="U94" s="812"/>
      <c r="V94" s="812"/>
      <c r="W94" s="812"/>
      <c r="X94" s="508"/>
      <c r="Y94" s="72"/>
      <c r="Z94" s="239"/>
      <c r="AA94" s="240"/>
      <c r="AB94" s="240"/>
      <c r="AC94" s="239"/>
      <c r="AD94" s="508"/>
      <c r="AE94" s="241"/>
      <c r="AF94" s="508"/>
      <c r="AG94" s="508"/>
      <c r="AH94" s="508"/>
      <c r="AI94" s="508"/>
      <c r="AJ94" s="508"/>
      <c r="AK94" s="508"/>
      <c r="AL94" s="508"/>
      <c r="AM94" s="508"/>
    </row>
    <row r="95" spans="1:39">
      <c r="A95" s="41"/>
      <c r="B95" s="242" t="s">
        <v>673</v>
      </c>
      <c r="C95" s="692"/>
      <c r="D95" s="692"/>
      <c r="E95" s="692"/>
      <c r="F95" s="692"/>
      <c r="G95" s="692"/>
      <c r="H95" s="692"/>
      <c r="I95" s="692"/>
      <c r="J95" s="692"/>
      <c r="K95" s="508"/>
      <c r="L95" s="508"/>
      <c r="M95" s="508"/>
      <c r="N95" s="41"/>
      <c r="O95" s="242" t="s">
        <v>673</v>
      </c>
      <c r="P95" s="692"/>
      <c r="Q95" s="692"/>
      <c r="R95" s="692"/>
      <c r="S95" s="692"/>
      <c r="T95" s="692"/>
      <c r="U95" s="692"/>
      <c r="V95" s="692"/>
      <c r="W95" s="692"/>
      <c r="X95" s="508"/>
      <c r="Y95" s="72"/>
      <c r="Z95" s="239"/>
      <c r="AA95" s="240"/>
      <c r="AB95" s="240"/>
      <c r="AC95" s="239"/>
      <c r="AD95" s="508"/>
      <c r="AE95" s="241"/>
      <c r="AF95" s="508"/>
      <c r="AG95" s="508"/>
      <c r="AH95" s="508"/>
      <c r="AI95" s="508"/>
      <c r="AJ95" s="508"/>
      <c r="AK95" s="508"/>
      <c r="AL95" s="508"/>
      <c r="AM95" s="508"/>
    </row>
    <row r="96" spans="1:39">
      <c r="A96" s="41"/>
      <c r="B96" s="242" t="s">
        <v>674</v>
      </c>
      <c r="C96" s="692"/>
      <c r="D96" s="692"/>
      <c r="E96" s="692"/>
      <c r="F96" s="692"/>
      <c r="G96" s="692"/>
      <c r="H96" s="692"/>
      <c r="I96" s="692"/>
      <c r="J96" s="692"/>
      <c r="K96" s="508"/>
      <c r="L96" s="508"/>
      <c r="M96" s="508"/>
      <c r="N96" s="41"/>
      <c r="O96" s="242" t="s">
        <v>674</v>
      </c>
      <c r="P96" s="692"/>
      <c r="Q96" s="692"/>
      <c r="R96" s="692"/>
      <c r="S96" s="692"/>
      <c r="T96" s="692"/>
      <c r="U96" s="692"/>
      <c r="V96" s="692"/>
      <c r="W96" s="692"/>
      <c r="X96" s="508"/>
      <c r="Y96" s="72"/>
      <c r="Z96" s="239"/>
      <c r="AA96" s="240"/>
      <c r="AB96" s="240"/>
      <c r="AC96" s="239"/>
      <c r="AD96" s="508"/>
      <c r="AE96" s="241"/>
      <c r="AF96" s="508"/>
      <c r="AG96" s="508"/>
      <c r="AH96" s="508"/>
      <c r="AI96" s="508"/>
      <c r="AJ96" s="508"/>
      <c r="AK96" s="508"/>
      <c r="AL96" s="508"/>
      <c r="AM96" s="508"/>
    </row>
    <row r="97" spans="1:39">
      <c r="A97" s="41"/>
      <c r="B97" s="86"/>
      <c r="C97" s="86"/>
      <c r="D97" s="86"/>
      <c r="E97" s="86"/>
      <c r="F97" s="86"/>
      <c r="G97" s="86"/>
      <c r="H97" s="86"/>
      <c r="I97" s="86"/>
      <c r="J97" s="86"/>
      <c r="K97" s="508"/>
      <c r="L97" s="508"/>
      <c r="M97" s="508"/>
      <c r="N97" s="41"/>
      <c r="O97" s="86"/>
      <c r="P97" s="86"/>
      <c r="Q97" s="86"/>
      <c r="R97" s="86"/>
      <c r="S97" s="86"/>
      <c r="T97" s="86"/>
      <c r="U97" s="86"/>
      <c r="V97" s="86"/>
      <c r="W97" s="86"/>
      <c r="X97" s="86"/>
      <c r="Y97" s="508"/>
      <c r="Z97" s="508"/>
      <c r="AA97" s="508"/>
      <c r="AB97" s="508"/>
      <c r="AC97" s="508"/>
      <c r="AD97" s="508"/>
      <c r="AE97" s="508"/>
      <c r="AF97" s="508"/>
      <c r="AG97" s="508"/>
      <c r="AH97" s="508"/>
      <c r="AI97" s="508"/>
      <c r="AJ97" s="508"/>
      <c r="AK97" s="508"/>
      <c r="AL97" s="508"/>
      <c r="AM97" s="508"/>
    </row>
    <row r="98" spans="1:39" ht="18.75">
      <c r="A98" s="641" t="s">
        <v>675</v>
      </c>
      <c r="B98" s="518" t="s">
        <v>676</v>
      </c>
      <c r="C98" s="519"/>
      <c r="D98" s="519"/>
      <c r="E98" s="519"/>
      <c r="F98" s="520"/>
      <c r="G98" s="520"/>
      <c r="H98" s="520"/>
      <c r="I98" s="520"/>
      <c r="J98" s="520"/>
      <c r="K98" s="50"/>
      <c r="L98" s="50"/>
      <c r="M98" s="50"/>
      <c r="N98" s="641" t="s">
        <v>675</v>
      </c>
      <c r="O98" s="518" t="s">
        <v>677</v>
      </c>
      <c r="P98" s="519"/>
      <c r="Q98" s="519"/>
      <c r="R98" s="519"/>
      <c r="S98" s="520"/>
      <c r="T98" s="520"/>
      <c r="U98" s="520"/>
      <c r="V98" s="520"/>
      <c r="W98" s="520"/>
      <c r="X98" s="521"/>
      <c r="Y98" s="50"/>
      <c r="Z98" s="50"/>
      <c r="AA98" s="50"/>
      <c r="AB98" s="50"/>
      <c r="AC98" s="50"/>
      <c r="AD98" s="50"/>
      <c r="AE98" s="50"/>
      <c r="AF98" s="50"/>
      <c r="AG98" s="50"/>
      <c r="AH98" s="50"/>
      <c r="AI98" s="50"/>
      <c r="AJ98" s="50"/>
      <c r="AK98" s="50"/>
      <c r="AL98" s="50"/>
      <c r="AM98" s="50"/>
    </row>
    <row r="99" spans="1:39" ht="15.75" thickBot="1">
      <c r="A99" s="41"/>
      <c r="B99" s="508"/>
      <c r="C99" s="508"/>
      <c r="D99" s="508"/>
      <c r="E99" s="508"/>
      <c r="F99" s="508"/>
      <c r="G99" s="508"/>
      <c r="H99" s="508"/>
      <c r="I99" s="508"/>
      <c r="J99" s="508"/>
      <c r="K99" s="508"/>
      <c r="L99" s="508"/>
      <c r="M99" s="508"/>
      <c r="N99" s="41"/>
      <c r="O99" s="508"/>
      <c r="P99" s="508"/>
      <c r="Q99" s="508"/>
      <c r="R99" s="508"/>
      <c r="S99" s="508"/>
      <c r="T99" s="508"/>
      <c r="U99" s="508"/>
      <c r="V99" s="508"/>
      <c r="W99" s="508"/>
      <c r="X99" s="508"/>
      <c r="Y99" s="508"/>
      <c r="Z99" s="508"/>
      <c r="AA99" s="508"/>
      <c r="AB99" s="508"/>
      <c r="AC99" s="508"/>
      <c r="AD99" s="508"/>
      <c r="AE99" s="508"/>
      <c r="AF99" s="508"/>
      <c r="AG99" s="508"/>
      <c r="AH99" s="508"/>
      <c r="AI99" s="508"/>
      <c r="AJ99" s="508"/>
      <c r="AK99" s="508"/>
      <c r="AL99" s="508"/>
      <c r="AM99" s="508"/>
    </row>
    <row r="100" spans="1:39" ht="15.75" thickBot="1">
      <c r="A100" s="79"/>
      <c r="B100" s="87" t="s">
        <v>193</v>
      </c>
      <c r="C100" s="88" t="s">
        <v>678</v>
      </c>
      <c r="D100" s="89" t="s">
        <v>349</v>
      </c>
      <c r="E100" s="45"/>
      <c r="F100" s="55"/>
      <c r="G100" s="90"/>
      <c r="H100" s="91"/>
      <c r="I100" s="91"/>
      <c r="J100" s="79"/>
      <c r="K100" s="79"/>
      <c r="L100" s="79"/>
      <c r="M100" s="79"/>
      <c r="N100" s="79"/>
      <c r="O100" s="87" t="s">
        <v>193</v>
      </c>
      <c r="P100" s="88" t="s">
        <v>679</v>
      </c>
      <c r="Q100" s="89" t="s">
        <v>349</v>
      </c>
      <c r="R100" s="45"/>
      <c r="S100" s="55"/>
      <c r="T100" s="90"/>
      <c r="U100" s="91"/>
      <c r="V100" s="91"/>
      <c r="W100" s="79"/>
      <c r="X100" s="79"/>
      <c r="Y100" s="508"/>
      <c r="Z100" s="508"/>
      <c r="AA100" s="508"/>
      <c r="AB100" s="508"/>
      <c r="AC100" s="508"/>
      <c r="AD100" s="508"/>
      <c r="AE100" s="508"/>
      <c r="AF100" s="508"/>
      <c r="AG100" s="79"/>
      <c r="AH100" s="79"/>
      <c r="AI100" s="79"/>
      <c r="AJ100" s="79"/>
      <c r="AK100" s="79"/>
      <c r="AL100" s="79"/>
      <c r="AM100" s="79"/>
    </row>
    <row r="101" spans="1:39">
      <c r="A101" s="41"/>
      <c r="B101" s="406" t="s">
        <v>629</v>
      </c>
      <c r="C101" s="541">
        <v>8.31</v>
      </c>
      <c r="D101" s="407" t="s">
        <v>680</v>
      </c>
      <c r="E101" s="92"/>
      <c r="F101" s="90"/>
      <c r="G101" s="90"/>
      <c r="H101" s="91"/>
      <c r="I101" s="86"/>
      <c r="J101" s="508"/>
      <c r="K101" s="508"/>
      <c r="L101" s="508"/>
      <c r="M101" s="508"/>
      <c r="N101" s="41"/>
      <c r="O101" s="481"/>
      <c r="P101" s="542"/>
      <c r="Q101" s="482"/>
      <c r="R101" s="92"/>
      <c r="S101" s="90"/>
      <c r="T101" s="90"/>
      <c r="U101" s="91"/>
      <c r="V101" s="86"/>
      <c r="W101" s="508"/>
      <c r="X101" s="508"/>
      <c r="Y101" s="60"/>
      <c r="Z101" s="60"/>
      <c r="AA101" s="508"/>
      <c r="AB101" s="508"/>
      <c r="AC101" s="508"/>
      <c r="AD101" s="508"/>
      <c r="AE101" s="508"/>
      <c r="AF101" s="508"/>
      <c r="AG101" s="508"/>
      <c r="AH101" s="508"/>
      <c r="AI101" s="508"/>
      <c r="AJ101" s="508"/>
      <c r="AK101" s="508"/>
      <c r="AL101" s="508"/>
      <c r="AM101" s="508"/>
    </row>
    <row r="102" spans="1:39">
      <c r="A102" s="41"/>
      <c r="B102" s="543" t="s">
        <v>659</v>
      </c>
      <c r="C102" s="662">
        <v>9.4499999999999993</v>
      </c>
      <c r="D102" s="544" t="s">
        <v>680</v>
      </c>
      <c r="E102" s="90"/>
      <c r="F102" s="90"/>
      <c r="G102" s="90"/>
      <c r="H102" s="91"/>
      <c r="I102" s="86"/>
      <c r="J102" s="508"/>
      <c r="K102" s="508"/>
      <c r="L102" s="508"/>
      <c r="M102" s="508"/>
      <c r="N102" s="41"/>
      <c r="O102" s="545"/>
      <c r="P102" s="666"/>
      <c r="Q102" s="546"/>
      <c r="R102" s="90"/>
      <c r="S102" s="90"/>
      <c r="T102" s="90"/>
      <c r="U102" s="91"/>
      <c r="V102" s="86"/>
      <c r="W102" s="508"/>
      <c r="X102" s="508"/>
      <c r="Y102" s="60"/>
      <c r="Z102" s="60"/>
      <c r="AA102" s="508"/>
      <c r="AB102" s="508"/>
      <c r="AC102" s="508"/>
      <c r="AD102" s="508"/>
      <c r="AE102" s="508"/>
      <c r="AF102" s="508"/>
      <c r="AG102" s="508"/>
      <c r="AH102" s="508"/>
      <c r="AI102" s="508"/>
      <c r="AJ102" s="508"/>
      <c r="AK102" s="508"/>
      <c r="AL102" s="508"/>
      <c r="AM102" s="508"/>
    </row>
    <row r="103" spans="1:39">
      <c r="A103" s="41"/>
      <c r="B103" s="543" t="s">
        <v>681</v>
      </c>
      <c r="C103" s="667">
        <v>5.4440000000000002E-2</v>
      </c>
      <c r="D103" s="544" t="s">
        <v>682</v>
      </c>
      <c r="E103" s="90"/>
      <c r="F103" s="90"/>
      <c r="G103" s="90"/>
      <c r="H103" s="91"/>
      <c r="I103" s="86"/>
      <c r="J103" s="508"/>
      <c r="K103" s="508"/>
      <c r="L103" s="508"/>
      <c r="M103" s="508"/>
      <c r="N103" s="41"/>
      <c r="O103" s="545"/>
      <c r="P103" s="668"/>
      <c r="Q103" s="546"/>
      <c r="R103" s="90"/>
      <c r="S103" s="90"/>
      <c r="T103" s="90"/>
      <c r="U103" s="91"/>
      <c r="V103" s="86"/>
      <c r="W103" s="508"/>
      <c r="X103" s="508"/>
      <c r="Y103" s="60"/>
      <c r="Z103" s="60"/>
      <c r="AA103" s="508"/>
      <c r="AB103" s="508"/>
      <c r="AC103" s="508"/>
      <c r="AD103" s="508"/>
      <c r="AE103" s="508"/>
      <c r="AF103" s="508"/>
      <c r="AG103" s="508"/>
      <c r="AH103" s="508"/>
      <c r="AI103" s="508"/>
      <c r="AJ103" s="508"/>
      <c r="AK103" s="508"/>
      <c r="AL103" s="508"/>
      <c r="AM103" s="508"/>
    </row>
    <row r="104" spans="1:39">
      <c r="A104" s="229"/>
      <c r="B104" s="543" t="s">
        <v>683</v>
      </c>
      <c r="C104" s="662">
        <v>10.210000000000001</v>
      </c>
      <c r="D104" s="547" t="s">
        <v>680</v>
      </c>
      <c r="E104" s="90"/>
      <c r="F104" s="90"/>
      <c r="G104" s="90"/>
      <c r="H104" s="91"/>
      <c r="I104" s="86"/>
      <c r="J104" s="508"/>
      <c r="K104" s="508"/>
      <c r="L104" s="508"/>
      <c r="M104" s="508"/>
      <c r="N104" s="229"/>
      <c r="O104" s="545"/>
      <c r="P104" s="666"/>
      <c r="Q104" s="546"/>
      <c r="R104" s="90"/>
      <c r="S104" s="90"/>
      <c r="T104" s="90"/>
      <c r="U104" s="91"/>
      <c r="V104" s="86"/>
      <c r="W104" s="508"/>
      <c r="X104" s="508"/>
      <c r="Y104" s="60"/>
      <c r="Z104" s="60"/>
      <c r="AA104" s="508"/>
      <c r="AB104" s="508"/>
      <c r="AC104" s="508"/>
      <c r="AD104" s="508"/>
      <c r="AE104" s="508"/>
      <c r="AF104" s="508"/>
      <c r="AG104" s="508"/>
      <c r="AH104" s="508"/>
      <c r="AI104" s="508"/>
      <c r="AJ104" s="508"/>
      <c r="AK104" s="508"/>
      <c r="AL104" s="508"/>
      <c r="AM104" s="508"/>
    </row>
    <row r="105" spans="1:39">
      <c r="A105" s="41"/>
      <c r="B105" s="543" t="s">
        <v>660</v>
      </c>
      <c r="C105" s="662">
        <v>5.75</v>
      </c>
      <c r="D105" s="544" t="s">
        <v>680</v>
      </c>
      <c r="E105" s="90"/>
      <c r="F105" s="90"/>
      <c r="G105" s="90"/>
      <c r="H105" s="91"/>
      <c r="I105" s="86"/>
      <c r="J105" s="508"/>
      <c r="K105" s="508"/>
      <c r="L105" s="508"/>
      <c r="M105" s="508"/>
      <c r="N105" s="41"/>
      <c r="O105" s="545"/>
      <c r="P105" s="666"/>
      <c r="Q105" s="546"/>
      <c r="R105" s="90"/>
      <c r="S105" s="90"/>
      <c r="T105" s="90"/>
      <c r="U105" s="91"/>
      <c r="V105" s="86"/>
      <c r="W105" s="508"/>
      <c r="X105" s="508"/>
      <c r="Y105" s="60"/>
      <c r="Z105" s="60"/>
      <c r="AA105" s="508"/>
      <c r="AB105" s="508"/>
      <c r="AC105" s="508"/>
      <c r="AD105" s="508"/>
      <c r="AE105" s="508"/>
      <c r="AF105" s="508"/>
      <c r="AG105" s="508"/>
      <c r="AH105" s="508"/>
      <c r="AI105" s="508"/>
      <c r="AJ105" s="508"/>
      <c r="AK105" s="508"/>
      <c r="AL105" s="508"/>
      <c r="AM105" s="508"/>
    </row>
    <row r="106" spans="1:39">
      <c r="A106" s="41"/>
      <c r="B106" s="543" t="s">
        <v>642</v>
      </c>
      <c r="C106" s="662">
        <v>9.75</v>
      </c>
      <c r="D106" s="547" t="s">
        <v>680</v>
      </c>
      <c r="E106" s="90"/>
      <c r="F106" s="90"/>
      <c r="G106" s="90"/>
      <c r="H106" s="91"/>
      <c r="I106" s="86"/>
      <c r="J106" s="508"/>
      <c r="K106" s="508"/>
      <c r="L106" s="508"/>
      <c r="M106" s="508"/>
      <c r="N106" s="41"/>
      <c r="O106" s="545"/>
      <c r="P106" s="666"/>
      <c r="Q106" s="546"/>
      <c r="R106" s="90"/>
      <c r="S106" s="90"/>
      <c r="T106" s="90"/>
      <c r="U106" s="91"/>
      <c r="V106" s="86"/>
      <c r="W106" s="508"/>
      <c r="X106" s="508"/>
      <c r="Y106" s="60"/>
      <c r="Z106" s="60"/>
      <c r="AA106" s="508"/>
      <c r="AB106" s="508"/>
      <c r="AC106" s="508"/>
      <c r="AD106" s="508"/>
      <c r="AE106" s="508"/>
      <c r="AF106" s="508"/>
      <c r="AG106" s="508"/>
      <c r="AH106" s="508"/>
      <c r="AI106" s="508"/>
      <c r="AJ106" s="508"/>
      <c r="AK106" s="508"/>
      <c r="AL106" s="508"/>
      <c r="AM106" s="508"/>
    </row>
    <row r="107" spans="1:39">
      <c r="A107" s="41"/>
      <c r="B107" s="531" t="s">
        <v>684</v>
      </c>
      <c r="C107" s="662">
        <v>4.5</v>
      </c>
      <c r="D107" s="544" t="s">
        <v>680</v>
      </c>
      <c r="E107" s="508"/>
      <c r="F107" s="90"/>
      <c r="G107" s="90"/>
      <c r="H107" s="91"/>
      <c r="I107" s="86"/>
      <c r="J107" s="508"/>
      <c r="K107" s="508"/>
      <c r="L107" s="508"/>
      <c r="M107" s="508"/>
      <c r="N107" s="41"/>
      <c r="O107" s="545"/>
      <c r="P107" s="666"/>
      <c r="Q107" s="546"/>
      <c r="R107" s="508"/>
      <c r="S107" s="90"/>
      <c r="T107" s="90"/>
      <c r="U107" s="91"/>
      <c r="V107" s="86"/>
      <c r="W107" s="508"/>
      <c r="X107" s="508"/>
      <c r="Y107" s="60"/>
      <c r="Z107" s="60"/>
      <c r="AA107" s="93"/>
      <c r="AB107" s="72"/>
      <c r="AC107" s="508"/>
      <c r="AD107" s="508"/>
      <c r="AE107" s="508"/>
      <c r="AF107" s="508"/>
      <c r="AG107" s="508"/>
      <c r="AH107" s="508"/>
      <c r="AI107" s="508"/>
      <c r="AJ107" s="508"/>
      <c r="AK107" s="508"/>
      <c r="AL107" s="508"/>
      <c r="AM107" s="508"/>
    </row>
    <row r="108" spans="1:39">
      <c r="A108" s="41"/>
      <c r="B108" s="543" t="s">
        <v>643</v>
      </c>
      <c r="C108" s="662">
        <v>5.68</v>
      </c>
      <c r="D108" s="547" t="s">
        <v>680</v>
      </c>
      <c r="E108" s="90"/>
      <c r="F108" s="94"/>
      <c r="G108" s="90"/>
      <c r="H108" s="91"/>
      <c r="I108" s="86"/>
      <c r="J108" s="508"/>
      <c r="K108" s="508"/>
      <c r="L108" s="508"/>
      <c r="M108" s="508"/>
      <c r="N108" s="41"/>
      <c r="O108" s="545"/>
      <c r="P108" s="666"/>
      <c r="Q108" s="546"/>
      <c r="R108" s="90"/>
      <c r="S108" s="94"/>
      <c r="T108" s="90"/>
      <c r="U108" s="91"/>
      <c r="V108" s="86"/>
      <c r="W108" s="508"/>
      <c r="X108" s="508"/>
      <c r="Y108" s="60"/>
      <c r="Z108" s="60"/>
      <c r="AA108" s="508"/>
      <c r="AB108" s="508"/>
      <c r="AC108" s="508"/>
      <c r="AD108" s="508"/>
      <c r="AE108" s="508"/>
      <c r="AF108" s="508"/>
      <c r="AG108" s="508"/>
      <c r="AH108" s="508"/>
      <c r="AI108" s="508"/>
      <c r="AJ108" s="508"/>
      <c r="AK108" s="508"/>
      <c r="AL108" s="508"/>
      <c r="AM108" s="508"/>
    </row>
    <row r="109" spans="1:39">
      <c r="A109" s="41"/>
      <c r="B109" s="543" t="s">
        <v>645</v>
      </c>
      <c r="C109" s="662">
        <v>8.7799999999999994</v>
      </c>
      <c r="D109" s="547" t="s">
        <v>680</v>
      </c>
      <c r="E109" s="90"/>
      <c r="F109" s="90"/>
      <c r="G109" s="90"/>
      <c r="H109" s="91"/>
      <c r="I109" s="86"/>
      <c r="J109" s="508"/>
      <c r="K109" s="508"/>
      <c r="L109" s="508"/>
      <c r="M109" s="508"/>
      <c r="N109" s="41"/>
      <c r="O109" s="545"/>
      <c r="P109" s="666"/>
      <c r="Q109" s="546"/>
      <c r="R109" s="90"/>
      <c r="S109" s="90"/>
      <c r="T109" s="90"/>
      <c r="U109" s="91"/>
      <c r="V109" s="86"/>
      <c r="W109" s="508"/>
      <c r="X109" s="508"/>
      <c r="Y109" s="60"/>
      <c r="Z109" s="60"/>
      <c r="AA109" s="508"/>
      <c r="AB109" s="508"/>
      <c r="AC109" s="508"/>
      <c r="AD109" s="508"/>
      <c r="AE109" s="508"/>
      <c r="AF109" s="508"/>
      <c r="AG109" s="508"/>
      <c r="AH109" s="508"/>
      <c r="AI109" s="508"/>
      <c r="AJ109" s="508"/>
      <c r="AK109" s="508"/>
      <c r="AL109" s="508"/>
      <c r="AM109" s="508"/>
    </row>
    <row r="110" spans="1:39" ht="15.75" thickBot="1">
      <c r="A110" s="41"/>
      <c r="B110" s="548" t="s">
        <v>685</v>
      </c>
      <c r="C110" s="549">
        <v>11.27</v>
      </c>
      <c r="D110" s="550" t="s">
        <v>680</v>
      </c>
      <c r="E110" s="90"/>
      <c r="F110" s="90"/>
      <c r="G110" s="90"/>
      <c r="H110" s="91"/>
      <c r="I110" s="91"/>
      <c r="J110" s="508"/>
      <c r="K110" s="508"/>
      <c r="L110" s="508"/>
      <c r="M110" s="508"/>
      <c r="N110" s="41"/>
      <c r="O110" s="551"/>
      <c r="P110" s="552"/>
      <c r="Q110" s="553"/>
      <c r="R110" s="90"/>
      <c r="S110" s="90"/>
      <c r="T110" s="90"/>
      <c r="U110" s="91"/>
      <c r="V110" s="91"/>
      <c r="W110" s="508"/>
      <c r="X110" s="508"/>
      <c r="Y110" s="60"/>
      <c r="Z110" s="60"/>
      <c r="AA110" s="508"/>
      <c r="AB110" s="508"/>
      <c r="AC110" s="508"/>
      <c r="AD110" s="508"/>
      <c r="AE110" s="508"/>
      <c r="AF110" s="508"/>
      <c r="AG110" s="508"/>
      <c r="AH110" s="508"/>
      <c r="AI110" s="508"/>
      <c r="AJ110" s="508"/>
      <c r="AK110" s="508"/>
      <c r="AL110" s="508"/>
      <c r="AM110" s="508"/>
    </row>
    <row r="111" spans="1:39">
      <c r="A111" s="79"/>
      <c r="B111" s="83" t="s">
        <v>339</v>
      </c>
      <c r="C111" s="50"/>
      <c r="D111" s="50"/>
      <c r="E111" s="95"/>
      <c r="F111" s="95"/>
      <c r="G111" s="95"/>
      <c r="H111" s="95"/>
      <c r="I111" s="95"/>
      <c r="J111" s="50"/>
      <c r="K111" s="50"/>
      <c r="L111" s="50"/>
      <c r="M111" s="50"/>
      <c r="N111" s="79"/>
      <c r="O111" s="83" t="s">
        <v>339</v>
      </c>
      <c r="P111" s="50"/>
      <c r="Q111" s="50"/>
      <c r="R111" s="95"/>
      <c r="S111" s="95"/>
      <c r="T111" s="95"/>
      <c r="U111" s="95"/>
      <c r="V111" s="95"/>
      <c r="W111" s="50"/>
      <c r="X111" s="50"/>
      <c r="Y111" s="72"/>
      <c r="Z111" s="50"/>
      <c r="AA111" s="50"/>
      <c r="AB111" s="50"/>
      <c r="AC111" s="50"/>
      <c r="AD111" s="50"/>
      <c r="AE111" s="50"/>
      <c r="AF111" s="50"/>
      <c r="AG111" s="50"/>
      <c r="AH111" s="50"/>
      <c r="AI111" s="50"/>
      <c r="AJ111" s="50"/>
      <c r="AK111" s="50"/>
      <c r="AL111" s="50"/>
      <c r="AM111" s="50"/>
    </row>
    <row r="112" spans="1:39">
      <c r="A112" s="41"/>
      <c r="B112" s="812" t="s">
        <v>686</v>
      </c>
      <c r="C112" s="812"/>
      <c r="D112" s="812"/>
      <c r="E112" s="812"/>
      <c r="F112" s="812"/>
      <c r="G112" s="812"/>
      <c r="H112" s="812"/>
      <c r="I112" s="812"/>
      <c r="J112" s="812"/>
      <c r="K112" s="508"/>
      <c r="L112" s="508"/>
      <c r="M112" s="508"/>
      <c r="N112" s="41"/>
      <c r="O112" s="812" t="s">
        <v>686</v>
      </c>
      <c r="P112" s="812"/>
      <c r="Q112" s="812"/>
      <c r="R112" s="812"/>
      <c r="S112" s="812"/>
      <c r="T112" s="812"/>
      <c r="U112" s="812"/>
      <c r="V112" s="812"/>
      <c r="W112" s="812"/>
      <c r="X112" s="86"/>
      <c r="Y112" s="86"/>
      <c r="Z112" s="508"/>
      <c r="AA112" s="508"/>
      <c r="AB112" s="508"/>
      <c r="AC112" s="508"/>
      <c r="AD112" s="508"/>
      <c r="AE112" s="508"/>
      <c r="AF112" s="508"/>
      <c r="AG112" s="508"/>
      <c r="AH112" s="508"/>
      <c r="AI112" s="508"/>
      <c r="AJ112" s="508"/>
      <c r="AK112" s="508"/>
      <c r="AL112" s="508"/>
      <c r="AM112" s="508"/>
    </row>
    <row r="113" spans="1:39">
      <c r="A113" s="41"/>
      <c r="B113" s="85" t="s">
        <v>670</v>
      </c>
      <c r="C113" s="508"/>
      <c r="D113" s="508"/>
      <c r="E113" s="508"/>
      <c r="F113" s="508"/>
      <c r="G113" s="508"/>
      <c r="H113" s="508"/>
      <c r="I113" s="508"/>
      <c r="J113" s="45"/>
      <c r="K113" s="508"/>
      <c r="L113" s="508"/>
      <c r="M113" s="508"/>
      <c r="N113" s="41"/>
      <c r="O113" s="85" t="s">
        <v>670</v>
      </c>
      <c r="P113" s="508"/>
      <c r="Q113" s="508"/>
      <c r="R113" s="508"/>
      <c r="S113" s="508"/>
      <c r="T113" s="508"/>
      <c r="U113" s="508"/>
      <c r="V113" s="508"/>
      <c r="W113" s="45"/>
      <c r="X113" s="86"/>
      <c r="Y113" s="86"/>
      <c r="Z113" s="508"/>
      <c r="AA113" s="508"/>
      <c r="AB113" s="508"/>
      <c r="AC113" s="508"/>
      <c r="AD113" s="508"/>
      <c r="AE113" s="508"/>
      <c r="AF113" s="508"/>
      <c r="AG113" s="508"/>
      <c r="AH113" s="508"/>
      <c r="AI113" s="508"/>
      <c r="AJ113" s="508"/>
      <c r="AK113" s="508"/>
      <c r="AL113" s="508"/>
      <c r="AM113" s="508"/>
    </row>
    <row r="114" spans="1:39">
      <c r="A114" s="41"/>
      <c r="B114" s="812" t="s">
        <v>671</v>
      </c>
      <c r="C114" s="812"/>
      <c r="D114" s="812"/>
      <c r="E114" s="812"/>
      <c r="F114" s="812"/>
      <c r="G114" s="812"/>
      <c r="H114" s="812"/>
      <c r="I114" s="812"/>
      <c r="J114" s="812"/>
      <c r="K114" s="508"/>
      <c r="L114" s="508"/>
      <c r="M114" s="508"/>
      <c r="N114" s="41"/>
      <c r="O114" s="812" t="s">
        <v>672</v>
      </c>
      <c r="P114" s="812"/>
      <c r="Q114" s="812"/>
      <c r="R114" s="812"/>
      <c r="S114" s="812"/>
      <c r="T114" s="812"/>
      <c r="U114" s="812"/>
      <c r="V114" s="812"/>
      <c r="W114" s="812"/>
      <c r="X114" s="86"/>
      <c r="Y114" s="86"/>
      <c r="Z114" s="508"/>
      <c r="AA114" s="508"/>
      <c r="AB114" s="508"/>
      <c r="AC114" s="508"/>
      <c r="AD114" s="508"/>
      <c r="AE114" s="508"/>
      <c r="AF114" s="508"/>
      <c r="AG114" s="508"/>
      <c r="AH114" s="508"/>
      <c r="AI114" s="508"/>
      <c r="AJ114" s="508"/>
      <c r="AK114" s="508"/>
      <c r="AL114" s="508"/>
      <c r="AM114" s="508"/>
    </row>
    <row r="115" spans="1:39">
      <c r="A115" s="41"/>
      <c r="B115" s="801" t="s">
        <v>687</v>
      </c>
      <c r="C115" s="801"/>
      <c r="D115" s="801"/>
      <c r="E115" s="801"/>
      <c r="F115" s="801"/>
      <c r="G115" s="801"/>
      <c r="H115" s="801"/>
      <c r="I115" s="801"/>
      <c r="J115" s="801"/>
      <c r="K115" s="508"/>
      <c r="L115" s="508"/>
      <c r="M115" s="508"/>
      <c r="N115" s="41"/>
      <c r="O115" s="801" t="s">
        <v>688</v>
      </c>
      <c r="P115" s="801"/>
      <c r="Q115" s="801"/>
      <c r="R115" s="801"/>
      <c r="S115" s="801"/>
      <c r="T115" s="801"/>
      <c r="U115" s="801"/>
      <c r="V115" s="801"/>
      <c r="W115" s="801"/>
      <c r="X115" s="86"/>
      <c r="Y115" s="86"/>
      <c r="Z115" s="508"/>
      <c r="AA115" s="508"/>
      <c r="AB115" s="508"/>
      <c r="AC115" s="508"/>
      <c r="AD115" s="508"/>
      <c r="AE115" s="508"/>
      <c r="AF115" s="508"/>
      <c r="AG115" s="508"/>
      <c r="AH115" s="508"/>
      <c r="AI115" s="508"/>
      <c r="AJ115" s="508"/>
      <c r="AK115" s="508"/>
      <c r="AL115" s="508"/>
      <c r="AM115" s="508"/>
    </row>
    <row r="116" spans="1:39">
      <c r="A116" s="41"/>
      <c r="B116" s="242" t="s">
        <v>674</v>
      </c>
      <c r="C116" s="688"/>
      <c r="D116" s="688"/>
      <c r="E116" s="688"/>
      <c r="F116" s="688"/>
      <c r="G116" s="688"/>
      <c r="H116" s="688"/>
      <c r="I116" s="688"/>
      <c r="J116" s="688"/>
      <c r="K116" s="508"/>
      <c r="L116" s="508"/>
      <c r="M116" s="508"/>
      <c r="N116" s="41"/>
      <c r="O116" s="242" t="s">
        <v>674</v>
      </c>
      <c r="P116" s="688"/>
      <c r="Q116" s="688"/>
      <c r="R116" s="688"/>
      <c r="S116" s="688"/>
      <c r="T116" s="688"/>
      <c r="U116" s="688"/>
      <c r="V116" s="688"/>
      <c r="W116" s="688"/>
      <c r="X116" s="86"/>
      <c r="Y116" s="86"/>
      <c r="Z116" s="508"/>
      <c r="AA116" s="508"/>
      <c r="AB116" s="508"/>
      <c r="AC116" s="508"/>
      <c r="AD116" s="508"/>
      <c r="AE116" s="508"/>
      <c r="AF116" s="508"/>
      <c r="AG116" s="508"/>
      <c r="AH116" s="508"/>
      <c r="AI116" s="508"/>
      <c r="AJ116" s="508"/>
      <c r="AK116" s="508"/>
      <c r="AL116" s="508"/>
      <c r="AM116" s="508"/>
    </row>
    <row r="117" spans="1:39">
      <c r="A117" s="41"/>
      <c r="B117" s="243"/>
      <c r="C117" s="508"/>
      <c r="D117" s="508"/>
      <c r="E117" s="508"/>
      <c r="F117" s="508"/>
      <c r="G117" s="508"/>
      <c r="H117" s="508"/>
      <c r="I117" s="508"/>
      <c r="J117" s="508"/>
      <c r="K117" s="508"/>
      <c r="L117" s="508"/>
      <c r="M117" s="508"/>
      <c r="N117" s="41"/>
      <c r="O117" s="243"/>
      <c r="P117" s="508"/>
      <c r="Q117" s="508"/>
      <c r="R117" s="508"/>
      <c r="S117" s="508"/>
      <c r="T117" s="508"/>
      <c r="U117" s="508"/>
      <c r="V117" s="508"/>
      <c r="W117" s="508"/>
      <c r="X117" s="86"/>
      <c r="Y117" s="86"/>
      <c r="Z117" s="508"/>
      <c r="AA117" s="508"/>
      <c r="AB117" s="508"/>
      <c r="AC117" s="508"/>
      <c r="AD117" s="508"/>
      <c r="AE117" s="508"/>
      <c r="AF117" s="508"/>
      <c r="AG117" s="508"/>
      <c r="AH117" s="508"/>
      <c r="AI117" s="508"/>
      <c r="AJ117" s="508"/>
      <c r="AK117" s="508"/>
      <c r="AL117" s="508"/>
      <c r="AM117" s="508"/>
    </row>
    <row r="118" spans="1:39" ht="18.75">
      <c r="A118" s="669" t="s">
        <v>689</v>
      </c>
      <c r="B118" s="554" t="s">
        <v>690</v>
      </c>
      <c r="C118" s="555"/>
      <c r="D118" s="556"/>
      <c r="E118" s="556"/>
      <c r="F118" s="556"/>
      <c r="G118" s="556"/>
      <c r="H118" s="556"/>
      <c r="I118" s="556"/>
      <c r="J118" s="556"/>
      <c r="K118" s="480"/>
      <c r="L118" s="480"/>
      <c r="M118" s="480"/>
      <c r="N118" s="669" t="s">
        <v>689</v>
      </c>
      <c r="O118" s="554" t="s">
        <v>691</v>
      </c>
      <c r="P118" s="555"/>
      <c r="Q118" s="556"/>
      <c r="R118" s="556"/>
      <c r="S118" s="556"/>
      <c r="T118" s="556"/>
      <c r="U118" s="556"/>
      <c r="V118" s="556"/>
      <c r="W118" s="556"/>
      <c r="X118" s="557"/>
      <c r="Y118" s="508"/>
      <c r="Z118" s="508"/>
      <c r="AA118" s="508"/>
      <c r="AB118" s="508"/>
      <c r="AC118" s="508"/>
      <c r="AD118" s="508"/>
      <c r="AE118" s="508"/>
      <c r="AF118" s="508"/>
      <c r="AG118" s="508"/>
      <c r="AH118" s="508"/>
      <c r="AI118" s="508"/>
      <c r="AJ118" s="508"/>
      <c r="AK118" s="508"/>
      <c r="AL118" s="508"/>
      <c r="AM118" s="508"/>
    </row>
    <row r="119" spans="1:39" ht="15.75" thickBot="1">
      <c r="A119" s="508"/>
      <c r="B119" s="508"/>
      <c r="C119" s="508"/>
      <c r="D119" s="508"/>
      <c r="E119" s="508"/>
      <c r="F119" s="508"/>
      <c r="G119" s="508"/>
      <c r="H119" s="508"/>
      <c r="I119" s="508"/>
      <c r="J119" s="508"/>
      <c r="K119" s="508"/>
      <c r="L119" s="508"/>
      <c r="M119" s="508"/>
      <c r="N119" s="508"/>
      <c r="O119" s="508"/>
      <c r="P119" s="508"/>
      <c r="Q119" s="508"/>
      <c r="R119" s="508"/>
      <c r="S119" s="508"/>
      <c r="T119" s="508"/>
      <c r="U119" s="508"/>
      <c r="V119" s="508"/>
      <c r="W119" s="508"/>
      <c r="X119" s="508"/>
      <c r="Y119" s="508"/>
      <c r="Z119" s="508"/>
      <c r="AA119" s="508"/>
      <c r="AB119" s="508"/>
      <c r="AC119" s="508"/>
      <c r="AD119" s="508"/>
      <c r="AE119" s="508"/>
      <c r="AF119" s="508"/>
      <c r="AG119" s="508"/>
      <c r="AH119" s="508"/>
      <c r="AI119" s="508"/>
      <c r="AJ119" s="508"/>
      <c r="AK119" s="508"/>
      <c r="AL119" s="508"/>
      <c r="AM119" s="508"/>
    </row>
    <row r="120" spans="1:39" ht="53.25" thickBot="1">
      <c r="A120" s="508"/>
      <c r="B120" s="96" t="s">
        <v>192</v>
      </c>
      <c r="C120" s="97" t="s">
        <v>692</v>
      </c>
      <c r="D120" s="98" t="s">
        <v>693</v>
      </c>
      <c r="E120" s="99" t="s">
        <v>694</v>
      </c>
      <c r="F120" s="100"/>
      <c r="G120" s="72"/>
      <c r="H120" s="508"/>
      <c r="I120" s="508"/>
      <c r="J120" s="508"/>
      <c r="K120" s="508"/>
      <c r="L120" s="508"/>
      <c r="M120" s="508"/>
      <c r="N120" s="508"/>
      <c r="O120" s="96" t="s">
        <v>192</v>
      </c>
      <c r="P120" s="97" t="s">
        <v>692</v>
      </c>
      <c r="Q120" s="98" t="s">
        <v>695</v>
      </c>
      <c r="R120" s="99" t="s">
        <v>696</v>
      </c>
      <c r="S120" s="100"/>
      <c r="T120" s="72"/>
      <c r="U120" s="508"/>
      <c r="V120" s="508"/>
      <c r="W120" s="508"/>
      <c r="X120" s="508"/>
      <c r="Y120" s="508"/>
      <c r="Z120" s="508"/>
      <c r="AA120" s="508"/>
      <c r="AB120" s="508"/>
      <c r="AC120" s="508"/>
      <c r="AD120" s="508"/>
      <c r="AE120" s="508"/>
      <c r="AF120" s="508"/>
      <c r="AG120" s="508"/>
      <c r="AH120" s="508"/>
      <c r="AI120" s="508"/>
      <c r="AJ120" s="508"/>
      <c r="AK120" s="508"/>
      <c r="AL120" s="508"/>
      <c r="AM120" s="508"/>
    </row>
    <row r="121" spans="1:39">
      <c r="A121" s="508"/>
      <c r="B121" s="101" t="s">
        <v>697</v>
      </c>
      <c r="C121" s="102" t="s">
        <v>698</v>
      </c>
      <c r="D121" s="103">
        <v>0.1696</v>
      </c>
      <c r="E121" s="104">
        <v>1.9699999999999999E-2</v>
      </c>
      <c r="F121" s="508"/>
      <c r="G121" s="508"/>
      <c r="H121" s="508"/>
      <c r="I121" s="508"/>
      <c r="J121" s="508"/>
      <c r="K121" s="508"/>
      <c r="L121" s="508"/>
      <c r="M121" s="508"/>
      <c r="N121" s="508"/>
      <c r="O121" s="101" t="s">
        <v>697</v>
      </c>
      <c r="P121" s="102" t="s">
        <v>698</v>
      </c>
      <c r="Q121" s="103">
        <v>0.1696</v>
      </c>
      <c r="R121" s="104">
        <v>1.9699999999999999E-2</v>
      </c>
      <c r="S121" s="508"/>
      <c r="T121" s="508"/>
      <c r="U121" s="508"/>
      <c r="V121" s="508"/>
      <c r="W121" s="508"/>
      <c r="X121" s="508"/>
      <c r="Y121" s="508"/>
      <c r="Z121" s="508"/>
      <c r="AA121" s="508"/>
      <c r="AB121" s="508"/>
      <c r="AC121" s="508"/>
      <c r="AD121" s="508"/>
      <c r="AE121" s="508"/>
      <c r="AF121" s="508"/>
      <c r="AG121" s="508"/>
      <c r="AH121" s="508"/>
      <c r="AI121" s="508"/>
      <c r="AJ121" s="508"/>
      <c r="AK121" s="508"/>
      <c r="AL121" s="508"/>
      <c r="AM121" s="508"/>
    </row>
    <row r="122" spans="1:39">
      <c r="A122" s="508"/>
      <c r="B122" s="105"/>
      <c r="C122" s="558" t="s">
        <v>699</v>
      </c>
      <c r="D122" s="559">
        <v>0.14230000000000001</v>
      </c>
      <c r="E122" s="408">
        <v>4.4299999999999999E-2</v>
      </c>
      <c r="F122" s="508"/>
      <c r="G122" s="508"/>
      <c r="H122" s="508"/>
      <c r="I122" s="508"/>
      <c r="J122" s="508"/>
      <c r="K122" s="508"/>
      <c r="L122" s="508"/>
      <c r="M122" s="508"/>
      <c r="N122" s="508"/>
      <c r="O122" s="105"/>
      <c r="P122" s="558" t="s">
        <v>699</v>
      </c>
      <c r="Q122" s="559">
        <v>0.14230000000000001</v>
      </c>
      <c r="R122" s="408">
        <v>4.4299999999999999E-2</v>
      </c>
      <c r="S122" s="508"/>
      <c r="T122" s="508"/>
      <c r="U122" s="508"/>
      <c r="V122" s="508"/>
      <c r="W122" s="508"/>
      <c r="X122" s="508"/>
      <c r="Y122" s="508"/>
      <c r="Z122" s="508"/>
      <c r="AA122" s="508"/>
      <c r="AB122" s="508"/>
      <c r="AC122" s="508"/>
      <c r="AD122" s="508"/>
      <c r="AE122" s="508"/>
      <c r="AF122" s="508"/>
      <c r="AG122" s="508"/>
      <c r="AH122" s="508"/>
      <c r="AI122" s="508"/>
      <c r="AJ122" s="508"/>
      <c r="AK122" s="508"/>
      <c r="AL122" s="508"/>
      <c r="AM122" s="508"/>
    </row>
    <row r="123" spans="1:39">
      <c r="A123" s="508"/>
      <c r="B123" s="105"/>
      <c r="C123" s="558" t="s">
        <v>700</v>
      </c>
      <c r="D123" s="559">
        <v>0.1406</v>
      </c>
      <c r="E123" s="408">
        <v>4.58E-2</v>
      </c>
      <c r="F123" s="508"/>
      <c r="G123" s="508"/>
      <c r="H123" s="508"/>
      <c r="I123" s="508"/>
      <c r="J123" s="508"/>
      <c r="K123" s="508"/>
      <c r="L123" s="508"/>
      <c r="M123" s="508"/>
      <c r="N123" s="508"/>
      <c r="O123" s="105"/>
      <c r="P123" s="558" t="s">
        <v>700</v>
      </c>
      <c r="Q123" s="559">
        <v>0.1406</v>
      </c>
      <c r="R123" s="408">
        <v>4.58E-2</v>
      </c>
      <c r="S123" s="508"/>
      <c r="T123" s="508"/>
      <c r="U123" s="508"/>
      <c r="V123" s="508"/>
      <c r="W123" s="508"/>
      <c r="X123" s="508"/>
      <c r="Y123" s="508"/>
      <c r="Z123" s="508"/>
      <c r="AA123" s="508"/>
      <c r="AB123" s="508"/>
      <c r="AC123" s="508"/>
      <c r="AD123" s="508"/>
      <c r="AE123" s="508"/>
      <c r="AF123" s="508"/>
      <c r="AG123" s="508"/>
      <c r="AH123" s="508"/>
      <c r="AI123" s="508"/>
      <c r="AJ123" s="508"/>
      <c r="AK123" s="508"/>
      <c r="AL123" s="508"/>
      <c r="AM123" s="508"/>
    </row>
    <row r="124" spans="1:39">
      <c r="A124" s="508"/>
      <c r="B124" s="105"/>
      <c r="C124" s="558" t="s">
        <v>701</v>
      </c>
      <c r="D124" s="559">
        <v>0.1389</v>
      </c>
      <c r="E124" s="408">
        <v>4.7300000000000002E-2</v>
      </c>
      <c r="F124" s="508"/>
      <c r="G124" s="508"/>
      <c r="H124" s="508"/>
      <c r="I124" s="508"/>
      <c r="J124" s="508"/>
      <c r="K124" s="508"/>
      <c r="L124" s="508"/>
      <c r="M124" s="508"/>
      <c r="N124" s="508"/>
      <c r="O124" s="105"/>
      <c r="P124" s="558" t="s">
        <v>701</v>
      </c>
      <c r="Q124" s="559">
        <v>0.1389</v>
      </c>
      <c r="R124" s="408">
        <v>4.7300000000000002E-2</v>
      </c>
      <c r="S124" s="508"/>
      <c r="T124" s="508"/>
      <c r="U124" s="508"/>
      <c r="V124" s="508"/>
      <c r="W124" s="508"/>
      <c r="X124" s="508"/>
      <c r="Y124" s="508"/>
      <c r="Z124" s="508"/>
      <c r="AA124" s="508"/>
      <c r="AB124" s="508"/>
      <c r="AC124" s="508"/>
      <c r="AD124" s="508"/>
      <c r="AE124" s="508"/>
      <c r="AF124" s="508"/>
      <c r="AG124" s="508"/>
      <c r="AH124" s="508"/>
      <c r="AI124" s="508"/>
      <c r="AJ124" s="508"/>
      <c r="AK124" s="508"/>
      <c r="AL124" s="508"/>
      <c r="AM124" s="508"/>
    </row>
    <row r="125" spans="1:39">
      <c r="A125" s="508"/>
      <c r="B125" s="105"/>
      <c r="C125" s="558" t="s">
        <v>702</v>
      </c>
      <c r="D125" s="559">
        <v>0.1326</v>
      </c>
      <c r="E125" s="408">
        <v>4.99E-2</v>
      </c>
      <c r="F125" s="508"/>
      <c r="G125" s="508"/>
      <c r="H125" s="508"/>
      <c r="I125" s="508"/>
      <c r="J125" s="508"/>
      <c r="K125" s="508"/>
      <c r="L125" s="508"/>
      <c r="M125" s="508"/>
      <c r="N125" s="508"/>
      <c r="O125" s="105"/>
      <c r="P125" s="558" t="s">
        <v>702</v>
      </c>
      <c r="Q125" s="559">
        <v>0.1326</v>
      </c>
      <c r="R125" s="408">
        <v>4.99E-2</v>
      </c>
      <c r="S125" s="508"/>
      <c r="T125" s="508"/>
      <c r="U125" s="508"/>
      <c r="V125" s="508"/>
      <c r="W125" s="508"/>
      <c r="X125" s="508"/>
      <c r="Y125" s="508"/>
      <c r="Z125" s="508"/>
      <c r="AA125" s="508"/>
      <c r="AB125" s="508"/>
      <c r="AC125" s="508"/>
      <c r="AD125" s="508"/>
      <c r="AE125" s="508"/>
      <c r="AF125" s="508"/>
      <c r="AG125" s="508"/>
      <c r="AH125" s="508"/>
      <c r="AI125" s="508"/>
      <c r="AJ125" s="508"/>
      <c r="AK125" s="508"/>
      <c r="AL125" s="508"/>
      <c r="AM125" s="508"/>
    </row>
    <row r="126" spans="1:39">
      <c r="A126" s="508"/>
      <c r="B126" s="105"/>
      <c r="C126" s="558" t="s">
        <v>703</v>
      </c>
      <c r="D126" s="559">
        <v>8.0199999999999994E-2</v>
      </c>
      <c r="E126" s="408">
        <v>6.2600000000000003E-2</v>
      </c>
      <c r="F126" s="508"/>
      <c r="G126" s="508"/>
      <c r="H126" s="508"/>
      <c r="I126" s="508"/>
      <c r="J126" s="508"/>
      <c r="K126" s="508"/>
      <c r="L126" s="508"/>
      <c r="M126" s="508"/>
      <c r="N126" s="508"/>
      <c r="O126" s="105"/>
      <c r="P126" s="558" t="s">
        <v>703</v>
      </c>
      <c r="Q126" s="559">
        <v>8.0199999999999994E-2</v>
      </c>
      <c r="R126" s="408">
        <v>6.2600000000000003E-2</v>
      </c>
      <c r="S126" s="508"/>
      <c r="T126" s="508"/>
      <c r="U126" s="508"/>
      <c r="V126" s="508"/>
      <c r="W126" s="508"/>
      <c r="X126" s="508"/>
      <c r="Y126" s="508"/>
      <c r="Z126" s="508"/>
      <c r="AA126" s="508"/>
      <c r="AB126" s="508"/>
      <c r="AC126" s="508"/>
      <c r="AD126" s="508"/>
      <c r="AE126" s="508"/>
      <c r="AF126" s="508"/>
      <c r="AG126" s="508"/>
      <c r="AH126" s="508"/>
      <c r="AI126" s="508"/>
      <c r="AJ126" s="508"/>
      <c r="AK126" s="508"/>
      <c r="AL126" s="508"/>
      <c r="AM126" s="508"/>
    </row>
    <row r="127" spans="1:39">
      <c r="A127" s="508"/>
      <c r="B127" s="105"/>
      <c r="C127" s="558" t="s">
        <v>704</v>
      </c>
      <c r="D127" s="559">
        <v>7.9500000000000001E-2</v>
      </c>
      <c r="E127" s="408">
        <v>6.2700000000000006E-2</v>
      </c>
      <c r="F127" s="508"/>
      <c r="G127" s="508"/>
      <c r="H127" s="508"/>
      <c r="I127" s="508"/>
      <c r="J127" s="508"/>
      <c r="K127" s="508"/>
      <c r="L127" s="508"/>
      <c r="M127" s="508"/>
      <c r="N127" s="508"/>
      <c r="O127" s="105"/>
      <c r="P127" s="558" t="s">
        <v>704</v>
      </c>
      <c r="Q127" s="559">
        <v>7.9500000000000001E-2</v>
      </c>
      <c r="R127" s="408">
        <v>6.2700000000000006E-2</v>
      </c>
      <c r="S127" s="508"/>
      <c r="T127" s="508"/>
      <c r="U127" s="508"/>
      <c r="V127" s="508"/>
      <c r="W127" s="508"/>
      <c r="X127" s="508"/>
      <c r="Y127" s="508"/>
      <c r="Z127" s="508"/>
      <c r="AA127" s="508"/>
      <c r="AB127" s="508"/>
      <c r="AC127" s="508"/>
      <c r="AD127" s="508"/>
      <c r="AE127" s="508"/>
      <c r="AF127" s="508"/>
      <c r="AG127" s="508"/>
      <c r="AH127" s="508"/>
      <c r="AI127" s="508"/>
      <c r="AJ127" s="508"/>
      <c r="AK127" s="508"/>
      <c r="AL127" s="508"/>
      <c r="AM127" s="508"/>
    </row>
    <row r="128" spans="1:39">
      <c r="A128" s="508"/>
      <c r="B128" s="105"/>
      <c r="C128" s="558" t="s">
        <v>705</v>
      </c>
      <c r="D128" s="559">
        <v>7.8200000000000006E-2</v>
      </c>
      <c r="E128" s="408">
        <v>6.3E-2</v>
      </c>
      <c r="F128" s="508"/>
      <c r="G128" s="508"/>
      <c r="H128" s="508"/>
      <c r="I128" s="508"/>
      <c r="J128" s="508"/>
      <c r="K128" s="508"/>
      <c r="L128" s="508"/>
      <c r="M128" s="508"/>
      <c r="N128" s="508"/>
      <c r="O128" s="105"/>
      <c r="P128" s="558" t="s">
        <v>705</v>
      </c>
      <c r="Q128" s="559">
        <v>7.8200000000000006E-2</v>
      </c>
      <c r="R128" s="408">
        <v>6.3E-2</v>
      </c>
      <c r="S128" s="508"/>
      <c r="T128" s="508"/>
      <c r="U128" s="508"/>
      <c r="V128" s="508"/>
      <c r="W128" s="508"/>
      <c r="X128" s="508"/>
      <c r="Y128" s="508"/>
      <c r="Z128" s="508"/>
      <c r="AA128" s="508"/>
      <c r="AB128" s="508"/>
      <c r="AC128" s="508"/>
      <c r="AD128" s="508"/>
      <c r="AE128" s="508"/>
      <c r="AF128" s="508"/>
      <c r="AG128" s="508"/>
      <c r="AH128" s="508"/>
      <c r="AI128" s="508"/>
      <c r="AJ128" s="508"/>
      <c r="AK128" s="508"/>
      <c r="AL128" s="508"/>
      <c r="AM128" s="508"/>
    </row>
    <row r="129" spans="1:39">
      <c r="A129" s="508"/>
      <c r="B129" s="105"/>
      <c r="C129" s="558" t="s">
        <v>706</v>
      </c>
      <c r="D129" s="559">
        <v>7.0400000000000004E-2</v>
      </c>
      <c r="E129" s="408">
        <v>6.4699999999999994E-2</v>
      </c>
      <c r="F129" s="508"/>
      <c r="G129" s="508"/>
      <c r="H129" s="508"/>
      <c r="I129" s="508"/>
      <c r="J129" s="508"/>
      <c r="K129" s="508"/>
      <c r="L129" s="508"/>
      <c r="M129" s="508"/>
      <c r="N129" s="508"/>
      <c r="O129" s="105"/>
      <c r="P129" s="558" t="s">
        <v>706</v>
      </c>
      <c r="Q129" s="559">
        <v>7.0400000000000004E-2</v>
      </c>
      <c r="R129" s="408">
        <v>6.4699999999999994E-2</v>
      </c>
      <c r="S129" s="508"/>
      <c r="T129" s="508"/>
      <c r="U129" s="508"/>
      <c r="V129" s="508"/>
      <c r="W129" s="508"/>
      <c r="X129" s="508"/>
      <c r="Y129" s="508"/>
      <c r="Z129" s="508"/>
      <c r="AA129" s="508"/>
      <c r="AB129" s="508"/>
      <c r="AC129" s="508"/>
      <c r="AD129" s="508"/>
      <c r="AE129" s="508"/>
      <c r="AF129" s="508"/>
      <c r="AG129" s="508"/>
      <c r="AH129" s="508"/>
      <c r="AI129" s="508"/>
      <c r="AJ129" s="508"/>
      <c r="AK129" s="508"/>
      <c r="AL129" s="508"/>
      <c r="AM129" s="508"/>
    </row>
    <row r="130" spans="1:39">
      <c r="A130" s="508"/>
      <c r="B130" s="105"/>
      <c r="C130" s="670" t="s">
        <v>707</v>
      </c>
      <c r="D130" s="671">
        <v>6.1699999999999998E-2</v>
      </c>
      <c r="E130" s="560">
        <v>6.0299999999999999E-2</v>
      </c>
      <c r="F130" s="508"/>
      <c r="G130" s="508"/>
      <c r="H130" s="508"/>
      <c r="I130" s="508"/>
      <c r="J130" s="508"/>
      <c r="K130" s="508"/>
      <c r="L130" s="508"/>
      <c r="M130" s="508"/>
      <c r="N130" s="508"/>
      <c r="O130" s="105"/>
      <c r="P130" s="670" t="s">
        <v>707</v>
      </c>
      <c r="Q130" s="671">
        <v>6.1699999999999998E-2</v>
      </c>
      <c r="R130" s="560">
        <v>6.0299999999999999E-2</v>
      </c>
      <c r="S130" s="508"/>
      <c r="T130" s="508"/>
      <c r="U130" s="508"/>
      <c r="V130" s="508"/>
      <c r="W130" s="508"/>
      <c r="X130" s="508"/>
      <c r="Y130" s="508"/>
      <c r="Z130" s="508"/>
      <c r="AA130" s="508"/>
      <c r="AB130" s="508"/>
      <c r="AC130" s="508"/>
      <c r="AD130" s="508"/>
      <c r="AE130" s="508"/>
      <c r="AF130" s="508"/>
      <c r="AG130" s="508"/>
      <c r="AH130" s="508"/>
      <c r="AI130" s="508"/>
      <c r="AJ130" s="508"/>
      <c r="AK130" s="508"/>
      <c r="AL130" s="508"/>
      <c r="AM130" s="508"/>
    </row>
    <row r="131" spans="1:39">
      <c r="A131" s="508"/>
      <c r="B131" s="105"/>
      <c r="C131" s="670" t="s">
        <v>708</v>
      </c>
      <c r="D131" s="671">
        <v>5.3100000000000001E-2</v>
      </c>
      <c r="E131" s="560">
        <v>5.6000000000000001E-2</v>
      </c>
      <c r="F131" s="508"/>
      <c r="G131" s="508"/>
      <c r="H131" s="508"/>
      <c r="I131" s="508"/>
      <c r="J131" s="508"/>
      <c r="K131" s="508"/>
      <c r="L131" s="508"/>
      <c r="M131" s="508"/>
      <c r="N131" s="508"/>
      <c r="O131" s="105"/>
      <c r="P131" s="670" t="s">
        <v>708</v>
      </c>
      <c r="Q131" s="671">
        <v>5.3100000000000001E-2</v>
      </c>
      <c r="R131" s="560">
        <v>5.6000000000000001E-2</v>
      </c>
      <c r="S131" s="508"/>
      <c r="T131" s="508"/>
      <c r="U131" s="508"/>
      <c r="V131" s="508"/>
      <c r="W131" s="508"/>
      <c r="X131" s="508"/>
      <c r="Y131" s="508"/>
      <c r="Z131" s="508"/>
      <c r="AA131" s="508"/>
      <c r="AB131" s="508"/>
      <c r="AC131" s="508"/>
      <c r="AD131" s="508"/>
      <c r="AE131" s="508"/>
      <c r="AF131" s="508"/>
      <c r="AG131" s="508"/>
      <c r="AH131" s="508"/>
      <c r="AI131" s="508"/>
      <c r="AJ131" s="508"/>
      <c r="AK131" s="508"/>
      <c r="AL131" s="508"/>
      <c r="AM131" s="508"/>
    </row>
    <row r="132" spans="1:39">
      <c r="A132" s="508"/>
      <c r="B132" s="105"/>
      <c r="C132" s="670" t="s">
        <v>709</v>
      </c>
      <c r="D132" s="671">
        <v>4.3400000000000001E-2</v>
      </c>
      <c r="E132" s="560">
        <v>5.0299999999999997E-2</v>
      </c>
      <c r="F132" s="508"/>
      <c r="G132" s="508"/>
      <c r="H132" s="508"/>
      <c r="I132" s="508"/>
      <c r="J132" s="508"/>
      <c r="K132" s="508"/>
      <c r="L132" s="508"/>
      <c r="M132" s="508"/>
      <c r="N132" s="508"/>
      <c r="O132" s="105"/>
      <c r="P132" s="670" t="s">
        <v>709</v>
      </c>
      <c r="Q132" s="671">
        <v>4.3400000000000001E-2</v>
      </c>
      <c r="R132" s="560">
        <v>5.0299999999999997E-2</v>
      </c>
      <c r="S132" s="508"/>
      <c r="T132" s="508"/>
      <c r="U132" s="508"/>
      <c r="V132" s="508"/>
      <c r="W132" s="508"/>
      <c r="X132" s="508"/>
      <c r="Y132" s="508"/>
      <c r="Z132" s="508"/>
      <c r="AA132" s="508"/>
      <c r="AB132" s="508"/>
      <c r="AC132" s="508"/>
      <c r="AD132" s="508"/>
      <c r="AE132" s="508"/>
      <c r="AF132" s="508"/>
      <c r="AG132" s="508"/>
      <c r="AH132" s="508"/>
      <c r="AI132" s="508"/>
      <c r="AJ132" s="508"/>
      <c r="AK132" s="508"/>
      <c r="AL132" s="508"/>
      <c r="AM132" s="508"/>
    </row>
    <row r="133" spans="1:39">
      <c r="A133" s="508"/>
      <c r="B133" s="105"/>
      <c r="C133" s="670" t="s">
        <v>710</v>
      </c>
      <c r="D133" s="671">
        <v>3.3700000000000001E-2</v>
      </c>
      <c r="E133" s="560">
        <v>4.4600000000000001E-2</v>
      </c>
      <c r="F133" s="508"/>
      <c r="G133" s="508"/>
      <c r="H133" s="508"/>
      <c r="I133" s="508"/>
      <c r="J133" s="508"/>
      <c r="K133" s="508"/>
      <c r="L133" s="508"/>
      <c r="M133" s="508"/>
      <c r="N133" s="508"/>
      <c r="O133" s="105"/>
      <c r="P133" s="670" t="s">
        <v>710</v>
      </c>
      <c r="Q133" s="671">
        <v>3.3700000000000001E-2</v>
      </c>
      <c r="R133" s="560">
        <v>4.4600000000000001E-2</v>
      </c>
      <c r="S133" s="508"/>
      <c r="T133" s="508"/>
      <c r="U133" s="508"/>
      <c r="V133" s="508"/>
      <c r="W133" s="508"/>
      <c r="X133" s="508"/>
      <c r="Y133" s="508"/>
      <c r="Z133" s="508"/>
      <c r="AA133" s="508"/>
      <c r="AB133" s="508"/>
      <c r="AC133" s="508"/>
      <c r="AD133" s="508"/>
      <c r="AE133" s="508"/>
      <c r="AF133" s="508"/>
      <c r="AG133" s="508"/>
      <c r="AH133" s="508"/>
      <c r="AI133" s="508"/>
      <c r="AJ133" s="508"/>
      <c r="AK133" s="508"/>
      <c r="AL133" s="508"/>
      <c r="AM133" s="508"/>
    </row>
    <row r="134" spans="1:39">
      <c r="A134" s="508"/>
      <c r="B134" s="105"/>
      <c r="C134" s="670" t="s">
        <v>711</v>
      </c>
      <c r="D134" s="671">
        <v>2.4E-2</v>
      </c>
      <c r="E134" s="560">
        <v>3.8899999999999997E-2</v>
      </c>
      <c r="F134" s="508"/>
      <c r="G134" s="508"/>
      <c r="H134" s="508"/>
      <c r="I134" s="508"/>
      <c r="J134" s="508"/>
      <c r="K134" s="508"/>
      <c r="L134" s="508"/>
      <c r="M134" s="508"/>
      <c r="N134" s="508"/>
      <c r="O134" s="105"/>
      <c r="P134" s="670" t="s">
        <v>711</v>
      </c>
      <c r="Q134" s="671">
        <v>2.4E-2</v>
      </c>
      <c r="R134" s="560">
        <v>3.8899999999999997E-2</v>
      </c>
      <c r="S134" s="508"/>
      <c r="T134" s="508"/>
      <c r="U134" s="508"/>
      <c r="V134" s="508"/>
      <c r="W134" s="508"/>
      <c r="X134" s="508"/>
      <c r="Y134" s="508"/>
      <c r="Z134" s="508"/>
      <c r="AA134" s="508"/>
      <c r="AB134" s="508"/>
      <c r="AC134" s="508"/>
      <c r="AD134" s="508"/>
      <c r="AE134" s="508"/>
      <c r="AF134" s="508"/>
      <c r="AG134" s="508"/>
      <c r="AH134" s="508"/>
      <c r="AI134" s="508"/>
      <c r="AJ134" s="508"/>
      <c r="AK134" s="508"/>
      <c r="AL134" s="508"/>
      <c r="AM134" s="508"/>
    </row>
    <row r="135" spans="1:39">
      <c r="A135" s="508"/>
      <c r="B135" s="105"/>
      <c r="C135" s="670" t="s">
        <v>712</v>
      </c>
      <c r="D135" s="671">
        <v>2.1499999999999998E-2</v>
      </c>
      <c r="E135" s="560">
        <v>3.5499999999999997E-2</v>
      </c>
      <c r="F135" s="508"/>
      <c r="G135" s="508"/>
      <c r="H135" s="508"/>
      <c r="I135" s="508"/>
      <c r="J135" s="508"/>
      <c r="K135" s="508"/>
      <c r="L135" s="508"/>
      <c r="M135" s="508"/>
      <c r="N135" s="508"/>
      <c r="O135" s="105"/>
      <c r="P135" s="670" t="s">
        <v>712</v>
      </c>
      <c r="Q135" s="671">
        <v>2.1499999999999998E-2</v>
      </c>
      <c r="R135" s="560">
        <v>3.5499999999999997E-2</v>
      </c>
      <c r="S135" s="508"/>
      <c r="T135" s="508"/>
      <c r="U135" s="508"/>
      <c r="V135" s="508"/>
      <c r="W135" s="508"/>
      <c r="X135" s="508"/>
      <c r="Y135" s="508"/>
      <c r="Z135" s="508"/>
      <c r="AA135" s="508"/>
      <c r="AB135" s="508"/>
      <c r="AC135" s="508"/>
      <c r="AD135" s="508"/>
      <c r="AE135" s="508"/>
      <c r="AF135" s="508"/>
      <c r="AG135" s="508"/>
      <c r="AH135" s="508"/>
      <c r="AI135" s="508"/>
      <c r="AJ135" s="508"/>
      <c r="AK135" s="508"/>
      <c r="AL135" s="508"/>
      <c r="AM135" s="508"/>
    </row>
    <row r="136" spans="1:39">
      <c r="A136" s="508"/>
      <c r="B136" s="105"/>
      <c r="C136" s="670" t="s">
        <v>713</v>
      </c>
      <c r="D136" s="671">
        <v>1.7500000000000002E-2</v>
      </c>
      <c r="E136" s="560">
        <v>3.04E-2</v>
      </c>
      <c r="F136" s="508"/>
      <c r="G136" s="508"/>
      <c r="H136" s="508"/>
      <c r="I136" s="508"/>
      <c r="J136" s="508"/>
      <c r="K136" s="508"/>
      <c r="L136" s="508"/>
      <c r="M136" s="508"/>
      <c r="N136" s="508"/>
      <c r="O136" s="105"/>
      <c r="P136" s="670" t="s">
        <v>713</v>
      </c>
      <c r="Q136" s="671">
        <v>1.7500000000000002E-2</v>
      </c>
      <c r="R136" s="560">
        <v>3.04E-2</v>
      </c>
      <c r="S136" s="508"/>
      <c r="T136" s="508"/>
      <c r="U136" s="508"/>
      <c r="V136" s="508"/>
      <c r="W136" s="508"/>
      <c r="X136" s="508"/>
      <c r="Y136" s="508"/>
      <c r="Z136" s="508"/>
      <c r="AA136" s="508"/>
      <c r="AB136" s="508"/>
      <c r="AC136" s="508"/>
      <c r="AD136" s="508"/>
      <c r="AE136" s="508"/>
      <c r="AF136" s="508"/>
      <c r="AG136" s="508"/>
      <c r="AH136" s="508"/>
      <c r="AI136" s="508"/>
      <c r="AJ136" s="508"/>
      <c r="AK136" s="508"/>
      <c r="AL136" s="508"/>
      <c r="AM136" s="508"/>
    </row>
    <row r="137" spans="1:39">
      <c r="A137" s="508"/>
      <c r="B137" s="105"/>
      <c r="C137" s="670" t="s">
        <v>714</v>
      </c>
      <c r="D137" s="671">
        <v>1.0500000000000001E-2</v>
      </c>
      <c r="E137" s="560">
        <v>2.12E-2</v>
      </c>
      <c r="F137" s="508"/>
      <c r="G137" s="508"/>
      <c r="H137" s="508"/>
      <c r="I137" s="508"/>
      <c r="J137" s="508"/>
      <c r="K137" s="508"/>
      <c r="L137" s="508"/>
      <c r="M137" s="508"/>
      <c r="N137" s="508"/>
      <c r="O137" s="105"/>
      <c r="P137" s="670" t="s">
        <v>714</v>
      </c>
      <c r="Q137" s="671">
        <v>1.0500000000000001E-2</v>
      </c>
      <c r="R137" s="560">
        <v>2.12E-2</v>
      </c>
      <c r="S137" s="508"/>
      <c r="T137" s="508"/>
      <c r="U137" s="508"/>
      <c r="V137" s="508"/>
      <c r="W137" s="508"/>
      <c r="X137" s="508"/>
      <c r="Y137" s="508"/>
      <c r="Z137" s="508"/>
      <c r="AA137" s="508"/>
      <c r="AB137" s="508"/>
      <c r="AC137" s="508"/>
      <c r="AD137" s="508"/>
      <c r="AE137" s="508"/>
      <c r="AF137" s="508"/>
      <c r="AG137" s="508"/>
      <c r="AH137" s="508"/>
      <c r="AI137" s="508"/>
      <c r="AJ137" s="508"/>
      <c r="AK137" s="508"/>
      <c r="AL137" s="508"/>
      <c r="AM137" s="508"/>
    </row>
    <row r="138" spans="1:39">
      <c r="A138" s="508"/>
      <c r="B138" s="105"/>
      <c r="C138" s="670" t="s">
        <v>715</v>
      </c>
      <c r="D138" s="671">
        <v>1.0200000000000001E-2</v>
      </c>
      <c r="E138" s="560">
        <v>2.07E-2</v>
      </c>
      <c r="F138" s="508"/>
      <c r="G138" s="508"/>
      <c r="H138" s="508"/>
      <c r="I138" s="508"/>
      <c r="J138" s="508"/>
      <c r="K138" s="508"/>
      <c r="L138" s="508"/>
      <c r="M138" s="508"/>
      <c r="N138" s="508"/>
      <c r="O138" s="105"/>
      <c r="P138" s="670" t="s">
        <v>715</v>
      </c>
      <c r="Q138" s="671">
        <v>1.0200000000000001E-2</v>
      </c>
      <c r="R138" s="560">
        <v>2.07E-2</v>
      </c>
      <c r="S138" s="508"/>
      <c r="T138" s="508"/>
      <c r="U138" s="508"/>
      <c r="V138" s="508"/>
      <c r="W138" s="508"/>
      <c r="X138" s="508"/>
      <c r="Y138" s="508"/>
      <c r="Z138" s="508"/>
      <c r="AA138" s="508"/>
      <c r="AB138" s="508"/>
      <c r="AC138" s="508"/>
      <c r="AD138" s="508"/>
      <c r="AE138" s="508"/>
      <c r="AF138" s="508"/>
      <c r="AG138" s="508"/>
      <c r="AH138" s="508"/>
      <c r="AI138" s="508"/>
      <c r="AJ138" s="508"/>
      <c r="AK138" s="508"/>
      <c r="AL138" s="508"/>
      <c r="AM138" s="508"/>
    </row>
    <row r="139" spans="1:39">
      <c r="A139" s="508"/>
      <c r="B139" s="105"/>
      <c r="C139" s="670" t="s">
        <v>716</v>
      </c>
      <c r="D139" s="671">
        <v>9.4999999999999998E-3</v>
      </c>
      <c r="E139" s="560">
        <v>1.8100000000000002E-2</v>
      </c>
      <c r="F139" s="508"/>
      <c r="G139" s="508"/>
      <c r="H139" s="508"/>
      <c r="I139" s="508"/>
      <c r="J139" s="508"/>
      <c r="K139" s="508"/>
      <c r="L139" s="508"/>
      <c r="M139" s="508"/>
      <c r="N139" s="508"/>
      <c r="O139" s="105"/>
      <c r="P139" s="670" t="s">
        <v>716</v>
      </c>
      <c r="Q139" s="671">
        <v>9.4999999999999998E-3</v>
      </c>
      <c r="R139" s="560">
        <v>1.8100000000000002E-2</v>
      </c>
      <c r="S139" s="508"/>
      <c r="T139" s="508"/>
      <c r="U139" s="508"/>
      <c r="V139" s="508"/>
      <c r="W139" s="508"/>
      <c r="X139" s="508"/>
      <c r="Y139" s="508"/>
      <c r="Z139" s="508"/>
      <c r="AA139" s="508"/>
      <c r="AB139" s="508"/>
      <c r="AC139" s="508"/>
      <c r="AD139" s="508"/>
      <c r="AE139" s="508"/>
      <c r="AF139" s="508"/>
      <c r="AG139" s="508"/>
      <c r="AH139" s="508"/>
      <c r="AI139" s="508"/>
      <c r="AJ139" s="508"/>
      <c r="AK139" s="508"/>
      <c r="AL139" s="508"/>
      <c r="AM139" s="508"/>
    </row>
    <row r="140" spans="1:39">
      <c r="A140" s="508"/>
      <c r="B140" s="105"/>
      <c r="C140" s="670" t="s">
        <v>717</v>
      </c>
      <c r="D140" s="671">
        <v>7.7999999999999996E-3</v>
      </c>
      <c r="E140" s="560">
        <v>8.5000000000000006E-3</v>
      </c>
      <c r="F140" s="508"/>
      <c r="G140" s="508"/>
      <c r="H140" s="508"/>
      <c r="I140" s="508"/>
      <c r="J140" s="508"/>
      <c r="K140" s="508"/>
      <c r="L140" s="508"/>
      <c r="M140" s="508"/>
      <c r="N140" s="508"/>
      <c r="O140" s="105"/>
      <c r="P140" s="670" t="s">
        <v>717</v>
      </c>
      <c r="Q140" s="671">
        <v>7.7999999999999996E-3</v>
      </c>
      <c r="R140" s="560">
        <v>8.5000000000000006E-3</v>
      </c>
      <c r="S140" s="508"/>
      <c r="T140" s="508"/>
      <c r="U140" s="508"/>
      <c r="V140" s="508"/>
      <c r="W140" s="508"/>
      <c r="X140" s="508"/>
      <c r="Y140" s="508"/>
      <c r="Z140" s="508"/>
      <c r="AA140" s="508"/>
      <c r="AB140" s="508"/>
      <c r="AC140" s="508"/>
      <c r="AD140" s="508"/>
      <c r="AE140" s="508"/>
      <c r="AF140" s="508"/>
      <c r="AG140" s="508"/>
      <c r="AH140" s="508"/>
      <c r="AI140" s="508"/>
      <c r="AJ140" s="508"/>
      <c r="AK140" s="508"/>
      <c r="AL140" s="508"/>
      <c r="AM140" s="508"/>
    </row>
    <row r="141" spans="1:39">
      <c r="A141" s="508"/>
      <c r="B141" s="105"/>
      <c r="C141" s="670" t="s">
        <v>718</v>
      </c>
      <c r="D141" s="671">
        <v>7.4999999999999997E-3</v>
      </c>
      <c r="E141" s="560">
        <v>6.7000000000000002E-3</v>
      </c>
      <c r="F141" s="508"/>
      <c r="G141" s="508"/>
      <c r="H141" s="508"/>
      <c r="I141" s="508"/>
      <c r="J141" s="508"/>
      <c r="K141" s="508"/>
      <c r="L141" s="508"/>
      <c r="M141" s="508"/>
      <c r="N141" s="508"/>
      <c r="O141" s="105"/>
      <c r="P141" s="670" t="s">
        <v>718</v>
      </c>
      <c r="Q141" s="671">
        <v>7.4999999999999997E-3</v>
      </c>
      <c r="R141" s="560">
        <v>6.7000000000000002E-3</v>
      </c>
      <c r="S141" s="508"/>
      <c r="T141" s="508"/>
      <c r="U141" s="508"/>
      <c r="V141" s="508"/>
      <c r="W141" s="508"/>
      <c r="X141" s="508"/>
      <c r="Y141" s="508"/>
      <c r="Z141" s="508"/>
      <c r="AA141" s="508"/>
      <c r="AB141" s="508"/>
      <c r="AC141" s="508"/>
      <c r="AD141" s="508"/>
      <c r="AE141" s="508"/>
      <c r="AF141" s="508"/>
      <c r="AG141" s="508"/>
      <c r="AH141" s="508"/>
      <c r="AI141" s="508"/>
      <c r="AJ141" s="508"/>
      <c r="AK141" s="508"/>
      <c r="AL141" s="508"/>
      <c r="AM141" s="508"/>
    </row>
    <row r="142" spans="1:39">
      <c r="A142" s="508"/>
      <c r="B142" s="105"/>
      <c r="C142" s="670" t="s">
        <v>719</v>
      </c>
      <c r="D142" s="671">
        <v>7.6E-3</v>
      </c>
      <c r="E142" s="560">
        <v>7.4999999999999997E-3</v>
      </c>
      <c r="F142" s="508"/>
      <c r="G142" s="508"/>
      <c r="H142" s="508"/>
      <c r="I142" s="508"/>
      <c r="J142" s="508"/>
      <c r="K142" s="508"/>
      <c r="L142" s="508"/>
      <c r="M142" s="508"/>
      <c r="N142" s="508"/>
      <c r="O142" s="105"/>
      <c r="P142" s="670" t="s">
        <v>719</v>
      </c>
      <c r="Q142" s="671">
        <v>7.6E-3</v>
      </c>
      <c r="R142" s="560">
        <v>7.4999999999999997E-3</v>
      </c>
      <c r="S142" s="508"/>
      <c r="T142" s="508"/>
      <c r="U142" s="508"/>
      <c r="V142" s="508"/>
      <c r="W142" s="508"/>
      <c r="X142" s="508"/>
      <c r="Y142" s="508"/>
      <c r="Z142" s="508"/>
      <c r="AA142" s="508"/>
      <c r="AB142" s="508"/>
      <c r="AC142" s="508"/>
      <c r="AD142" s="508"/>
      <c r="AE142" s="508"/>
      <c r="AF142" s="508"/>
      <c r="AG142" s="508"/>
      <c r="AH142" s="508"/>
      <c r="AI142" s="508"/>
      <c r="AJ142" s="508"/>
      <c r="AK142" s="508"/>
      <c r="AL142" s="508"/>
      <c r="AM142" s="508"/>
    </row>
    <row r="143" spans="1:39">
      <c r="A143" s="508"/>
      <c r="B143" s="105"/>
      <c r="C143" s="670" t="s">
        <v>720</v>
      </c>
      <c r="D143" s="671">
        <v>7.1999999999999998E-3</v>
      </c>
      <c r="E143" s="560">
        <v>5.1999999999999998E-3</v>
      </c>
      <c r="F143" s="508"/>
      <c r="G143" s="508"/>
      <c r="H143" s="508"/>
      <c r="I143" s="508"/>
      <c r="J143" s="508"/>
      <c r="K143" s="508"/>
      <c r="L143" s="508"/>
      <c r="M143" s="508"/>
      <c r="N143" s="508"/>
      <c r="O143" s="105"/>
      <c r="P143" s="670" t="s">
        <v>720</v>
      </c>
      <c r="Q143" s="671">
        <v>7.1999999999999998E-3</v>
      </c>
      <c r="R143" s="560">
        <v>5.1999999999999998E-3</v>
      </c>
      <c r="S143" s="508"/>
      <c r="T143" s="508"/>
      <c r="U143" s="508"/>
      <c r="V143" s="508"/>
      <c r="W143" s="508"/>
      <c r="X143" s="508"/>
      <c r="Y143" s="508"/>
      <c r="Z143" s="508"/>
      <c r="AA143" s="508"/>
      <c r="AB143" s="508"/>
      <c r="AC143" s="508"/>
      <c r="AD143" s="508"/>
      <c r="AE143" s="508"/>
      <c r="AF143" s="508"/>
      <c r="AG143" s="508"/>
      <c r="AH143" s="508"/>
      <c r="AI143" s="508"/>
      <c r="AJ143" s="508"/>
      <c r="AK143" s="508"/>
      <c r="AL143" s="508"/>
      <c r="AM143" s="508"/>
    </row>
    <row r="144" spans="1:39">
      <c r="A144" s="508"/>
      <c r="B144" s="105"/>
      <c r="C144" s="670" t="s">
        <v>721</v>
      </c>
      <c r="D144" s="671">
        <v>7.1999999999999998E-3</v>
      </c>
      <c r="E144" s="560">
        <v>4.8999999999999998E-3</v>
      </c>
      <c r="F144" s="508"/>
      <c r="G144" s="508"/>
      <c r="H144" s="508"/>
      <c r="I144" s="508"/>
      <c r="J144" s="508"/>
      <c r="K144" s="508"/>
      <c r="L144" s="508"/>
      <c r="M144" s="508"/>
      <c r="N144" s="508"/>
      <c r="O144" s="105"/>
      <c r="P144" s="670" t="s">
        <v>721</v>
      </c>
      <c r="Q144" s="671">
        <v>7.1999999999999998E-3</v>
      </c>
      <c r="R144" s="560">
        <v>4.8999999999999998E-3</v>
      </c>
      <c r="S144" s="508"/>
      <c r="T144" s="508"/>
      <c r="U144" s="508"/>
      <c r="V144" s="508"/>
      <c r="W144" s="508"/>
      <c r="X144" s="508"/>
      <c r="Y144" s="508"/>
      <c r="Z144" s="508"/>
      <c r="AA144" s="508"/>
      <c r="AB144" s="508"/>
      <c r="AC144" s="508"/>
      <c r="AD144" s="508"/>
      <c r="AE144" s="508"/>
      <c r="AF144" s="508"/>
      <c r="AG144" s="508"/>
      <c r="AH144" s="508"/>
      <c r="AI144" s="508"/>
      <c r="AJ144" s="508"/>
      <c r="AK144" s="508"/>
      <c r="AL144" s="508"/>
      <c r="AM144" s="508"/>
    </row>
    <row r="145" spans="1:39">
      <c r="A145" s="508"/>
      <c r="B145" s="105"/>
      <c r="C145" s="670" t="s">
        <v>722</v>
      </c>
      <c r="D145" s="561">
        <v>7.1000000000000004E-3</v>
      </c>
      <c r="E145" s="562">
        <v>4.5999999999999999E-3</v>
      </c>
      <c r="F145" s="508"/>
      <c r="G145" s="508"/>
      <c r="H145" s="508"/>
      <c r="I145" s="508"/>
      <c r="J145" s="508"/>
      <c r="K145" s="508"/>
      <c r="L145" s="508"/>
      <c r="M145" s="508"/>
      <c r="N145" s="508"/>
      <c r="O145" s="105"/>
      <c r="P145" s="670" t="s">
        <v>722</v>
      </c>
      <c r="Q145" s="561">
        <v>7.1000000000000004E-3</v>
      </c>
      <c r="R145" s="562">
        <v>4.5999999999999999E-3</v>
      </c>
      <c r="S145" s="508"/>
      <c r="T145" s="508"/>
      <c r="U145" s="508"/>
      <c r="V145" s="508"/>
      <c r="W145" s="508"/>
      <c r="X145" s="508"/>
      <c r="Y145" s="508"/>
      <c r="Z145" s="508"/>
      <c r="AA145" s="508"/>
      <c r="AB145" s="508"/>
      <c r="AC145" s="508"/>
      <c r="AD145" s="508"/>
      <c r="AE145" s="508"/>
      <c r="AF145" s="508"/>
      <c r="AG145" s="508"/>
      <c r="AH145" s="508"/>
      <c r="AI145" s="508"/>
      <c r="AJ145" s="508"/>
      <c r="AK145" s="508"/>
      <c r="AL145" s="508"/>
      <c r="AM145" s="508"/>
    </row>
    <row r="146" spans="1:39">
      <c r="A146" s="508"/>
      <c r="B146" s="105"/>
      <c r="C146" s="670" t="s">
        <v>723</v>
      </c>
      <c r="D146" s="561">
        <v>7.1000000000000004E-3</v>
      </c>
      <c r="E146" s="562">
        <v>4.5999999999999999E-3</v>
      </c>
      <c r="F146" s="508"/>
      <c r="G146" s="508"/>
      <c r="H146" s="508"/>
      <c r="I146" s="508"/>
      <c r="J146" s="508"/>
      <c r="K146" s="508"/>
      <c r="L146" s="508"/>
      <c r="M146" s="508"/>
      <c r="N146" s="508"/>
      <c r="O146" s="105"/>
      <c r="P146" s="670" t="s">
        <v>723</v>
      </c>
      <c r="Q146" s="561">
        <v>7.1000000000000004E-3</v>
      </c>
      <c r="R146" s="562">
        <v>4.5999999999999999E-3</v>
      </c>
      <c r="S146" s="508"/>
      <c r="T146" s="508"/>
      <c r="U146" s="508"/>
      <c r="V146" s="508"/>
      <c r="W146" s="508"/>
      <c r="X146" s="508"/>
      <c r="Y146" s="508"/>
      <c r="Z146" s="508"/>
      <c r="AA146" s="508"/>
      <c r="AB146" s="508"/>
      <c r="AC146" s="508"/>
      <c r="AD146" s="508"/>
      <c r="AE146" s="508"/>
      <c r="AF146" s="508"/>
      <c r="AG146" s="508"/>
      <c r="AH146" s="508"/>
      <c r="AI146" s="508"/>
      <c r="AJ146" s="508"/>
      <c r="AK146" s="508"/>
      <c r="AL146" s="508"/>
      <c r="AM146" s="508"/>
    </row>
    <row r="147" spans="1:39">
      <c r="A147" s="508"/>
      <c r="B147" s="105"/>
      <c r="C147" s="670" t="s">
        <v>724</v>
      </c>
      <c r="D147" s="561">
        <v>7.1000000000000004E-3</v>
      </c>
      <c r="E147" s="562">
        <v>4.5999999999999999E-3</v>
      </c>
      <c r="F147" s="508"/>
      <c r="G147" s="508"/>
      <c r="H147" s="508"/>
      <c r="I147" s="508"/>
      <c r="J147" s="508"/>
      <c r="K147" s="508"/>
      <c r="L147" s="508"/>
      <c r="M147" s="508"/>
      <c r="N147" s="508"/>
      <c r="O147" s="105"/>
      <c r="P147" s="670" t="s">
        <v>724</v>
      </c>
      <c r="Q147" s="561">
        <v>7.1000000000000004E-3</v>
      </c>
      <c r="R147" s="562">
        <v>4.5999999999999999E-3</v>
      </c>
      <c r="S147" s="508"/>
      <c r="T147" s="508"/>
      <c r="U147" s="508"/>
      <c r="V147" s="508"/>
      <c r="W147" s="508"/>
      <c r="X147" s="508"/>
      <c r="Y147" s="508"/>
      <c r="Z147" s="508"/>
      <c r="AA147" s="508"/>
      <c r="AB147" s="508"/>
      <c r="AC147" s="508"/>
      <c r="AD147" s="508"/>
      <c r="AE147" s="508"/>
      <c r="AF147" s="508"/>
      <c r="AG147" s="508"/>
      <c r="AH147" s="508"/>
      <c r="AI147" s="508"/>
      <c r="AJ147" s="508"/>
      <c r="AK147" s="508"/>
      <c r="AL147" s="508"/>
      <c r="AM147" s="508"/>
    </row>
    <row r="148" spans="1:39">
      <c r="A148" s="508"/>
      <c r="B148" s="105"/>
      <c r="C148" s="670" t="s">
        <v>725</v>
      </c>
      <c r="D148" s="561">
        <v>7.1000000000000004E-3</v>
      </c>
      <c r="E148" s="562">
        <v>4.5999999999999999E-3</v>
      </c>
      <c r="F148" s="508"/>
      <c r="G148" s="508"/>
      <c r="H148" s="508"/>
      <c r="I148" s="508"/>
      <c r="J148" s="508"/>
      <c r="K148" s="508"/>
      <c r="L148" s="508"/>
      <c r="M148" s="508"/>
      <c r="N148" s="508"/>
      <c r="O148" s="105"/>
      <c r="P148" s="670" t="s">
        <v>725</v>
      </c>
      <c r="Q148" s="561">
        <v>7.1000000000000004E-3</v>
      </c>
      <c r="R148" s="562">
        <v>4.5999999999999999E-3</v>
      </c>
      <c r="S148" s="508"/>
      <c r="T148" s="508"/>
      <c r="U148" s="508"/>
      <c r="V148" s="508"/>
      <c r="W148" s="508"/>
      <c r="X148" s="508"/>
      <c r="Y148" s="508"/>
      <c r="Z148" s="508"/>
      <c r="AA148" s="508"/>
      <c r="AB148" s="508"/>
      <c r="AC148" s="508"/>
      <c r="AD148" s="508"/>
      <c r="AE148" s="508"/>
      <c r="AF148" s="508"/>
      <c r="AG148" s="508"/>
      <c r="AH148" s="508"/>
      <c r="AI148" s="508"/>
      <c r="AJ148" s="508"/>
      <c r="AK148" s="508"/>
      <c r="AL148" s="508"/>
      <c r="AM148" s="508"/>
    </row>
    <row r="149" spans="1:39">
      <c r="A149" s="508"/>
      <c r="B149" s="105"/>
      <c r="C149" s="670" t="s">
        <v>726</v>
      </c>
      <c r="D149" s="561">
        <v>7.1000000000000004E-3</v>
      </c>
      <c r="E149" s="562">
        <v>4.5999999999999999E-3</v>
      </c>
      <c r="F149" s="508"/>
      <c r="G149" s="508"/>
      <c r="H149" s="508"/>
      <c r="I149" s="508"/>
      <c r="J149" s="508"/>
      <c r="K149" s="508"/>
      <c r="L149" s="508"/>
      <c r="M149" s="508"/>
      <c r="N149" s="508"/>
      <c r="O149" s="105"/>
      <c r="P149" s="670" t="s">
        <v>726</v>
      </c>
      <c r="Q149" s="561">
        <v>7.1000000000000004E-3</v>
      </c>
      <c r="R149" s="562">
        <v>4.5999999999999999E-3</v>
      </c>
      <c r="S149" s="508"/>
      <c r="T149" s="508"/>
      <c r="U149" s="508"/>
      <c r="V149" s="508"/>
      <c r="W149" s="508"/>
      <c r="X149" s="508"/>
      <c r="Y149" s="508"/>
      <c r="Z149" s="508"/>
      <c r="AA149" s="508"/>
      <c r="AB149" s="508"/>
      <c r="AC149" s="508"/>
      <c r="AD149" s="508"/>
      <c r="AE149" s="508"/>
      <c r="AF149" s="508"/>
      <c r="AG149" s="508"/>
      <c r="AH149" s="508"/>
      <c r="AI149" s="508"/>
      <c r="AJ149" s="508"/>
      <c r="AK149" s="508"/>
      <c r="AL149" s="508"/>
      <c r="AM149" s="508"/>
    </row>
    <row r="150" spans="1:39">
      <c r="A150" s="508"/>
      <c r="B150" s="105"/>
      <c r="C150" s="670" t="s">
        <v>727</v>
      </c>
      <c r="D150" s="561">
        <v>7.1000000000000004E-3</v>
      </c>
      <c r="E150" s="562">
        <v>4.5999999999999999E-3</v>
      </c>
      <c r="F150" s="508"/>
      <c r="G150" s="508"/>
      <c r="H150" s="508"/>
      <c r="I150" s="508"/>
      <c r="J150" s="508"/>
      <c r="K150" s="508"/>
      <c r="L150" s="508"/>
      <c r="M150" s="508"/>
      <c r="N150" s="508"/>
      <c r="O150" s="105"/>
      <c r="P150" s="670" t="s">
        <v>727</v>
      </c>
      <c r="Q150" s="561">
        <v>7.1000000000000004E-3</v>
      </c>
      <c r="R150" s="562">
        <v>4.5999999999999999E-3</v>
      </c>
      <c r="S150" s="508"/>
      <c r="T150" s="508"/>
      <c r="U150" s="508"/>
      <c r="V150" s="508"/>
      <c r="W150" s="508"/>
      <c r="X150" s="508"/>
      <c r="Y150" s="508"/>
      <c r="Z150" s="508"/>
      <c r="AA150" s="508"/>
      <c r="AB150" s="508"/>
      <c r="AC150" s="508"/>
      <c r="AD150" s="508"/>
      <c r="AE150" s="508"/>
      <c r="AF150" s="508"/>
      <c r="AG150" s="508"/>
      <c r="AH150" s="508"/>
      <c r="AI150" s="508"/>
      <c r="AJ150" s="508"/>
      <c r="AK150" s="508"/>
      <c r="AL150" s="508"/>
      <c r="AM150" s="508"/>
    </row>
    <row r="151" spans="1:39">
      <c r="A151" s="508"/>
      <c r="B151" s="105"/>
      <c r="C151" s="670" t="s">
        <v>728</v>
      </c>
      <c r="D151" s="561">
        <v>6.7999999999999996E-3</v>
      </c>
      <c r="E151" s="562">
        <v>4.1999999999999997E-3</v>
      </c>
      <c r="F151" s="508"/>
      <c r="G151" s="508"/>
      <c r="H151" s="508"/>
      <c r="I151" s="508"/>
      <c r="J151" s="508"/>
      <c r="K151" s="508"/>
      <c r="L151" s="508"/>
      <c r="M151" s="508"/>
      <c r="N151" s="508"/>
      <c r="O151" s="105"/>
      <c r="P151" s="670" t="s">
        <v>728</v>
      </c>
      <c r="Q151" s="561">
        <v>6.7999999999999996E-3</v>
      </c>
      <c r="R151" s="562">
        <v>4.1999999999999997E-3</v>
      </c>
      <c r="S151" s="508"/>
      <c r="T151" s="508"/>
      <c r="U151" s="508"/>
      <c r="V151" s="508"/>
      <c r="W151" s="508"/>
      <c r="X151" s="508"/>
      <c r="Y151" s="508"/>
      <c r="Z151" s="508"/>
      <c r="AA151" s="508"/>
      <c r="AB151" s="508"/>
      <c r="AC151" s="508"/>
      <c r="AD151" s="508"/>
      <c r="AE151" s="508"/>
      <c r="AF151" s="508"/>
      <c r="AG151" s="508"/>
      <c r="AH151" s="508"/>
      <c r="AI151" s="508"/>
      <c r="AJ151" s="508"/>
      <c r="AK151" s="508"/>
      <c r="AL151" s="508"/>
      <c r="AM151" s="508"/>
    </row>
    <row r="152" spans="1:39">
      <c r="A152" s="508"/>
      <c r="B152" s="105"/>
      <c r="C152" s="670" t="s">
        <v>729</v>
      </c>
      <c r="D152" s="561">
        <v>6.4999999999999997E-3</v>
      </c>
      <c r="E152" s="562">
        <v>3.8E-3</v>
      </c>
      <c r="F152" s="508"/>
      <c r="G152" s="508"/>
      <c r="H152" s="508"/>
      <c r="I152" s="508"/>
      <c r="J152" s="508"/>
      <c r="K152" s="508"/>
      <c r="L152" s="508"/>
      <c r="M152" s="508"/>
      <c r="N152" s="508"/>
      <c r="O152" s="105"/>
      <c r="P152" s="670" t="s">
        <v>729</v>
      </c>
      <c r="Q152" s="561">
        <v>6.4999999999999997E-3</v>
      </c>
      <c r="R152" s="562">
        <v>3.8E-3</v>
      </c>
      <c r="S152" s="508"/>
      <c r="T152" s="508"/>
      <c r="U152" s="508"/>
      <c r="V152" s="508"/>
      <c r="W152" s="508"/>
      <c r="X152" s="508"/>
      <c r="Y152" s="508"/>
      <c r="Z152" s="508"/>
      <c r="AA152" s="508"/>
      <c r="AB152" s="508"/>
      <c r="AC152" s="508"/>
      <c r="AD152" s="508"/>
      <c r="AE152" s="508"/>
      <c r="AF152" s="508"/>
      <c r="AG152" s="508"/>
      <c r="AH152" s="508"/>
      <c r="AI152" s="508"/>
      <c r="AJ152" s="508"/>
      <c r="AK152" s="508"/>
      <c r="AL152" s="508"/>
      <c r="AM152" s="508"/>
    </row>
    <row r="153" spans="1:39">
      <c r="A153" s="508"/>
      <c r="B153" s="105"/>
      <c r="C153" s="670" t="s">
        <v>730</v>
      </c>
      <c r="D153" s="561">
        <v>5.4000000000000003E-3</v>
      </c>
      <c r="E153" s="562">
        <v>1.8E-3</v>
      </c>
      <c r="F153" s="508"/>
      <c r="G153" s="508"/>
      <c r="H153" s="508"/>
      <c r="I153" s="508"/>
      <c r="J153" s="508"/>
      <c r="K153" s="508"/>
      <c r="L153" s="508"/>
      <c r="M153" s="508"/>
      <c r="N153" s="508"/>
      <c r="O153" s="105"/>
      <c r="P153" s="670" t="s">
        <v>730</v>
      </c>
      <c r="Q153" s="561">
        <v>5.4000000000000003E-3</v>
      </c>
      <c r="R153" s="562">
        <v>1.8E-3</v>
      </c>
      <c r="S153" s="508"/>
      <c r="T153" s="508"/>
      <c r="U153" s="508"/>
      <c r="V153" s="508"/>
      <c r="W153" s="508"/>
      <c r="X153" s="508"/>
      <c r="Y153" s="508"/>
      <c r="Z153" s="508"/>
      <c r="AA153" s="508"/>
      <c r="AB153" s="508"/>
      <c r="AC153" s="508"/>
      <c r="AD153" s="508"/>
      <c r="AE153" s="508"/>
      <c r="AF153" s="508"/>
      <c r="AG153" s="508"/>
      <c r="AH153" s="508"/>
      <c r="AI153" s="508"/>
      <c r="AJ153" s="508"/>
      <c r="AK153" s="508"/>
      <c r="AL153" s="508"/>
      <c r="AM153" s="508"/>
    </row>
    <row r="154" spans="1:39">
      <c r="A154" s="508"/>
      <c r="B154" s="105"/>
      <c r="C154" s="670" t="s">
        <v>731</v>
      </c>
      <c r="D154" s="561">
        <v>5.1999999999999998E-3</v>
      </c>
      <c r="E154" s="562">
        <v>1.6000000000000001E-3</v>
      </c>
      <c r="F154" s="508"/>
      <c r="G154" s="508"/>
      <c r="H154" s="508"/>
      <c r="I154" s="508"/>
      <c r="J154" s="508"/>
      <c r="K154" s="508"/>
      <c r="L154" s="508"/>
      <c r="M154" s="508"/>
      <c r="N154" s="508"/>
      <c r="O154" s="105"/>
      <c r="P154" s="670" t="s">
        <v>731</v>
      </c>
      <c r="Q154" s="561">
        <v>5.1999999999999998E-3</v>
      </c>
      <c r="R154" s="562">
        <v>1.6000000000000001E-3</v>
      </c>
      <c r="S154" s="508"/>
      <c r="T154" s="508"/>
      <c r="U154" s="508"/>
      <c r="V154" s="508"/>
      <c r="W154" s="508"/>
      <c r="X154" s="508"/>
      <c r="Y154" s="508"/>
      <c r="Z154" s="508"/>
      <c r="AA154" s="508"/>
      <c r="AB154" s="508"/>
      <c r="AC154" s="508"/>
      <c r="AD154" s="508"/>
      <c r="AE154" s="508"/>
      <c r="AF154" s="508"/>
      <c r="AG154" s="508"/>
      <c r="AH154" s="508"/>
      <c r="AI154" s="508"/>
      <c r="AJ154" s="508"/>
      <c r="AK154" s="508"/>
      <c r="AL154" s="508"/>
      <c r="AM154" s="508"/>
    </row>
    <row r="155" spans="1:39">
      <c r="A155" s="508"/>
      <c r="B155" s="105"/>
      <c r="C155" s="670" t="s">
        <v>732</v>
      </c>
      <c r="D155" s="561">
        <v>5.1000000000000004E-3</v>
      </c>
      <c r="E155" s="562">
        <v>1.5E-3</v>
      </c>
      <c r="F155" s="508"/>
      <c r="G155" s="508"/>
      <c r="H155" s="508"/>
      <c r="I155" s="508"/>
      <c r="J155" s="508"/>
      <c r="K155" s="508"/>
      <c r="L155" s="508"/>
      <c r="M155" s="508"/>
      <c r="N155" s="508"/>
      <c r="O155" s="105"/>
      <c r="P155" s="670" t="s">
        <v>732</v>
      </c>
      <c r="Q155" s="561">
        <v>5.1000000000000004E-3</v>
      </c>
      <c r="R155" s="562">
        <v>1.5E-3</v>
      </c>
      <c r="S155" s="508"/>
      <c r="T155" s="508"/>
      <c r="U155" s="508"/>
      <c r="V155" s="508"/>
      <c r="W155" s="508"/>
      <c r="X155" s="508"/>
      <c r="Y155" s="508"/>
      <c r="Z155" s="508"/>
      <c r="AA155" s="508"/>
      <c r="AB155" s="508"/>
      <c r="AC155" s="508"/>
      <c r="AD155" s="508"/>
      <c r="AE155" s="508"/>
      <c r="AF155" s="508"/>
      <c r="AG155" s="508"/>
      <c r="AH155" s="508"/>
      <c r="AI155" s="508"/>
      <c r="AJ155" s="508"/>
      <c r="AK155" s="508"/>
      <c r="AL155" s="508"/>
      <c r="AM155" s="508"/>
    </row>
    <row r="156" spans="1:39" ht="15.75" thickBot="1">
      <c r="A156" s="508"/>
      <c r="B156" s="106"/>
      <c r="C156" s="672" t="s">
        <v>733</v>
      </c>
      <c r="D156" s="563">
        <v>5.0000000000000001E-3</v>
      </c>
      <c r="E156" s="564">
        <v>1.4E-3</v>
      </c>
      <c r="F156" s="508"/>
      <c r="G156" s="508"/>
      <c r="H156" s="508"/>
      <c r="I156" s="508"/>
      <c r="J156" s="508"/>
      <c r="K156" s="508"/>
      <c r="L156" s="508"/>
      <c r="M156" s="508"/>
      <c r="N156" s="508"/>
      <c r="O156" s="106"/>
      <c r="P156" s="672" t="s">
        <v>733</v>
      </c>
      <c r="Q156" s="563">
        <v>5.0000000000000001E-3</v>
      </c>
      <c r="R156" s="564">
        <v>1.4E-3</v>
      </c>
      <c r="S156" s="508"/>
      <c r="T156" s="508"/>
      <c r="U156" s="508"/>
      <c r="V156" s="508"/>
      <c r="W156" s="508"/>
      <c r="X156" s="508"/>
      <c r="Y156" s="508"/>
      <c r="Z156" s="508"/>
      <c r="AA156" s="508"/>
      <c r="AB156" s="508"/>
      <c r="AC156" s="508"/>
      <c r="AD156" s="508"/>
      <c r="AE156" s="508"/>
      <c r="AF156" s="508"/>
      <c r="AG156" s="508"/>
      <c r="AH156" s="508"/>
      <c r="AI156" s="508"/>
      <c r="AJ156" s="508"/>
      <c r="AK156" s="508"/>
      <c r="AL156" s="508"/>
      <c r="AM156" s="508"/>
    </row>
    <row r="157" spans="1:39">
      <c r="A157" s="508"/>
      <c r="B157" s="101" t="s">
        <v>734</v>
      </c>
      <c r="C157" s="102" t="s">
        <v>735</v>
      </c>
      <c r="D157" s="103">
        <v>0.1908</v>
      </c>
      <c r="E157" s="104">
        <v>2.18E-2</v>
      </c>
      <c r="F157" s="508"/>
      <c r="G157" s="508"/>
      <c r="H157" s="508"/>
      <c r="I157" s="508"/>
      <c r="J157" s="508"/>
      <c r="K157" s="508"/>
      <c r="L157" s="508"/>
      <c r="M157" s="508"/>
      <c r="N157" s="508"/>
      <c r="O157" s="101" t="s">
        <v>734</v>
      </c>
      <c r="P157" s="102" t="s">
        <v>735</v>
      </c>
      <c r="Q157" s="103">
        <v>0.1908</v>
      </c>
      <c r="R157" s="104">
        <v>2.18E-2</v>
      </c>
      <c r="S157" s="508"/>
      <c r="T157" s="508"/>
      <c r="U157" s="508"/>
      <c r="V157" s="508"/>
      <c r="W157" s="508"/>
      <c r="X157" s="508"/>
      <c r="Y157" s="508"/>
      <c r="Z157" s="508"/>
      <c r="AA157" s="508"/>
      <c r="AB157" s="508"/>
      <c r="AC157" s="508"/>
      <c r="AD157" s="508"/>
      <c r="AE157" s="508"/>
      <c r="AF157" s="508"/>
      <c r="AG157" s="508"/>
      <c r="AH157" s="508"/>
      <c r="AI157" s="508"/>
      <c r="AJ157" s="508"/>
      <c r="AK157" s="508"/>
      <c r="AL157" s="508"/>
      <c r="AM157" s="508"/>
    </row>
    <row r="158" spans="1:39">
      <c r="A158" s="508"/>
      <c r="B158" s="105" t="s">
        <v>736</v>
      </c>
      <c r="C158" s="670" t="s">
        <v>699</v>
      </c>
      <c r="D158" s="671">
        <v>0.16339999999999999</v>
      </c>
      <c r="E158" s="560">
        <v>5.1299999999999998E-2</v>
      </c>
      <c r="F158" s="508"/>
      <c r="G158" s="508"/>
      <c r="H158" s="508"/>
      <c r="I158" s="508"/>
      <c r="J158" s="508"/>
      <c r="K158" s="508"/>
      <c r="L158" s="508"/>
      <c r="M158" s="508"/>
      <c r="N158" s="508"/>
      <c r="O158" s="105" t="s">
        <v>736</v>
      </c>
      <c r="P158" s="670" t="s">
        <v>699</v>
      </c>
      <c r="Q158" s="671">
        <v>0.16339999999999999</v>
      </c>
      <c r="R158" s="560">
        <v>5.1299999999999998E-2</v>
      </c>
      <c r="S158" s="508"/>
      <c r="T158" s="508"/>
      <c r="U158" s="508"/>
      <c r="V158" s="508"/>
      <c r="W158" s="508"/>
      <c r="X158" s="508"/>
      <c r="Y158" s="508"/>
      <c r="Z158" s="508"/>
      <c r="AA158" s="508"/>
      <c r="AB158" s="508"/>
      <c r="AC158" s="508"/>
      <c r="AD158" s="508"/>
      <c r="AE158" s="508"/>
      <c r="AF158" s="508"/>
      <c r="AG158" s="508"/>
      <c r="AH158" s="508"/>
      <c r="AI158" s="508"/>
      <c r="AJ158" s="508"/>
      <c r="AK158" s="508"/>
      <c r="AL158" s="508"/>
      <c r="AM158" s="508"/>
    </row>
    <row r="159" spans="1:39">
      <c r="A159" s="508"/>
      <c r="B159" s="105"/>
      <c r="C159" s="670" t="s">
        <v>737</v>
      </c>
      <c r="D159" s="671">
        <v>0.15939999999999999</v>
      </c>
      <c r="E159" s="560">
        <v>5.5500000000000001E-2</v>
      </c>
      <c r="F159" s="508"/>
      <c r="G159" s="508"/>
      <c r="H159" s="508"/>
      <c r="I159" s="508"/>
      <c r="J159" s="508"/>
      <c r="K159" s="508"/>
      <c r="L159" s="508"/>
      <c r="M159" s="508"/>
      <c r="N159" s="508"/>
      <c r="O159" s="105"/>
      <c r="P159" s="670" t="s">
        <v>737</v>
      </c>
      <c r="Q159" s="671">
        <v>0.15939999999999999</v>
      </c>
      <c r="R159" s="560">
        <v>5.5500000000000001E-2</v>
      </c>
      <c r="S159" s="508"/>
      <c r="T159" s="508"/>
      <c r="U159" s="508"/>
      <c r="V159" s="508"/>
      <c r="W159" s="508"/>
      <c r="X159" s="508"/>
      <c r="Y159" s="508"/>
      <c r="Z159" s="508"/>
      <c r="AA159" s="508"/>
      <c r="AB159" s="508"/>
      <c r="AC159" s="508"/>
      <c r="AD159" s="508"/>
      <c r="AE159" s="508"/>
      <c r="AF159" s="508"/>
      <c r="AG159" s="508"/>
      <c r="AH159" s="508"/>
      <c r="AI159" s="508"/>
      <c r="AJ159" s="508"/>
      <c r="AK159" s="508"/>
      <c r="AL159" s="508"/>
      <c r="AM159" s="508"/>
    </row>
    <row r="160" spans="1:39">
      <c r="A160" s="508"/>
      <c r="B160" s="105"/>
      <c r="C160" s="670" t="s">
        <v>738</v>
      </c>
      <c r="D160" s="671">
        <v>0.16139999999999999</v>
      </c>
      <c r="E160" s="560">
        <v>5.3400000000000003E-2</v>
      </c>
      <c r="F160" s="508"/>
      <c r="G160" s="508"/>
      <c r="H160" s="508"/>
      <c r="I160" s="508"/>
      <c r="J160" s="508"/>
      <c r="K160" s="508"/>
      <c r="L160" s="508"/>
      <c r="M160" s="508"/>
      <c r="N160" s="508"/>
      <c r="O160" s="105"/>
      <c r="P160" s="670" t="s">
        <v>738</v>
      </c>
      <c r="Q160" s="671">
        <v>0.16139999999999999</v>
      </c>
      <c r="R160" s="560">
        <v>5.3400000000000003E-2</v>
      </c>
      <c r="S160" s="508"/>
      <c r="T160" s="508"/>
      <c r="U160" s="508"/>
      <c r="V160" s="508"/>
      <c r="W160" s="508"/>
      <c r="X160" s="508"/>
      <c r="Y160" s="508"/>
      <c r="Z160" s="508"/>
      <c r="AA160" s="508"/>
      <c r="AB160" s="508"/>
      <c r="AC160" s="508"/>
      <c r="AD160" s="508"/>
      <c r="AE160" s="508"/>
      <c r="AF160" s="508"/>
      <c r="AG160" s="508"/>
      <c r="AH160" s="508"/>
      <c r="AI160" s="508"/>
      <c r="AJ160" s="508"/>
      <c r="AK160" s="508"/>
      <c r="AL160" s="508"/>
      <c r="AM160" s="508"/>
    </row>
    <row r="161" spans="1:39">
      <c r="A161" s="508"/>
      <c r="B161" s="105"/>
      <c r="C161" s="670" t="s">
        <v>739</v>
      </c>
      <c r="D161" s="671">
        <v>0.15939999999999999</v>
      </c>
      <c r="E161" s="560">
        <v>5.5500000000000001E-2</v>
      </c>
      <c r="F161" s="508"/>
      <c r="G161" s="508"/>
      <c r="H161" s="508"/>
      <c r="I161" s="508"/>
      <c r="J161" s="508"/>
      <c r="K161" s="508"/>
      <c r="L161" s="508"/>
      <c r="M161" s="508"/>
      <c r="N161" s="508"/>
      <c r="O161" s="105"/>
      <c r="P161" s="670" t="s">
        <v>739</v>
      </c>
      <c r="Q161" s="671">
        <v>0.15939999999999999</v>
      </c>
      <c r="R161" s="560">
        <v>5.5500000000000001E-2</v>
      </c>
      <c r="S161" s="508"/>
      <c r="T161" s="508"/>
      <c r="U161" s="508"/>
      <c r="V161" s="508"/>
      <c r="W161" s="508"/>
      <c r="X161" s="508"/>
      <c r="Y161" s="508"/>
      <c r="Z161" s="508"/>
      <c r="AA161" s="508"/>
      <c r="AB161" s="508"/>
      <c r="AC161" s="508"/>
      <c r="AD161" s="508"/>
      <c r="AE161" s="508"/>
      <c r="AF161" s="508"/>
      <c r="AG161" s="508"/>
      <c r="AH161" s="508"/>
      <c r="AI161" s="508"/>
      <c r="AJ161" s="508"/>
      <c r="AK161" s="508"/>
      <c r="AL161" s="508"/>
      <c r="AM161" s="508"/>
    </row>
    <row r="162" spans="1:39">
      <c r="A162" s="508"/>
      <c r="B162" s="105"/>
      <c r="C162" s="670" t="s">
        <v>703</v>
      </c>
      <c r="D162" s="671">
        <v>0.1479</v>
      </c>
      <c r="E162" s="560">
        <v>6.6000000000000003E-2</v>
      </c>
      <c r="F162" s="508"/>
      <c r="G162" s="508"/>
      <c r="H162" s="508"/>
      <c r="I162" s="508"/>
      <c r="J162" s="508"/>
      <c r="K162" s="508"/>
      <c r="L162" s="508"/>
      <c r="M162" s="508"/>
      <c r="N162" s="508"/>
      <c r="O162" s="105"/>
      <c r="P162" s="670" t="s">
        <v>703</v>
      </c>
      <c r="Q162" s="671">
        <v>0.1479</v>
      </c>
      <c r="R162" s="560">
        <v>6.6000000000000003E-2</v>
      </c>
      <c r="S162" s="508"/>
      <c r="T162" s="508"/>
      <c r="U162" s="508"/>
      <c r="V162" s="508"/>
      <c r="W162" s="508"/>
      <c r="X162" s="508"/>
      <c r="Y162" s="508"/>
      <c r="Z162" s="508"/>
      <c r="AA162" s="508"/>
      <c r="AB162" s="508"/>
      <c r="AC162" s="508"/>
      <c r="AD162" s="508"/>
      <c r="AE162" s="508"/>
      <c r="AF162" s="508"/>
      <c r="AG162" s="508"/>
      <c r="AH162" s="508"/>
      <c r="AI162" s="508"/>
      <c r="AJ162" s="508"/>
      <c r="AK162" s="508"/>
      <c r="AL162" s="508"/>
      <c r="AM162" s="508"/>
    </row>
    <row r="163" spans="1:39">
      <c r="A163" s="508"/>
      <c r="B163" s="105"/>
      <c r="C163" s="670" t="s">
        <v>704</v>
      </c>
      <c r="D163" s="671">
        <v>0.14419999999999999</v>
      </c>
      <c r="E163" s="560">
        <v>6.8099999999999994E-2</v>
      </c>
      <c r="F163" s="508"/>
      <c r="G163" s="508"/>
      <c r="H163" s="508"/>
      <c r="I163" s="508"/>
      <c r="J163" s="508"/>
      <c r="K163" s="508"/>
      <c r="L163" s="508"/>
      <c r="M163" s="508"/>
      <c r="N163" s="508"/>
      <c r="O163" s="105"/>
      <c r="P163" s="670" t="s">
        <v>704</v>
      </c>
      <c r="Q163" s="671">
        <v>0.14419999999999999</v>
      </c>
      <c r="R163" s="560">
        <v>6.8099999999999994E-2</v>
      </c>
      <c r="S163" s="508"/>
      <c r="T163" s="508"/>
      <c r="U163" s="508"/>
      <c r="V163" s="508"/>
      <c r="W163" s="508"/>
      <c r="X163" s="508"/>
      <c r="Y163" s="508"/>
      <c r="Z163" s="508"/>
      <c r="AA163" s="508"/>
      <c r="AB163" s="508"/>
      <c r="AC163" s="508"/>
      <c r="AD163" s="508"/>
      <c r="AE163" s="508"/>
      <c r="AF163" s="508"/>
      <c r="AG163" s="508"/>
      <c r="AH163" s="508"/>
      <c r="AI163" s="508"/>
      <c r="AJ163" s="508"/>
      <c r="AK163" s="508"/>
      <c r="AL163" s="508"/>
      <c r="AM163" s="508"/>
    </row>
    <row r="164" spans="1:39">
      <c r="A164" s="508"/>
      <c r="B164" s="105"/>
      <c r="C164" s="670" t="s">
        <v>705</v>
      </c>
      <c r="D164" s="671">
        <v>0.1368</v>
      </c>
      <c r="E164" s="560">
        <v>7.22E-2</v>
      </c>
      <c r="F164" s="508"/>
      <c r="G164" s="508"/>
      <c r="H164" s="508"/>
      <c r="I164" s="508"/>
      <c r="J164" s="508"/>
      <c r="K164" s="508"/>
      <c r="L164" s="508"/>
      <c r="M164" s="508"/>
      <c r="N164" s="508"/>
      <c r="O164" s="105"/>
      <c r="P164" s="670" t="s">
        <v>705</v>
      </c>
      <c r="Q164" s="671">
        <v>0.1368</v>
      </c>
      <c r="R164" s="560">
        <v>7.22E-2</v>
      </c>
      <c r="S164" s="508"/>
      <c r="T164" s="508"/>
      <c r="U164" s="508"/>
      <c r="V164" s="508"/>
      <c r="W164" s="508"/>
      <c r="X164" s="508"/>
      <c r="Y164" s="508"/>
      <c r="Z164" s="508"/>
      <c r="AA164" s="508"/>
      <c r="AB164" s="508"/>
      <c r="AC164" s="508"/>
      <c r="AD164" s="508"/>
      <c r="AE164" s="508"/>
      <c r="AF164" s="508"/>
      <c r="AG164" s="508"/>
      <c r="AH164" s="508"/>
      <c r="AI164" s="508"/>
      <c r="AJ164" s="508"/>
      <c r="AK164" s="508"/>
      <c r="AL164" s="508"/>
      <c r="AM164" s="508"/>
    </row>
    <row r="165" spans="1:39">
      <c r="A165" s="508"/>
      <c r="B165" s="105"/>
      <c r="C165" s="670" t="s">
        <v>740</v>
      </c>
      <c r="D165" s="671">
        <v>0.12939999999999999</v>
      </c>
      <c r="E165" s="560">
        <v>7.6399999999999996E-2</v>
      </c>
      <c r="F165" s="508"/>
      <c r="G165" s="508"/>
      <c r="H165" s="508"/>
      <c r="I165" s="508"/>
      <c r="J165" s="508"/>
      <c r="K165" s="508"/>
      <c r="L165" s="508"/>
      <c r="M165" s="508"/>
      <c r="N165" s="508"/>
      <c r="O165" s="105"/>
      <c r="P165" s="670" t="s">
        <v>740</v>
      </c>
      <c r="Q165" s="671">
        <v>0.12939999999999999</v>
      </c>
      <c r="R165" s="560">
        <v>7.6399999999999996E-2</v>
      </c>
      <c r="S165" s="508"/>
      <c r="T165" s="508"/>
      <c r="U165" s="508"/>
      <c r="V165" s="508"/>
      <c r="W165" s="508"/>
      <c r="X165" s="508"/>
      <c r="Y165" s="508"/>
      <c r="Z165" s="508"/>
      <c r="AA165" s="508"/>
      <c r="AB165" s="508"/>
      <c r="AC165" s="508"/>
      <c r="AD165" s="508"/>
      <c r="AE165" s="508"/>
      <c r="AF165" s="508"/>
      <c r="AG165" s="508"/>
      <c r="AH165" s="508"/>
      <c r="AI165" s="508"/>
      <c r="AJ165" s="508"/>
      <c r="AK165" s="508"/>
      <c r="AL165" s="508"/>
      <c r="AM165" s="508"/>
    </row>
    <row r="166" spans="1:39">
      <c r="A166" s="508"/>
      <c r="B166" s="105"/>
      <c r="C166" s="670" t="s">
        <v>741</v>
      </c>
      <c r="D166" s="671">
        <v>0.122</v>
      </c>
      <c r="E166" s="560">
        <v>8.0600000000000005E-2</v>
      </c>
      <c r="F166" s="508"/>
      <c r="G166" s="508"/>
      <c r="H166" s="508"/>
      <c r="I166" s="508"/>
      <c r="J166" s="508"/>
      <c r="K166" s="508"/>
      <c r="L166" s="508"/>
      <c r="M166" s="508"/>
      <c r="N166" s="508"/>
      <c r="O166" s="105"/>
      <c r="P166" s="670" t="s">
        <v>741</v>
      </c>
      <c r="Q166" s="671">
        <v>0.122</v>
      </c>
      <c r="R166" s="560">
        <v>8.0600000000000005E-2</v>
      </c>
      <c r="S166" s="508"/>
      <c r="T166" s="508"/>
      <c r="U166" s="508"/>
      <c r="V166" s="508"/>
      <c r="W166" s="508"/>
      <c r="X166" s="508"/>
      <c r="Y166" s="508"/>
      <c r="Z166" s="508"/>
      <c r="AA166" s="508"/>
      <c r="AB166" s="508"/>
      <c r="AC166" s="508"/>
      <c r="AD166" s="508"/>
      <c r="AE166" s="508"/>
      <c r="AF166" s="508"/>
      <c r="AG166" s="508"/>
      <c r="AH166" s="508"/>
      <c r="AI166" s="508"/>
      <c r="AJ166" s="508"/>
      <c r="AK166" s="508"/>
      <c r="AL166" s="508"/>
      <c r="AM166" s="508"/>
    </row>
    <row r="167" spans="1:39">
      <c r="A167" s="508"/>
      <c r="B167" s="105"/>
      <c r="C167" s="670" t="s">
        <v>742</v>
      </c>
      <c r="D167" s="671">
        <v>0.11459999999999999</v>
      </c>
      <c r="E167" s="560">
        <v>8.48E-2</v>
      </c>
      <c r="F167" s="508"/>
      <c r="G167" s="508"/>
      <c r="H167" s="508"/>
      <c r="I167" s="508"/>
      <c r="J167" s="508"/>
      <c r="K167" s="508"/>
      <c r="L167" s="508"/>
      <c r="M167" s="508"/>
      <c r="N167" s="508"/>
      <c r="O167" s="105"/>
      <c r="P167" s="670" t="s">
        <v>742</v>
      </c>
      <c r="Q167" s="671">
        <v>0.11459999999999999</v>
      </c>
      <c r="R167" s="560">
        <v>8.48E-2</v>
      </c>
      <c r="S167" s="508"/>
      <c r="T167" s="508"/>
      <c r="U167" s="508"/>
      <c r="V167" s="508"/>
      <c r="W167" s="508"/>
      <c r="X167" s="508"/>
      <c r="Y167" s="508"/>
      <c r="Z167" s="508"/>
      <c r="AA167" s="508"/>
      <c r="AB167" s="508"/>
      <c r="AC167" s="508"/>
      <c r="AD167" s="508"/>
      <c r="AE167" s="508"/>
      <c r="AF167" s="508"/>
      <c r="AG167" s="508"/>
      <c r="AH167" s="508"/>
      <c r="AI167" s="508"/>
      <c r="AJ167" s="508"/>
      <c r="AK167" s="508"/>
      <c r="AL167" s="508"/>
      <c r="AM167" s="508"/>
    </row>
    <row r="168" spans="1:39">
      <c r="A168" s="508"/>
      <c r="B168" s="105"/>
      <c r="C168" s="670" t="s">
        <v>743</v>
      </c>
      <c r="D168" s="671">
        <v>8.1299999999999997E-2</v>
      </c>
      <c r="E168" s="560">
        <v>0.10349999999999999</v>
      </c>
      <c r="F168" s="508"/>
      <c r="G168" s="508"/>
      <c r="H168" s="508"/>
      <c r="I168" s="508"/>
      <c r="J168" s="508"/>
      <c r="K168" s="508"/>
      <c r="L168" s="508"/>
      <c r="M168" s="508"/>
      <c r="N168" s="508"/>
      <c r="O168" s="105"/>
      <c r="P168" s="670" t="s">
        <v>743</v>
      </c>
      <c r="Q168" s="671">
        <v>8.1299999999999997E-2</v>
      </c>
      <c r="R168" s="560">
        <v>0.10349999999999999</v>
      </c>
      <c r="S168" s="508"/>
      <c r="T168" s="508"/>
      <c r="U168" s="508"/>
      <c r="V168" s="508"/>
      <c r="W168" s="508"/>
      <c r="X168" s="508"/>
      <c r="Y168" s="508"/>
      <c r="Z168" s="508"/>
      <c r="AA168" s="508"/>
      <c r="AB168" s="508"/>
      <c r="AC168" s="508"/>
      <c r="AD168" s="508"/>
      <c r="AE168" s="508"/>
      <c r="AF168" s="508"/>
      <c r="AG168" s="508"/>
      <c r="AH168" s="508"/>
      <c r="AI168" s="508"/>
      <c r="AJ168" s="508"/>
      <c r="AK168" s="508"/>
      <c r="AL168" s="508"/>
      <c r="AM168" s="508"/>
    </row>
    <row r="169" spans="1:39">
      <c r="A169" s="508"/>
      <c r="B169" s="105"/>
      <c r="C169" s="670" t="s">
        <v>744</v>
      </c>
      <c r="D169" s="671">
        <v>6.4600000000000005E-2</v>
      </c>
      <c r="E169" s="560">
        <v>9.8199999999999996E-2</v>
      </c>
      <c r="F169" s="508"/>
      <c r="G169" s="508"/>
      <c r="H169" s="508"/>
      <c r="I169" s="508"/>
      <c r="J169" s="508"/>
      <c r="K169" s="508"/>
      <c r="L169" s="508"/>
      <c r="M169" s="508"/>
      <c r="N169" s="508"/>
      <c r="O169" s="105"/>
      <c r="P169" s="670" t="s">
        <v>744</v>
      </c>
      <c r="Q169" s="671">
        <v>6.4600000000000005E-2</v>
      </c>
      <c r="R169" s="560">
        <v>9.8199999999999996E-2</v>
      </c>
      <c r="S169" s="508"/>
      <c r="T169" s="508"/>
      <c r="U169" s="508"/>
      <c r="V169" s="508"/>
      <c r="W169" s="508"/>
      <c r="X169" s="508"/>
      <c r="Y169" s="508"/>
      <c r="Z169" s="508"/>
      <c r="AA169" s="508"/>
      <c r="AB169" s="508"/>
      <c r="AC169" s="508"/>
      <c r="AD169" s="508"/>
      <c r="AE169" s="508"/>
      <c r="AF169" s="508"/>
      <c r="AG169" s="508"/>
      <c r="AH169" s="508"/>
      <c r="AI169" s="508"/>
      <c r="AJ169" s="508"/>
      <c r="AK169" s="508"/>
      <c r="AL169" s="508"/>
      <c r="AM169" s="508"/>
    </row>
    <row r="170" spans="1:39">
      <c r="A170" s="508"/>
      <c r="B170" s="105"/>
      <c r="C170" s="670" t="s">
        <v>745</v>
      </c>
      <c r="D170" s="671">
        <v>5.1700000000000003E-2</v>
      </c>
      <c r="E170" s="560">
        <v>9.0800000000000006E-2</v>
      </c>
      <c r="F170" s="508"/>
      <c r="G170" s="508"/>
      <c r="H170" s="508"/>
      <c r="I170" s="508"/>
      <c r="J170" s="508"/>
      <c r="K170" s="508"/>
      <c r="L170" s="508"/>
      <c r="M170" s="508"/>
      <c r="N170" s="508"/>
      <c r="O170" s="105"/>
      <c r="P170" s="670" t="s">
        <v>745</v>
      </c>
      <c r="Q170" s="671">
        <v>5.1700000000000003E-2</v>
      </c>
      <c r="R170" s="560">
        <v>9.0800000000000006E-2</v>
      </c>
      <c r="S170" s="508"/>
      <c r="T170" s="508"/>
      <c r="U170" s="508"/>
      <c r="V170" s="508"/>
      <c r="W170" s="508"/>
      <c r="X170" s="508"/>
      <c r="Y170" s="508"/>
      <c r="Z170" s="508"/>
      <c r="AA170" s="508"/>
      <c r="AB170" s="508"/>
      <c r="AC170" s="508"/>
      <c r="AD170" s="508"/>
      <c r="AE170" s="508"/>
      <c r="AF170" s="508"/>
      <c r="AG170" s="508"/>
      <c r="AH170" s="508"/>
      <c r="AI170" s="508"/>
      <c r="AJ170" s="508"/>
      <c r="AK170" s="508"/>
      <c r="AL170" s="508"/>
      <c r="AM170" s="508"/>
    </row>
    <row r="171" spans="1:39">
      <c r="A171" s="508"/>
      <c r="B171" s="105"/>
      <c r="C171" s="670" t="s">
        <v>746</v>
      </c>
      <c r="D171" s="671">
        <v>4.5199999999999997E-2</v>
      </c>
      <c r="E171" s="560">
        <v>8.7099999999999997E-2</v>
      </c>
      <c r="F171" s="508"/>
      <c r="G171" s="508"/>
      <c r="H171" s="508"/>
      <c r="I171" s="508"/>
      <c r="J171" s="508"/>
      <c r="K171" s="508"/>
      <c r="L171" s="508"/>
      <c r="M171" s="508"/>
      <c r="N171" s="508"/>
      <c r="O171" s="105"/>
      <c r="P171" s="670" t="s">
        <v>746</v>
      </c>
      <c r="Q171" s="671">
        <v>4.5199999999999997E-2</v>
      </c>
      <c r="R171" s="560">
        <v>8.7099999999999997E-2</v>
      </c>
      <c r="S171" s="508"/>
      <c r="T171" s="508"/>
      <c r="U171" s="508"/>
      <c r="V171" s="508"/>
      <c r="W171" s="508"/>
      <c r="X171" s="508"/>
      <c r="Y171" s="508"/>
      <c r="Z171" s="508"/>
      <c r="AA171" s="508"/>
      <c r="AB171" s="508"/>
      <c r="AC171" s="508"/>
      <c r="AD171" s="508"/>
      <c r="AE171" s="508"/>
      <c r="AF171" s="508"/>
      <c r="AG171" s="508"/>
      <c r="AH171" s="508"/>
      <c r="AI171" s="508"/>
      <c r="AJ171" s="508"/>
      <c r="AK171" s="508"/>
      <c r="AL171" s="508"/>
      <c r="AM171" s="508"/>
    </row>
    <row r="172" spans="1:39">
      <c r="A172" s="508"/>
      <c r="B172" s="105"/>
      <c r="C172" s="670" t="s">
        <v>747</v>
      </c>
      <c r="D172" s="671">
        <v>4.5199999999999997E-2</v>
      </c>
      <c r="E172" s="560">
        <v>8.7099999999999997E-2</v>
      </c>
      <c r="F172" s="508"/>
      <c r="G172" s="508"/>
      <c r="H172" s="508"/>
      <c r="I172" s="508"/>
      <c r="J172" s="508"/>
      <c r="K172" s="508"/>
      <c r="L172" s="508"/>
      <c r="M172" s="508"/>
      <c r="N172" s="508"/>
      <c r="O172" s="105"/>
      <c r="P172" s="670" t="s">
        <v>747</v>
      </c>
      <c r="Q172" s="671">
        <v>4.5199999999999997E-2</v>
      </c>
      <c r="R172" s="560">
        <v>8.7099999999999997E-2</v>
      </c>
      <c r="S172" s="508"/>
      <c r="T172" s="508"/>
      <c r="U172" s="508"/>
      <c r="V172" s="508"/>
      <c r="W172" s="508"/>
      <c r="X172" s="508"/>
      <c r="Y172" s="508"/>
      <c r="Z172" s="508"/>
      <c r="AA172" s="508"/>
      <c r="AB172" s="508"/>
      <c r="AC172" s="508"/>
      <c r="AD172" s="508"/>
      <c r="AE172" s="508"/>
      <c r="AF172" s="508"/>
      <c r="AG172" s="508"/>
      <c r="AH172" s="508"/>
      <c r="AI172" s="508"/>
      <c r="AJ172" s="508"/>
      <c r="AK172" s="508"/>
      <c r="AL172" s="508"/>
      <c r="AM172" s="508"/>
    </row>
    <row r="173" spans="1:39">
      <c r="A173" s="508"/>
      <c r="B173" s="105"/>
      <c r="C173" s="670" t="s">
        <v>748</v>
      </c>
      <c r="D173" s="671">
        <v>4.1200000000000001E-2</v>
      </c>
      <c r="E173" s="560">
        <v>7.8700000000000006E-2</v>
      </c>
      <c r="F173" s="508"/>
      <c r="G173" s="508"/>
      <c r="H173" s="508"/>
      <c r="I173" s="508"/>
      <c r="J173" s="508"/>
      <c r="K173" s="508"/>
      <c r="L173" s="508"/>
      <c r="M173" s="508"/>
      <c r="N173" s="508"/>
      <c r="O173" s="105"/>
      <c r="P173" s="670" t="s">
        <v>748</v>
      </c>
      <c r="Q173" s="671">
        <v>4.1200000000000001E-2</v>
      </c>
      <c r="R173" s="560">
        <v>7.8700000000000006E-2</v>
      </c>
      <c r="S173" s="508"/>
      <c r="T173" s="508"/>
      <c r="U173" s="508"/>
      <c r="V173" s="508"/>
      <c r="W173" s="508"/>
      <c r="X173" s="508"/>
      <c r="Y173" s="508"/>
      <c r="Z173" s="508"/>
      <c r="AA173" s="508"/>
      <c r="AB173" s="508"/>
      <c r="AC173" s="508"/>
      <c r="AD173" s="508"/>
      <c r="AE173" s="508"/>
      <c r="AF173" s="508"/>
      <c r="AG173" s="508"/>
      <c r="AH173" s="508"/>
      <c r="AI173" s="508"/>
      <c r="AJ173" s="508"/>
      <c r="AK173" s="508"/>
      <c r="AL173" s="508"/>
      <c r="AM173" s="508"/>
    </row>
    <row r="174" spans="1:39">
      <c r="A174" s="508"/>
      <c r="B174" s="105"/>
      <c r="C174" s="670" t="s">
        <v>749</v>
      </c>
      <c r="D174" s="671">
        <v>3.3300000000000003E-2</v>
      </c>
      <c r="E174" s="560">
        <v>6.1800000000000001E-2</v>
      </c>
      <c r="F174" s="508"/>
      <c r="G174" s="508"/>
      <c r="H174" s="508"/>
      <c r="I174" s="508"/>
      <c r="J174" s="508"/>
      <c r="K174" s="508"/>
      <c r="L174" s="508"/>
      <c r="M174" s="508"/>
      <c r="N174" s="508"/>
      <c r="O174" s="105"/>
      <c r="P174" s="670" t="s">
        <v>749</v>
      </c>
      <c r="Q174" s="671">
        <v>3.3300000000000003E-2</v>
      </c>
      <c r="R174" s="560">
        <v>6.1800000000000001E-2</v>
      </c>
      <c r="S174" s="508"/>
      <c r="T174" s="508"/>
      <c r="U174" s="508"/>
      <c r="V174" s="508"/>
      <c r="W174" s="508"/>
      <c r="X174" s="508"/>
      <c r="Y174" s="508"/>
      <c r="Z174" s="508"/>
      <c r="AA174" s="508"/>
      <c r="AB174" s="508"/>
      <c r="AC174" s="508"/>
      <c r="AD174" s="508"/>
      <c r="AE174" s="508"/>
      <c r="AF174" s="508"/>
      <c r="AG174" s="508"/>
      <c r="AH174" s="508"/>
      <c r="AI174" s="508"/>
      <c r="AJ174" s="508"/>
      <c r="AK174" s="508"/>
      <c r="AL174" s="508"/>
      <c r="AM174" s="508"/>
    </row>
    <row r="175" spans="1:39">
      <c r="A175" s="508"/>
      <c r="B175" s="105"/>
      <c r="C175" s="670" t="s">
        <v>750</v>
      </c>
      <c r="D175" s="671">
        <v>3.4000000000000002E-2</v>
      </c>
      <c r="E175" s="560">
        <v>6.3100000000000003E-2</v>
      </c>
      <c r="F175" s="508"/>
      <c r="G175" s="508"/>
      <c r="H175" s="508"/>
      <c r="I175" s="508"/>
      <c r="J175" s="508"/>
      <c r="K175" s="508"/>
      <c r="L175" s="508"/>
      <c r="M175" s="508"/>
      <c r="N175" s="508"/>
      <c r="O175" s="105"/>
      <c r="P175" s="670" t="s">
        <v>750</v>
      </c>
      <c r="Q175" s="671">
        <v>3.4000000000000002E-2</v>
      </c>
      <c r="R175" s="560">
        <v>6.3100000000000003E-2</v>
      </c>
      <c r="S175" s="508"/>
      <c r="T175" s="508"/>
      <c r="U175" s="508"/>
      <c r="V175" s="508"/>
      <c r="W175" s="508"/>
      <c r="X175" s="508"/>
      <c r="Y175" s="508"/>
      <c r="Z175" s="508"/>
      <c r="AA175" s="508"/>
      <c r="AB175" s="508"/>
      <c r="AC175" s="508"/>
      <c r="AD175" s="508"/>
      <c r="AE175" s="508"/>
      <c r="AF175" s="508"/>
      <c r="AG175" s="508"/>
      <c r="AH175" s="508"/>
      <c r="AI175" s="508"/>
      <c r="AJ175" s="508"/>
      <c r="AK175" s="508"/>
      <c r="AL175" s="508"/>
      <c r="AM175" s="508"/>
    </row>
    <row r="176" spans="1:39">
      <c r="A176" s="508"/>
      <c r="B176" s="105"/>
      <c r="C176" s="670" t="s">
        <v>751</v>
      </c>
      <c r="D176" s="671">
        <v>2.2100000000000002E-2</v>
      </c>
      <c r="E176" s="560">
        <v>3.7900000000000003E-2</v>
      </c>
      <c r="F176" s="508"/>
      <c r="G176" s="508"/>
      <c r="H176" s="508"/>
      <c r="I176" s="508"/>
      <c r="J176" s="508"/>
      <c r="K176" s="508"/>
      <c r="L176" s="508"/>
      <c r="M176" s="508"/>
      <c r="N176" s="508"/>
      <c r="O176" s="105"/>
      <c r="P176" s="670" t="s">
        <v>751</v>
      </c>
      <c r="Q176" s="671">
        <v>2.2100000000000002E-2</v>
      </c>
      <c r="R176" s="560">
        <v>3.7900000000000003E-2</v>
      </c>
      <c r="S176" s="508"/>
      <c r="T176" s="508"/>
      <c r="U176" s="508"/>
      <c r="V176" s="508"/>
      <c r="W176" s="508"/>
      <c r="X176" s="508"/>
      <c r="Y176" s="508"/>
      <c r="Z176" s="508"/>
      <c r="AA176" s="508"/>
      <c r="AB176" s="508"/>
      <c r="AC176" s="508"/>
      <c r="AD176" s="508"/>
      <c r="AE176" s="508"/>
      <c r="AF176" s="508"/>
      <c r="AG176" s="508"/>
      <c r="AH176" s="508"/>
      <c r="AI176" s="508"/>
      <c r="AJ176" s="508"/>
      <c r="AK176" s="508"/>
      <c r="AL176" s="508"/>
      <c r="AM176" s="508"/>
    </row>
    <row r="177" spans="1:39">
      <c r="A177" s="508"/>
      <c r="B177" s="105"/>
      <c r="C177" s="670" t="s">
        <v>752</v>
      </c>
      <c r="D177" s="671">
        <v>2.4199999999999999E-2</v>
      </c>
      <c r="E177" s="560">
        <v>4.24E-2</v>
      </c>
      <c r="F177" s="508"/>
      <c r="G177" s="508"/>
      <c r="H177" s="508"/>
      <c r="I177" s="508"/>
      <c r="J177" s="508"/>
      <c r="K177" s="508"/>
      <c r="L177" s="508"/>
      <c r="M177" s="508"/>
      <c r="N177" s="508"/>
      <c r="O177" s="105"/>
      <c r="P177" s="670" t="s">
        <v>752</v>
      </c>
      <c r="Q177" s="671">
        <v>2.4199999999999999E-2</v>
      </c>
      <c r="R177" s="560">
        <v>4.24E-2</v>
      </c>
      <c r="S177" s="508"/>
      <c r="T177" s="508"/>
      <c r="U177" s="508"/>
      <c r="V177" s="508"/>
      <c r="W177" s="508"/>
      <c r="X177" s="508"/>
      <c r="Y177" s="508"/>
      <c r="Z177" s="508"/>
      <c r="AA177" s="508"/>
      <c r="AB177" s="508"/>
      <c r="AC177" s="508"/>
      <c r="AD177" s="508"/>
      <c r="AE177" s="508"/>
      <c r="AF177" s="508"/>
      <c r="AG177" s="508"/>
      <c r="AH177" s="508"/>
      <c r="AI177" s="508"/>
      <c r="AJ177" s="508"/>
      <c r="AK177" s="508"/>
      <c r="AL177" s="508"/>
      <c r="AM177" s="508"/>
    </row>
    <row r="178" spans="1:39">
      <c r="A178" s="508"/>
      <c r="B178" s="105"/>
      <c r="C178" s="670" t="s">
        <v>716</v>
      </c>
      <c r="D178" s="671">
        <v>2.2100000000000002E-2</v>
      </c>
      <c r="E178" s="560">
        <v>3.73E-2</v>
      </c>
      <c r="F178" s="508"/>
      <c r="G178" s="508"/>
      <c r="H178" s="508"/>
      <c r="I178" s="508"/>
      <c r="J178" s="508"/>
      <c r="K178" s="508"/>
      <c r="L178" s="508"/>
      <c r="M178" s="508"/>
      <c r="N178" s="508"/>
      <c r="O178" s="105"/>
      <c r="P178" s="670" t="s">
        <v>716</v>
      </c>
      <c r="Q178" s="671">
        <v>2.2100000000000002E-2</v>
      </c>
      <c r="R178" s="560">
        <v>3.73E-2</v>
      </c>
      <c r="S178" s="508"/>
      <c r="T178" s="508"/>
      <c r="U178" s="508"/>
      <c r="V178" s="508"/>
      <c r="W178" s="508"/>
      <c r="X178" s="508"/>
      <c r="Y178" s="508"/>
      <c r="Z178" s="508"/>
      <c r="AA178" s="508"/>
      <c r="AB178" s="508"/>
      <c r="AC178" s="508"/>
      <c r="AD178" s="508"/>
      <c r="AE178" s="508"/>
      <c r="AF178" s="508"/>
      <c r="AG178" s="508"/>
      <c r="AH178" s="508"/>
      <c r="AI178" s="508"/>
      <c r="AJ178" s="508"/>
      <c r="AK178" s="508"/>
      <c r="AL178" s="508"/>
      <c r="AM178" s="508"/>
    </row>
    <row r="179" spans="1:39">
      <c r="A179" s="508"/>
      <c r="B179" s="105"/>
      <c r="C179" s="670" t="s">
        <v>717</v>
      </c>
      <c r="D179" s="671">
        <v>1.15E-2</v>
      </c>
      <c r="E179" s="560">
        <v>8.8000000000000005E-3</v>
      </c>
      <c r="F179" s="508"/>
      <c r="G179" s="508"/>
      <c r="H179" s="508"/>
      <c r="I179" s="508"/>
      <c r="J179" s="508"/>
      <c r="K179" s="508"/>
      <c r="L179" s="508"/>
      <c r="M179" s="508"/>
      <c r="N179" s="508"/>
      <c r="O179" s="105"/>
      <c r="P179" s="670" t="s">
        <v>717</v>
      </c>
      <c r="Q179" s="671">
        <v>1.15E-2</v>
      </c>
      <c r="R179" s="560">
        <v>8.8000000000000005E-3</v>
      </c>
      <c r="S179" s="508"/>
      <c r="T179" s="508"/>
      <c r="U179" s="508"/>
      <c r="V179" s="508"/>
      <c r="W179" s="508"/>
      <c r="X179" s="508"/>
      <c r="Y179" s="508"/>
      <c r="Z179" s="508"/>
      <c r="AA179" s="508"/>
      <c r="AB179" s="508"/>
      <c r="AC179" s="508"/>
      <c r="AD179" s="508"/>
      <c r="AE179" s="508"/>
      <c r="AF179" s="508"/>
      <c r="AG179" s="508"/>
      <c r="AH179" s="508"/>
      <c r="AI179" s="508"/>
      <c r="AJ179" s="508"/>
      <c r="AK179" s="508"/>
      <c r="AL179" s="508"/>
      <c r="AM179" s="508"/>
    </row>
    <row r="180" spans="1:39">
      <c r="A180" s="508"/>
      <c r="B180" s="105"/>
      <c r="C180" s="670" t="s">
        <v>718</v>
      </c>
      <c r="D180" s="671">
        <v>1.0500000000000001E-2</v>
      </c>
      <c r="E180" s="560">
        <v>6.4000000000000003E-3</v>
      </c>
      <c r="F180" s="508"/>
      <c r="G180" s="508"/>
      <c r="H180" s="508"/>
      <c r="I180" s="508"/>
      <c r="J180" s="508"/>
      <c r="K180" s="508"/>
      <c r="L180" s="508"/>
      <c r="M180" s="508"/>
      <c r="N180" s="508"/>
      <c r="O180" s="105"/>
      <c r="P180" s="670" t="s">
        <v>718</v>
      </c>
      <c r="Q180" s="671">
        <v>1.0500000000000001E-2</v>
      </c>
      <c r="R180" s="560">
        <v>6.4000000000000003E-3</v>
      </c>
      <c r="S180" s="508"/>
      <c r="T180" s="508"/>
      <c r="U180" s="508"/>
      <c r="V180" s="508"/>
      <c r="W180" s="508"/>
      <c r="X180" s="508"/>
      <c r="Y180" s="508"/>
      <c r="Z180" s="508"/>
      <c r="AA180" s="508"/>
      <c r="AB180" s="508"/>
      <c r="AC180" s="508"/>
      <c r="AD180" s="508"/>
      <c r="AE180" s="508"/>
      <c r="AF180" s="508"/>
      <c r="AG180" s="508"/>
      <c r="AH180" s="508"/>
      <c r="AI180" s="508"/>
      <c r="AJ180" s="508"/>
      <c r="AK180" s="508"/>
      <c r="AL180" s="508"/>
      <c r="AM180" s="508"/>
    </row>
    <row r="181" spans="1:39">
      <c r="A181" s="508"/>
      <c r="B181" s="105"/>
      <c r="C181" s="670" t="s">
        <v>719</v>
      </c>
      <c r="D181" s="671">
        <v>1.0800000000000001E-2</v>
      </c>
      <c r="E181" s="560">
        <v>8.0000000000000002E-3</v>
      </c>
      <c r="F181" s="508"/>
      <c r="G181" s="508"/>
      <c r="H181" s="508"/>
      <c r="I181" s="508"/>
      <c r="J181" s="508"/>
      <c r="K181" s="508"/>
      <c r="L181" s="508"/>
      <c r="M181" s="508"/>
      <c r="N181" s="508"/>
      <c r="O181" s="105"/>
      <c r="P181" s="670" t="s">
        <v>719</v>
      </c>
      <c r="Q181" s="671">
        <v>1.0800000000000001E-2</v>
      </c>
      <c r="R181" s="560">
        <v>8.0000000000000002E-3</v>
      </c>
      <c r="S181" s="508"/>
      <c r="T181" s="508"/>
      <c r="U181" s="508"/>
      <c r="V181" s="508"/>
      <c r="W181" s="508"/>
      <c r="X181" s="508"/>
      <c r="Y181" s="508"/>
      <c r="Z181" s="508"/>
      <c r="AA181" s="508"/>
      <c r="AB181" s="508"/>
      <c r="AC181" s="508"/>
      <c r="AD181" s="508"/>
      <c r="AE181" s="508"/>
      <c r="AF181" s="508"/>
      <c r="AG181" s="508"/>
      <c r="AH181" s="508"/>
      <c r="AI181" s="508"/>
      <c r="AJ181" s="508"/>
      <c r="AK181" s="508"/>
      <c r="AL181" s="508"/>
      <c r="AM181" s="508"/>
    </row>
    <row r="182" spans="1:39">
      <c r="A182" s="508"/>
      <c r="B182" s="105"/>
      <c r="C182" s="670" t="s">
        <v>720</v>
      </c>
      <c r="D182" s="671">
        <v>1.03E-2</v>
      </c>
      <c r="E182" s="560">
        <v>6.1000000000000004E-3</v>
      </c>
      <c r="F182" s="508"/>
      <c r="G182" s="508"/>
      <c r="H182" s="508"/>
      <c r="I182" s="508"/>
      <c r="J182" s="508"/>
      <c r="K182" s="508"/>
      <c r="L182" s="508"/>
      <c r="M182" s="508"/>
      <c r="N182" s="508"/>
      <c r="O182" s="105"/>
      <c r="P182" s="670" t="s">
        <v>720</v>
      </c>
      <c r="Q182" s="671">
        <v>1.03E-2</v>
      </c>
      <c r="R182" s="560">
        <v>6.1000000000000004E-3</v>
      </c>
      <c r="S182" s="508"/>
      <c r="T182" s="508"/>
      <c r="U182" s="508"/>
      <c r="V182" s="508"/>
      <c r="W182" s="508"/>
      <c r="X182" s="508"/>
      <c r="Y182" s="508"/>
      <c r="Z182" s="508"/>
      <c r="AA182" s="508"/>
      <c r="AB182" s="508"/>
      <c r="AC182" s="508"/>
      <c r="AD182" s="508"/>
      <c r="AE182" s="508"/>
      <c r="AF182" s="508"/>
      <c r="AG182" s="508"/>
      <c r="AH182" s="508"/>
      <c r="AI182" s="508"/>
      <c r="AJ182" s="508"/>
      <c r="AK182" s="508"/>
      <c r="AL182" s="508"/>
      <c r="AM182" s="508"/>
    </row>
    <row r="183" spans="1:39">
      <c r="A183" s="508"/>
      <c r="B183" s="105"/>
      <c r="C183" s="670" t="s">
        <v>721</v>
      </c>
      <c r="D183" s="561">
        <v>9.4999999999999998E-3</v>
      </c>
      <c r="E183" s="562">
        <v>3.5999999999999999E-3</v>
      </c>
      <c r="F183" s="508"/>
      <c r="G183" s="508"/>
      <c r="H183" s="508"/>
      <c r="I183" s="508"/>
      <c r="J183" s="508"/>
      <c r="K183" s="508"/>
      <c r="L183" s="508"/>
      <c r="M183" s="508"/>
      <c r="N183" s="508"/>
      <c r="O183" s="105"/>
      <c r="P183" s="670" t="s">
        <v>721</v>
      </c>
      <c r="Q183" s="561">
        <v>9.4999999999999998E-3</v>
      </c>
      <c r="R183" s="562">
        <v>3.5999999999999999E-3</v>
      </c>
      <c r="S183" s="508"/>
      <c r="T183" s="508"/>
      <c r="U183" s="508"/>
      <c r="V183" s="508"/>
      <c r="W183" s="508"/>
      <c r="X183" s="508"/>
      <c r="Y183" s="508"/>
      <c r="Z183" s="508"/>
      <c r="AA183" s="508"/>
      <c r="AB183" s="508"/>
      <c r="AC183" s="508"/>
      <c r="AD183" s="508"/>
      <c r="AE183" s="508"/>
      <c r="AF183" s="508"/>
      <c r="AG183" s="508"/>
      <c r="AH183" s="508"/>
      <c r="AI183" s="508"/>
      <c r="AJ183" s="508"/>
      <c r="AK183" s="508"/>
      <c r="AL183" s="508"/>
      <c r="AM183" s="508"/>
    </row>
    <row r="184" spans="1:39">
      <c r="A184" s="508"/>
      <c r="B184" s="105"/>
      <c r="C184" s="670" t="s">
        <v>722</v>
      </c>
      <c r="D184" s="561">
        <v>9.4999999999999998E-3</v>
      </c>
      <c r="E184" s="562">
        <v>3.5999999999999999E-3</v>
      </c>
      <c r="F184" s="508"/>
      <c r="G184" s="508"/>
      <c r="H184" s="508"/>
      <c r="I184" s="508"/>
      <c r="J184" s="508"/>
      <c r="K184" s="508"/>
      <c r="L184" s="508"/>
      <c r="M184" s="508"/>
      <c r="N184" s="508"/>
      <c r="O184" s="105"/>
      <c r="P184" s="670" t="s">
        <v>722</v>
      </c>
      <c r="Q184" s="561">
        <v>9.4999999999999998E-3</v>
      </c>
      <c r="R184" s="562">
        <v>3.5999999999999999E-3</v>
      </c>
      <c r="S184" s="508"/>
      <c r="T184" s="508"/>
      <c r="U184" s="508"/>
      <c r="V184" s="508"/>
      <c r="W184" s="508"/>
      <c r="X184" s="508"/>
      <c r="Y184" s="508"/>
      <c r="Z184" s="508"/>
      <c r="AA184" s="508"/>
      <c r="AB184" s="508"/>
      <c r="AC184" s="508"/>
      <c r="AD184" s="508"/>
      <c r="AE184" s="508"/>
      <c r="AF184" s="508"/>
      <c r="AG184" s="508"/>
      <c r="AH184" s="508"/>
      <c r="AI184" s="508"/>
      <c r="AJ184" s="508"/>
      <c r="AK184" s="508"/>
      <c r="AL184" s="508"/>
      <c r="AM184" s="508"/>
    </row>
    <row r="185" spans="1:39">
      <c r="A185" s="508"/>
      <c r="B185" s="105"/>
      <c r="C185" s="670" t="s">
        <v>723</v>
      </c>
      <c r="D185" s="561">
        <v>9.4999999999999998E-3</v>
      </c>
      <c r="E185" s="562">
        <v>3.5000000000000001E-3</v>
      </c>
      <c r="F185" s="508"/>
      <c r="G185" s="508"/>
      <c r="H185" s="508"/>
      <c r="I185" s="508"/>
      <c r="J185" s="508"/>
      <c r="K185" s="508"/>
      <c r="L185" s="508"/>
      <c r="M185" s="508"/>
      <c r="N185" s="508"/>
      <c r="O185" s="105"/>
      <c r="P185" s="670" t="s">
        <v>723</v>
      </c>
      <c r="Q185" s="561">
        <v>9.4999999999999998E-3</v>
      </c>
      <c r="R185" s="562">
        <v>3.5000000000000001E-3</v>
      </c>
      <c r="S185" s="508"/>
      <c r="T185" s="508"/>
      <c r="U185" s="508"/>
      <c r="V185" s="508"/>
      <c r="W185" s="508"/>
      <c r="X185" s="508"/>
      <c r="Y185" s="508"/>
      <c r="Z185" s="508"/>
      <c r="AA185" s="508"/>
      <c r="AB185" s="508"/>
      <c r="AC185" s="508"/>
      <c r="AD185" s="508"/>
      <c r="AE185" s="508"/>
      <c r="AF185" s="508"/>
      <c r="AG185" s="508"/>
      <c r="AH185" s="508"/>
      <c r="AI185" s="508"/>
      <c r="AJ185" s="508"/>
      <c r="AK185" s="508"/>
      <c r="AL185" s="508"/>
      <c r="AM185" s="508"/>
    </row>
    <row r="186" spans="1:39">
      <c r="A186" s="508"/>
      <c r="B186" s="105"/>
      <c r="C186" s="670" t="s">
        <v>724</v>
      </c>
      <c r="D186" s="561">
        <v>9.5999999999999992E-3</v>
      </c>
      <c r="E186" s="562">
        <v>3.3999999999999998E-3</v>
      </c>
      <c r="F186" s="508"/>
      <c r="G186" s="508"/>
      <c r="H186" s="508"/>
      <c r="I186" s="508"/>
      <c r="J186" s="508"/>
      <c r="K186" s="508"/>
      <c r="L186" s="508"/>
      <c r="M186" s="508"/>
      <c r="N186" s="508"/>
      <c r="O186" s="105"/>
      <c r="P186" s="670" t="s">
        <v>724</v>
      </c>
      <c r="Q186" s="561">
        <v>9.5999999999999992E-3</v>
      </c>
      <c r="R186" s="562">
        <v>3.3999999999999998E-3</v>
      </c>
      <c r="S186" s="508"/>
      <c r="T186" s="508"/>
      <c r="U186" s="508"/>
      <c r="V186" s="508"/>
      <c r="W186" s="508"/>
      <c r="X186" s="508"/>
      <c r="Y186" s="508"/>
      <c r="Z186" s="508"/>
      <c r="AA186" s="508"/>
      <c r="AB186" s="508"/>
      <c r="AC186" s="508"/>
      <c r="AD186" s="508"/>
      <c r="AE186" s="508"/>
      <c r="AF186" s="508"/>
      <c r="AG186" s="508"/>
      <c r="AH186" s="508"/>
      <c r="AI186" s="508"/>
      <c r="AJ186" s="508"/>
      <c r="AK186" s="508"/>
      <c r="AL186" s="508"/>
      <c r="AM186" s="508"/>
    </row>
    <row r="187" spans="1:39">
      <c r="A187" s="508"/>
      <c r="B187" s="105"/>
      <c r="C187" s="670" t="s">
        <v>725</v>
      </c>
      <c r="D187" s="561">
        <v>9.5999999999999992E-3</v>
      </c>
      <c r="E187" s="562">
        <v>3.3E-3</v>
      </c>
      <c r="F187" s="508"/>
      <c r="G187" s="508"/>
      <c r="H187" s="508"/>
      <c r="I187" s="508"/>
      <c r="J187" s="508"/>
      <c r="K187" s="508"/>
      <c r="L187" s="508"/>
      <c r="M187" s="508"/>
      <c r="N187" s="508"/>
      <c r="O187" s="105"/>
      <c r="P187" s="670" t="s">
        <v>725</v>
      </c>
      <c r="Q187" s="561">
        <v>9.5999999999999992E-3</v>
      </c>
      <c r="R187" s="562">
        <v>3.3E-3</v>
      </c>
      <c r="S187" s="508"/>
      <c r="T187" s="508"/>
      <c r="U187" s="508"/>
      <c r="V187" s="508"/>
      <c r="W187" s="508"/>
      <c r="X187" s="508"/>
      <c r="Y187" s="508"/>
      <c r="Z187" s="508"/>
      <c r="AA187" s="508"/>
      <c r="AB187" s="508"/>
      <c r="AC187" s="508"/>
      <c r="AD187" s="508"/>
      <c r="AE187" s="508"/>
      <c r="AF187" s="508"/>
      <c r="AG187" s="508"/>
      <c r="AH187" s="508"/>
      <c r="AI187" s="508"/>
      <c r="AJ187" s="508"/>
      <c r="AK187" s="508"/>
      <c r="AL187" s="508"/>
      <c r="AM187" s="508"/>
    </row>
    <row r="188" spans="1:39">
      <c r="A188" s="508"/>
      <c r="B188" s="105"/>
      <c r="C188" s="670" t="s">
        <v>726</v>
      </c>
      <c r="D188" s="561">
        <v>9.4999999999999998E-3</v>
      </c>
      <c r="E188" s="562">
        <v>3.5000000000000001E-3</v>
      </c>
      <c r="F188" s="508"/>
      <c r="G188" s="508"/>
      <c r="H188" s="508"/>
      <c r="I188" s="508"/>
      <c r="J188" s="508"/>
      <c r="K188" s="508"/>
      <c r="L188" s="508"/>
      <c r="M188" s="508"/>
      <c r="N188" s="508"/>
      <c r="O188" s="105"/>
      <c r="P188" s="670" t="s">
        <v>726</v>
      </c>
      <c r="Q188" s="561">
        <v>9.4999999999999998E-3</v>
      </c>
      <c r="R188" s="562">
        <v>3.5000000000000001E-3</v>
      </c>
      <c r="S188" s="508"/>
      <c r="T188" s="508"/>
      <c r="U188" s="508"/>
      <c r="V188" s="508"/>
      <c r="W188" s="508"/>
      <c r="X188" s="508"/>
      <c r="Y188" s="508"/>
      <c r="Z188" s="508"/>
      <c r="AA188" s="508"/>
      <c r="AB188" s="508"/>
      <c r="AC188" s="508"/>
      <c r="AD188" s="508"/>
      <c r="AE188" s="508"/>
      <c r="AF188" s="508"/>
      <c r="AG188" s="508"/>
      <c r="AH188" s="508"/>
      <c r="AI188" s="508"/>
      <c r="AJ188" s="508"/>
      <c r="AK188" s="508"/>
      <c r="AL188" s="508"/>
      <c r="AM188" s="508"/>
    </row>
    <row r="189" spans="1:39">
      <c r="A189" s="508"/>
      <c r="B189" s="105"/>
      <c r="C189" s="670" t="s">
        <v>727</v>
      </c>
      <c r="D189" s="561">
        <v>9.4999999999999998E-3</v>
      </c>
      <c r="E189" s="562">
        <v>3.3E-3</v>
      </c>
      <c r="F189" s="508"/>
      <c r="G189" s="508"/>
      <c r="H189" s="508"/>
      <c r="I189" s="508"/>
      <c r="J189" s="508"/>
      <c r="K189" s="508"/>
      <c r="L189" s="508"/>
      <c r="M189" s="508"/>
      <c r="N189" s="508"/>
      <c r="O189" s="105"/>
      <c r="P189" s="670" t="s">
        <v>727</v>
      </c>
      <c r="Q189" s="561">
        <v>9.4999999999999998E-3</v>
      </c>
      <c r="R189" s="562">
        <v>3.3E-3</v>
      </c>
      <c r="S189" s="508"/>
      <c r="T189" s="508"/>
      <c r="U189" s="508"/>
      <c r="V189" s="508"/>
      <c r="W189" s="508"/>
      <c r="X189" s="508"/>
      <c r="Y189" s="508"/>
      <c r="Z189" s="508"/>
      <c r="AA189" s="508"/>
      <c r="AB189" s="508"/>
      <c r="AC189" s="508"/>
      <c r="AD189" s="508"/>
      <c r="AE189" s="508"/>
      <c r="AF189" s="508"/>
      <c r="AG189" s="508"/>
      <c r="AH189" s="508"/>
      <c r="AI189" s="508"/>
      <c r="AJ189" s="508"/>
      <c r="AK189" s="508"/>
      <c r="AL189" s="508"/>
      <c r="AM189" s="508"/>
    </row>
    <row r="190" spans="1:39">
      <c r="A190" s="508"/>
      <c r="B190" s="105"/>
      <c r="C190" s="670" t="s">
        <v>728</v>
      </c>
      <c r="D190" s="561">
        <v>9.4000000000000004E-3</v>
      </c>
      <c r="E190" s="562">
        <v>3.0999999999999999E-3</v>
      </c>
      <c r="F190" s="508"/>
      <c r="G190" s="508"/>
      <c r="H190" s="508"/>
      <c r="I190" s="508"/>
      <c r="J190" s="508"/>
      <c r="K190" s="508"/>
      <c r="L190" s="508"/>
      <c r="M190" s="508"/>
      <c r="N190" s="508"/>
      <c r="O190" s="105"/>
      <c r="P190" s="670" t="s">
        <v>728</v>
      </c>
      <c r="Q190" s="561">
        <v>9.4000000000000004E-3</v>
      </c>
      <c r="R190" s="562">
        <v>3.0999999999999999E-3</v>
      </c>
      <c r="S190" s="508"/>
      <c r="T190" s="508"/>
      <c r="U190" s="508"/>
      <c r="V190" s="508"/>
      <c r="W190" s="508"/>
      <c r="X190" s="508"/>
      <c r="Y190" s="508"/>
      <c r="Z190" s="508"/>
      <c r="AA190" s="508"/>
      <c r="AB190" s="508"/>
      <c r="AC190" s="508"/>
      <c r="AD190" s="508"/>
      <c r="AE190" s="508"/>
      <c r="AF190" s="508"/>
      <c r="AG190" s="508"/>
      <c r="AH190" s="508"/>
      <c r="AI190" s="508"/>
      <c r="AJ190" s="508"/>
      <c r="AK190" s="508"/>
      <c r="AL190" s="508"/>
      <c r="AM190" s="508"/>
    </row>
    <row r="191" spans="1:39">
      <c r="A191" s="508"/>
      <c r="B191" s="105"/>
      <c r="C191" s="670" t="s">
        <v>729</v>
      </c>
      <c r="D191" s="561">
        <v>9.1000000000000004E-3</v>
      </c>
      <c r="E191" s="562">
        <v>2.8999999999999998E-3</v>
      </c>
      <c r="F191" s="508"/>
      <c r="G191" s="508"/>
      <c r="H191" s="508"/>
      <c r="I191" s="508"/>
      <c r="J191" s="508"/>
      <c r="K191" s="508"/>
      <c r="L191" s="508"/>
      <c r="M191" s="508"/>
      <c r="N191" s="508"/>
      <c r="O191" s="105"/>
      <c r="P191" s="670" t="s">
        <v>729</v>
      </c>
      <c r="Q191" s="561">
        <v>9.1000000000000004E-3</v>
      </c>
      <c r="R191" s="562">
        <v>2.8999999999999998E-3</v>
      </c>
      <c r="S191" s="508"/>
      <c r="T191" s="508"/>
      <c r="U191" s="508"/>
      <c r="V191" s="508"/>
      <c r="W191" s="508"/>
      <c r="X191" s="508"/>
      <c r="Y191" s="508"/>
      <c r="Z191" s="508"/>
      <c r="AA191" s="508"/>
      <c r="AB191" s="508"/>
      <c r="AC191" s="508"/>
      <c r="AD191" s="508"/>
      <c r="AE191" s="508"/>
      <c r="AF191" s="508"/>
      <c r="AG191" s="508"/>
      <c r="AH191" s="508"/>
      <c r="AI191" s="508"/>
      <c r="AJ191" s="508"/>
      <c r="AK191" s="508"/>
      <c r="AL191" s="508"/>
      <c r="AM191" s="508"/>
    </row>
    <row r="192" spans="1:39">
      <c r="A192" s="508"/>
      <c r="B192" s="105"/>
      <c r="C192" s="670" t="s">
        <v>730</v>
      </c>
      <c r="D192" s="561">
        <v>8.3999999999999995E-3</v>
      </c>
      <c r="E192" s="562">
        <v>1.8E-3</v>
      </c>
      <c r="F192" s="508"/>
      <c r="G192" s="508"/>
      <c r="H192" s="508"/>
      <c r="I192" s="508"/>
      <c r="J192" s="508"/>
      <c r="K192" s="508"/>
      <c r="L192" s="508"/>
      <c r="M192" s="508"/>
      <c r="N192" s="508"/>
      <c r="O192" s="105"/>
      <c r="P192" s="670" t="s">
        <v>730</v>
      </c>
      <c r="Q192" s="561">
        <v>8.3999999999999995E-3</v>
      </c>
      <c r="R192" s="562">
        <v>1.8E-3</v>
      </c>
      <c r="S192" s="508"/>
      <c r="T192" s="508"/>
      <c r="U192" s="508"/>
      <c r="V192" s="508"/>
      <c r="W192" s="508"/>
      <c r="X192" s="508"/>
      <c r="Y192" s="508"/>
      <c r="Z192" s="508"/>
      <c r="AA192" s="508"/>
      <c r="AB192" s="508"/>
      <c r="AC192" s="508"/>
      <c r="AD192" s="508"/>
      <c r="AE192" s="508"/>
      <c r="AF192" s="508"/>
      <c r="AG192" s="508"/>
      <c r="AH192" s="508"/>
      <c r="AI192" s="508"/>
      <c r="AJ192" s="508"/>
      <c r="AK192" s="508"/>
      <c r="AL192" s="508"/>
      <c r="AM192" s="508"/>
    </row>
    <row r="193" spans="1:39">
      <c r="A193" s="508"/>
      <c r="B193" s="105"/>
      <c r="C193" s="670" t="s">
        <v>731</v>
      </c>
      <c r="D193" s="561">
        <v>8.0999999999999996E-3</v>
      </c>
      <c r="E193" s="562">
        <v>1.5E-3</v>
      </c>
      <c r="F193" s="508"/>
      <c r="G193" s="508"/>
      <c r="H193" s="508"/>
      <c r="I193" s="508"/>
      <c r="J193" s="508"/>
      <c r="K193" s="508"/>
      <c r="L193" s="508"/>
      <c r="M193" s="508"/>
      <c r="N193" s="508"/>
      <c r="O193" s="105"/>
      <c r="P193" s="670" t="s">
        <v>731</v>
      </c>
      <c r="Q193" s="561">
        <v>8.0999999999999996E-3</v>
      </c>
      <c r="R193" s="562">
        <v>1.5E-3</v>
      </c>
      <c r="S193" s="508"/>
      <c r="T193" s="508"/>
      <c r="U193" s="508"/>
      <c r="V193" s="508"/>
      <c r="W193" s="508"/>
      <c r="X193" s="508"/>
      <c r="Y193" s="508"/>
      <c r="Z193" s="508"/>
      <c r="AA193" s="508"/>
      <c r="AB193" s="508"/>
      <c r="AC193" s="508"/>
      <c r="AD193" s="508"/>
      <c r="AE193" s="508"/>
      <c r="AF193" s="508"/>
      <c r="AG193" s="508"/>
      <c r="AH193" s="508"/>
      <c r="AI193" s="508"/>
      <c r="AJ193" s="508"/>
      <c r="AK193" s="508"/>
      <c r="AL193" s="508"/>
      <c r="AM193" s="508"/>
    </row>
    <row r="194" spans="1:39">
      <c r="A194" s="508"/>
      <c r="B194" s="105"/>
      <c r="C194" s="672" t="s">
        <v>732</v>
      </c>
      <c r="D194" s="561">
        <v>8.0000000000000002E-3</v>
      </c>
      <c r="E194" s="562">
        <v>1.2999999999999999E-3</v>
      </c>
      <c r="F194" s="508"/>
      <c r="G194" s="508"/>
      <c r="H194" s="508"/>
      <c r="I194" s="508"/>
      <c r="J194" s="508"/>
      <c r="K194" s="508"/>
      <c r="L194" s="508"/>
      <c r="M194" s="508"/>
      <c r="N194" s="508"/>
      <c r="O194" s="105"/>
      <c r="P194" s="672" t="s">
        <v>732</v>
      </c>
      <c r="Q194" s="561">
        <v>8.0000000000000002E-3</v>
      </c>
      <c r="R194" s="562">
        <v>1.2999999999999999E-3</v>
      </c>
      <c r="S194" s="508"/>
      <c r="T194" s="508"/>
      <c r="U194" s="508"/>
      <c r="V194" s="508"/>
      <c r="W194" s="508"/>
      <c r="X194" s="508"/>
      <c r="Y194" s="508"/>
      <c r="Z194" s="508"/>
      <c r="AA194" s="508"/>
      <c r="AB194" s="508"/>
      <c r="AC194" s="508"/>
      <c r="AD194" s="508"/>
      <c r="AE194" s="508"/>
      <c r="AF194" s="508"/>
      <c r="AG194" s="508"/>
      <c r="AH194" s="508"/>
      <c r="AI194" s="508"/>
      <c r="AJ194" s="508"/>
      <c r="AK194" s="508"/>
      <c r="AL194" s="508"/>
      <c r="AM194" s="508"/>
    </row>
    <row r="195" spans="1:39" ht="15.75" thickBot="1">
      <c r="A195" s="508"/>
      <c r="B195" s="106"/>
      <c r="C195" s="672" t="s">
        <v>733</v>
      </c>
      <c r="D195" s="563">
        <v>7.9000000000000008E-3</v>
      </c>
      <c r="E195" s="564">
        <v>1.1999999999999999E-3</v>
      </c>
      <c r="F195" s="508"/>
      <c r="G195" s="508"/>
      <c r="H195" s="508"/>
      <c r="I195" s="508"/>
      <c r="J195" s="508"/>
      <c r="K195" s="508"/>
      <c r="L195" s="508"/>
      <c r="M195" s="508"/>
      <c r="N195" s="508"/>
      <c r="O195" s="106"/>
      <c r="P195" s="672" t="s">
        <v>733</v>
      </c>
      <c r="Q195" s="563">
        <v>7.9000000000000008E-3</v>
      </c>
      <c r="R195" s="564">
        <v>1.1999999999999999E-3</v>
      </c>
      <c r="S195" s="508"/>
      <c r="T195" s="508"/>
      <c r="U195" s="508"/>
      <c r="V195" s="508"/>
      <c r="W195" s="508"/>
      <c r="X195" s="508"/>
      <c r="Y195" s="508"/>
      <c r="Z195" s="508"/>
      <c r="AA195" s="508"/>
      <c r="AB195" s="508"/>
      <c r="AC195" s="508"/>
      <c r="AD195" s="508"/>
      <c r="AE195" s="508"/>
      <c r="AF195" s="508"/>
      <c r="AG195" s="508"/>
      <c r="AH195" s="508"/>
      <c r="AI195" s="508"/>
      <c r="AJ195" s="508"/>
      <c r="AK195" s="508"/>
      <c r="AL195" s="508"/>
      <c r="AM195" s="508"/>
    </row>
    <row r="196" spans="1:39">
      <c r="A196" s="508"/>
      <c r="B196" s="101" t="s">
        <v>753</v>
      </c>
      <c r="C196" s="102" t="s">
        <v>754</v>
      </c>
      <c r="D196" s="103">
        <v>0.46039999999999998</v>
      </c>
      <c r="E196" s="104">
        <v>4.9700000000000001E-2</v>
      </c>
      <c r="F196" s="508"/>
      <c r="G196" s="508"/>
      <c r="H196" s="508"/>
      <c r="I196" s="508"/>
      <c r="J196" s="508"/>
      <c r="K196" s="508"/>
      <c r="L196" s="508"/>
      <c r="M196" s="508"/>
      <c r="N196" s="508"/>
      <c r="O196" s="101" t="s">
        <v>753</v>
      </c>
      <c r="P196" s="102" t="s">
        <v>754</v>
      </c>
      <c r="Q196" s="103">
        <v>0.46039999999999998</v>
      </c>
      <c r="R196" s="104">
        <v>4.9700000000000001E-2</v>
      </c>
      <c r="S196" s="508"/>
      <c r="T196" s="508"/>
      <c r="U196" s="508"/>
      <c r="V196" s="508"/>
      <c r="W196" s="508"/>
      <c r="X196" s="508"/>
      <c r="Y196" s="508"/>
      <c r="Z196" s="508"/>
      <c r="AA196" s="508"/>
      <c r="AB196" s="508"/>
      <c r="AC196" s="508"/>
      <c r="AD196" s="508"/>
      <c r="AE196" s="508"/>
      <c r="AF196" s="508"/>
      <c r="AG196" s="508"/>
      <c r="AH196" s="508"/>
      <c r="AI196" s="508"/>
      <c r="AJ196" s="508"/>
      <c r="AK196" s="508"/>
      <c r="AL196" s="508"/>
      <c r="AM196" s="508"/>
    </row>
    <row r="197" spans="1:39">
      <c r="A197" s="508"/>
      <c r="B197" s="105"/>
      <c r="C197" s="670" t="s">
        <v>755</v>
      </c>
      <c r="D197" s="671">
        <v>0.44919999999999999</v>
      </c>
      <c r="E197" s="560">
        <v>5.3800000000000001E-2</v>
      </c>
      <c r="F197" s="508"/>
      <c r="G197" s="508"/>
      <c r="H197" s="508"/>
      <c r="I197" s="508"/>
      <c r="J197" s="508"/>
      <c r="K197" s="508"/>
      <c r="L197" s="508"/>
      <c r="M197" s="508"/>
      <c r="N197" s="508"/>
      <c r="O197" s="105"/>
      <c r="P197" s="670" t="s">
        <v>755</v>
      </c>
      <c r="Q197" s="671">
        <v>0.44919999999999999</v>
      </c>
      <c r="R197" s="560">
        <v>5.3800000000000001E-2</v>
      </c>
      <c r="S197" s="508"/>
      <c r="T197" s="508"/>
      <c r="U197" s="508"/>
      <c r="V197" s="508"/>
      <c r="W197" s="508"/>
      <c r="X197" s="508"/>
      <c r="Y197" s="508"/>
      <c r="Z197" s="508"/>
      <c r="AA197" s="508"/>
      <c r="AB197" s="508"/>
      <c r="AC197" s="508"/>
      <c r="AD197" s="508"/>
      <c r="AE197" s="508"/>
      <c r="AF197" s="508"/>
      <c r="AG197" s="508"/>
      <c r="AH197" s="508"/>
      <c r="AI197" s="508"/>
      <c r="AJ197" s="508"/>
      <c r="AK197" s="508"/>
      <c r="AL197" s="508"/>
      <c r="AM197" s="508"/>
    </row>
    <row r="198" spans="1:39">
      <c r="A198" s="508"/>
      <c r="B198" s="105"/>
      <c r="C198" s="670" t="s">
        <v>756</v>
      </c>
      <c r="D198" s="671">
        <v>0.40899999999999997</v>
      </c>
      <c r="E198" s="560">
        <v>5.1499999999999997E-2</v>
      </c>
      <c r="F198" s="508"/>
      <c r="G198" s="508"/>
      <c r="H198" s="508"/>
      <c r="I198" s="508"/>
      <c r="J198" s="508"/>
      <c r="K198" s="508"/>
      <c r="L198" s="508"/>
      <c r="M198" s="508"/>
      <c r="N198" s="508"/>
      <c r="O198" s="105"/>
      <c r="P198" s="670" t="s">
        <v>756</v>
      </c>
      <c r="Q198" s="671">
        <v>0.40899999999999997</v>
      </c>
      <c r="R198" s="560">
        <v>5.1499999999999997E-2</v>
      </c>
      <c r="S198" s="508"/>
      <c r="T198" s="508"/>
      <c r="U198" s="508"/>
      <c r="V198" s="508"/>
      <c r="W198" s="508"/>
      <c r="X198" s="508"/>
      <c r="Y198" s="508"/>
      <c r="Z198" s="508"/>
      <c r="AA198" s="508"/>
      <c r="AB198" s="508"/>
      <c r="AC198" s="508"/>
      <c r="AD198" s="508"/>
      <c r="AE198" s="508"/>
      <c r="AF198" s="508"/>
      <c r="AG198" s="508"/>
      <c r="AH198" s="508"/>
      <c r="AI198" s="508"/>
      <c r="AJ198" s="508"/>
      <c r="AK198" s="508"/>
      <c r="AL198" s="508"/>
      <c r="AM198" s="508"/>
    </row>
    <row r="199" spans="1:39">
      <c r="A199" s="508"/>
      <c r="B199" s="105"/>
      <c r="C199" s="670" t="s">
        <v>757</v>
      </c>
      <c r="D199" s="671">
        <v>0.36749999999999999</v>
      </c>
      <c r="E199" s="560">
        <v>8.4900000000000003E-2</v>
      </c>
      <c r="F199" s="508"/>
      <c r="G199" s="508"/>
      <c r="H199" s="508"/>
      <c r="I199" s="508"/>
      <c r="J199" s="508"/>
      <c r="K199" s="508"/>
      <c r="L199" s="508"/>
      <c r="M199" s="508"/>
      <c r="N199" s="508"/>
      <c r="O199" s="105"/>
      <c r="P199" s="670" t="s">
        <v>757</v>
      </c>
      <c r="Q199" s="671">
        <v>0.36749999999999999</v>
      </c>
      <c r="R199" s="560">
        <v>8.4900000000000003E-2</v>
      </c>
      <c r="S199" s="508"/>
      <c r="T199" s="508"/>
      <c r="U199" s="508"/>
      <c r="V199" s="508"/>
      <c r="W199" s="508"/>
      <c r="X199" s="508"/>
      <c r="Y199" s="508"/>
      <c r="Z199" s="508"/>
      <c r="AA199" s="508"/>
      <c r="AB199" s="508"/>
      <c r="AC199" s="508"/>
      <c r="AD199" s="508"/>
      <c r="AE199" s="508"/>
      <c r="AF199" s="508"/>
      <c r="AG199" s="508"/>
      <c r="AH199" s="508"/>
      <c r="AI199" s="508"/>
      <c r="AJ199" s="508"/>
      <c r="AK199" s="508"/>
      <c r="AL199" s="508"/>
      <c r="AM199" s="508"/>
    </row>
    <row r="200" spans="1:39">
      <c r="A200" s="508"/>
      <c r="B200" s="105"/>
      <c r="C200" s="670" t="s">
        <v>758</v>
      </c>
      <c r="D200" s="671">
        <v>0.34920000000000001</v>
      </c>
      <c r="E200" s="560">
        <v>9.3299999999999994E-2</v>
      </c>
      <c r="F200" s="508"/>
      <c r="G200" s="508"/>
      <c r="H200" s="508"/>
      <c r="I200" s="508"/>
      <c r="J200" s="508"/>
      <c r="K200" s="508"/>
      <c r="L200" s="508"/>
      <c r="M200" s="508"/>
      <c r="N200" s="508"/>
      <c r="O200" s="105"/>
      <c r="P200" s="670" t="s">
        <v>758</v>
      </c>
      <c r="Q200" s="671">
        <v>0.34920000000000001</v>
      </c>
      <c r="R200" s="560">
        <v>9.3299999999999994E-2</v>
      </c>
      <c r="S200" s="508"/>
      <c r="T200" s="508"/>
      <c r="U200" s="508"/>
      <c r="V200" s="508"/>
      <c r="W200" s="508"/>
      <c r="X200" s="508"/>
      <c r="Y200" s="508"/>
      <c r="Z200" s="508"/>
      <c r="AA200" s="508"/>
      <c r="AB200" s="508"/>
      <c r="AC200" s="508"/>
      <c r="AD200" s="508"/>
      <c r="AE200" s="508"/>
      <c r="AF200" s="508"/>
      <c r="AG200" s="508"/>
      <c r="AH200" s="508"/>
      <c r="AI200" s="508"/>
      <c r="AJ200" s="508"/>
      <c r="AK200" s="508"/>
      <c r="AL200" s="508"/>
      <c r="AM200" s="508"/>
    </row>
    <row r="201" spans="1:39">
      <c r="A201" s="508"/>
      <c r="B201" s="105"/>
      <c r="C201" s="670" t="s">
        <v>759</v>
      </c>
      <c r="D201" s="671">
        <v>0.3246</v>
      </c>
      <c r="E201" s="560">
        <v>0.1142</v>
      </c>
      <c r="F201" s="508"/>
      <c r="G201" s="508"/>
      <c r="H201" s="508"/>
      <c r="I201" s="508"/>
      <c r="J201" s="508"/>
      <c r="K201" s="508"/>
      <c r="L201" s="508"/>
      <c r="M201" s="508"/>
      <c r="N201" s="508"/>
      <c r="O201" s="105"/>
      <c r="P201" s="670" t="s">
        <v>759</v>
      </c>
      <c r="Q201" s="671">
        <v>0.3246</v>
      </c>
      <c r="R201" s="560">
        <v>0.1142</v>
      </c>
      <c r="S201" s="508"/>
      <c r="T201" s="508"/>
      <c r="U201" s="508"/>
      <c r="V201" s="508"/>
      <c r="W201" s="508"/>
      <c r="X201" s="508"/>
      <c r="Y201" s="508"/>
      <c r="Z201" s="508"/>
      <c r="AA201" s="508"/>
      <c r="AB201" s="508"/>
      <c r="AC201" s="508"/>
      <c r="AD201" s="508"/>
      <c r="AE201" s="508"/>
      <c r="AF201" s="508"/>
      <c r="AG201" s="508"/>
      <c r="AH201" s="508"/>
      <c r="AI201" s="508"/>
      <c r="AJ201" s="508"/>
      <c r="AK201" s="508"/>
      <c r="AL201" s="508"/>
      <c r="AM201" s="508"/>
    </row>
    <row r="202" spans="1:39">
      <c r="A202" s="508"/>
      <c r="B202" s="105"/>
      <c r="C202" s="670" t="s">
        <v>746</v>
      </c>
      <c r="D202" s="671">
        <v>0.1278</v>
      </c>
      <c r="E202" s="560">
        <v>0.16800000000000001</v>
      </c>
      <c r="F202" s="508"/>
      <c r="G202" s="508"/>
      <c r="H202" s="508"/>
      <c r="I202" s="508"/>
      <c r="J202" s="508"/>
      <c r="K202" s="508"/>
      <c r="L202" s="508"/>
      <c r="M202" s="508"/>
      <c r="N202" s="508"/>
      <c r="O202" s="105"/>
      <c r="P202" s="670" t="s">
        <v>746</v>
      </c>
      <c r="Q202" s="671">
        <v>0.1278</v>
      </c>
      <c r="R202" s="560">
        <v>0.16800000000000001</v>
      </c>
      <c r="S202" s="508"/>
      <c r="T202" s="508"/>
      <c r="U202" s="508"/>
      <c r="V202" s="508"/>
      <c r="W202" s="508"/>
      <c r="X202" s="508"/>
      <c r="Y202" s="508"/>
      <c r="Z202" s="508"/>
      <c r="AA202" s="508"/>
      <c r="AB202" s="508"/>
      <c r="AC202" s="508"/>
      <c r="AD202" s="508"/>
      <c r="AE202" s="508"/>
      <c r="AF202" s="508"/>
      <c r="AG202" s="508"/>
      <c r="AH202" s="508"/>
      <c r="AI202" s="508"/>
      <c r="AJ202" s="508"/>
      <c r="AK202" s="508"/>
      <c r="AL202" s="508"/>
      <c r="AM202" s="508"/>
    </row>
    <row r="203" spans="1:39">
      <c r="A203" s="508"/>
      <c r="B203" s="105"/>
      <c r="C203" s="670" t="s">
        <v>747</v>
      </c>
      <c r="D203" s="671">
        <v>9.2399999999999996E-2</v>
      </c>
      <c r="E203" s="560">
        <v>0.1726</v>
      </c>
      <c r="F203" s="508"/>
      <c r="G203" s="508"/>
      <c r="H203" s="508"/>
      <c r="I203" s="508"/>
      <c r="J203" s="508"/>
      <c r="K203" s="508"/>
      <c r="L203" s="508"/>
      <c r="M203" s="508"/>
      <c r="N203" s="508"/>
      <c r="O203" s="105"/>
      <c r="P203" s="670" t="s">
        <v>747</v>
      </c>
      <c r="Q203" s="671">
        <v>9.2399999999999996E-2</v>
      </c>
      <c r="R203" s="560">
        <v>0.1726</v>
      </c>
      <c r="S203" s="508"/>
      <c r="T203" s="508"/>
      <c r="U203" s="508"/>
      <c r="V203" s="508"/>
      <c r="W203" s="508"/>
      <c r="X203" s="508"/>
      <c r="Y203" s="508"/>
      <c r="Z203" s="508"/>
      <c r="AA203" s="508"/>
      <c r="AB203" s="508"/>
      <c r="AC203" s="508"/>
      <c r="AD203" s="508"/>
      <c r="AE203" s="508"/>
      <c r="AF203" s="508"/>
      <c r="AG203" s="508"/>
      <c r="AH203" s="508"/>
      <c r="AI203" s="508"/>
      <c r="AJ203" s="508"/>
      <c r="AK203" s="508"/>
      <c r="AL203" s="508"/>
      <c r="AM203" s="508"/>
    </row>
    <row r="204" spans="1:39">
      <c r="A204" s="508"/>
      <c r="B204" s="105"/>
      <c r="C204" s="670" t="s">
        <v>748</v>
      </c>
      <c r="D204" s="671">
        <v>6.5500000000000003E-2</v>
      </c>
      <c r="E204" s="560">
        <v>0.17499999999999999</v>
      </c>
      <c r="F204" s="508"/>
      <c r="G204" s="508"/>
      <c r="H204" s="508"/>
      <c r="I204" s="508"/>
      <c r="J204" s="508"/>
      <c r="K204" s="508"/>
      <c r="L204" s="508"/>
      <c r="M204" s="508"/>
      <c r="N204" s="508"/>
      <c r="O204" s="105"/>
      <c r="P204" s="670" t="s">
        <v>748</v>
      </c>
      <c r="Q204" s="671">
        <v>6.5500000000000003E-2</v>
      </c>
      <c r="R204" s="560">
        <v>0.17499999999999999</v>
      </c>
      <c r="S204" s="508"/>
      <c r="T204" s="508"/>
      <c r="U204" s="508"/>
      <c r="V204" s="508"/>
      <c r="W204" s="508"/>
      <c r="X204" s="508"/>
      <c r="Y204" s="508"/>
      <c r="Z204" s="508"/>
      <c r="AA204" s="508"/>
      <c r="AB204" s="508"/>
      <c r="AC204" s="508"/>
      <c r="AD204" s="508"/>
      <c r="AE204" s="508"/>
      <c r="AF204" s="508"/>
      <c r="AG204" s="508"/>
      <c r="AH204" s="508"/>
      <c r="AI204" s="508"/>
      <c r="AJ204" s="508"/>
      <c r="AK204" s="508"/>
      <c r="AL204" s="508"/>
      <c r="AM204" s="508"/>
    </row>
    <row r="205" spans="1:39">
      <c r="A205" s="508"/>
      <c r="B205" s="105"/>
      <c r="C205" s="670" t="s">
        <v>749</v>
      </c>
      <c r="D205" s="671">
        <v>6.4799999999999996E-2</v>
      </c>
      <c r="E205" s="560">
        <v>0.1724</v>
      </c>
      <c r="F205" s="508"/>
      <c r="G205" s="508"/>
      <c r="H205" s="508"/>
      <c r="I205" s="508"/>
      <c r="J205" s="508"/>
      <c r="K205" s="508"/>
      <c r="L205" s="508"/>
      <c r="M205" s="508"/>
      <c r="N205" s="508"/>
      <c r="O205" s="105"/>
      <c r="P205" s="670" t="s">
        <v>749</v>
      </c>
      <c r="Q205" s="671">
        <v>6.4799999999999996E-2</v>
      </c>
      <c r="R205" s="560">
        <v>0.1724</v>
      </c>
      <c r="S205" s="508"/>
      <c r="T205" s="508"/>
      <c r="U205" s="508"/>
      <c r="V205" s="508"/>
      <c r="W205" s="508"/>
      <c r="X205" s="508"/>
      <c r="Y205" s="508"/>
      <c r="Z205" s="508"/>
      <c r="AA205" s="508"/>
      <c r="AB205" s="508"/>
      <c r="AC205" s="508"/>
      <c r="AD205" s="508"/>
      <c r="AE205" s="508"/>
      <c r="AF205" s="508"/>
      <c r="AG205" s="508"/>
      <c r="AH205" s="508"/>
      <c r="AI205" s="508"/>
      <c r="AJ205" s="508"/>
      <c r="AK205" s="508"/>
      <c r="AL205" s="508"/>
      <c r="AM205" s="508"/>
    </row>
    <row r="206" spans="1:39">
      <c r="A206" s="508"/>
      <c r="B206" s="105"/>
      <c r="C206" s="670" t="s">
        <v>750</v>
      </c>
      <c r="D206" s="671">
        <v>6.3E-2</v>
      </c>
      <c r="E206" s="560">
        <v>0.16600000000000001</v>
      </c>
      <c r="F206" s="508"/>
      <c r="G206" s="508"/>
      <c r="H206" s="508"/>
      <c r="I206" s="508"/>
      <c r="J206" s="508"/>
      <c r="K206" s="508"/>
      <c r="L206" s="508"/>
      <c r="M206" s="508"/>
      <c r="N206" s="508"/>
      <c r="O206" s="105"/>
      <c r="P206" s="670" t="s">
        <v>750</v>
      </c>
      <c r="Q206" s="671">
        <v>6.3E-2</v>
      </c>
      <c r="R206" s="560">
        <v>0.16600000000000001</v>
      </c>
      <c r="S206" s="508"/>
      <c r="T206" s="508"/>
      <c r="U206" s="508"/>
      <c r="V206" s="508"/>
      <c r="W206" s="508"/>
      <c r="X206" s="508"/>
      <c r="Y206" s="508"/>
      <c r="Z206" s="508"/>
      <c r="AA206" s="508"/>
      <c r="AB206" s="508"/>
      <c r="AC206" s="508"/>
      <c r="AD206" s="508"/>
      <c r="AE206" s="508"/>
      <c r="AF206" s="508"/>
      <c r="AG206" s="508"/>
      <c r="AH206" s="508"/>
      <c r="AI206" s="508"/>
      <c r="AJ206" s="508"/>
      <c r="AK206" s="508"/>
      <c r="AL206" s="508"/>
      <c r="AM206" s="508"/>
    </row>
    <row r="207" spans="1:39">
      <c r="A207" s="508"/>
      <c r="B207" s="105"/>
      <c r="C207" s="670" t="s">
        <v>751</v>
      </c>
      <c r="D207" s="671">
        <v>5.7700000000000001E-2</v>
      </c>
      <c r="E207" s="560">
        <v>0.14680000000000001</v>
      </c>
      <c r="F207" s="508"/>
      <c r="G207" s="508"/>
      <c r="H207" s="508"/>
      <c r="I207" s="508"/>
      <c r="J207" s="508"/>
      <c r="K207" s="508"/>
      <c r="L207" s="508"/>
      <c r="M207" s="508"/>
      <c r="N207" s="508"/>
      <c r="O207" s="105"/>
      <c r="P207" s="670" t="s">
        <v>751</v>
      </c>
      <c r="Q207" s="671">
        <v>5.7700000000000001E-2</v>
      </c>
      <c r="R207" s="560">
        <v>0.14680000000000001</v>
      </c>
      <c r="S207" s="508"/>
      <c r="T207" s="508"/>
      <c r="U207" s="508"/>
      <c r="V207" s="508"/>
      <c r="W207" s="508"/>
      <c r="X207" s="508"/>
      <c r="Y207" s="508"/>
      <c r="Z207" s="508"/>
      <c r="AA207" s="508"/>
      <c r="AB207" s="508"/>
      <c r="AC207" s="508"/>
      <c r="AD207" s="508"/>
      <c r="AE207" s="508"/>
      <c r="AF207" s="508"/>
      <c r="AG207" s="508"/>
      <c r="AH207" s="508"/>
      <c r="AI207" s="508"/>
      <c r="AJ207" s="508"/>
      <c r="AK207" s="508"/>
      <c r="AL207" s="508"/>
      <c r="AM207" s="508"/>
    </row>
    <row r="208" spans="1:39">
      <c r="A208" s="508"/>
      <c r="B208" s="105"/>
      <c r="C208" s="670" t="s">
        <v>752</v>
      </c>
      <c r="D208" s="671">
        <v>6.3399999999999998E-2</v>
      </c>
      <c r="E208" s="560">
        <v>0.1673</v>
      </c>
      <c r="F208" s="508"/>
      <c r="G208" s="508"/>
      <c r="H208" s="508"/>
      <c r="I208" s="508"/>
      <c r="J208" s="508"/>
      <c r="K208" s="508"/>
      <c r="L208" s="508"/>
      <c r="M208" s="508"/>
      <c r="N208" s="508"/>
      <c r="O208" s="105"/>
      <c r="P208" s="670" t="s">
        <v>752</v>
      </c>
      <c r="Q208" s="671">
        <v>6.3399999999999998E-2</v>
      </c>
      <c r="R208" s="560">
        <v>0.1673</v>
      </c>
      <c r="S208" s="508"/>
      <c r="T208" s="508"/>
      <c r="U208" s="508"/>
      <c r="V208" s="508"/>
      <c r="W208" s="508"/>
      <c r="X208" s="508"/>
      <c r="Y208" s="508"/>
      <c r="Z208" s="508"/>
      <c r="AA208" s="508"/>
      <c r="AB208" s="508"/>
      <c r="AC208" s="508"/>
      <c r="AD208" s="508"/>
      <c r="AE208" s="508"/>
      <c r="AF208" s="508"/>
      <c r="AG208" s="508"/>
      <c r="AH208" s="508"/>
      <c r="AI208" s="508"/>
      <c r="AJ208" s="508"/>
      <c r="AK208" s="508"/>
      <c r="AL208" s="508"/>
      <c r="AM208" s="508"/>
    </row>
    <row r="209" spans="1:39">
      <c r="A209" s="508"/>
      <c r="B209" s="105"/>
      <c r="C209" s="670" t="s">
        <v>716</v>
      </c>
      <c r="D209" s="671">
        <v>6.0199999999999997E-2</v>
      </c>
      <c r="E209" s="560">
        <v>0.15529999999999999</v>
      </c>
      <c r="F209" s="508"/>
      <c r="G209" s="508"/>
      <c r="H209" s="508"/>
      <c r="I209" s="508"/>
      <c r="J209" s="508"/>
      <c r="K209" s="508"/>
      <c r="L209" s="508"/>
      <c r="M209" s="508"/>
      <c r="N209" s="508"/>
      <c r="O209" s="105"/>
      <c r="P209" s="670" t="s">
        <v>716</v>
      </c>
      <c r="Q209" s="671">
        <v>6.0199999999999997E-2</v>
      </c>
      <c r="R209" s="560">
        <v>0.15529999999999999</v>
      </c>
      <c r="S209" s="508"/>
      <c r="T209" s="508"/>
      <c r="U209" s="508"/>
      <c r="V209" s="508"/>
      <c r="W209" s="508"/>
      <c r="X209" s="508"/>
      <c r="Y209" s="508"/>
      <c r="Z209" s="508"/>
      <c r="AA209" s="508"/>
      <c r="AB209" s="508"/>
      <c r="AC209" s="508"/>
      <c r="AD209" s="508"/>
      <c r="AE209" s="508"/>
      <c r="AF209" s="508"/>
      <c r="AG209" s="508"/>
      <c r="AH209" s="508"/>
      <c r="AI209" s="508"/>
      <c r="AJ209" s="508"/>
      <c r="AK209" s="508"/>
      <c r="AL209" s="508"/>
      <c r="AM209" s="508"/>
    </row>
    <row r="210" spans="1:39">
      <c r="A210" s="508"/>
      <c r="B210" s="105"/>
      <c r="C210" s="670" t="s">
        <v>717</v>
      </c>
      <c r="D210" s="671">
        <v>2.98E-2</v>
      </c>
      <c r="E210" s="560">
        <v>1.6400000000000001E-2</v>
      </c>
      <c r="F210" s="508"/>
      <c r="G210" s="508"/>
      <c r="H210" s="508"/>
      <c r="I210" s="508"/>
      <c r="J210" s="508"/>
      <c r="K210" s="508"/>
      <c r="L210" s="508"/>
      <c r="M210" s="508"/>
      <c r="N210" s="508"/>
      <c r="O210" s="105"/>
      <c r="P210" s="670" t="s">
        <v>717</v>
      </c>
      <c r="Q210" s="671">
        <v>2.98E-2</v>
      </c>
      <c r="R210" s="560">
        <v>1.6400000000000001E-2</v>
      </c>
      <c r="S210" s="508"/>
      <c r="T210" s="508"/>
      <c r="U210" s="508"/>
      <c r="V210" s="508"/>
      <c r="W210" s="508"/>
      <c r="X210" s="508"/>
      <c r="Y210" s="508"/>
      <c r="Z210" s="508"/>
      <c r="AA210" s="508"/>
      <c r="AB210" s="508"/>
      <c r="AC210" s="508"/>
      <c r="AD210" s="508"/>
      <c r="AE210" s="508"/>
      <c r="AF210" s="508"/>
      <c r="AG210" s="508"/>
      <c r="AH210" s="508"/>
      <c r="AI210" s="508"/>
      <c r="AJ210" s="508"/>
      <c r="AK210" s="508"/>
      <c r="AL210" s="508"/>
      <c r="AM210" s="508"/>
    </row>
    <row r="211" spans="1:39">
      <c r="A211" s="508"/>
      <c r="B211" s="105"/>
      <c r="C211" s="670" t="s">
        <v>718</v>
      </c>
      <c r="D211" s="671">
        <v>2.9700000000000001E-2</v>
      </c>
      <c r="E211" s="560">
        <v>8.3000000000000001E-3</v>
      </c>
      <c r="F211" s="508"/>
      <c r="G211" s="508"/>
      <c r="H211" s="508"/>
      <c r="I211" s="508"/>
      <c r="J211" s="508"/>
      <c r="K211" s="508"/>
      <c r="L211" s="508"/>
      <c r="M211" s="508"/>
      <c r="N211" s="508"/>
      <c r="O211" s="105"/>
      <c r="P211" s="670" t="s">
        <v>718</v>
      </c>
      <c r="Q211" s="671">
        <v>2.9700000000000001E-2</v>
      </c>
      <c r="R211" s="560">
        <v>8.3000000000000001E-3</v>
      </c>
      <c r="S211" s="508"/>
      <c r="T211" s="508"/>
      <c r="U211" s="508"/>
      <c r="V211" s="508"/>
      <c r="W211" s="508"/>
      <c r="X211" s="508"/>
      <c r="Y211" s="508"/>
      <c r="Z211" s="508"/>
      <c r="AA211" s="508"/>
      <c r="AB211" s="508"/>
      <c r="AC211" s="508"/>
      <c r="AD211" s="508"/>
      <c r="AE211" s="508"/>
      <c r="AF211" s="508"/>
      <c r="AG211" s="508"/>
      <c r="AH211" s="508"/>
      <c r="AI211" s="508"/>
      <c r="AJ211" s="508"/>
      <c r="AK211" s="508"/>
      <c r="AL211" s="508"/>
      <c r="AM211" s="508"/>
    </row>
    <row r="212" spans="1:39">
      <c r="A212" s="508"/>
      <c r="B212" s="105"/>
      <c r="C212" s="670" t="s">
        <v>719</v>
      </c>
      <c r="D212" s="671">
        <v>2.9899999999999999E-2</v>
      </c>
      <c r="E212" s="560">
        <v>2.41E-2</v>
      </c>
      <c r="F212" s="508"/>
      <c r="G212" s="508"/>
      <c r="H212" s="508"/>
      <c r="I212" s="508"/>
      <c r="J212" s="508"/>
      <c r="K212" s="508"/>
      <c r="L212" s="508"/>
      <c r="M212" s="508"/>
      <c r="N212" s="508"/>
      <c r="O212" s="105"/>
      <c r="P212" s="670" t="s">
        <v>719</v>
      </c>
      <c r="Q212" s="671">
        <v>2.9899999999999999E-2</v>
      </c>
      <c r="R212" s="560">
        <v>2.41E-2</v>
      </c>
      <c r="S212" s="508"/>
      <c r="T212" s="508"/>
      <c r="U212" s="508"/>
      <c r="V212" s="508"/>
      <c r="W212" s="508"/>
      <c r="X212" s="508"/>
      <c r="Y212" s="508"/>
      <c r="Z212" s="508"/>
      <c r="AA212" s="508"/>
      <c r="AB212" s="508"/>
      <c r="AC212" s="508"/>
      <c r="AD212" s="508"/>
      <c r="AE212" s="508"/>
      <c r="AF212" s="508"/>
      <c r="AG212" s="508"/>
      <c r="AH212" s="508"/>
      <c r="AI212" s="508"/>
      <c r="AJ212" s="508"/>
      <c r="AK212" s="508"/>
      <c r="AL212" s="508"/>
      <c r="AM212" s="508"/>
    </row>
    <row r="213" spans="1:39">
      <c r="A213" s="508"/>
      <c r="B213" s="105"/>
      <c r="C213" s="670" t="s">
        <v>720</v>
      </c>
      <c r="D213" s="671">
        <v>3.2199999999999999E-2</v>
      </c>
      <c r="E213" s="560">
        <v>1.5E-3</v>
      </c>
      <c r="F213" s="508"/>
      <c r="G213" s="508"/>
      <c r="H213" s="508"/>
      <c r="I213" s="508"/>
      <c r="J213" s="508"/>
      <c r="K213" s="508"/>
      <c r="L213" s="508"/>
      <c r="M213" s="508"/>
      <c r="N213" s="508"/>
      <c r="O213" s="105"/>
      <c r="P213" s="670" t="s">
        <v>720</v>
      </c>
      <c r="Q213" s="671">
        <v>3.2199999999999999E-2</v>
      </c>
      <c r="R213" s="560">
        <v>1.5E-3</v>
      </c>
      <c r="S213" s="508"/>
      <c r="T213" s="508"/>
      <c r="U213" s="508"/>
      <c r="V213" s="508"/>
      <c r="W213" s="508"/>
      <c r="X213" s="508"/>
      <c r="Y213" s="508"/>
      <c r="Z213" s="508"/>
      <c r="AA213" s="508"/>
      <c r="AB213" s="508"/>
      <c r="AC213" s="508"/>
      <c r="AD213" s="508"/>
      <c r="AE213" s="508"/>
      <c r="AF213" s="508"/>
      <c r="AG213" s="508"/>
      <c r="AH213" s="508"/>
      <c r="AI213" s="508"/>
      <c r="AJ213" s="508"/>
      <c r="AK213" s="508"/>
      <c r="AL213" s="508"/>
      <c r="AM213" s="508"/>
    </row>
    <row r="214" spans="1:39">
      <c r="A214" s="508"/>
      <c r="B214" s="105"/>
      <c r="C214" s="670" t="s">
        <v>721</v>
      </c>
      <c r="D214" s="561">
        <v>3.4000000000000002E-2</v>
      </c>
      <c r="E214" s="562">
        <v>1.5E-3</v>
      </c>
      <c r="F214" s="508"/>
      <c r="G214" s="508"/>
      <c r="H214" s="508"/>
      <c r="I214" s="508"/>
      <c r="J214" s="508"/>
      <c r="K214" s="508"/>
      <c r="L214" s="508"/>
      <c r="M214" s="508"/>
      <c r="N214" s="508"/>
      <c r="O214" s="105"/>
      <c r="P214" s="670" t="s">
        <v>721</v>
      </c>
      <c r="Q214" s="561">
        <v>3.4000000000000002E-2</v>
      </c>
      <c r="R214" s="562">
        <v>1.5E-3</v>
      </c>
      <c r="S214" s="508"/>
      <c r="T214" s="508"/>
      <c r="U214" s="508"/>
      <c r="V214" s="508"/>
      <c r="W214" s="508"/>
      <c r="X214" s="508"/>
      <c r="Y214" s="508"/>
      <c r="Z214" s="508"/>
      <c r="AA214" s="508"/>
      <c r="AB214" s="508"/>
      <c r="AC214" s="508"/>
      <c r="AD214" s="508"/>
      <c r="AE214" s="508"/>
      <c r="AF214" s="508"/>
      <c r="AG214" s="508"/>
      <c r="AH214" s="508"/>
      <c r="AI214" s="508"/>
      <c r="AJ214" s="508"/>
      <c r="AK214" s="508"/>
      <c r="AL214" s="508"/>
      <c r="AM214" s="508"/>
    </row>
    <row r="215" spans="1:39">
      <c r="A215" s="508"/>
      <c r="B215" s="105"/>
      <c r="C215" s="670" t="s">
        <v>722</v>
      </c>
      <c r="D215" s="561">
        <v>3.39E-2</v>
      </c>
      <c r="E215" s="562">
        <v>1.5E-3</v>
      </c>
      <c r="F215" s="508"/>
      <c r="G215" s="508"/>
      <c r="H215" s="508"/>
      <c r="I215" s="508"/>
      <c r="J215" s="508"/>
      <c r="K215" s="508"/>
      <c r="L215" s="508"/>
      <c r="M215" s="508"/>
      <c r="N215" s="508"/>
      <c r="O215" s="105"/>
      <c r="P215" s="670" t="s">
        <v>722</v>
      </c>
      <c r="Q215" s="561">
        <v>3.39E-2</v>
      </c>
      <c r="R215" s="562">
        <v>1.5E-3</v>
      </c>
      <c r="S215" s="508"/>
      <c r="T215" s="508"/>
      <c r="U215" s="508"/>
      <c r="V215" s="508"/>
      <c r="W215" s="508"/>
      <c r="X215" s="508"/>
      <c r="Y215" s="508"/>
      <c r="Z215" s="508"/>
      <c r="AA215" s="508"/>
      <c r="AB215" s="508"/>
      <c r="AC215" s="508"/>
      <c r="AD215" s="508"/>
      <c r="AE215" s="508"/>
      <c r="AF215" s="508"/>
      <c r="AG215" s="508"/>
      <c r="AH215" s="508"/>
      <c r="AI215" s="508"/>
      <c r="AJ215" s="508"/>
      <c r="AK215" s="508"/>
      <c r="AL215" s="508"/>
      <c r="AM215" s="508"/>
    </row>
    <row r="216" spans="1:39">
      <c r="A216" s="508"/>
      <c r="B216" s="105"/>
      <c r="C216" s="670" t="s">
        <v>723</v>
      </c>
      <c r="D216" s="561">
        <v>3.2000000000000001E-2</v>
      </c>
      <c r="E216" s="562">
        <v>1.5E-3</v>
      </c>
      <c r="F216" s="508"/>
      <c r="G216" s="508"/>
      <c r="H216" s="508"/>
      <c r="I216" s="508"/>
      <c r="J216" s="508"/>
      <c r="K216" s="508"/>
      <c r="L216" s="508"/>
      <c r="M216" s="508"/>
      <c r="N216" s="508"/>
      <c r="O216" s="105"/>
      <c r="P216" s="670" t="s">
        <v>723</v>
      </c>
      <c r="Q216" s="561">
        <v>3.2000000000000001E-2</v>
      </c>
      <c r="R216" s="562">
        <v>1.5E-3</v>
      </c>
      <c r="S216" s="508"/>
      <c r="T216" s="508"/>
      <c r="U216" s="508"/>
      <c r="V216" s="508"/>
      <c r="W216" s="508"/>
      <c r="X216" s="508"/>
      <c r="Y216" s="508"/>
      <c r="Z216" s="508"/>
      <c r="AA216" s="508"/>
      <c r="AB216" s="508"/>
      <c r="AC216" s="508"/>
      <c r="AD216" s="508"/>
      <c r="AE216" s="508"/>
      <c r="AF216" s="508"/>
      <c r="AG216" s="508"/>
      <c r="AH216" s="508"/>
      <c r="AI216" s="508"/>
      <c r="AJ216" s="508"/>
      <c r="AK216" s="508"/>
      <c r="AL216" s="508"/>
      <c r="AM216" s="508"/>
    </row>
    <row r="217" spans="1:39">
      <c r="A217" s="508"/>
      <c r="B217" s="105"/>
      <c r="C217" s="670" t="s">
        <v>724</v>
      </c>
      <c r="D217" s="561">
        <v>3.04E-2</v>
      </c>
      <c r="E217" s="562">
        <v>1.5E-3</v>
      </c>
      <c r="F217" s="508"/>
      <c r="G217" s="508"/>
      <c r="H217" s="508"/>
      <c r="I217" s="508"/>
      <c r="J217" s="508"/>
      <c r="K217" s="508"/>
      <c r="L217" s="508"/>
      <c r="M217" s="508"/>
      <c r="N217" s="508"/>
      <c r="O217" s="105"/>
      <c r="P217" s="670" t="s">
        <v>724</v>
      </c>
      <c r="Q217" s="561">
        <v>3.04E-2</v>
      </c>
      <c r="R217" s="562">
        <v>1.5E-3</v>
      </c>
      <c r="S217" s="508"/>
      <c r="T217" s="508"/>
      <c r="U217" s="508"/>
      <c r="V217" s="508"/>
      <c r="W217" s="508"/>
      <c r="X217" s="508"/>
      <c r="Y217" s="508"/>
      <c r="Z217" s="508"/>
      <c r="AA217" s="508"/>
      <c r="AB217" s="508"/>
      <c r="AC217" s="508"/>
      <c r="AD217" s="508"/>
      <c r="AE217" s="508"/>
      <c r="AF217" s="508"/>
      <c r="AG217" s="508"/>
      <c r="AH217" s="508"/>
      <c r="AI217" s="508"/>
      <c r="AJ217" s="508"/>
      <c r="AK217" s="508"/>
      <c r="AL217" s="508"/>
      <c r="AM217" s="508"/>
    </row>
    <row r="218" spans="1:39">
      <c r="A218" s="508"/>
      <c r="B218" s="105"/>
      <c r="C218" s="670" t="s">
        <v>725</v>
      </c>
      <c r="D218" s="561">
        <v>3.1300000000000001E-2</v>
      </c>
      <c r="E218" s="562">
        <v>1.5E-3</v>
      </c>
      <c r="F218" s="508"/>
      <c r="G218" s="508"/>
      <c r="H218" s="508"/>
      <c r="I218" s="508"/>
      <c r="J218" s="508"/>
      <c r="K218" s="508"/>
      <c r="L218" s="508"/>
      <c r="M218" s="508"/>
      <c r="N218" s="508"/>
      <c r="O218" s="105"/>
      <c r="P218" s="670" t="s">
        <v>725</v>
      </c>
      <c r="Q218" s="561">
        <v>3.1300000000000001E-2</v>
      </c>
      <c r="R218" s="562">
        <v>1.5E-3</v>
      </c>
      <c r="S218" s="508"/>
      <c r="T218" s="508"/>
      <c r="U218" s="508"/>
      <c r="V218" s="508"/>
      <c r="W218" s="508"/>
      <c r="X218" s="508"/>
      <c r="Y218" s="508"/>
      <c r="Z218" s="508"/>
      <c r="AA218" s="508"/>
      <c r="AB218" s="508"/>
      <c r="AC218" s="508"/>
      <c r="AD218" s="508"/>
      <c r="AE218" s="508"/>
      <c r="AF218" s="508"/>
      <c r="AG218" s="508"/>
      <c r="AH218" s="508"/>
      <c r="AI218" s="508"/>
      <c r="AJ218" s="508"/>
      <c r="AK218" s="508"/>
      <c r="AL218" s="508"/>
      <c r="AM218" s="508"/>
    </row>
    <row r="219" spans="1:39">
      <c r="A219" s="508"/>
      <c r="B219" s="105"/>
      <c r="C219" s="670" t="s">
        <v>726</v>
      </c>
      <c r="D219" s="561">
        <v>3.1300000000000001E-2</v>
      </c>
      <c r="E219" s="562">
        <v>1.5E-3</v>
      </c>
      <c r="F219" s="508"/>
      <c r="G219" s="508"/>
      <c r="H219" s="508"/>
      <c r="I219" s="508"/>
      <c r="J219" s="508"/>
      <c r="K219" s="508"/>
      <c r="L219" s="508"/>
      <c r="M219" s="508"/>
      <c r="N219" s="508"/>
      <c r="O219" s="105"/>
      <c r="P219" s="670" t="s">
        <v>726</v>
      </c>
      <c r="Q219" s="561">
        <v>3.1300000000000001E-2</v>
      </c>
      <c r="R219" s="562">
        <v>1.5E-3</v>
      </c>
      <c r="S219" s="508"/>
      <c r="T219" s="508"/>
      <c r="U219" s="508"/>
      <c r="V219" s="508"/>
      <c r="W219" s="508"/>
      <c r="X219" s="508"/>
      <c r="Y219" s="508"/>
      <c r="Z219" s="508"/>
      <c r="AA219" s="508"/>
      <c r="AB219" s="508"/>
      <c r="AC219" s="508"/>
      <c r="AD219" s="508"/>
      <c r="AE219" s="508"/>
      <c r="AF219" s="508"/>
      <c r="AG219" s="508"/>
      <c r="AH219" s="508"/>
      <c r="AI219" s="508"/>
      <c r="AJ219" s="508"/>
      <c r="AK219" s="508"/>
      <c r="AL219" s="508"/>
      <c r="AM219" s="508"/>
    </row>
    <row r="220" spans="1:39">
      <c r="A220" s="508"/>
      <c r="B220" s="105"/>
      <c r="C220" s="670" t="s">
        <v>727</v>
      </c>
      <c r="D220" s="561">
        <v>3.15E-2</v>
      </c>
      <c r="E220" s="562">
        <v>1.5E-3</v>
      </c>
      <c r="F220" s="508"/>
      <c r="G220" s="508"/>
      <c r="H220" s="508"/>
      <c r="I220" s="508"/>
      <c r="J220" s="508"/>
      <c r="K220" s="508"/>
      <c r="L220" s="508"/>
      <c r="M220" s="508"/>
      <c r="N220" s="508"/>
      <c r="O220" s="105"/>
      <c r="P220" s="670" t="s">
        <v>727</v>
      </c>
      <c r="Q220" s="561">
        <v>3.15E-2</v>
      </c>
      <c r="R220" s="562">
        <v>1.5E-3</v>
      </c>
      <c r="S220" s="508"/>
      <c r="T220" s="508"/>
      <c r="U220" s="508"/>
      <c r="V220" s="508"/>
      <c r="W220" s="508"/>
      <c r="X220" s="508"/>
      <c r="Y220" s="508"/>
      <c r="Z220" s="508"/>
      <c r="AA220" s="508"/>
      <c r="AB220" s="508"/>
      <c r="AC220" s="508"/>
      <c r="AD220" s="508"/>
      <c r="AE220" s="508"/>
      <c r="AF220" s="508"/>
      <c r="AG220" s="508"/>
      <c r="AH220" s="508"/>
      <c r="AI220" s="508"/>
      <c r="AJ220" s="508"/>
      <c r="AK220" s="508"/>
      <c r="AL220" s="508"/>
      <c r="AM220" s="508"/>
    </row>
    <row r="221" spans="1:39">
      <c r="A221" s="508"/>
      <c r="B221" s="105"/>
      <c r="C221" s="670" t="s">
        <v>728</v>
      </c>
      <c r="D221" s="561">
        <v>3.32E-2</v>
      </c>
      <c r="E221" s="562">
        <v>2.0999999999999999E-3</v>
      </c>
      <c r="F221" s="508"/>
      <c r="G221" s="508"/>
      <c r="H221" s="508"/>
      <c r="I221" s="508"/>
      <c r="J221" s="508"/>
      <c r="K221" s="508"/>
      <c r="L221" s="508"/>
      <c r="M221" s="508"/>
      <c r="N221" s="508"/>
      <c r="O221" s="105"/>
      <c r="P221" s="670" t="s">
        <v>728</v>
      </c>
      <c r="Q221" s="561">
        <v>3.32E-2</v>
      </c>
      <c r="R221" s="562">
        <v>2.0999999999999999E-3</v>
      </c>
      <c r="S221" s="508"/>
      <c r="T221" s="508"/>
      <c r="U221" s="508"/>
      <c r="V221" s="508"/>
      <c r="W221" s="508"/>
      <c r="X221" s="508"/>
      <c r="Y221" s="508"/>
      <c r="Z221" s="508"/>
      <c r="AA221" s="508"/>
      <c r="AB221" s="508"/>
      <c r="AC221" s="508"/>
      <c r="AD221" s="508"/>
      <c r="AE221" s="508"/>
      <c r="AF221" s="508"/>
      <c r="AG221" s="508"/>
      <c r="AH221" s="508"/>
      <c r="AI221" s="508"/>
      <c r="AJ221" s="508"/>
      <c r="AK221" s="508"/>
      <c r="AL221" s="508"/>
      <c r="AM221" s="508"/>
    </row>
    <row r="222" spans="1:39">
      <c r="A222" s="508"/>
      <c r="B222" s="105"/>
      <c r="C222" s="670" t="s">
        <v>729</v>
      </c>
      <c r="D222" s="561">
        <v>3.2099999999999997E-2</v>
      </c>
      <c r="E222" s="562">
        <v>6.1000000000000004E-3</v>
      </c>
      <c r="F222" s="508"/>
      <c r="G222" s="508"/>
      <c r="H222" s="508"/>
      <c r="I222" s="508"/>
      <c r="J222" s="508"/>
      <c r="K222" s="508"/>
      <c r="L222" s="508"/>
      <c r="M222" s="508"/>
      <c r="N222" s="508"/>
      <c r="O222" s="105"/>
      <c r="P222" s="670" t="s">
        <v>729</v>
      </c>
      <c r="Q222" s="561">
        <v>3.2099999999999997E-2</v>
      </c>
      <c r="R222" s="562">
        <v>6.1000000000000004E-3</v>
      </c>
      <c r="S222" s="508"/>
      <c r="T222" s="508"/>
      <c r="U222" s="508"/>
      <c r="V222" s="508"/>
      <c r="W222" s="508"/>
      <c r="X222" s="508"/>
      <c r="Y222" s="508"/>
      <c r="Z222" s="508"/>
      <c r="AA222" s="508"/>
      <c r="AB222" s="508"/>
      <c r="AC222" s="508"/>
      <c r="AD222" s="508"/>
      <c r="AE222" s="508"/>
      <c r="AF222" s="508"/>
      <c r="AG222" s="508"/>
      <c r="AH222" s="508"/>
      <c r="AI222" s="508"/>
      <c r="AJ222" s="508"/>
      <c r="AK222" s="508"/>
      <c r="AL222" s="508"/>
      <c r="AM222" s="508"/>
    </row>
    <row r="223" spans="1:39">
      <c r="A223" s="508"/>
      <c r="B223" s="105"/>
      <c r="C223" s="670" t="s">
        <v>730</v>
      </c>
      <c r="D223" s="561">
        <v>3.2899999999999999E-2</v>
      </c>
      <c r="E223" s="562">
        <v>8.3999999999999995E-3</v>
      </c>
      <c r="F223" s="508"/>
      <c r="G223" s="508"/>
      <c r="H223" s="508"/>
      <c r="I223" s="508"/>
      <c r="J223" s="508"/>
      <c r="K223" s="508"/>
      <c r="L223" s="508"/>
      <c r="M223" s="508"/>
      <c r="N223" s="508"/>
      <c r="O223" s="105"/>
      <c r="P223" s="670" t="s">
        <v>730</v>
      </c>
      <c r="Q223" s="561">
        <v>3.2899999999999999E-2</v>
      </c>
      <c r="R223" s="562">
        <v>8.3999999999999995E-3</v>
      </c>
      <c r="S223" s="508"/>
      <c r="T223" s="508"/>
      <c r="U223" s="508"/>
      <c r="V223" s="508"/>
      <c r="W223" s="508"/>
      <c r="X223" s="508"/>
      <c r="Y223" s="508"/>
      <c r="Z223" s="508"/>
      <c r="AA223" s="508"/>
      <c r="AB223" s="508"/>
      <c r="AC223" s="508"/>
      <c r="AD223" s="508"/>
      <c r="AE223" s="508"/>
      <c r="AF223" s="508"/>
      <c r="AG223" s="508"/>
      <c r="AH223" s="508"/>
      <c r="AI223" s="508"/>
      <c r="AJ223" s="508"/>
      <c r="AK223" s="508"/>
      <c r="AL223" s="508"/>
      <c r="AM223" s="508"/>
    </row>
    <row r="224" spans="1:39">
      <c r="A224" s="508"/>
      <c r="B224" s="105"/>
      <c r="C224" s="670" t="s">
        <v>731</v>
      </c>
      <c r="D224" s="561">
        <v>3.2599999999999997E-2</v>
      </c>
      <c r="E224" s="562">
        <v>8.2000000000000007E-3</v>
      </c>
      <c r="F224" s="508"/>
      <c r="G224" s="508"/>
      <c r="H224" s="508"/>
      <c r="I224" s="508"/>
      <c r="J224" s="508"/>
      <c r="K224" s="508"/>
      <c r="L224" s="508"/>
      <c r="M224" s="508"/>
      <c r="N224" s="508"/>
      <c r="O224" s="105"/>
      <c r="P224" s="670" t="s">
        <v>731</v>
      </c>
      <c r="Q224" s="561">
        <v>3.2599999999999997E-2</v>
      </c>
      <c r="R224" s="562">
        <v>8.2000000000000007E-3</v>
      </c>
      <c r="S224" s="508"/>
      <c r="T224" s="508"/>
      <c r="U224" s="508"/>
      <c r="V224" s="508"/>
      <c r="W224" s="508"/>
      <c r="X224" s="508"/>
      <c r="Y224" s="508"/>
      <c r="Z224" s="508"/>
      <c r="AA224" s="508"/>
      <c r="AB224" s="508"/>
      <c r="AC224" s="508"/>
      <c r="AD224" s="508"/>
      <c r="AE224" s="508"/>
      <c r="AF224" s="508"/>
      <c r="AG224" s="508"/>
      <c r="AH224" s="508"/>
      <c r="AI224" s="508"/>
      <c r="AJ224" s="508"/>
      <c r="AK224" s="508"/>
      <c r="AL224" s="508"/>
      <c r="AM224" s="508"/>
    </row>
    <row r="225" spans="1:39">
      <c r="A225" s="508"/>
      <c r="B225" s="105"/>
      <c r="C225" s="672" t="s">
        <v>732</v>
      </c>
      <c r="D225" s="561">
        <v>3.3000000000000002E-2</v>
      </c>
      <c r="E225" s="562">
        <v>9.1000000000000004E-3</v>
      </c>
      <c r="F225" s="508"/>
      <c r="G225" s="508"/>
      <c r="H225" s="508"/>
      <c r="I225" s="508"/>
      <c r="J225" s="508"/>
      <c r="K225" s="508"/>
      <c r="L225" s="508"/>
      <c r="M225" s="508"/>
      <c r="N225" s="508"/>
      <c r="O225" s="105"/>
      <c r="P225" s="672" t="s">
        <v>732</v>
      </c>
      <c r="Q225" s="561">
        <v>3.3000000000000002E-2</v>
      </c>
      <c r="R225" s="562">
        <v>9.1000000000000004E-3</v>
      </c>
      <c r="S225" s="508"/>
      <c r="T225" s="508"/>
      <c r="U225" s="508"/>
      <c r="V225" s="508"/>
      <c r="W225" s="508"/>
      <c r="X225" s="508"/>
      <c r="Y225" s="508"/>
      <c r="Z225" s="508"/>
      <c r="AA225" s="508"/>
      <c r="AB225" s="508"/>
      <c r="AC225" s="508"/>
      <c r="AD225" s="508"/>
      <c r="AE225" s="508"/>
      <c r="AF225" s="508"/>
      <c r="AG225" s="508"/>
      <c r="AH225" s="508"/>
      <c r="AI225" s="508"/>
      <c r="AJ225" s="508"/>
      <c r="AK225" s="508"/>
      <c r="AL225" s="508"/>
      <c r="AM225" s="508"/>
    </row>
    <row r="226" spans="1:39" ht="15.75" thickBot="1">
      <c r="A226" s="508"/>
      <c r="B226" s="106"/>
      <c r="C226" s="672" t="s">
        <v>733</v>
      </c>
      <c r="D226" s="563">
        <v>3.2800000000000003E-2</v>
      </c>
      <c r="E226" s="564">
        <v>9.7999999999999997E-3</v>
      </c>
      <c r="F226" s="508"/>
      <c r="G226" s="508"/>
      <c r="H226" s="508"/>
      <c r="I226" s="508"/>
      <c r="J226" s="508"/>
      <c r="K226" s="508"/>
      <c r="L226" s="508"/>
      <c r="M226" s="508"/>
      <c r="N226" s="508"/>
      <c r="O226" s="106"/>
      <c r="P226" s="672" t="s">
        <v>733</v>
      </c>
      <c r="Q226" s="563">
        <v>3.2800000000000003E-2</v>
      </c>
      <c r="R226" s="564">
        <v>9.7999999999999997E-3</v>
      </c>
      <c r="S226" s="508"/>
      <c r="T226" s="508"/>
      <c r="U226" s="508"/>
      <c r="V226" s="508"/>
      <c r="W226" s="508"/>
      <c r="X226" s="508"/>
      <c r="Y226" s="508"/>
      <c r="Z226" s="508"/>
      <c r="AA226" s="508"/>
      <c r="AB226" s="508"/>
      <c r="AC226" s="508"/>
      <c r="AD226" s="508"/>
      <c r="AE226" s="508"/>
      <c r="AF226" s="508"/>
      <c r="AG226" s="508"/>
      <c r="AH226" s="508"/>
      <c r="AI226" s="508"/>
      <c r="AJ226" s="508"/>
      <c r="AK226" s="508"/>
      <c r="AL226" s="508"/>
      <c r="AM226" s="508"/>
    </row>
    <row r="227" spans="1:39">
      <c r="A227" s="508"/>
      <c r="B227" s="813" t="s">
        <v>760</v>
      </c>
      <c r="C227" s="102" t="s">
        <v>761</v>
      </c>
      <c r="D227" s="107">
        <v>7.0000000000000001E-3</v>
      </c>
      <c r="E227" s="108">
        <v>8.3000000000000001E-3</v>
      </c>
      <c r="F227" s="508"/>
      <c r="G227" s="508"/>
      <c r="H227" s="508"/>
      <c r="I227" s="508"/>
      <c r="J227" s="508"/>
      <c r="K227" s="508"/>
      <c r="L227" s="508"/>
      <c r="M227" s="508"/>
      <c r="N227" s="508"/>
      <c r="O227" s="813" t="s">
        <v>760</v>
      </c>
      <c r="P227" s="102" t="s">
        <v>761</v>
      </c>
      <c r="Q227" s="107">
        <v>7.0000000000000001E-3</v>
      </c>
      <c r="R227" s="108">
        <v>8.3000000000000001E-3</v>
      </c>
      <c r="S227" s="508"/>
      <c r="T227" s="508"/>
      <c r="U227" s="508"/>
      <c r="V227" s="508"/>
      <c r="W227" s="508"/>
      <c r="X227" s="508"/>
      <c r="Y227" s="508"/>
      <c r="Z227" s="508"/>
      <c r="AA227" s="508"/>
      <c r="AB227" s="508"/>
      <c r="AC227" s="508"/>
      <c r="AD227" s="508"/>
      <c r="AE227" s="508"/>
      <c r="AF227" s="508"/>
      <c r="AG227" s="508"/>
      <c r="AH227" s="508"/>
      <c r="AI227" s="508"/>
      <c r="AJ227" s="508"/>
      <c r="AK227" s="508"/>
      <c r="AL227" s="508"/>
      <c r="AM227" s="508"/>
    </row>
    <row r="228" spans="1:39">
      <c r="A228" s="508"/>
      <c r="B228" s="798"/>
      <c r="C228" s="565" t="s">
        <v>762</v>
      </c>
      <c r="D228" s="566" t="s">
        <v>763</v>
      </c>
      <c r="E228" s="567" t="s">
        <v>763</v>
      </c>
      <c r="F228" s="508"/>
      <c r="G228" s="508"/>
      <c r="H228" s="508"/>
      <c r="I228" s="508"/>
      <c r="J228" s="508"/>
      <c r="K228" s="508"/>
      <c r="L228" s="508"/>
      <c r="M228" s="508"/>
      <c r="N228" s="508"/>
      <c r="O228" s="798"/>
      <c r="P228" s="565" t="s">
        <v>762</v>
      </c>
      <c r="Q228" s="566" t="s">
        <v>763</v>
      </c>
      <c r="R228" s="567" t="s">
        <v>763</v>
      </c>
      <c r="S228" s="508"/>
      <c r="T228" s="508"/>
      <c r="U228" s="508"/>
      <c r="V228" s="508"/>
      <c r="W228" s="508"/>
      <c r="X228" s="508"/>
      <c r="Y228" s="508"/>
      <c r="Z228" s="508"/>
      <c r="AA228" s="508"/>
      <c r="AB228" s="508"/>
      <c r="AC228" s="508"/>
      <c r="AD228" s="508"/>
      <c r="AE228" s="508"/>
      <c r="AF228" s="508"/>
      <c r="AG228" s="508"/>
      <c r="AH228" s="508"/>
      <c r="AI228" s="508"/>
      <c r="AJ228" s="508"/>
      <c r="AK228" s="508"/>
      <c r="AL228" s="508"/>
      <c r="AM228" s="508"/>
    </row>
    <row r="229" spans="1:39" ht="15.75" thickBot="1">
      <c r="A229" s="508"/>
      <c r="B229" s="800"/>
      <c r="C229" s="568" t="s">
        <v>764</v>
      </c>
      <c r="D229" s="569">
        <v>7.0000000000000001E-3</v>
      </c>
      <c r="E229" s="570">
        <v>8.3000000000000001E-3</v>
      </c>
      <c r="F229" s="508"/>
      <c r="G229" s="508"/>
      <c r="H229" s="508"/>
      <c r="I229" s="508"/>
      <c r="J229" s="508"/>
      <c r="K229" s="508"/>
      <c r="L229" s="508"/>
      <c r="M229" s="508"/>
      <c r="N229" s="508"/>
      <c r="O229" s="800"/>
      <c r="P229" s="568" t="s">
        <v>764</v>
      </c>
      <c r="Q229" s="569">
        <v>7.0000000000000001E-3</v>
      </c>
      <c r="R229" s="570">
        <v>8.3000000000000001E-3</v>
      </c>
      <c r="S229" s="508"/>
      <c r="T229" s="508"/>
      <c r="U229" s="508"/>
      <c r="V229" s="508"/>
      <c r="W229" s="508"/>
      <c r="X229" s="508"/>
      <c r="Y229" s="508"/>
      <c r="Z229" s="508"/>
      <c r="AA229" s="508"/>
      <c r="AB229" s="508"/>
      <c r="AC229" s="508"/>
      <c r="AD229" s="508"/>
      <c r="AE229" s="508"/>
      <c r="AF229" s="508"/>
      <c r="AG229" s="508"/>
      <c r="AH229" s="508"/>
      <c r="AI229" s="508"/>
      <c r="AJ229" s="508"/>
      <c r="AK229" s="508"/>
      <c r="AL229" s="508"/>
      <c r="AM229" s="508"/>
    </row>
    <row r="230" spans="1:39">
      <c r="A230" s="41"/>
      <c r="B230" s="230" t="s">
        <v>765</v>
      </c>
      <c r="C230" s="508"/>
      <c r="D230" s="508"/>
      <c r="E230" s="508"/>
      <c r="F230" s="508"/>
      <c r="G230" s="508"/>
      <c r="H230" s="45"/>
      <c r="I230" s="508"/>
      <c r="J230" s="508"/>
      <c r="K230" s="508"/>
      <c r="L230" s="508"/>
      <c r="M230" s="508"/>
      <c r="N230" s="41"/>
      <c r="O230" s="230" t="s">
        <v>766</v>
      </c>
      <c r="P230" s="508"/>
      <c r="Q230" s="508"/>
      <c r="R230" s="508"/>
      <c r="S230" s="508"/>
      <c r="T230" s="508"/>
      <c r="U230" s="45"/>
      <c r="V230" s="508"/>
      <c r="W230" s="508"/>
      <c r="X230" s="508"/>
      <c r="Y230" s="508"/>
      <c r="Z230" s="508"/>
      <c r="AA230" s="508"/>
      <c r="AB230" s="508"/>
      <c r="AC230" s="508"/>
      <c r="AD230" s="508"/>
      <c r="AE230" s="508"/>
      <c r="AF230" s="508"/>
      <c r="AG230" s="508"/>
      <c r="AH230" s="508"/>
      <c r="AI230" s="508"/>
      <c r="AJ230" s="508"/>
      <c r="AK230" s="508"/>
      <c r="AL230" s="508"/>
      <c r="AM230" s="508"/>
    </row>
    <row r="231" spans="1:39">
      <c r="A231" s="41"/>
      <c r="B231" s="812" t="s">
        <v>767</v>
      </c>
      <c r="C231" s="817"/>
      <c r="D231" s="817"/>
      <c r="E231" s="817"/>
      <c r="F231" s="817"/>
      <c r="G231" s="817"/>
      <c r="H231" s="817"/>
      <c r="I231" s="817"/>
      <c r="J231" s="817"/>
      <c r="K231" s="508"/>
      <c r="L231" s="508"/>
      <c r="M231" s="508"/>
      <c r="N231" s="41"/>
      <c r="O231" s="812" t="s">
        <v>768</v>
      </c>
      <c r="P231" s="812"/>
      <c r="Q231" s="812"/>
      <c r="R231" s="812"/>
      <c r="S231" s="812"/>
      <c r="T231" s="812"/>
      <c r="U231" s="812"/>
      <c r="V231" s="812"/>
      <c r="W231" s="812"/>
      <c r="X231" s="812"/>
      <c r="Y231" s="508"/>
      <c r="Z231" s="508"/>
      <c r="AA231" s="508"/>
      <c r="AB231" s="508"/>
      <c r="AC231" s="508"/>
      <c r="AD231" s="508"/>
      <c r="AE231" s="508"/>
      <c r="AF231" s="508"/>
      <c r="AG231" s="508"/>
      <c r="AH231" s="508"/>
      <c r="AI231" s="508"/>
      <c r="AJ231" s="508"/>
      <c r="AK231" s="508"/>
      <c r="AL231" s="508"/>
      <c r="AM231" s="508"/>
    </row>
    <row r="232" spans="1:39">
      <c r="A232" s="41"/>
      <c r="B232" s="508"/>
      <c r="C232" s="508"/>
      <c r="D232" s="508"/>
      <c r="E232" s="508"/>
      <c r="F232" s="508"/>
      <c r="G232" s="508"/>
      <c r="H232" s="508"/>
      <c r="I232" s="508"/>
      <c r="J232" s="508"/>
      <c r="K232" s="508"/>
      <c r="L232" s="508"/>
      <c r="M232" s="508"/>
      <c r="N232" s="41"/>
      <c r="O232" s="508"/>
      <c r="P232" s="508"/>
      <c r="Q232" s="508"/>
      <c r="R232" s="508"/>
      <c r="S232" s="508"/>
      <c r="T232" s="508"/>
      <c r="U232" s="508"/>
      <c r="V232" s="508"/>
      <c r="W232" s="508"/>
      <c r="X232" s="508"/>
      <c r="Y232" s="508"/>
      <c r="Z232" s="508"/>
      <c r="AA232" s="508"/>
      <c r="AB232" s="508"/>
      <c r="AC232" s="508"/>
      <c r="AD232" s="508"/>
      <c r="AE232" s="508"/>
      <c r="AF232" s="508"/>
      <c r="AG232" s="508"/>
      <c r="AH232" s="508"/>
      <c r="AI232" s="508"/>
      <c r="AJ232" s="508"/>
      <c r="AK232" s="508"/>
      <c r="AL232" s="508"/>
      <c r="AM232" s="508"/>
    </row>
    <row r="233" spans="1:39" ht="18.75">
      <c r="A233" s="669" t="s">
        <v>769</v>
      </c>
      <c r="B233" s="554" t="s">
        <v>770</v>
      </c>
      <c r="C233" s="556"/>
      <c r="D233" s="556"/>
      <c r="E233" s="556"/>
      <c r="F233" s="556"/>
      <c r="G233" s="556"/>
      <c r="H233" s="556"/>
      <c r="I233" s="556"/>
      <c r="J233" s="556"/>
      <c r="K233" s="480"/>
      <c r="L233" s="480"/>
      <c r="M233" s="480"/>
      <c r="N233" s="669" t="s">
        <v>769</v>
      </c>
      <c r="O233" s="554" t="s">
        <v>771</v>
      </c>
      <c r="P233" s="556"/>
      <c r="Q233" s="556"/>
      <c r="R233" s="556"/>
      <c r="S233" s="556"/>
      <c r="T233" s="556"/>
      <c r="U233" s="556"/>
      <c r="V233" s="556"/>
      <c r="W233" s="556"/>
      <c r="X233" s="557"/>
      <c r="Y233" s="508"/>
      <c r="Z233" s="508"/>
      <c r="AA233" s="508"/>
      <c r="AB233" s="508"/>
      <c r="AC233" s="508"/>
      <c r="AD233" s="508"/>
      <c r="AE233" s="508"/>
      <c r="AF233" s="508"/>
      <c r="AG233" s="508"/>
      <c r="AH233" s="508"/>
      <c r="AI233" s="508"/>
      <c r="AJ233" s="508"/>
      <c r="AK233" s="508"/>
      <c r="AL233" s="508"/>
      <c r="AM233" s="508"/>
    </row>
    <row r="234" spans="1:39" ht="15.75" thickBot="1">
      <c r="A234" s="508"/>
      <c r="B234" s="86"/>
      <c r="C234" s="86"/>
      <c r="D234" s="86"/>
      <c r="E234" s="86"/>
      <c r="F234" s="508"/>
      <c r="G234" s="508"/>
      <c r="H234" s="508"/>
      <c r="I234" s="508"/>
      <c r="J234" s="508"/>
      <c r="K234" s="508"/>
      <c r="L234" s="508"/>
      <c r="M234" s="508"/>
      <c r="N234" s="508"/>
      <c r="O234" s="86"/>
      <c r="P234" s="86"/>
      <c r="Q234" s="86"/>
      <c r="R234" s="86"/>
      <c r="S234" s="508"/>
      <c r="T234" s="508"/>
      <c r="U234" s="508"/>
      <c r="V234" s="508"/>
      <c r="W234" s="508"/>
      <c r="X234" s="508"/>
      <c r="Y234" s="508"/>
      <c r="Z234" s="508"/>
      <c r="AA234" s="508"/>
      <c r="AB234" s="508"/>
      <c r="AC234" s="508"/>
      <c r="AD234" s="508"/>
      <c r="AE234" s="508"/>
      <c r="AF234" s="508"/>
      <c r="AG234" s="508"/>
      <c r="AH234" s="508"/>
      <c r="AI234" s="508"/>
      <c r="AJ234" s="508"/>
      <c r="AK234" s="508"/>
      <c r="AL234" s="508"/>
      <c r="AM234" s="508"/>
    </row>
    <row r="235" spans="1:39" ht="53.25" thickBot="1">
      <c r="A235" s="508"/>
      <c r="B235" s="109" t="s">
        <v>192</v>
      </c>
      <c r="C235" s="98" t="s">
        <v>193</v>
      </c>
      <c r="D235" s="98" t="s">
        <v>772</v>
      </c>
      <c r="E235" s="98" t="s">
        <v>693</v>
      </c>
      <c r="F235" s="99" t="s">
        <v>694</v>
      </c>
      <c r="G235" s="100"/>
      <c r="H235" s="508"/>
      <c r="I235" s="508"/>
      <c r="J235" s="508"/>
      <c r="K235" s="508"/>
      <c r="L235" s="508"/>
      <c r="M235" s="508"/>
      <c r="N235" s="508"/>
      <c r="O235" s="109" t="s">
        <v>192</v>
      </c>
      <c r="P235" s="98" t="s">
        <v>193</v>
      </c>
      <c r="Q235" s="98" t="s">
        <v>772</v>
      </c>
      <c r="R235" s="98" t="s">
        <v>773</v>
      </c>
      <c r="S235" s="99" t="s">
        <v>696</v>
      </c>
      <c r="T235" s="100"/>
      <c r="U235" s="508"/>
      <c r="V235" s="508"/>
      <c r="W235" s="508"/>
      <c r="X235" s="508"/>
      <c r="Y235" s="508"/>
      <c r="Z235" s="508"/>
      <c r="AA235" s="508"/>
      <c r="AB235" s="508"/>
      <c r="AC235" s="508"/>
      <c r="AD235" s="508"/>
      <c r="AE235" s="508"/>
      <c r="AF235" s="508"/>
      <c r="AG235" s="508"/>
      <c r="AH235" s="508"/>
      <c r="AI235" s="508"/>
      <c r="AJ235" s="508"/>
      <c r="AK235" s="508"/>
      <c r="AL235" s="508"/>
      <c r="AM235" s="508"/>
    </row>
    <row r="236" spans="1:39">
      <c r="A236" s="508"/>
      <c r="B236" s="814" t="s">
        <v>774</v>
      </c>
      <c r="C236" s="815" t="s">
        <v>194</v>
      </c>
      <c r="D236" s="102" t="s">
        <v>775</v>
      </c>
      <c r="E236" s="671">
        <v>5.9999999999999995E-4</v>
      </c>
      <c r="F236" s="560">
        <v>1.1999999999999999E-3</v>
      </c>
      <c r="G236" s="100"/>
      <c r="H236" s="72"/>
      <c r="I236" s="508"/>
      <c r="J236" s="508"/>
      <c r="K236" s="508"/>
      <c r="L236" s="508"/>
      <c r="M236" s="508"/>
      <c r="N236" s="508"/>
      <c r="O236" s="814" t="s">
        <v>774</v>
      </c>
      <c r="P236" s="815" t="s">
        <v>194</v>
      </c>
      <c r="Q236" s="102" t="s">
        <v>775</v>
      </c>
      <c r="R236" s="671">
        <v>5.9999999999999995E-4</v>
      </c>
      <c r="S236" s="560">
        <v>1.1999999999999999E-3</v>
      </c>
      <c r="T236" s="100"/>
      <c r="U236" s="72"/>
      <c r="V236" s="508"/>
      <c r="W236" s="508"/>
      <c r="X236" s="508"/>
      <c r="Y236" s="508"/>
      <c r="Z236" s="508"/>
      <c r="AA236" s="508"/>
      <c r="AB236" s="508"/>
      <c r="AC236" s="508"/>
      <c r="AD236" s="508"/>
      <c r="AE236" s="508"/>
      <c r="AF236" s="508"/>
      <c r="AG236" s="508"/>
      <c r="AH236" s="508"/>
      <c r="AI236" s="508"/>
      <c r="AJ236" s="508"/>
      <c r="AK236" s="508"/>
      <c r="AL236" s="508"/>
      <c r="AM236" s="508"/>
    </row>
    <row r="237" spans="1:39">
      <c r="A237" s="508"/>
      <c r="B237" s="807"/>
      <c r="C237" s="810"/>
      <c r="D237" s="670" t="s">
        <v>776</v>
      </c>
      <c r="E237" s="671">
        <v>5.0000000000000001E-4</v>
      </c>
      <c r="F237" s="560">
        <v>1E-3</v>
      </c>
      <c r="G237" s="45"/>
      <c r="H237" s="508"/>
      <c r="I237" s="508"/>
      <c r="J237" s="508"/>
      <c r="K237" s="508"/>
      <c r="L237" s="508"/>
      <c r="M237" s="508"/>
      <c r="N237" s="508"/>
      <c r="O237" s="807"/>
      <c r="P237" s="810"/>
      <c r="Q237" s="670" t="s">
        <v>776</v>
      </c>
      <c r="R237" s="671">
        <v>5.0000000000000001E-4</v>
      </c>
      <c r="S237" s="560">
        <v>1E-3</v>
      </c>
      <c r="T237" s="45"/>
      <c r="U237" s="508"/>
      <c r="V237" s="508"/>
      <c r="W237" s="508"/>
      <c r="X237" s="508"/>
      <c r="Y237" s="508"/>
      <c r="Z237" s="508"/>
      <c r="AA237" s="508"/>
      <c r="AB237" s="508"/>
      <c r="AC237" s="508"/>
      <c r="AD237" s="508"/>
      <c r="AE237" s="508"/>
      <c r="AF237" s="508"/>
      <c r="AG237" s="508"/>
      <c r="AH237" s="508"/>
      <c r="AI237" s="508"/>
      <c r="AJ237" s="508"/>
      <c r="AK237" s="508"/>
      <c r="AL237" s="508"/>
      <c r="AM237" s="508"/>
    </row>
    <row r="238" spans="1:39">
      <c r="A238" s="508"/>
      <c r="B238" s="808"/>
      <c r="C238" s="811"/>
      <c r="D238" s="110" t="s">
        <v>777</v>
      </c>
      <c r="E238" s="671">
        <v>3.0200000000000001E-2</v>
      </c>
      <c r="F238" s="560">
        <v>1.9199999999999998E-2</v>
      </c>
      <c r="G238" s="111"/>
      <c r="H238" s="45"/>
      <c r="I238" s="508"/>
      <c r="J238" s="508"/>
      <c r="K238" s="508"/>
      <c r="L238" s="508"/>
      <c r="M238" s="508"/>
      <c r="N238" s="508"/>
      <c r="O238" s="808"/>
      <c r="P238" s="811"/>
      <c r="Q238" s="110" t="s">
        <v>777</v>
      </c>
      <c r="R238" s="671">
        <v>3.0200000000000001E-2</v>
      </c>
      <c r="S238" s="560">
        <v>1.9199999999999998E-2</v>
      </c>
      <c r="T238" s="111"/>
      <c r="U238" s="45"/>
      <c r="V238" s="508"/>
      <c r="W238" s="508"/>
      <c r="X238" s="508"/>
      <c r="Y238" s="508"/>
      <c r="Z238" s="508"/>
      <c r="AA238" s="508"/>
      <c r="AB238" s="508"/>
      <c r="AC238" s="508"/>
      <c r="AD238" s="508"/>
      <c r="AE238" s="508"/>
      <c r="AF238" s="508"/>
      <c r="AG238" s="508"/>
      <c r="AH238" s="508"/>
      <c r="AI238" s="508"/>
      <c r="AJ238" s="508"/>
      <c r="AK238" s="508"/>
      <c r="AL238" s="508"/>
      <c r="AM238" s="508"/>
    </row>
    <row r="239" spans="1:39">
      <c r="A239" s="112"/>
      <c r="B239" s="806" t="s">
        <v>778</v>
      </c>
      <c r="C239" s="809" t="s">
        <v>194</v>
      </c>
      <c r="D239" s="670" t="s">
        <v>775</v>
      </c>
      <c r="E239" s="673">
        <v>1.1000000000000001E-3</v>
      </c>
      <c r="F239" s="571">
        <v>1.6999999999999999E-3</v>
      </c>
      <c r="G239" s="111"/>
      <c r="H239" s="45"/>
      <c r="I239" s="508"/>
      <c r="J239" s="508"/>
      <c r="K239" s="508"/>
      <c r="L239" s="508"/>
      <c r="M239" s="508"/>
      <c r="N239" s="112"/>
      <c r="O239" s="806" t="s">
        <v>778</v>
      </c>
      <c r="P239" s="809" t="s">
        <v>194</v>
      </c>
      <c r="Q239" s="670" t="s">
        <v>775</v>
      </c>
      <c r="R239" s="673">
        <v>1.1000000000000001E-3</v>
      </c>
      <c r="S239" s="571">
        <v>1.6999999999999999E-3</v>
      </c>
      <c r="T239" s="111"/>
      <c r="U239" s="45"/>
      <c r="V239" s="508"/>
      <c r="W239" s="508"/>
      <c r="X239" s="508"/>
      <c r="Y239" s="508"/>
      <c r="Z239" s="508"/>
      <c r="AA239" s="508"/>
      <c r="AB239" s="508"/>
      <c r="AC239" s="508"/>
      <c r="AD239" s="508"/>
      <c r="AE239" s="508"/>
      <c r="AF239" s="508"/>
      <c r="AG239" s="508"/>
      <c r="AH239" s="508"/>
      <c r="AI239" s="508"/>
      <c r="AJ239" s="508"/>
      <c r="AK239" s="508"/>
      <c r="AL239" s="508"/>
      <c r="AM239" s="508"/>
    </row>
    <row r="240" spans="1:39">
      <c r="A240" s="112"/>
      <c r="B240" s="807"/>
      <c r="C240" s="810"/>
      <c r="D240" s="670" t="s">
        <v>776</v>
      </c>
      <c r="E240" s="673">
        <v>8.9999999999999998E-4</v>
      </c>
      <c r="F240" s="571">
        <v>1.4E-3</v>
      </c>
      <c r="G240" s="45"/>
      <c r="H240" s="508"/>
      <c r="I240" s="508"/>
      <c r="J240" s="508"/>
      <c r="K240" s="508"/>
      <c r="L240" s="508"/>
      <c r="M240" s="508"/>
      <c r="N240" s="112"/>
      <c r="O240" s="807"/>
      <c r="P240" s="810"/>
      <c r="Q240" s="670" t="s">
        <v>776</v>
      </c>
      <c r="R240" s="673">
        <v>8.9999999999999998E-4</v>
      </c>
      <c r="S240" s="571">
        <v>1.4E-3</v>
      </c>
      <c r="T240" s="45"/>
      <c r="U240" s="508"/>
      <c r="V240" s="508"/>
      <c r="W240" s="508"/>
      <c r="X240" s="508"/>
      <c r="Y240" s="508"/>
      <c r="Z240" s="508"/>
      <c r="AA240" s="508"/>
      <c r="AB240" s="508"/>
      <c r="AC240" s="508"/>
      <c r="AD240" s="508"/>
      <c r="AE240" s="508"/>
      <c r="AF240" s="508"/>
      <c r="AG240" s="508"/>
      <c r="AH240" s="508"/>
      <c r="AI240" s="508"/>
      <c r="AJ240" s="508"/>
      <c r="AK240" s="508"/>
      <c r="AL240" s="508"/>
      <c r="AM240" s="508"/>
    </row>
    <row r="241" spans="1:39">
      <c r="A241" s="112"/>
      <c r="B241" s="808"/>
      <c r="C241" s="811"/>
      <c r="D241" s="110" t="s">
        <v>777</v>
      </c>
      <c r="E241" s="673">
        <v>2.9000000000000001E-2</v>
      </c>
      <c r="F241" s="571">
        <v>2.1399999999999999E-2</v>
      </c>
      <c r="G241" s="111"/>
      <c r="H241" s="508"/>
      <c r="I241" s="508"/>
      <c r="J241" s="508"/>
      <c r="K241" s="508"/>
      <c r="L241" s="508"/>
      <c r="M241" s="508"/>
      <c r="N241" s="112"/>
      <c r="O241" s="808"/>
      <c r="P241" s="811"/>
      <c r="Q241" s="110" t="s">
        <v>777</v>
      </c>
      <c r="R241" s="673">
        <v>2.9000000000000001E-2</v>
      </c>
      <c r="S241" s="571">
        <v>2.1399999999999999E-2</v>
      </c>
      <c r="T241" s="111"/>
      <c r="U241" s="508"/>
      <c r="V241" s="508"/>
      <c r="W241" s="508"/>
      <c r="X241" s="508"/>
      <c r="Y241" s="508"/>
      <c r="Z241" s="508"/>
      <c r="AA241" s="508"/>
      <c r="AB241" s="508"/>
      <c r="AC241" s="508"/>
      <c r="AD241" s="508"/>
      <c r="AE241" s="508"/>
      <c r="AF241" s="508"/>
      <c r="AG241" s="508"/>
      <c r="AH241" s="508"/>
      <c r="AI241" s="508"/>
      <c r="AJ241" s="508"/>
      <c r="AK241" s="508"/>
      <c r="AL241" s="508"/>
      <c r="AM241" s="508"/>
    </row>
    <row r="242" spans="1:39">
      <c r="A242" s="508"/>
      <c r="B242" s="806" t="s">
        <v>779</v>
      </c>
      <c r="C242" s="809" t="s">
        <v>194</v>
      </c>
      <c r="D242" s="670" t="s">
        <v>780</v>
      </c>
      <c r="E242" s="671">
        <v>5.1000000000000004E-3</v>
      </c>
      <c r="F242" s="560">
        <v>4.7999999999999996E-3</v>
      </c>
      <c r="G242" s="111"/>
      <c r="H242" s="508"/>
      <c r="I242" s="508"/>
      <c r="J242" s="508"/>
      <c r="K242" s="508"/>
      <c r="L242" s="508"/>
      <c r="M242" s="508"/>
      <c r="N242" s="508"/>
      <c r="O242" s="806" t="s">
        <v>779</v>
      </c>
      <c r="P242" s="809" t="s">
        <v>194</v>
      </c>
      <c r="Q242" s="670" t="s">
        <v>780</v>
      </c>
      <c r="R242" s="671">
        <v>5.1000000000000004E-3</v>
      </c>
      <c r="S242" s="560">
        <v>4.7999999999999996E-3</v>
      </c>
      <c r="T242" s="111"/>
      <c r="U242" s="508"/>
      <c r="V242" s="508"/>
      <c r="W242" s="508"/>
      <c r="X242" s="508"/>
      <c r="Y242" s="508"/>
      <c r="Z242" s="508"/>
      <c r="AA242" s="508"/>
      <c r="AB242" s="508"/>
      <c r="AC242" s="508"/>
      <c r="AD242" s="508"/>
      <c r="AE242" s="508"/>
      <c r="AF242" s="508"/>
      <c r="AG242" s="508"/>
      <c r="AH242" s="508"/>
      <c r="AI242" s="508"/>
      <c r="AJ242" s="508"/>
      <c r="AK242" s="508"/>
      <c r="AL242" s="508"/>
      <c r="AM242" s="508"/>
    </row>
    <row r="243" spans="1:39">
      <c r="A243" s="508"/>
      <c r="B243" s="808"/>
      <c r="C243" s="811"/>
      <c r="D243" s="110" t="s">
        <v>777</v>
      </c>
      <c r="E243" s="671">
        <v>9.4999999999999998E-3</v>
      </c>
      <c r="F243" s="560">
        <v>4.3099999999999999E-2</v>
      </c>
      <c r="G243" s="111"/>
      <c r="H243" s="508"/>
      <c r="I243" s="508"/>
      <c r="J243" s="508"/>
      <c r="K243" s="508"/>
      <c r="L243" s="508"/>
      <c r="M243" s="508"/>
      <c r="N243" s="508"/>
      <c r="O243" s="808"/>
      <c r="P243" s="811"/>
      <c r="Q243" s="110" t="s">
        <v>777</v>
      </c>
      <c r="R243" s="671">
        <v>9.4999999999999998E-3</v>
      </c>
      <c r="S243" s="560">
        <v>4.3099999999999999E-2</v>
      </c>
      <c r="T243" s="111"/>
      <c r="U243" s="508"/>
      <c r="V243" s="508"/>
      <c r="W243" s="508"/>
      <c r="X243" s="508"/>
      <c r="Y243" s="508"/>
      <c r="Z243" s="508"/>
      <c r="AA243" s="508"/>
      <c r="AB243" s="508"/>
      <c r="AC243" s="508"/>
      <c r="AD243" s="508"/>
      <c r="AE243" s="508"/>
      <c r="AF243" s="508"/>
      <c r="AG243" s="508"/>
      <c r="AH243" s="508"/>
      <c r="AI243" s="508"/>
      <c r="AJ243" s="508"/>
      <c r="AK243" s="508"/>
      <c r="AL243" s="508"/>
      <c r="AM243" s="508"/>
    </row>
    <row r="244" spans="1:39">
      <c r="A244" s="508"/>
      <c r="B244" s="797" t="s">
        <v>781</v>
      </c>
      <c r="C244" s="572" t="s">
        <v>782</v>
      </c>
      <c r="D244" s="674"/>
      <c r="E244" s="675">
        <v>1.4999999999999999E-2</v>
      </c>
      <c r="F244" s="573">
        <v>4.0000000000000001E-3</v>
      </c>
      <c r="G244" s="111"/>
      <c r="H244" s="508"/>
      <c r="I244" s="508"/>
      <c r="J244" s="508"/>
      <c r="K244" s="508"/>
      <c r="L244" s="508"/>
      <c r="M244" s="508"/>
      <c r="N244" s="508"/>
      <c r="O244" s="797" t="s">
        <v>781</v>
      </c>
      <c r="P244" s="572" t="s">
        <v>782</v>
      </c>
      <c r="Q244" s="674"/>
      <c r="R244" s="675">
        <v>1.4999999999999999E-2</v>
      </c>
      <c r="S244" s="573">
        <v>4.0000000000000001E-3</v>
      </c>
      <c r="T244" s="111"/>
      <c r="U244" s="508"/>
      <c r="V244" s="508"/>
      <c r="W244" s="508"/>
      <c r="X244" s="508"/>
      <c r="Y244" s="508"/>
      <c r="Z244" s="508"/>
      <c r="AA244" s="508"/>
      <c r="AB244" s="508"/>
      <c r="AC244" s="508"/>
      <c r="AD244" s="508"/>
      <c r="AE244" s="508"/>
      <c r="AF244" s="508"/>
      <c r="AG244" s="508"/>
      <c r="AH244" s="508"/>
      <c r="AI244" s="508"/>
      <c r="AJ244" s="508"/>
      <c r="AK244" s="508"/>
      <c r="AL244" s="508"/>
      <c r="AM244" s="508"/>
    </row>
    <row r="245" spans="1:39">
      <c r="A245" s="508"/>
      <c r="B245" s="798"/>
      <c r="C245" s="572" t="s">
        <v>783</v>
      </c>
      <c r="D245" s="674"/>
      <c r="E245" s="675">
        <v>1.4999999999999999E-2</v>
      </c>
      <c r="F245" s="573">
        <v>4.0000000000000001E-3</v>
      </c>
      <c r="G245" s="111"/>
      <c r="H245" s="508"/>
      <c r="I245" s="508"/>
      <c r="J245" s="508"/>
      <c r="K245" s="508"/>
      <c r="L245" s="508"/>
      <c r="M245" s="508"/>
      <c r="N245" s="508"/>
      <c r="O245" s="798"/>
      <c r="P245" s="572" t="s">
        <v>783</v>
      </c>
      <c r="Q245" s="674"/>
      <c r="R245" s="675">
        <v>1.4999999999999999E-2</v>
      </c>
      <c r="S245" s="573">
        <v>4.0000000000000001E-3</v>
      </c>
      <c r="T245" s="111"/>
      <c r="U245" s="508"/>
      <c r="V245" s="508"/>
      <c r="W245" s="508"/>
      <c r="X245" s="508"/>
      <c r="Y245" s="508"/>
      <c r="Z245" s="508"/>
      <c r="AA245" s="508"/>
      <c r="AB245" s="508"/>
      <c r="AC245" s="508"/>
      <c r="AD245" s="508"/>
      <c r="AE245" s="508"/>
      <c r="AF245" s="508"/>
      <c r="AG245" s="508"/>
      <c r="AH245" s="508"/>
      <c r="AI245" s="508"/>
      <c r="AJ245" s="508"/>
      <c r="AK245" s="508"/>
      <c r="AL245" s="508"/>
      <c r="AM245" s="508"/>
    </row>
    <row r="246" spans="1:39">
      <c r="A246" s="508"/>
      <c r="B246" s="798"/>
      <c r="C246" s="572" t="s">
        <v>784</v>
      </c>
      <c r="D246" s="674"/>
      <c r="E246" s="675">
        <v>0.14599999999999999</v>
      </c>
      <c r="F246" s="573">
        <v>4.0000000000000001E-3</v>
      </c>
      <c r="G246" s="111"/>
      <c r="H246" s="508"/>
      <c r="I246" s="508"/>
      <c r="J246" s="508"/>
      <c r="K246" s="508"/>
      <c r="L246" s="508"/>
      <c r="M246" s="508"/>
      <c r="N246" s="508"/>
      <c r="O246" s="798"/>
      <c r="P246" s="572" t="s">
        <v>784</v>
      </c>
      <c r="Q246" s="674"/>
      <c r="R246" s="675">
        <v>0.14599999999999999</v>
      </c>
      <c r="S246" s="573">
        <v>4.0000000000000001E-3</v>
      </c>
      <c r="T246" s="111"/>
      <c r="U246" s="508"/>
      <c r="V246" s="508"/>
      <c r="W246" s="508"/>
      <c r="X246" s="508"/>
      <c r="Y246" s="508"/>
      <c r="Z246" s="508"/>
      <c r="AA246" s="508"/>
      <c r="AB246" s="508"/>
      <c r="AC246" s="508"/>
      <c r="AD246" s="508"/>
      <c r="AE246" s="508"/>
      <c r="AF246" s="508"/>
      <c r="AG246" s="508"/>
      <c r="AH246" s="508"/>
      <c r="AI246" s="508"/>
      <c r="AJ246" s="508"/>
      <c r="AK246" s="508"/>
      <c r="AL246" s="508"/>
      <c r="AM246" s="508"/>
    </row>
    <row r="247" spans="1:39">
      <c r="A247" s="508"/>
      <c r="B247" s="798"/>
      <c r="C247" s="572" t="s">
        <v>522</v>
      </c>
      <c r="D247" s="674"/>
      <c r="E247" s="675">
        <v>1.4999999999999999E-2</v>
      </c>
      <c r="F247" s="573">
        <v>4.0000000000000001E-3</v>
      </c>
      <c r="G247" s="111"/>
      <c r="H247" s="508"/>
      <c r="I247" s="508"/>
      <c r="J247" s="508"/>
      <c r="K247" s="508"/>
      <c r="L247" s="508"/>
      <c r="M247" s="508"/>
      <c r="N247" s="508"/>
      <c r="O247" s="798"/>
      <c r="P247" s="572" t="s">
        <v>522</v>
      </c>
      <c r="Q247" s="674"/>
      <c r="R247" s="675">
        <v>1.4999999999999999E-2</v>
      </c>
      <c r="S247" s="573">
        <v>4.0000000000000001E-3</v>
      </c>
      <c r="T247" s="111"/>
      <c r="U247" s="508"/>
      <c r="V247" s="508"/>
      <c r="W247" s="508"/>
      <c r="X247" s="508"/>
      <c r="Y247" s="508"/>
      <c r="Z247" s="508"/>
      <c r="AA247" s="508"/>
      <c r="AB247" s="508"/>
      <c r="AC247" s="508"/>
      <c r="AD247" s="508"/>
      <c r="AE247" s="508"/>
      <c r="AF247" s="508"/>
      <c r="AG247" s="508"/>
      <c r="AH247" s="508"/>
      <c r="AI247" s="508"/>
      <c r="AJ247" s="508"/>
      <c r="AK247" s="508"/>
      <c r="AL247" s="508"/>
      <c r="AM247" s="508"/>
    </row>
    <row r="248" spans="1:39">
      <c r="A248" s="508"/>
      <c r="B248" s="799"/>
      <c r="C248" s="572" t="s">
        <v>785</v>
      </c>
      <c r="D248" s="674"/>
      <c r="E248" s="671">
        <v>0.03</v>
      </c>
      <c r="F248" s="560">
        <v>1.9E-2</v>
      </c>
      <c r="G248" s="111"/>
      <c r="H248" s="508"/>
      <c r="I248" s="508"/>
      <c r="J248" s="508"/>
      <c r="K248" s="508"/>
      <c r="L248" s="508"/>
      <c r="M248" s="508"/>
      <c r="N248" s="508"/>
      <c r="O248" s="799"/>
      <c r="P248" s="572" t="s">
        <v>785</v>
      </c>
      <c r="Q248" s="674"/>
      <c r="R248" s="671">
        <v>0.03</v>
      </c>
      <c r="S248" s="560">
        <v>1.9E-2</v>
      </c>
      <c r="T248" s="111"/>
      <c r="U248" s="508"/>
      <c r="V248" s="508"/>
      <c r="W248" s="508"/>
      <c r="X248" s="508"/>
      <c r="Y248" s="508"/>
      <c r="Z248" s="508"/>
      <c r="AA248" s="508"/>
      <c r="AB248" s="508"/>
      <c r="AC248" s="508"/>
      <c r="AD248" s="508"/>
      <c r="AE248" s="508"/>
      <c r="AF248" s="508"/>
      <c r="AG248" s="508"/>
      <c r="AH248" s="508"/>
      <c r="AI248" s="508"/>
      <c r="AJ248" s="508"/>
      <c r="AK248" s="508"/>
      <c r="AL248" s="508"/>
      <c r="AM248" s="508"/>
    </row>
    <row r="249" spans="1:39">
      <c r="A249" s="508"/>
      <c r="B249" s="797" t="s">
        <v>778</v>
      </c>
      <c r="C249" s="572" t="s">
        <v>783</v>
      </c>
      <c r="D249" s="674"/>
      <c r="E249" s="675">
        <v>1.6E-2</v>
      </c>
      <c r="F249" s="573">
        <v>5.0000000000000001E-3</v>
      </c>
      <c r="G249" s="111"/>
      <c r="H249" s="508"/>
      <c r="I249" s="508"/>
      <c r="J249" s="508"/>
      <c r="K249" s="508"/>
      <c r="L249" s="508"/>
      <c r="M249" s="508"/>
      <c r="N249" s="508"/>
      <c r="O249" s="797" t="s">
        <v>778</v>
      </c>
      <c r="P249" s="572" t="s">
        <v>783</v>
      </c>
      <c r="Q249" s="674"/>
      <c r="R249" s="675">
        <v>1.6E-2</v>
      </c>
      <c r="S249" s="573">
        <v>5.0000000000000001E-3</v>
      </c>
      <c r="T249" s="111"/>
      <c r="U249" s="508"/>
      <c r="V249" s="508"/>
      <c r="W249" s="508"/>
      <c r="X249" s="508"/>
      <c r="Y249" s="508"/>
      <c r="Z249" s="508"/>
      <c r="AA249" s="508"/>
      <c r="AB249" s="508"/>
      <c r="AC249" s="508"/>
      <c r="AD249" s="508"/>
      <c r="AE249" s="508"/>
      <c r="AF249" s="508"/>
      <c r="AG249" s="508"/>
      <c r="AH249" s="508"/>
      <c r="AI249" s="508"/>
      <c r="AJ249" s="508"/>
      <c r="AK249" s="508"/>
      <c r="AL249" s="508"/>
      <c r="AM249" s="508"/>
    </row>
    <row r="250" spans="1:39">
      <c r="A250" s="508"/>
      <c r="B250" s="798"/>
      <c r="C250" s="572" t="s">
        <v>784</v>
      </c>
      <c r="D250" s="674"/>
      <c r="E250" s="675">
        <v>0.158</v>
      </c>
      <c r="F250" s="573">
        <v>5.0000000000000001E-3</v>
      </c>
      <c r="G250" s="111"/>
      <c r="H250" s="508"/>
      <c r="I250" s="508"/>
      <c r="J250" s="508"/>
      <c r="K250" s="508"/>
      <c r="L250" s="508"/>
      <c r="M250" s="508"/>
      <c r="N250" s="508"/>
      <c r="O250" s="798"/>
      <c r="P250" s="572" t="s">
        <v>784</v>
      </c>
      <c r="Q250" s="674"/>
      <c r="R250" s="675">
        <v>0.158</v>
      </c>
      <c r="S250" s="573">
        <v>5.0000000000000001E-3</v>
      </c>
      <c r="T250" s="111"/>
      <c r="U250" s="508"/>
      <c r="V250" s="508"/>
      <c r="W250" s="508"/>
      <c r="X250" s="508"/>
      <c r="Y250" s="508"/>
      <c r="Z250" s="508"/>
      <c r="AA250" s="508"/>
      <c r="AB250" s="508"/>
      <c r="AC250" s="508"/>
      <c r="AD250" s="508"/>
      <c r="AE250" s="508"/>
      <c r="AF250" s="508"/>
      <c r="AG250" s="508"/>
      <c r="AH250" s="508"/>
      <c r="AI250" s="508"/>
      <c r="AJ250" s="508"/>
      <c r="AK250" s="508"/>
      <c r="AL250" s="508"/>
      <c r="AM250" s="508"/>
    </row>
    <row r="251" spans="1:39">
      <c r="A251" s="508"/>
      <c r="B251" s="798"/>
      <c r="C251" s="572" t="s">
        <v>522</v>
      </c>
      <c r="D251" s="674"/>
      <c r="E251" s="675">
        <v>1.6E-2</v>
      </c>
      <c r="F251" s="573">
        <v>5.0000000000000001E-3</v>
      </c>
      <c r="G251" s="111"/>
      <c r="H251" s="508"/>
      <c r="I251" s="508"/>
      <c r="J251" s="508"/>
      <c r="K251" s="508"/>
      <c r="L251" s="508"/>
      <c r="M251" s="508"/>
      <c r="N251" s="508"/>
      <c r="O251" s="798"/>
      <c r="P251" s="572" t="s">
        <v>522</v>
      </c>
      <c r="Q251" s="674"/>
      <c r="R251" s="675">
        <v>1.6E-2</v>
      </c>
      <c r="S251" s="573">
        <v>5.0000000000000001E-3</v>
      </c>
      <c r="T251" s="111"/>
      <c r="U251" s="508"/>
      <c r="V251" s="508"/>
      <c r="W251" s="508"/>
      <c r="X251" s="508"/>
      <c r="Y251" s="508"/>
      <c r="Z251" s="508"/>
      <c r="AA251" s="508"/>
      <c r="AB251" s="508"/>
      <c r="AC251" s="508"/>
      <c r="AD251" s="508"/>
      <c r="AE251" s="508"/>
      <c r="AF251" s="508"/>
      <c r="AG251" s="508"/>
      <c r="AH251" s="508"/>
      <c r="AI251" s="508"/>
      <c r="AJ251" s="508"/>
      <c r="AK251" s="508"/>
      <c r="AL251" s="508"/>
      <c r="AM251" s="508"/>
    </row>
    <row r="252" spans="1:39">
      <c r="A252" s="508"/>
      <c r="B252" s="798"/>
      <c r="C252" s="572" t="s">
        <v>786</v>
      </c>
      <c r="D252" s="674"/>
      <c r="E252" s="675">
        <v>0.158</v>
      </c>
      <c r="F252" s="573">
        <v>5.0000000000000001E-3</v>
      </c>
      <c r="G252" s="111"/>
      <c r="H252" s="508"/>
      <c r="I252" s="508"/>
      <c r="J252" s="508"/>
      <c r="K252" s="508"/>
      <c r="L252" s="508"/>
      <c r="M252" s="508"/>
      <c r="N252" s="508"/>
      <c r="O252" s="798"/>
      <c r="P252" s="572" t="s">
        <v>786</v>
      </c>
      <c r="Q252" s="674"/>
      <c r="R252" s="675">
        <v>0.158</v>
      </c>
      <c r="S252" s="573">
        <v>5.0000000000000001E-3</v>
      </c>
      <c r="T252" s="111"/>
      <c r="U252" s="508"/>
      <c r="V252" s="508"/>
      <c r="W252" s="508"/>
      <c r="X252" s="508"/>
      <c r="Y252" s="508"/>
      <c r="Z252" s="508"/>
      <c r="AA252" s="508"/>
      <c r="AB252" s="508"/>
      <c r="AC252" s="508"/>
      <c r="AD252" s="508"/>
      <c r="AE252" s="508"/>
      <c r="AF252" s="508"/>
      <c r="AG252" s="508"/>
      <c r="AH252" s="508"/>
      <c r="AI252" s="508"/>
      <c r="AJ252" s="508"/>
      <c r="AK252" s="508"/>
      <c r="AL252" s="508"/>
      <c r="AM252" s="508"/>
    </row>
    <row r="253" spans="1:39">
      <c r="A253" s="508"/>
      <c r="B253" s="799"/>
      <c r="C253" s="572" t="s">
        <v>785</v>
      </c>
      <c r="D253" s="674"/>
      <c r="E253" s="675">
        <v>2.9000000000000001E-2</v>
      </c>
      <c r="F253" s="573">
        <v>2.1000000000000001E-2</v>
      </c>
      <c r="G253" s="111"/>
      <c r="H253" s="508"/>
      <c r="I253" s="508"/>
      <c r="J253" s="508"/>
      <c r="K253" s="508"/>
      <c r="L253" s="508"/>
      <c r="M253" s="508"/>
      <c r="N253" s="508"/>
      <c r="O253" s="799"/>
      <c r="P253" s="572" t="s">
        <v>785</v>
      </c>
      <c r="Q253" s="674"/>
      <c r="R253" s="675">
        <v>2.9000000000000001E-2</v>
      </c>
      <c r="S253" s="573">
        <v>2.1000000000000001E-2</v>
      </c>
      <c r="T253" s="111"/>
      <c r="U253" s="508"/>
      <c r="V253" s="508"/>
      <c r="W253" s="508"/>
      <c r="X253" s="508"/>
      <c r="Y253" s="508"/>
      <c r="Z253" s="508"/>
      <c r="AA253" s="508"/>
      <c r="AB253" s="508"/>
      <c r="AC253" s="508"/>
      <c r="AD253" s="508"/>
      <c r="AE253" s="508"/>
      <c r="AF253" s="508"/>
      <c r="AG253" s="508"/>
      <c r="AH253" s="508"/>
      <c r="AI253" s="508"/>
      <c r="AJ253" s="508"/>
      <c r="AK253" s="508"/>
      <c r="AL253" s="508"/>
      <c r="AM253" s="508"/>
    </row>
    <row r="254" spans="1:39">
      <c r="A254" s="508"/>
      <c r="B254" s="797" t="s">
        <v>787</v>
      </c>
      <c r="C254" s="572" t="s">
        <v>784</v>
      </c>
      <c r="D254" s="674"/>
      <c r="E254" s="675">
        <v>1.829</v>
      </c>
      <c r="F254" s="560">
        <v>1E-3</v>
      </c>
      <c r="G254" s="111"/>
      <c r="H254" s="508"/>
      <c r="I254" s="508"/>
      <c r="J254" s="508"/>
      <c r="K254" s="508"/>
      <c r="L254" s="508"/>
      <c r="M254" s="508"/>
      <c r="N254" s="508"/>
      <c r="O254" s="797" t="s">
        <v>787</v>
      </c>
      <c r="P254" s="572" t="s">
        <v>784</v>
      </c>
      <c r="Q254" s="674"/>
      <c r="R254" s="675">
        <v>1.829</v>
      </c>
      <c r="S254" s="560">
        <v>1E-3</v>
      </c>
      <c r="T254" s="111"/>
      <c r="U254" s="508"/>
      <c r="V254" s="508"/>
      <c r="W254" s="508"/>
      <c r="X254" s="508"/>
      <c r="Y254" s="508"/>
      <c r="Z254" s="508"/>
      <c r="AA254" s="508"/>
      <c r="AB254" s="508"/>
      <c r="AC254" s="508"/>
      <c r="AD254" s="508"/>
      <c r="AE254" s="508"/>
      <c r="AF254" s="508"/>
      <c r="AG254" s="508"/>
      <c r="AH254" s="508"/>
      <c r="AI254" s="508"/>
      <c r="AJ254" s="508"/>
      <c r="AK254" s="508"/>
      <c r="AL254" s="508"/>
      <c r="AM254" s="508"/>
    </row>
    <row r="255" spans="1:39">
      <c r="A255" s="508"/>
      <c r="B255" s="798"/>
      <c r="C255" s="572" t="s">
        <v>522</v>
      </c>
      <c r="D255" s="674"/>
      <c r="E255" s="675">
        <v>8.9999999999999993E-3</v>
      </c>
      <c r="F255" s="573">
        <v>1.7999999999999999E-2</v>
      </c>
      <c r="G255" s="111"/>
      <c r="H255" s="508"/>
      <c r="I255" s="508"/>
      <c r="J255" s="508"/>
      <c r="K255" s="508"/>
      <c r="L255" s="508"/>
      <c r="M255" s="508"/>
      <c r="N255" s="508"/>
      <c r="O255" s="798"/>
      <c r="P255" s="572" t="s">
        <v>522</v>
      </c>
      <c r="Q255" s="674"/>
      <c r="R255" s="675">
        <v>8.9999999999999993E-3</v>
      </c>
      <c r="S255" s="573">
        <v>1.7999999999999999E-2</v>
      </c>
      <c r="T255" s="111"/>
      <c r="U255" s="508"/>
      <c r="V255" s="508"/>
      <c r="W255" s="508"/>
      <c r="X255" s="508"/>
      <c r="Y255" s="508"/>
      <c r="Z255" s="508"/>
      <c r="AA255" s="508"/>
      <c r="AB255" s="508"/>
      <c r="AC255" s="508"/>
      <c r="AD255" s="508"/>
      <c r="AE255" s="508"/>
      <c r="AF255" s="508"/>
      <c r="AG255" s="508"/>
      <c r="AH255" s="508"/>
      <c r="AI255" s="508"/>
      <c r="AJ255" s="508"/>
      <c r="AK255" s="508"/>
      <c r="AL255" s="508"/>
      <c r="AM255" s="508"/>
    </row>
    <row r="256" spans="1:39">
      <c r="A256" s="508"/>
      <c r="B256" s="798"/>
      <c r="C256" s="572" t="s">
        <v>786</v>
      </c>
      <c r="D256" s="674"/>
      <c r="E256" s="675">
        <v>1.829</v>
      </c>
      <c r="F256" s="560">
        <v>1E-3</v>
      </c>
      <c r="G256" s="111"/>
      <c r="H256" s="508"/>
      <c r="I256" s="508"/>
      <c r="J256" s="508"/>
      <c r="K256" s="508"/>
      <c r="L256" s="508"/>
      <c r="M256" s="508"/>
      <c r="N256" s="508"/>
      <c r="O256" s="798"/>
      <c r="P256" s="572" t="s">
        <v>786</v>
      </c>
      <c r="Q256" s="674"/>
      <c r="R256" s="675">
        <v>1.829</v>
      </c>
      <c r="S256" s="560">
        <v>1E-3</v>
      </c>
      <c r="T256" s="111"/>
      <c r="U256" s="508"/>
      <c r="V256" s="508"/>
      <c r="W256" s="508"/>
      <c r="X256" s="508"/>
      <c r="Y256" s="508"/>
      <c r="Z256" s="508"/>
      <c r="AA256" s="508"/>
      <c r="AB256" s="508"/>
      <c r="AC256" s="508"/>
      <c r="AD256" s="508"/>
      <c r="AE256" s="508"/>
      <c r="AF256" s="508"/>
      <c r="AG256" s="508"/>
      <c r="AH256" s="508"/>
      <c r="AI256" s="508"/>
      <c r="AJ256" s="508"/>
      <c r="AK256" s="508"/>
      <c r="AL256" s="508"/>
      <c r="AM256" s="508"/>
    </row>
    <row r="257" spans="1:39">
      <c r="A257" s="508"/>
      <c r="B257" s="799"/>
      <c r="C257" s="572" t="s">
        <v>785</v>
      </c>
      <c r="D257" s="674"/>
      <c r="E257" s="671">
        <v>8.9999999999999993E-3</v>
      </c>
      <c r="F257" s="560">
        <v>4.2999999999999997E-2</v>
      </c>
      <c r="G257" s="111"/>
      <c r="H257" s="508"/>
      <c r="I257" s="508"/>
      <c r="J257" s="508"/>
      <c r="K257" s="508"/>
      <c r="L257" s="508"/>
      <c r="M257" s="508"/>
      <c r="N257" s="508"/>
      <c r="O257" s="799"/>
      <c r="P257" s="572" t="s">
        <v>785</v>
      </c>
      <c r="Q257" s="674"/>
      <c r="R257" s="671">
        <v>8.9999999999999993E-3</v>
      </c>
      <c r="S257" s="560">
        <v>4.2999999999999997E-2</v>
      </c>
      <c r="T257" s="111"/>
      <c r="U257" s="508"/>
      <c r="V257" s="508"/>
      <c r="W257" s="508"/>
      <c r="X257" s="508"/>
      <c r="Y257" s="508"/>
      <c r="Z257" s="508"/>
      <c r="AA257" s="508"/>
      <c r="AB257" s="508"/>
      <c r="AC257" s="508"/>
      <c r="AD257" s="508"/>
      <c r="AE257" s="508"/>
      <c r="AF257" s="508"/>
      <c r="AG257" s="508"/>
      <c r="AH257" s="508"/>
      <c r="AI257" s="508"/>
      <c r="AJ257" s="508"/>
      <c r="AK257" s="508"/>
      <c r="AL257" s="508"/>
      <c r="AM257" s="508"/>
    </row>
    <row r="258" spans="1:39">
      <c r="A258" s="508"/>
      <c r="B258" s="797" t="s">
        <v>788</v>
      </c>
      <c r="C258" s="572" t="s">
        <v>782</v>
      </c>
      <c r="D258" s="674"/>
      <c r="E258" s="671">
        <v>7.4999999999999997E-2</v>
      </c>
      <c r="F258" s="560">
        <v>2.8000000000000001E-2</v>
      </c>
      <c r="G258" s="111"/>
      <c r="H258" s="508"/>
      <c r="I258" s="508"/>
      <c r="J258" s="508"/>
      <c r="K258" s="508"/>
      <c r="L258" s="508"/>
      <c r="M258" s="508"/>
      <c r="N258" s="508"/>
      <c r="O258" s="797" t="s">
        <v>788</v>
      </c>
      <c r="P258" s="572" t="s">
        <v>782</v>
      </c>
      <c r="Q258" s="674"/>
      <c r="R258" s="671">
        <v>7.4999999999999997E-2</v>
      </c>
      <c r="S258" s="560">
        <v>2.8000000000000001E-2</v>
      </c>
      <c r="T258" s="111"/>
      <c r="U258" s="508"/>
      <c r="V258" s="508"/>
      <c r="W258" s="508"/>
      <c r="X258" s="508"/>
      <c r="Y258" s="508"/>
      <c r="Z258" s="508"/>
      <c r="AA258" s="508"/>
      <c r="AB258" s="508"/>
      <c r="AC258" s="508"/>
      <c r="AD258" s="508"/>
      <c r="AE258" s="508"/>
      <c r="AF258" s="508"/>
      <c r="AG258" s="508"/>
      <c r="AH258" s="508"/>
      <c r="AI258" s="508"/>
      <c r="AJ258" s="508"/>
      <c r="AK258" s="508"/>
      <c r="AL258" s="508"/>
      <c r="AM258" s="508"/>
    </row>
    <row r="259" spans="1:39">
      <c r="A259" s="508"/>
      <c r="B259" s="798"/>
      <c r="C259" s="572" t="s">
        <v>783</v>
      </c>
      <c r="D259" s="674"/>
      <c r="E259" s="671">
        <v>7.4999999999999997E-2</v>
      </c>
      <c r="F259" s="560">
        <v>2.8000000000000001E-2</v>
      </c>
      <c r="G259" s="111"/>
      <c r="H259" s="508"/>
      <c r="I259" s="508"/>
      <c r="J259" s="508"/>
      <c r="K259" s="508"/>
      <c r="L259" s="508"/>
      <c r="M259" s="508"/>
      <c r="N259" s="508"/>
      <c r="O259" s="798"/>
      <c r="P259" s="572" t="s">
        <v>783</v>
      </c>
      <c r="Q259" s="674"/>
      <c r="R259" s="671">
        <v>7.4999999999999997E-2</v>
      </c>
      <c r="S259" s="560">
        <v>2.8000000000000001E-2</v>
      </c>
      <c r="T259" s="111"/>
      <c r="U259" s="508"/>
      <c r="V259" s="508"/>
      <c r="W259" s="508"/>
      <c r="X259" s="508"/>
      <c r="Y259" s="508"/>
      <c r="Z259" s="508"/>
      <c r="AA259" s="508"/>
      <c r="AB259" s="508"/>
      <c r="AC259" s="508"/>
      <c r="AD259" s="508"/>
      <c r="AE259" s="508"/>
      <c r="AF259" s="508"/>
      <c r="AG259" s="508"/>
      <c r="AH259" s="508"/>
      <c r="AI259" s="508"/>
      <c r="AJ259" s="508"/>
      <c r="AK259" s="508"/>
      <c r="AL259" s="508"/>
      <c r="AM259" s="508"/>
    </row>
    <row r="260" spans="1:39">
      <c r="A260" s="508"/>
      <c r="B260" s="798"/>
      <c r="C260" s="572" t="s">
        <v>784</v>
      </c>
      <c r="D260" s="674"/>
      <c r="E260" s="675">
        <v>0.92100000000000004</v>
      </c>
      <c r="F260" s="567" t="s">
        <v>763</v>
      </c>
      <c r="G260" s="111"/>
      <c r="H260" s="508"/>
      <c r="I260" s="508"/>
      <c r="J260" s="508"/>
      <c r="K260" s="508"/>
      <c r="L260" s="508"/>
      <c r="M260" s="508"/>
      <c r="N260" s="508"/>
      <c r="O260" s="798"/>
      <c r="P260" s="572" t="s">
        <v>784</v>
      </c>
      <c r="Q260" s="674"/>
      <c r="R260" s="675">
        <v>0.92100000000000004</v>
      </c>
      <c r="S260" s="567" t="s">
        <v>763</v>
      </c>
      <c r="T260" s="111"/>
      <c r="U260" s="508"/>
      <c r="V260" s="508"/>
      <c r="W260" s="508"/>
      <c r="X260" s="508"/>
      <c r="Y260" s="508"/>
      <c r="Z260" s="508"/>
      <c r="AA260" s="508"/>
      <c r="AB260" s="508"/>
      <c r="AC260" s="508"/>
      <c r="AD260" s="508"/>
      <c r="AE260" s="508"/>
      <c r="AF260" s="508"/>
      <c r="AG260" s="508"/>
      <c r="AH260" s="508"/>
      <c r="AI260" s="508"/>
      <c r="AJ260" s="508"/>
      <c r="AK260" s="508"/>
      <c r="AL260" s="508"/>
      <c r="AM260" s="508"/>
    </row>
    <row r="261" spans="1:39">
      <c r="A261" s="508"/>
      <c r="B261" s="798"/>
      <c r="C261" s="572" t="s">
        <v>522</v>
      </c>
      <c r="D261" s="674"/>
      <c r="E261" s="675">
        <v>3.0000000000000001E-3</v>
      </c>
      <c r="F261" s="573">
        <v>7.0000000000000001E-3</v>
      </c>
      <c r="G261" s="111"/>
      <c r="H261" s="508"/>
      <c r="I261" s="508"/>
      <c r="J261" s="508"/>
      <c r="K261" s="508"/>
      <c r="L261" s="508"/>
      <c r="M261" s="508"/>
      <c r="N261" s="508"/>
      <c r="O261" s="798"/>
      <c r="P261" s="572" t="s">
        <v>522</v>
      </c>
      <c r="Q261" s="674"/>
      <c r="R261" s="675">
        <v>3.0000000000000001E-3</v>
      </c>
      <c r="S261" s="573">
        <v>7.0000000000000001E-3</v>
      </c>
      <c r="T261" s="111"/>
      <c r="U261" s="508"/>
      <c r="V261" s="508"/>
      <c r="W261" s="508"/>
      <c r="X261" s="508"/>
      <c r="Y261" s="508"/>
      <c r="Z261" s="508"/>
      <c r="AA261" s="508"/>
      <c r="AB261" s="508"/>
      <c r="AC261" s="508"/>
      <c r="AD261" s="508"/>
      <c r="AE261" s="508"/>
      <c r="AF261" s="508"/>
      <c r="AG261" s="508"/>
      <c r="AH261" s="508"/>
      <c r="AI261" s="508"/>
      <c r="AJ261" s="508"/>
      <c r="AK261" s="508"/>
      <c r="AL261" s="508"/>
      <c r="AM261" s="508"/>
    </row>
    <row r="262" spans="1:39">
      <c r="A262" s="226"/>
      <c r="B262" s="798"/>
      <c r="C262" s="572" t="s">
        <v>786</v>
      </c>
      <c r="D262" s="674"/>
      <c r="E262" s="675">
        <v>0.92100000000000004</v>
      </c>
      <c r="F262" s="567" t="s">
        <v>763</v>
      </c>
      <c r="G262" s="480"/>
      <c r="H262" s="480"/>
      <c r="I262" s="86"/>
      <c r="J262" s="86"/>
      <c r="K262" s="480"/>
      <c r="L262" s="480"/>
      <c r="M262" s="480"/>
      <c r="N262" s="480"/>
      <c r="O262" s="798"/>
      <c r="P262" s="572" t="s">
        <v>786</v>
      </c>
      <c r="Q262" s="674"/>
      <c r="R262" s="675">
        <v>0.92100000000000004</v>
      </c>
      <c r="S262" s="567" t="s">
        <v>763</v>
      </c>
      <c r="T262" s="226"/>
      <c r="U262" s="226"/>
      <c r="V262" s="508"/>
      <c r="W262" s="508"/>
      <c r="X262" s="508"/>
      <c r="Y262" s="508"/>
      <c r="Z262" s="226"/>
      <c r="AA262" s="226"/>
      <c r="AB262" s="226"/>
      <c r="AC262" s="226"/>
      <c r="AD262" s="226"/>
      <c r="AE262" s="226"/>
      <c r="AF262" s="226"/>
      <c r="AG262" s="226"/>
      <c r="AH262" s="226"/>
      <c r="AI262" s="226"/>
      <c r="AJ262" s="226"/>
      <c r="AK262" s="226"/>
      <c r="AL262" s="226"/>
      <c r="AM262" s="226"/>
    </row>
    <row r="263" spans="1:39">
      <c r="A263" s="226"/>
      <c r="B263" s="799"/>
      <c r="C263" s="572" t="s">
        <v>785</v>
      </c>
      <c r="D263" s="674"/>
      <c r="E263" s="671">
        <v>8.9999999999999993E-3</v>
      </c>
      <c r="F263" s="560">
        <v>4.2999999999999997E-2</v>
      </c>
      <c r="G263" s="480"/>
      <c r="H263" s="480"/>
      <c r="I263" s="86"/>
      <c r="J263" s="86"/>
      <c r="K263" s="480"/>
      <c r="L263" s="480"/>
      <c r="M263" s="480"/>
      <c r="N263" s="480"/>
      <c r="O263" s="799"/>
      <c r="P263" s="572" t="s">
        <v>785</v>
      </c>
      <c r="Q263" s="674"/>
      <c r="R263" s="671">
        <v>8.9999999999999993E-3</v>
      </c>
      <c r="S263" s="560">
        <v>4.2999999999999997E-2</v>
      </c>
      <c r="T263" s="226"/>
      <c r="U263" s="226"/>
      <c r="V263" s="508"/>
      <c r="W263" s="508"/>
      <c r="X263" s="508"/>
      <c r="Y263" s="508"/>
      <c r="Z263" s="226"/>
      <c r="AA263" s="226"/>
      <c r="AB263" s="226"/>
      <c r="AC263" s="226"/>
      <c r="AD263" s="226"/>
      <c r="AE263" s="226"/>
      <c r="AF263" s="226"/>
      <c r="AG263" s="226"/>
      <c r="AH263" s="226"/>
      <c r="AI263" s="226"/>
      <c r="AJ263" s="226"/>
      <c r="AK263" s="226"/>
      <c r="AL263" s="226"/>
      <c r="AM263" s="226"/>
    </row>
    <row r="264" spans="1:39">
      <c r="A264" s="226"/>
      <c r="B264" s="797" t="s">
        <v>789</v>
      </c>
      <c r="C264" s="572" t="s">
        <v>782</v>
      </c>
      <c r="D264" s="674"/>
      <c r="E264" s="675">
        <v>0.10199999999999999</v>
      </c>
      <c r="F264" s="573">
        <v>4.7E-2</v>
      </c>
      <c r="G264" s="480"/>
      <c r="H264" s="480"/>
      <c r="I264" s="86"/>
      <c r="J264" s="86"/>
      <c r="K264" s="480"/>
      <c r="L264" s="480"/>
      <c r="M264" s="480"/>
      <c r="N264" s="480"/>
      <c r="O264" s="797" t="s">
        <v>789</v>
      </c>
      <c r="P264" s="572" t="s">
        <v>782</v>
      </c>
      <c r="Q264" s="674"/>
      <c r="R264" s="675">
        <v>0.10199999999999999</v>
      </c>
      <c r="S264" s="573">
        <v>4.7E-2</v>
      </c>
      <c r="T264" s="226"/>
      <c r="U264" s="226"/>
      <c r="V264" s="508"/>
      <c r="W264" s="508"/>
      <c r="X264" s="508"/>
      <c r="Y264" s="508"/>
      <c r="Z264" s="226"/>
      <c r="AA264" s="226"/>
      <c r="AB264" s="226"/>
      <c r="AC264" s="226"/>
      <c r="AD264" s="226"/>
      <c r="AE264" s="226"/>
      <c r="AF264" s="226"/>
      <c r="AG264" s="226"/>
      <c r="AH264" s="226"/>
      <c r="AI264" s="226"/>
      <c r="AJ264" s="226"/>
      <c r="AK264" s="226"/>
      <c r="AL264" s="226"/>
      <c r="AM264" s="226"/>
    </row>
    <row r="265" spans="1:39">
      <c r="A265" s="226"/>
      <c r="B265" s="798"/>
      <c r="C265" s="676" t="s">
        <v>783</v>
      </c>
      <c r="D265" s="674"/>
      <c r="E265" s="675">
        <v>0.10199999999999999</v>
      </c>
      <c r="F265" s="573">
        <v>4.7E-2</v>
      </c>
      <c r="G265" s="480"/>
      <c r="H265" s="480"/>
      <c r="I265" s="86"/>
      <c r="J265" s="86"/>
      <c r="K265" s="480"/>
      <c r="L265" s="480"/>
      <c r="M265" s="480"/>
      <c r="N265" s="480"/>
      <c r="O265" s="798"/>
      <c r="P265" s="676" t="s">
        <v>783</v>
      </c>
      <c r="Q265" s="674"/>
      <c r="R265" s="675">
        <v>0.10199999999999999</v>
      </c>
      <c r="S265" s="573">
        <v>4.7E-2</v>
      </c>
      <c r="T265" s="226"/>
      <c r="U265" s="226"/>
      <c r="V265" s="508"/>
      <c r="W265" s="508"/>
      <c r="X265" s="508"/>
      <c r="Y265" s="508"/>
      <c r="Z265" s="226"/>
      <c r="AA265" s="226"/>
      <c r="AB265" s="226"/>
      <c r="AC265" s="226"/>
      <c r="AD265" s="226"/>
      <c r="AE265" s="226"/>
      <c r="AF265" s="226"/>
      <c r="AG265" s="226"/>
      <c r="AH265" s="226"/>
      <c r="AI265" s="226"/>
      <c r="AJ265" s="226"/>
      <c r="AK265" s="226"/>
      <c r="AL265" s="226"/>
      <c r="AM265" s="226"/>
    </row>
    <row r="266" spans="1:39">
      <c r="A266" s="226"/>
      <c r="B266" s="798"/>
      <c r="C266" s="676" t="s">
        <v>784</v>
      </c>
      <c r="D266" s="674"/>
      <c r="E266" s="675">
        <v>2.7869999999999999</v>
      </c>
      <c r="F266" s="560">
        <v>1E-3</v>
      </c>
      <c r="G266" s="480"/>
      <c r="H266" s="480"/>
      <c r="I266" s="86"/>
      <c r="J266" s="86"/>
      <c r="K266" s="480"/>
      <c r="L266" s="480"/>
      <c r="M266" s="480"/>
      <c r="N266" s="480"/>
      <c r="O266" s="798"/>
      <c r="P266" s="676" t="s">
        <v>784</v>
      </c>
      <c r="Q266" s="674"/>
      <c r="R266" s="675">
        <v>2.7869999999999999</v>
      </c>
      <c r="S266" s="560">
        <v>1E-3</v>
      </c>
      <c r="T266" s="226"/>
      <c r="U266" s="226"/>
      <c r="V266" s="508"/>
      <c r="W266" s="508"/>
      <c r="X266" s="508"/>
      <c r="Y266" s="508"/>
      <c r="Z266" s="226"/>
      <c r="AA266" s="226"/>
      <c r="AB266" s="226"/>
      <c r="AC266" s="226"/>
      <c r="AD266" s="226"/>
      <c r="AE266" s="226"/>
      <c r="AF266" s="226"/>
      <c r="AG266" s="226"/>
      <c r="AH266" s="226"/>
      <c r="AI266" s="226"/>
      <c r="AJ266" s="226"/>
      <c r="AK266" s="226"/>
      <c r="AL266" s="226"/>
      <c r="AM266" s="226"/>
    </row>
    <row r="267" spans="1:39">
      <c r="A267" s="226"/>
      <c r="B267" s="798"/>
      <c r="C267" s="676" t="s">
        <v>522</v>
      </c>
      <c r="D267" s="674"/>
      <c r="E267" s="675">
        <v>0.01</v>
      </c>
      <c r="F267" s="573">
        <v>1.0999999999999999E-2</v>
      </c>
      <c r="G267" s="480"/>
      <c r="H267" s="480"/>
      <c r="I267" s="86"/>
      <c r="J267" s="86"/>
      <c r="K267" s="480"/>
      <c r="L267" s="480"/>
      <c r="M267" s="480"/>
      <c r="N267" s="480"/>
      <c r="O267" s="798"/>
      <c r="P267" s="676" t="s">
        <v>522</v>
      </c>
      <c r="Q267" s="674"/>
      <c r="R267" s="675">
        <v>0.01</v>
      </c>
      <c r="S267" s="573">
        <v>1.0999999999999999E-2</v>
      </c>
      <c r="T267" s="226"/>
      <c r="U267" s="226"/>
      <c r="V267" s="508"/>
      <c r="W267" s="508"/>
      <c r="X267" s="508"/>
      <c r="Y267" s="508"/>
      <c r="Z267" s="226"/>
      <c r="AA267" s="226"/>
      <c r="AB267" s="226"/>
      <c r="AC267" s="226"/>
      <c r="AD267" s="226"/>
      <c r="AE267" s="226"/>
      <c r="AF267" s="226"/>
      <c r="AG267" s="226"/>
      <c r="AH267" s="226"/>
      <c r="AI267" s="226"/>
      <c r="AJ267" s="226"/>
      <c r="AK267" s="226"/>
      <c r="AL267" s="226"/>
      <c r="AM267" s="226"/>
    </row>
    <row r="268" spans="1:39">
      <c r="A268" s="226"/>
      <c r="B268" s="798"/>
      <c r="C268" s="676" t="s">
        <v>786</v>
      </c>
      <c r="D268" s="674"/>
      <c r="E268" s="675">
        <v>2.7869999999999999</v>
      </c>
      <c r="F268" s="560">
        <v>1E-3</v>
      </c>
      <c r="G268" s="480"/>
      <c r="H268" s="480"/>
      <c r="I268" s="86"/>
      <c r="J268" s="86"/>
      <c r="K268" s="480"/>
      <c r="L268" s="480"/>
      <c r="M268" s="480"/>
      <c r="N268" s="480"/>
      <c r="O268" s="798"/>
      <c r="P268" s="676" t="s">
        <v>786</v>
      </c>
      <c r="Q268" s="674"/>
      <c r="R268" s="675">
        <v>2.7869999999999999</v>
      </c>
      <c r="S268" s="560">
        <v>1E-3</v>
      </c>
      <c r="T268" s="226"/>
      <c r="U268" s="226"/>
      <c r="V268" s="508"/>
      <c r="W268" s="508"/>
      <c r="X268" s="508"/>
      <c r="Y268" s="508"/>
      <c r="Z268" s="226"/>
      <c r="AA268" s="226"/>
      <c r="AB268" s="226"/>
      <c r="AC268" s="226"/>
      <c r="AD268" s="226"/>
      <c r="AE268" s="226"/>
      <c r="AF268" s="226"/>
      <c r="AG268" s="226"/>
      <c r="AH268" s="226"/>
      <c r="AI268" s="226"/>
      <c r="AJ268" s="226"/>
      <c r="AK268" s="226"/>
      <c r="AL268" s="226"/>
      <c r="AM268" s="226"/>
    </row>
    <row r="269" spans="1:39" ht="15.75" thickBot="1">
      <c r="A269" s="226"/>
      <c r="B269" s="800"/>
      <c r="C269" s="113" t="s">
        <v>785</v>
      </c>
      <c r="D269" s="114"/>
      <c r="E269" s="563">
        <v>8.9999999999999993E-3</v>
      </c>
      <c r="F269" s="564">
        <v>4.2999999999999997E-2</v>
      </c>
      <c r="G269" s="480"/>
      <c r="H269" s="480"/>
      <c r="I269" s="86"/>
      <c r="J269" s="86"/>
      <c r="K269" s="480"/>
      <c r="L269" s="480"/>
      <c r="M269" s="480"/>
      <c r="N269" s="480"/>
      <c r="O269" s="800"/>
      <c r="P269" s="113" t="s">
        <v>785</v>
      </c>
      <c r="Q269" s="114"/>
      <c r="R269" s="563">
        <v>8.9999999999999993E-3</v>
      </c>
      <c r="S269" s="564">
        <v>4.2999999999999997E-2</v>
      </c>
      <c r="T269" s="226"/>
      <c r="U269" s="226"/>
      <c r="V269" s="508"/>
      <c r="W269" s="508"/>
      <c r="X269" s="508"/>
      <c r="Y269" s="508"/>
      <c r="Z269" s="226"/>
      <c r="AA269" s="226"/>
      <c r="AB269" s="226"/>
      <c r="AC269" s="226"/>
      <c r="AD269" s="226"/>
      <c r="AE269" s="226"/>
      <c r="AF269" s="226"/>
      <c r="AG269" s="226"/>
      <c r="AH269" s="226"/>
      <c r="AI269" s="226"/>
      <c r="AJ269" s="226"/>
      <c r="AK269" s="226"/>
      <c r="AL269" s="226"/>
      <c r="AM269" s="226"/>
    </row>
    <row r="270" spans="1:39">
      <c r="A270" s="226"/>
      <c r="B270" s="230" t="s">
        <v>790</v>
      </c>
      <c r="C270" s="226"/>
      <c r="D270" s="226"/>
      <c r="E270" s="226"/>
      <c r="F270" s="226"/>
      <c r="G270" s="480"/>
      <c r="H270" s="472"/>
      <c r="I270" s="480"/>
      <c r="J270" s="480"/>
      <c r="K270" s="480"/>
      <c r="L270" s="480"/>
      <c r="M270" s="480"/>
      <c r="N270" s="480"/>
      <c r="O270" s="230" t="s">
        <v>790</v>
      </c>
      <c r="P270" s="226"/>
      <c r="Q270" s="226"/>
      <c r="R270" s="226"/>
      <c r="S270" s="226"/>
      <c r="T270" s="226"/>
      <c r="U270" s="45"/>
      <c r="V270" s="226"/>
      <c r="W270" s="226"/>
      <c r="X270" s="508"/>
      <c r="Y270" s="508"/>
      <c r="Z270" s="226"/>
      <c r="AA270" s="226"/>
      <c r="AB270" s="226"/>
      <c r="AC270" s="226"/>
      <c r="AD270" s="226"/>
      <c r="AE270" s="226"/>
      <c r="AF270" s="226"/>
      <c r="AG270" s="226"/>
      <c r="AH270" s="226"/>
      <c r="AI270" s="226"/>
      <c r="AJ270" s="226"/>
      <c r="AK270" s="226"/>
      <c r="AL270" s="226"/>
      <c r="AM270" s="226"/>
    </row>
    <row r="271" spans="1:39">
      <c r="A271" s="508"/>
      <c r="B271" s="115" t="s">
        <v>791</v>
      </c>
      <c r="C271" s="694"/>
      <c r="D271" s="694"/>
      <c r="E271" s="694"/>
      <c r="F271" s="116"/>
      <c r="G271" s="694"/>
      <c r="H271" s="508"/>
      <c r="I271" s="508"/>
      <c r="J271" s="508"/>
      <c r="K271" s="508"/>
      <c r="L271" s="508"/>
      <c r="M271" s="508"/>
      <c r="N271" s="508"/>
      <c r="O271" s="115" t="s">
        <v>791</v>
      </c>
      <c r="P271" s="694"/>
      <c r="Q271" s="694"/>
      <c r="R271" s="694"/>
      <c r="S271" s="116"/>
      <c r="T271" s="694"/>
      <c r="U271" s="508"/>
      <c r="V271" s="508"/>
      <c r="W271" s="508"/>
      <c r="X271" s="508"/>
      <c r="Y271" s="508"/>
      <c r="Z271" s="508"/>
      <c r="AA271" s="508"/>
      <c r="AB271" s="508"/>
      <c r="AC271" s="508"/>
      <c r="AD271" s="508"/>
      <c r="AE271" s="508"/>
      <c r="AF271" s="508"/>
      <c r="AG271" s="508"/>
      <c r="AH271" s="508"/>
      <c r="AI271" s="508"/>
      <c r="AJ271" s="508"/>
      <c r="AK271" s="508"/>
      <c r="AL271" s="508"/>
      <c r="AM271" s="508"/>
    </row>
    <row r="272" spans="1:39">
      <c r="A272" s="41"/>
      <c r="B272" s="812" t="s">
        <v>767</v>
      </c>
      <c r="C272" s="817"/>
      <c r="D272" s="817"/>
      <c r="E272" s="817"/>
      <c r="F272" s="817"/>
      <c r="G272" s="817"/>
      <c r="H272" s="817"/>
      <c r="I272" s="817"/>
      <c r="J272" s="817"/>
      <c r="K272" s="508"/>
      <c r="L272" s="508"/>
      <c r="M272" s="508"/>
      <c r="N272" s="41"/>
      <c r="O272" s="812" t="s">
        <v>768</v>
      </c>
      <c r="P272" s="812"/>
      <c r="Q272" s="812"/>
      <c r="R272" s="812"/>
      <c r="S272" s="812"/>
      <c r="T272" s="812"/>
      <c r="U272" s="812"/>
      <c r="V272" s="812"/>
      <c r="W272" s="812"/>
      <c r="X272" s="812"/>
      <c r="Y272" s="508"/>
      <c r="Z272" s="508"/>
      <c r="AA272" s="508"/>
      <c r="AB272" s="508"/>
      <c r="AC272" s="508"/>
      <c r="AD272" s="508"/>
      <c r="AE272" s="508"/>
      <c r="AF272" s="508"/>
      <c r="AG272" s="508"/>
      <c r="AH272" s="508"/>
      <c r="AI272" s="508"/>
      <c r="AJ272" s="508"/>
      <c r="AK272" s="508"/>
      <c r="AL272" s="508"/>
      <c r="AM272" s="508"/>
    </row>
    <row r="273" spans="1:39">
      <c r="A273" s="508"/>
      <c r="B273" s="244"/>
      <c r="C273" s="694"/>
      <c r="D273" s="694"/>
      <c r="E273" s="694"/>
      <c r="F273" s="116"/>
      <c r="G273" s="694"/>
      <c r="H273" s="508"/>
      <c r="I273" s="508"/>
      <c r="J273" s="508"/>
      <c r="K273" s="508"/>
      <c r="L273" s="508"/>
      <c r="M273" s="508"/>
      <c r="N273" s="508"/>
      <c r="O273" s="244"/>
      <c r="P273" s="694"/>
      <c r="Q273" s="694"/>
      <c r="R273" s="694"/>
      <c r="S273" s="116"/>
      <c r="T273" s="694"/>
      <c r="U273" s="508"/>
      <c r="V273" s="508"/>
      <c r="W273" s="508"/>
      <c r="X273" s="508"/>
      <c r="Y273" s="508"/>
      <c r="Z273" s="508"/>
      <c r="AA273" s="508"/>
      <c r="AB273" s="508"/>
      <c r="AC273" s="508"/>
      <c r="AD273" s="508"/>
      <c r="AE273" s="508"/>
      <c r="AF273" s="508"/>
      <c r="AG273" s="508"/>
      <c r="AH273" s="508"/>
      <c r="AI273" s="508"/>
      <c r="AJ273" s="508"/>
      <c r="AK273" s="508"/>
      <c r="AL273" s="508"/>
      <c r="AM273" s="508"/>
    </row>
    <row r="274" spans="1:39" ht="18.75">
      <c r="A274" s="669" t="s">
        <v>792</v>
      </c>
      <c r="B274" s="554" t="s">
        <v>793</v>
      </c>
      <c r="C274" s="574"/>
      <c r="D274" s="574"/>
      <c r="E274" s="574"/>
      <c r="F274" s="556"/>
      <c r="G274" s="556"/>
      <c r="H274" s="556"/>
      <c r="I274" s="556"/>
      <c r="J274" s="556"/>
      <c r="K274" s="480"/>
      <c r="L274" s="480"/>
      <c r="M274" s="480"/>
      <c r="N274" s="669" t="s">
        <v>792</v>
      </c>
      <c r="O274" s="554" t="s">
        <v>794</v>
      </c>
      <c r="P274" s="574"/>
      <c r="Q274" s="574"/>
      <c r="R274" s="574"/>
      <c r="S274" s="556"/>
      <c r="T274" s="556"/>
      <c r="U274" s="556"/>
      <c r="V274" s="556"/>
      <c r="W274" s="556"/>
      <c r="X274" s="557"/>
      <c r="Y274" s="508"/>
      <c r="Z274" s="508"/>
      <c r="AA274" s="508"/>
      <c r="AB274" s="508"/>
      <c r="AC274" s="508"/>
      <c r="AD274" s="508"/>
      <c r="AE274" s="508"/>
      <c r="AF274" s="508"/>
      <c r="AG274" s="508"/>
      <c r="AH274" s="508"/>
      <c r="AI274" s="508"/>
      <c r="AJ274" s="508"/>
      <c r="AK274" s="508"/>
      <c r="AL274" s="508"/>
      <c r="AM274" s="508"/>
    </row>
    <row r="275" spans="1:39" ht="15.75" thickBot="1">
      <c r="A275" s="508"/>
      <c r="B275" s="92"/>
      <c r="C275" s="508"/>
      <c r="D275" s="508"/>
      <c r="E275" s="508"/>
      <c r="F275" s="508"/>
      <c r="G275" s="508"/>
      <c r="H275" s="508"/>
      <c r="I275" s="508"/>
      <c r="J275" s="508"/>
      <c r="K275" s="508"/>
      <c r="L275" s="508"/>
      <c r="M275" s="508"/>
      <c r="N275" s="508"/>
      <c r="O275" s="92"/>
      <c r="P275" s="508"/>
      <c r="Q275" s="508"/>
      <c r="R275" s="508"/>
      <c r="S275" s="508"/>
      <c r="T275" s="508"/>
      <c r="U275" s="508"/>
      <c r="V275" s="508"/>
      <c r="W275" s="508"/>
      <c r="X275" s="508"/>
      <c r="Y275" s="508"/>
      <c r="Z275" s="508"/>
      <c r="AA275" s="508"/>
      <c r="AB275" s="508"/>
      <c r="AC275" s="508"/>
      <c r="AD275" s="508"/>
      <c r="AE275" s="508"/>
      <c r="AF275" s="508"/>
      <c r="AG275" s="508"/>
      <c r="AH275" s="508"/>
      <c r="AI275" s="508"/>
      <c r="AJ275" s="508"/>
      <c r="AK275" s="508"/>
      <c r="AL275" s="508"/>
      <c r="AM275" s="508"/>
    </row>
    <row r="276" spans="1:39" ht="53.25" thickBot="1">
      <c r="A276" s="508"/>
      <c r="B276" s="117" t="s">
        <v>192</v>
      </c>
      <c r="C276" s="98" t="s">
        <v>193</v>
      </c>
      <c r="D276" s="98" t="s">
        <v>795</v>
      </c>
      <c r="E276" s="99" t="s">
        <v>796</v>
      </c>
      <c r="F276" s="100"/>
      <c r="G276" s="508"/>
      <c r="H276" s="508"/>
      <c r="I276" s="508"/>
      <c r="J276" s="508"/>
      <c r="K276" s="508"/>
      <c r="L276" s="508"/>
      <c r="M276" s="508"/>
      <c r="N276" s="508"/>
      <c r="O276" s="117" t="s">
        <v>192</v>
      </c>
      <c r="P276" s="98" t="s">
        <v>193</v>
      </c>
      <c r="Q276" s="98" t="s">
        <v>797</v>
      </c>
      <c r="R276" s="99" t="s">
        <v>798</v>
      </c>
      <c r="S276" s="100"/>
      <c r="T276" s="508"/>
      <c r="U276" s="508"/>
      <c r="V276" s="508"/>
      <c r="W276" s="508"/>
      <c r="X276" s="508"/>
      <c r="Y276" s="508"/>
      <c r="Z276" s="508"/>
      <c r="AA276" s="508"/>
      <c r="AB276" s="508"/>
      <c r="AC276" s="508"/>
      <c r="AD276" s="508"/>
      <c r="AE276" s="508"/>
      <c r="AF276" s="508"/>
      <c r="AG276" s="508"/>
      <c r="AH276" s="508"/>
      <c r="AI276" s="508"/>
      <c r="AJ276" s="508"/>
      <c r="AK276" s="508"/>
      <c r="AL276" s="508"/>
      <c r="AM276" s="508"/>
    </row>
    <row r="277" spans="1:39">
      <c r="A277" s="508"/>
      <c r="B277" s="813" t="s">
        <v>799</v>
      </c>
      <c r="C277" s="572" t="s">
        <v>685</v>
      </c>
      <c r="D277" s="575">
        <v>1.1100000000000001</v>
      </c>
      <c r="E277" s="409">
        <v>0.32</v>
      </c>
      <c r="F277" s="100"/>
      <c r="G277" s="72"/>
      <c r="H277" s="508"/>
      <c r="I277" s="508"/>
      <c r="J277" s="508"/>
      <c r="K277" s="508"/>
      <c r="L277" s="508"/>
      <c r="M277" s="508"/>
      <c r="N277" s="508"/>
      <c r="O277" s="813" t="s">
        <v>799</v>
      </c>
      <c r="P277" s="572" t="s">
        <v>685</v>
      </c>
      <c r="Q277" s="575">
        <v>1.1100000000000001</v>
      </c>
      <c r="R277" s="409">
        <v>0.32</v>
      </c>
      <c r="S277" s="100"/>
      <c r="T277" s="72"/>
      <c r="U277" s="508"/>
      <c r="V277" s="508"/>
      <c r="W277" s="508"/>
      <c r="X277" s="508"/>
      <c r="Y277" s="508"/>
      <c r="Z277" s="508"/>
      <c r="AA277" s="508"/>
      <c r="AB277" s="508"/>
      <c r="AC277" s="508"/>
      <c r="AD277" s="508"/>
      <c r="AE277" s="508"/>
      <c r="AF277" s="508"/>
      <c r="AG277" s="508"/>
      <c r="AH277" s="508"/>
      <c r="AI277" s="508"/>
      <c r="AJ277" s="508"/>
      <c r="AK277" s="508"/>
      <c r="AL277" s="508"/>
      <c r="AM277" s="508"/>
    </row>
    <row r="278" spans="1:39">
      <c r="A278" s="508"/>
      <c r="B278" s="798"/>
      <c r="C278" s="572" t="s">
        <v>800</v>
      </c>
      <c r="D278" s="677">
        <v>4.6100000000000003</v>
      </c>
      <c r="E278" s="576">
        <v>0.08</v>
      </c>
      <c r="F278" s="72"/>
      <c r="G278" s="72"/>
      <c r="H278" s="508"/>
      <c r="I278" s="508"/>
      <c r="J278" s="508"/>
      <c r="K278" s="508"/>
      <c r="L278" s="508"/>
      <c r="M278" s="508"/>
      <c r="N278" s="508"/>
      <c r="O278" s="798"/>
      <c r="P278" s="572" t="s">
        <v>800</v>
      </c>
      <c r="Q278" s="677">
        <v>4.6100000000000003</v>
      </c>
      <c r="R278" s="576">
        <v>0.08</v>
      </c>
      <c r="S278" s="72"/>
      <c r="T278" s="72"/>
      <c r="U278" s="508"/>
      <c r="V278" s="508"/>
      <c r="W278" s="508"/>
      <c r="X278" s="508"/>
      <c r="Y278" s="508"/>
      <c r="Z278" s="508"/>
      <c r="AA278" s="508"/>
      <c r="AB278" s="508"/>
      <c r="AC278" s="508"/>
      <c r="AD278" s="508"/>
      <c r="AE278" s="508"/>
      <c r="AF278" s="508"/>
      <c r="AG278" s="508"/>
      <c r="AH278" s="508"/>
      <c r="AI278" s="508"/>
      <c r="AJ278" s="508"/>
      <c r="AK278" s="508"/>
      <c r="AL278" s="508"/>
      <c r="AM278" s="508"/>
    </row>
    <row r="279" spans="1:39">
      <c r="A279" s="508"/>
      <c r="B279" s="798"/>
      <c r="C279" s="572" t="s">
        <v>801</v>
      </c>
      <c r="D279" s="677">
        <v>2.25</v>
      </c>
      <c r="E279" s="576">
        <v>0.01</v>
      </c>
      <c r="F279" s="72"/>
      <c r="G279" s="72"/>
      <c r="H279" s="508"/>
      <c r="I279" s="508"/>
      <c r="J279" s="508"/>
      <c r="K279" s="508"/>
      <c r="L279" s="508"/>
      <c r="M279" s="508"/>
      <c r="N279" s="508"/>
      <c r="O279" s="798"/>
      <c r="P279" s="572" t="s">
        <v>801</v>
      </c>
      <c r="Q279" s="677">
        <v>2.25</v>
      </c>
      <c r="R279" s="576">
        <v>0.01</v>
      </c>
      <c r="S279" s="72"/>
      <c r="T279" s="72"/>
      <c r="U279" s="508"/>
      <c r="V279" s="508"/>
      <c r="W279" s="508"/>
      <c r="X279" s="508"/>
      <c r="Y279" s="508"/>
      <c r="Z279" s="508"/>
      <c r="AA279" s="508"/>
      <c r="AB279" s="508"/>
      <c r="AC279" s="508"/>
      <c r="AD279" s="508"/>
      <c r="AE279" s="508"/>
      <c r="AF279" s="508"/>
      <c r="AG279" s="508"/>
      <c r="AH279" s="508"/>
      <c r="AI279" s="508"/>
      <c r="AJ279" s="508"/>
      <c r="AK279" s="508"/>
      <c r="AL279" s="508"/>
      <c r="AM279" s="508"/>
    </row>
    <row r="280" spans="1:39">
      <c r="A280" s="508"/>
      <c r="B280" s="799"/>
      <c r="C280" s="572" t="s">
        <v>194</v>
      </c>
      <c r="D280" s="678">
        <v>6.41</v>
      </c>
      <c r="E280" s="576">
        <v>0.17</v>
      </c>
      <c r="F280" s="72"/>
      <c r="G280" s="72"/>
      <c r="H280" s="508"/>
      <c r="I280" s="508"/>
      <c r="J280" s="508"/>
      <c r="K280" s="508"/>
      <c r="L280" s="508"/>
      <c r="M280" s="508"/>
      <c r="N280" s="508"/>
      <c r="O280" s="799"/>
      <c r="P280" s="572" t="s">
        <v>194</v>
      </c>
      <c r="Q280" s="678">
        <v>6.41</v>
      </c>
      <c r="R280" s="576">
        <v>0.17</v>
      </c>
      <c r="S280" s="72"/>
      <c r="T280" s="72"/>
      <c r="U280" s="508"/>
      <c r="V280" s="508"/>
      <c r="W280" s="508"/>
      <c r="X280" s="508"/>
      <c r="Y280" s="508"/>
      <c r="Z280" s="508"/>
      <c r="AA280" s="508"/>
      <c r="AB280" s="508"/>
      <c r="AC280" s="508"/>
      <c r="AD280" s="508"/>
      <c r="AE280" s="508"/>
      <c r="AF280" s="508"/>
      <c r="AG280" s="508"/>
      <c r="AH280" s="508"/>
      <c r="AI280" s="508"/>
      <c r="AJ280" s="508"/>
      <c r="AK280" s="508"/>
      <c r="AL280" s="508"/>
      <c r="AM280" s="508"/>
    </row>
    <row r="281" spans="1:39">
      <c r="A281" s="508"/>
      <c r="B281" s="577" t="s">
        <v>802</v>
      </c>
      <c r="C281" s="572" t="s">
        <v>194</v>
      </c>
      <c r="D281" s="678">
        <v>0.8</v>
      </c>
      <c r="E281" s="576">
        <v>0.26</v>
      </c>
      <c r="F281" s="72"/>
      <c r="G281" s="72"/>
      <c r="H281" s="508"/>
      <c r="I281" s="508"/>
      <c r="J281" s="508"/>
      <c r="K281" s="508"/>
      <c r="L281" s="508"/>
      <c r="M281" s="508"/>
      <c r="N281" s="508"/>
      <c r="O281" s="577" t="s">
        <v>802</v>
      </c>
      <c r="P281" s="572" t="s">
        <v>194</v>
      </c>
      <c r="Q281" s="678">
        <v>0.8</v>
      </c>
      <c r="R281" s="576">
        <v>0.26</v>
      </c>
      <c r="S281" s="72"/>
      <c r="T281" s="72"/>
      <c r="U281" s="508"/>
      <c r="V281" s="508"/>
      <c r="W281" s="508"/>
      <c r="X281" s="508"/>
      <c r="Y281" s="508"/>
      <c r="Z281" s="508"/>
      <c r="AA281" s="508"/>
      <c r="AB281" s="508"/>
      <c r="AC281" s="508"/>
      <c r="AD281" s="508"/>
      <c r="AE281" s="508"/>
      <c r="AF281" s="508"/>
      <c r="AG281" s="508"/>
      <c r="AH281" s="508"/>
      <c r="AI281" s="508"/>
      <c r="AJ281" s="508"/>
      <c r="AK281" s="508"/>
      <c r="AL281" s="508"/>
      <c r="AM281" s="508"/>
    </row>
    <row r="282" spans="1:39">
      <c r="A282" s="508"/>
      <c r="B282" s="797" t="s">
        <v>803</v>
      </c>
      <c r="C282" s="572" t="s">
        <v>804</v>
      </c>
      <c r="D282" s="578" t="s">
        <v>763</v>
      </c>
      <c r="E282" s="576">
        <v>0.3</v>
      </c>
      <c r="F282" s="72"/>
      <c r="G282" s="72"/>
      <c r="H282" s="508"/>
      <c r="I282" s="508"/>
      <c r="J282" s="508"/>
      <c r="K282" s="508"/>
      <c r="L282" s="508"/>
      <c r="M282" s="508"/>
      <c r="N282" s="508"/>
      <c r="O282" s="797" t="s">
        <v>803</v>
      </c>
      <c r="P282" s="572" t="s">
        <v>804</v>
      </c>
      <c r="Q282" s="578" t="s">
        <v>763</v>
      </c>
      <c r="R282" s="576">
        <v>0.3</v>
      </c>
      <c r="S282" s="72"/>
      <c r="T282" s="72"/>
      <c r="U282" s="508"/>
      <c r="V282" s="508"/>
      <c r="W282" s="508"/>
      <c r="X282" s="508"/>
      <c r="Y282" s="508"/>
      <c r="Z282" s="508"/>
      <c r="AA282" s="508"/>
      <c r="AB282" s="508"/>
      <c r="AC282" s="508"/>
      <c r="AD282" s="508"/>
      <c r="AE282" s="508"/>
      <c r="AF282" s="508"/>
      <c r="AG282" s="508"/>
      <c r="AH282" s="508"/>
      <c r="AI282" s="508"/>
      <c r="AJ282" s="508"/>
      <c r="AK282" s="508"/>
      <c r="AL282" s="508"/>
      <c r="AM282" s="508"/>
    </row>
    <row r="283" spans="1:39">
      <c r="A283" s="508"/>
      <c r="B283" s="799"/>
      <c r="C283" s="572" t="s">
        <v>629</v>
      </c>
      <c r="D283" s="678">
        <v>7.06</v>
      </c>
      <c r="E283" s="576">
        <v>0.11</v>
      </c>
      <c r="F283" s="72"/>
      <c r="G283" s="72"/>
      <c r="H283" s="508"/>
      <c r="I283" s="508"/>
      <c r="J283" s="508"/>
      <c r="K283" s="508"/>
      <c r="L283" s="508"/>
      <c r="M283" s="508"/>
      <c r="N283" s="508"/>
      <c r="O283" s="799"/>
      <c r="P283" s="572" t="s">
        <v>629</v>
      </c>
      <c r="Q283" s="678">
        <v>7.06</v>
      </c>
      <c r="R283" s="576">
        <v>0.11</v>
      </c>
      <c r="S283" s="72"/>
      <c r="T283" s="72"/>
      <c r="U283" s="508"/>
      <c r="V283" s="508"/>
      <c r="W283" s="508"/>
      <c r="X283" s="508"/>
      <c r="Y283" s="508"/>
      <c r="Z283" s="508"/>
      <c r="AA283" s="508"/>
      <c r="AB283" s="508"/>
      <c r="AC283" s="508"/>
      <c r="AD283" s="508"/>
      <c r="AE283" s="508"/>
      <c r="AF283" s="508"/>
      <c r="AG283" s="508"/>
      <c r="AH283" s="508"/>
      <c r="AI283" s="508"/>
      <c r="AJ283" s="508"/>
      <c r="AK283" s="508"/>
      <c r="AL283" s="508"/>
      <c r="AM283" s="508"/>
    </row>
    <row r="284" spans="1:39">
      <c r="A284" s="508"/>
      <c r="B284" s="797" t="s">
        <v>805</v>
      </c>
      <c r="C284" s="572" t="s">
        <v>800</v>
      </c>
      <c r="D284" s="677">
        <v>6.92</v>
      </c>
      <c r="E284" s="579">
        <v>0.47</v>
      </c>
      <c r="F284" s="72"/>
      <c r="G284" s="72"/>
      <c r="H284" s="508"/>
      <c r="I284" s="508"/>
      <c r="J284" s="508"/>
      <c r="K284" s="508"/>
      <c r="L284" s="508"/>
      <c r="M284" s="508"/>
      <c r="N284" s="508"/>
      <c r="O284" s="797" t="s">
        <v>806</v>
      </c>
      <c r="P284" s="572" t="s">
        <v>800</v>
      </c>
      <c r="Q284" s="677">
        <v>6.92</v>
      </c>
      <c r="R284" s="579">
        <v>0.47</v>
      </c>
      <c r="S284" s="72"/>
      <c r="T284" s="72"/>
      <c r="U284" s="508"/>
      <c r="V284" s="508"/>
      <c r="W284" s="508"/>
      <c r="X284" s="508"/>
      <c r="Y284" s="508"/>
      <c r="Z284" s="508"/>
      <c r="AA284" s="508"/>
      <c r="AB284" s="508"/>
      <c r="AC284" s="508"/>
      <c r="AD284" s="508"/>
      <c r="AE284" s="508"/>
      <c r="AF284" s="508"/>
      <c r="AG284" s="508"/>
      <c r="AH284" s="508"/>
      <c r="AI284" s="508"/>
      <c r="AJ284" s="508"/>
      <c r="AK284" s="508"/>
      <c r="AL284" s="508"/>
      <c r="AM284" s="508"/>
    </row>
    <row r="285" spans="1:39">
      <c r="A285" s="508"/>
      <c r="B285" s="798"/>
      <c r="C285" s="572" t="s">
        <v>801</v>
      </c>
      <c r="D285" s="677">
        <v>1.93</v>
      </c>
      <c r="E285" s="579">
        <v>1.2</v>
      </c>
      <c r="F285" s="72"/>
      <c r="G285" s="72"/>
      <c r="H285" s="508"/>
      <c r="I285" s="508"/>
      <c r="J285" s="508"/>
      <c r="K285" s="508"/>
      <c r="L285" s="508"/>
      <c r="M285" s="508"/>
      <c r="N285" s="508"/>
      <c r="O285" s="798"/>
      <c r="P285" s="572" t="s">
        <v>801</v>
      </c>
      <c r="Q285" s="677">
        <v>1.93</v>
      </c>
      <c r="R285" s="579">
        <v>1.2</v>
      </c>
      <c r="S285" s="72"/>
      <c r="T285" s="72"/>
      <c r="U285" s="508"/>
      <c r="V285" s="508"/>
      <c r="W285" s="508"/>
      <c r="X285" s="508"/>
      <c r="Y285" s="508"/>
      <c r="Z285" s="508"/>
      <c r="AA285" s="508"/>
      <c r="AB285" s="508"/>
      <c r="AC285" s="508"/>
      <c r="AD285" s="508"/>
      <c r="AE285" s="508"/>
      <c r="AF285" s="508"/>
      <c r="AG285" s="508"/>
      <c r="AH285" s="508"/>
      <c r="AI285" s="508"/>
      <c r="AJ285" s="508"/>
      <c r="AK285" s="508"/>
      <c r="AL285" s="508"/>
      <c r="AM285" s="508"/>
    </row>
    <row r="286" spans="1:39">
      <c r="A286" s="508"/>
      <c r="B286" s="798"/>
      <c r="C286" s="572" t="s">
        <v>807</v>
      </c>
      <c r="D286" s="677">
        <v>1.93</v>
      </c>
      <c r="E286" s="579">
        <v>1.2</v>
      </c>
      <c r="F286" s="72"/>
      <c r="G286" s="72"/>
      <c r="H286" s="508"/>
      <c r="I286" s="508"/>
      <c r="J286" s="508"/>
      <c r="K286" s="508"/>
      <c r="L286" s="508"/>
      <c r="M286" s="508"/>
      <c r="N286" s="508"/>
      <c r="O286" s="798"/>
      <c r="P286" s="572" t="s">
        <v>807</v>
      </c>
      <c r="Q286" s="677">
        <v>1.93</v>
      </c>
      <c r="R286" s="579">
        <v>1.2</v>
      </c>
      <c r="S286" s="72"/>
      <c r="T286" s="72"/>
      <c r="U286" s="508"/>
      <c r="V286" s="508"/>
      <c r="W286" s="508"/>
      <c r="X286" s="508"/>
      <c r="Y286" s="508"/>
      <c r="Z286" s="508"/>
      <c r="AA286" s="508"/>
      <c r="AB286" s="508"/>
      <c r="AC286" s="508"/>
      <c r="AD286" s="508"/>
      <c r="AE286" s="508"/>
      <c r="AF286" s="508"/>
      <c r="AG286" s="508"/>
      <c r="AH286" s="508"/>
      <c r="AI286" s="508"/>
      <c r="AJ286" s="508"/>
      <c r="AK286" s="508"/>
      <c r="AL286" s="508"/>
      <c r="AM286" s="508"/>
    </row>
    <row r="287" spans="1:39">
      <c r="A287" s="508"/>
      <c r="B287" s="798"/>
      <c r="C287" s="572" t="s">
        <v>808</v>
      </c>
      <c r="D287" s="677">
        <v>1.27</v>
      </c>
      <c r="E287" s="579">
        <v>1.07</v>
      </c>
      <c r="F287" s="72"/>
      <c r="G287" s="72"/>
      <c r="H287" s="508"/>
      <c r="I287" s="508"/>
      <c r="J287" s="508"/>
      <c r="K287" s="508"/>
      <c r="L287" s="508"/>
      <c r="M287" s="508"/>
      <c r="N287" s="508"/>
      <c r="O287" s="798"/>
      <c r="P287" s="572" t="s">
        <v>808</v>
      </c>
      <c r="Q287" s="677">
        <v>1.27</v>
      </c>
      <c r="R287" s="579">
        <v>1.07</v>
      </c>
      <c r="S287" s="72"/>
      <c r="T287" s="72"/>
      <c r="U287" s="508"/>
      <c r="V287" s="508"/>
      <c r="W287" s="508"/>
      <c r="X287" s="508"/>
      <c r="Y287" s="508"/>
      <c r="Z287" s="508"/>
      <c r="AA287" s="508"/>
      <c r="AB287" s="508"/>
      <c r="AC287" s="508"/>
      <c r="AD287" s="508"/>
      <c r="AE287" s="508"/>
      <c r="AF287" s="508"/>
      <c r="AG287" s="508"/>
      <c r="AH287" s="508"/>
      <c r="AI287" s="508"/>
      <c r="AJ287" s="508"/>
      <c r="AK287" s="508"/>
      <c r="AL287" s="508"/>
      <c r="AM287" s="508"/>
    </row>
    <row r="288" spans="1:39">
      <c r="A288" s="508"/>
      <c r="B288" s="798"/>
      <c r="C288" s="572" t="s">
        <v>809</v>
      </c>
      <c r="D288" s="677">
        <v>0.91</v>
      </c>
      <c r="E288" s="579">
        <v>0.56000000000000005</v>
      </c>
      <c r="F288" s="72"/>
      <c r="G288" s="72"/>
      <c r="H288" s="508"/>
      <c r="I288" s="508"/>
      <c r="J288" s="508"/>
      <c r="K288" s="508"/>
      <c r="L288" s="508"/>
      <c r="M288" s="508"/>
      <c r="N288" s="508"/>
      <c r="O288" s="798"/>
      <c r="P288" s="572" t="s">
        <v>809</v>
      </c>
      <c r="Q288" s="677">
        <v>0.91</v>
      </c>
      <c r="R288" s="579">
        <v>0.56000000000000005</v>
      </c>
      <c r="S288" s="72"/>
      <c r="T288" s="72"/>
      <c r="U288" s="508"/>
      <c r="V288" s="508"/>
      <c r="W288" s="508"/>
      <c r="X288" s="508"/>
      <c r="Y288" s="508"/>
      <c r="Z288" s="508"/>
      <c r="AA288" s="508"/>
      <c r="AB288" s="508"/>
      <c r="AC288" s="508"/>
      <c r="AD288" s="508"/>
      <c r="AE288" s="508"/>
      <c r="AF288" s="508"/>
      <c r="AG288" s="508"/>
      <c r="AH288" s="508"/>
      <c r="AI288" s="508"/>
      <c r="AJ288" s="508"/>
      <c r="AK288" s="508"/>
      <c r="AL288" s="508"/>
      <c r="AM288" s="508"/>
    </row>
    <row r="289" spans="1:39">
      <c r="A289" s="508"/>
      <c r="B289" s="799"/>
      <c r="C289" s="572" t="s">
        <v>522</v>
      </c>
      <c r="D289" s="677">
        <v>0.33</v>
      </c>
      <c r="E289" s="579">
        <v>0.94</v>
      </c>
      <c r="F289" s="72"/>
      <c r="G289" s="72"/>
      <c r="H289" s="508"/>
      <c r="I289" s="508"/>
      <c r="J289" s="508"/>
      <c r="K289" s="508"/>
      <c r="L289" s="508"/>
      <c r="M289" s="508"/>
      <c r="N289" s="508"/>
      <c r="O289" s="799"/>
      <c r="P289" s="572" t="s">
        <v>522</v>
      </c>
      <c r="Q289" s="677">
        <v>0.33</v>
      </c>
      <c r="R289" s="579">
        <v>0.94</v>
      </c>
      <c r="S289" s="72"/>
      <c r="T289" s="72"/>
      <c r="U289" s="508"/>
      <c r="V289" s="508"/>
      <c r="W289" s="508"/>
      <c r="X289" s="508"/>
      <c r="Y289" s="508"/>
      <c r="Z289" s="508"/>
      <c r="AA289" s="508"/>
      <c r="AB289" s="508"/>
      <c r="AC289" s="508"/>
      <c r="AD289" s="508"/>
      <c r="AE289" s="508"/>
      <c r="AF289" s="508"/>
      <c r="AG289" s="508"/>
      <c r="AH289" s="508"/>
      <c r="AI289" s="508"/>
      <c r="AJ289" s="508"/>
      <c r="AK289" s="508"/>
      <c r="AL289" s="508"/>
      <c r="AM289" s="508"/>
    </row>
    <row r="290" spans="1:39">
      <c r="A290" s="508"/>
      <c r="B290" s="797" t="s">
        <v>810</v>
      </c>
      <c r="C290" s="572" t="s">
        <v>800</v>
      </c>
      <c r="D290" s="677">
        <v>7.98</v>
      </c>
      <c r="E290" s="579">
        <v>0.12</v>
      </c>
      <c r="F290" s="72"/>
      <c r="G290" s="72"/>
      <c r="H290" s="508"/>
      <c r="I290" s="508"/>
      <c r="J290" s="508"/>
      <c r="K290" s="508"/>
      <c r="L290" s="508"/>
      <c r="M290" s="508"/>
      <c r="N290" s="508"/>
      <c r="O290" s="797" t="s">
        <v>811</v>
      </c>
      <c r="P290" s="572" t="s">
        <v>800</v>
      </c>
      <c r="Q290" s="677">
        <v>7.98</v>
      </c>
      <c r="R290" s="579">
        <v>0.12</v>
      </c>
      <c r="S290" s="72"/>
      <c r="T290" s="72"/>
      <c r="U290" s="508"/>
      <c r="V290" s="508"/>
      <c r="W290" s="508"/>
      <c r="X290" s="508"/>
      <c r="Y290" s="508"/>
      <c r="Z290" s="508"/>
      <c r="AA290" s="508"/>
      <c r="AB290" s="508"/>
      <c r="AC290" s="508"/>
      <c r="AD290" s="508"/>
      <c r="AE290" s="508"/>
      <c r="AF290" s="508"/>
      <c r="AG290" s="508"/>
      <c r="AH290" s="508"/>
      <c r="AI290" s="508"/>
      <c r="AJ290" s="508"/>
      <c r="AK290" s="508"/>
      <c r="AL290" s="508"/>
      <c r="AM290" s="508"/>
    </row>
    <row r="291" spans="1:39">
      <c r="A291" s="508"/>
      <c r="B291" s="798"/>
      <c r="C291" s="572" t="s">
        <v>801</v>
      </c>
      <c r="D291" s="677">
        <v>2.85</v>
      </c>
      <c r="E291" s="579">
        <v>1.47</v>
      </c>
      <c r="F291" s="72"/>
      <c r="G291" s="72"/>
      <c r="H291" s="508"/>
      <c r="I291" s="508"/>
      <c r="J291" s="508"/>
      <c r="K291" s="508"/>
      <c r="L291" s="508"/>
      <c r="M291" s="508"/>
      <c r="N291" s="508"/>
      <c r="O291" s="798"/>
      <c r="P291" s="572" t="s">
        <v>801</v>
      </c>
      <c r="Q291" s="677">
        <v>2.85</v>
      </c>
      <c r="R291" s="579">
        <v>1.47</v>
      </c>
      <c r="S291" s="72"/>
      <c r="T291" s="72"/>
      <c r="U291" s="508"/>
      <c r="V291" s="508"/>
      <c r="W291" s="508"/>
      <c r="X291" s="508"/>
      <c r="Y291" s="508"/>
      <c r="Z291" s="508"/>
      <c r="AA291" s="508"/>
      <c r="AB291" s="508"/>
      <c r="AC291" s="508"/>
      <c r="AD291" s="508"/>
      <c r="AE291" s="508"/>
      <c r="AF291" s="508"/>
      <c r="AG291" s="508"/>
      <c r="AH291" s="508"/>
      <c r="AI291" s="508"/>
      <c r="AJ291" s="508"/>
      <c r="AK291" s="508"/>
      <c r="AL291" s="508"/>
      <c r="AM291" s="508"/>
    </row>
    <row r="292" spans="1:39">
      <c r="A292" s="508"/>
      <c r="B292" s="798"/>
      <c r="C292" s="572" t="s">
        <v>807</v>
      </c>
      <c r="D292" s="677">
        <v>2.85</v>
      </c>
      <c r="E292" s="579">
        <v>1.48</v>
      </c>
      <c r="F292" s="72"/>
      <c r="G292" s="72"/>
      <c r="H292" s="508"/>
      <c r="I292" s="508"/>
      <c r="J292" s="508"/>
      <c r="K292" s="508"/>
      <c r="L292" s="508"/>
      <c r="M292" s="508"/>
      <c r="N292" s="508"/>
      <c r="O292" s="798"/>
      <c r="P292" s="572" t="s">
        <v>807</v>
      </c>
      <c r="Q292" s="677">
        <v>2.85</v>
      </c>
      <c r="R292" s="579">
        <v>1.48</v>
      </c>
      <c r="S292" s="72"/>
      <c r="T292" s="72"/>
      <c r="U292" s="508"/>
      <c r="V292" s="508"/>
      <c r="W292" s="508"/>
      <c r="X292" s="508"/>
      <c r="Y292" s="508"/>
      <c r="Z292" s="508"/>
      <c r="AA292" s="508"/>
      <c r="AB292" s="508"/>
      <c r="AC292" s="508"/>
      <c r="AD292" s="508"/>
      <c r="AE292" s="508"/>
      <c r="AF292" s="508"/>
      <c r="AG292" s="508"/>
      <c r="AH292" s="508"/>
      <c r="AI292" s="508"/>
      <c r="AJ292" s="508"/>
      <c r="AK292" s="508"/>
      <c r="AL292" s="508"/>
      <c r="AM292" s="508"/>
    </row>
    <row r="293" spans="1:39">
      <c r="A293" s="508"/>
      <c r="B293" s="798"/>
      <c r="C293" s="572" t="s">
        <v>808</v>
      </c>
      <c r="D293" s="677">
        <v>1.01</v>
      </c>
      <c r="E293" s="579">
        <v>0.94</v>
      </c>
      <c r="F293" s="72"/>
      <c r="G293" s="72"/>
      <c r="H293" s="508"/>
      <c r="I293" s="508"/>
      <c r="J293" s="508"/>
      <c r="K293" s="508"/>
      <c r="L293" s="508"/>
      <c r="M293" s="508"/>
      <c r="N293" s="508"/>
      <c r="O293" s="798"/>
      <c r="P293" s="572" t="s">
        <v>808</v>
      </c>
      <c r="Q293" s="677">
        <v>1.01</v>
      </c>
      <c r="R293" s="579">
        <v>0.94</v>
      </c>
      <c r="S293" s="72"/>
      <c r="T293" s="72"/>
      <c r="U293" s="508"/>
      <c r="V293" s="508"/>
      <c r="W293" s="508"/>
      <c r="X293" s="508"/>
      <c r="Y293" s="508"/>
      <c r="Z293" s="508"/>
      <c r="AA293" s="508"/>
      <c r="AB293" s="508"/>
      <c r="AC293" s="508"/>
      <c r="AD293" s="508"/>
      <c r="AE293" s="508"/>
      <c r="AF293" s="508"/>
      <c r="AG293" s="508"/>
      <c r="AH293" s="508"/>
      <c r="AI293" s="508"/>
      <c r="AJ293" s="508"/>
      <c r="AK293" s="508"/>
      <c r="AL293" s="508"/>
      <c r="AM293" s="508"/>
    </row>
    <row r="294" spans="1:39">
      <c r="A294" s="508"/>
      <c r="B294" s="798"/>
      <c r="C294" s="572" t="s">
        <v>809</v>
      </c>
      <c r="D294" s="677">
        <v>0.91</v>
      </c>
      <c r="E294" s="579">
        <v>0.56000000000000005</v>
      </c>
      <c r="F294" s="72"/>
      <c r="G294" s="72"/>
      <c r="H294" s="508"/>
      <c r="I294" s="508"/>
      <c r="J294" s="508"/>
      <c r="K294" s="508"/>
      <c r="L294" s="508"/>
      <c r="M294" s="508"/>
      <c r="N294" s="508"/>
      <c r="O294" s="798"/>
      <c r="P294" s="572" t="s">
        <v>809</v>
      </c>
      <c r="Q294" s="677">
        <v>0.91</v>
      </c>
      <c r="R294" s="579">
        <v>0.56000000000000005</v>
      </c>
      <c r="S294" s="72"/>
      <c r="T294" s="72"/>
      <c r="U294" s="508"/>
      <c r="V294" s="508"/>
      <c r="W294" s="508"/>
      <c r="X294" s="508"/>
      <c r="Y294" s="508"/>
      <c r="Z294" s="508"/>
      <c r="AA294" s="508"/>
      <c r="AB294" s="508"/>
      <c r="AC294" s="508"/>
      <c r="AD294" s="508"/>
      <c r="AE294" s="508"/>
      <c r="AF294" s="508"/>
      <c r="AG294" s="508"/>
      <c r="AH294" s="508"/>
      <c r="AI294" s="508"/>
      <c r="AJ294" s="508"/>
      <c r="AK294" s="508"/>
      <c r="AL294" s="508"/>
      <c r="AM294" s="508"/>
    </row>
    <row r="295" spans="1:39">
      <c r="A295" s="508"/>
      <c r="B295" s="799"/>
      <c r="C295" s="580" t="s">
        <v>522</v>
      </c>
      <c r="D295" s="677">
        <v>0.59</v>
      </c>
      <c r="E295" s="579">
        <v>0.5</v>
      </c>
      <c r="F295" s="72"/>
      <c r="G295" s="72"/>
      <c r="H295" s="508"/>
      <c r="I295" s="508"/>
      <c r="J295" s="508"/>
      <c r="K295" s="508"/>
      <c r="L295" s="508"/>
      <c r="M295" s="508"/>
      <c r="N295" s="508"/>
      <c r="O295" s="799"/>
      <c r="P295" s="580" t="s">
        <v>522</v>
      </c>
      <c r="Q295" s="677">
        <v>0.59</v>
      </c>
      <c r="R295" s="579">
        <v>0.5</v>
      </c>
      <c r="S295" s="72"/>
      <c r="T295" s="72"/>
      <c r="U295" s="508"/>
      <c r="V295" s="508"/>
      <c r="W295" s="508"/>
      <c r="X295" s="508"/>
      <c r="Y295" s="508"/>
      <c r="Z295" s="508"/>
      <c r="AA295" s="508"/>
      <c r="AB295" s="508"/>
      <c r="AC295" s="508"/>
      <c r="AD295" s="508"/>
      <c r="AE295" s="508"/>
      <c r="AF295" s="508"/>
      <c r="AG295" s="508"/>
      <c r="AH295" s="508"/>
      <c r="AI295" s="508"/>
      <c r="AJ295" s="508"/>
      <c r="AK295" s="508"/>
      <c r="AL295" s="508"/>
      <c r="AM295" s="508"/>
    </row>
    <row r="296" spans="1:39">
      <c r="A296" s="508"/>
      <c r="B296" s="797" t="s">
        <v>812</v>
      </c>
      <c r="C296" s="572" t="s">
        <v>800</v>
      </c>
      <c r="D296" s="677">
        <v>7.28</v>
      </c>
      <c r="E296" s="579">
        <v>0.31</v>
      </c>
      <c r="F296" s="72"/>
      <c r="G296" s="72"/>
      <c r="H296" s="508"/>
      <c r="I296" s="508"/>
      <c r="J296" s="508"/>
      <c r="K296" s="508"/>
      <c r="L296" s="508"/>
      <c r="M296" s="508"/>
      <c r="N296" s="508"/>
      <c r="O296" s="797" t="s">
        <v>812</v>
      </c>
      <c r="P296" s="572" t="s">
        <v>800</v>
      </c>
      <c r="Q296" s="677">
        <v>7.28</v>
      </c>
      <c r="R296" s="579">
        <v>0.31</v>
      </c>
      <c r="S296" s="72"/>
      <c r="T296" s="72"/>
      <c r="U296" s="508"/>
      <c r="V296" s="508"/>
      <c r="W296" s="508"/>
      <c r="X296" s="508"/>
      <c r="Y296" s="508"/>
      <c r="Z296" s="508"/>
      <c r="AA296" s="508"/>
      <c r="AB296" s="508"/>
      <c r="AC296" s="508"/>
      <c r="AD296" s="508"/>
      <c r="AE296" s="508"/>
      <c r="AF296" s="508"/>
      <c r="AG296" s="508"/>
      <c r="AH296" s="508"/>
      <c r="AI296" s="508"/>
      <c r="AJ296" s="508"/>
      <c r="AK296" s="508"/>
      <c r="AL296" s="508"/>
      <c r="AM296" s="508"/>
    </row>
    <row r="297" spans="1:39">
      <c r="A297" s="508"/>
      <c r="B297" s="798"/>
      <c r="C297" s="572" t="s">
        <v>801</v>
      </c>
      <c r="D297" s="677">
        <v>2.99</v>
      </c>
      <c r="E297" s="579">
        <v>1.49</v>
      </c>
      <c r="F297" s="72"/>
      <c r="G297" s="72"/>
      <c r="H297" s="508"/>
      <c r="I297" s="508"/>
      <c r="J297" s="508"/>
      <c r="K297" s="508"/>
      <c r="L297" s="508"/>
      <c r="M297" s="508"/>
      <c r="N297" s="508"/>
      <c r="O297" s="798"/>
      <c r="P297" s="572" t="s">
        <v>801</v>
      </c>
      <c r="Q297" s="677">
        <v>2.99</v>
      </c>
      <c r="R297" s="579">
        <v>1.49</v>
      </c>
      <c r="S297" s="72"/>
      <c r="T297" s="72"/>
      <c r="U297" s="508"/>
      <c r="V297" s="508"/>
      <c r="W297" s="508"/>
      <c r="X297" s="508"/>
      <c r="Y297" s="508"/>
      <c r="Z297" s="508"/>
      <c r="AA297" s="508"/>
      <c r="AB297" s="508"/>
      <c r="AC297" s="508"/>
      <c r="AD297" s="508"/>
      <c r="AE297" s="508"/>
      <c r="AF297" s="508"/>
      <c r="AG297" s="508"/>
      <c r="AH297" s="508"/>
      <c r="AI297" s="508"/>
      <c r="AJ297" s="508"/>
      <c r="AK297" s="508"/>
      <c r="AL297" s="508"/>
      <c r="AM297" s="508"/>
    </row>
    <row r="298" spans="1:39">
      <c r="A298" s="508"/>
      <c r="B298" s="798"/>
      <c r="C298" s="572" t="s">
        <v>194</v>
      </c>
      <c r="D298" s="677">
        <v>0.67</v>
      </c>
      <c r="E298" s="579">
        <v>0.49</v>
      </c>
      <c r="F298" s="72"/>
      <c r="G298" s="72"/>
      <c r="H298" s="508"/>
      <c r="I298" s="508"/>
      <c r="J298" s="508"/>
      <c r="K298" s="508"/>
      <c r="L298" s="508"/>
      <c r="M298" s="508"/>
      <c r="N298" s="508"/>
      <c r="O298" s="798"/>
      <c r="P298" s="572" t="s">
        <v>194</v>
      </c>
      <c r="Q298" s="677">
        <v>0.67</v>
      </c>
      <c r="R298" s="579">
        <v>0.49</v>
      </c>
      <c r="S298" s="72"/>
      <c r="T298" s="72"/>
      <c r="U298" s="508"/>
      <c r="V298" s="508"/>
      <c r="W298" s="508"/>
      <c r="X298" s="508"/>
      <c r="Y298" s="508"/>
      <c r="Z298" s="508"/>
      <c r="AA298" s="508"/>
      <c r="AB298" s="508"/>
      <c r="AC298" s="508"/>
      <c r="AD298" s="508"/>
      <c r="AE298" s="508"/>
      <c r="AF298" s="508"/>
      <c r="AG298" s="508"/>
      <c r="AH298" s="508"/>
      <c r="AI298" s="508"/>
      <c r="AJ298" s="508"/>
      <c r="AK298" s="508"/>
      <c r="AL298" s="508"/>
      <c r="AM298" s="508"/>
    </row>
    <row r="299" spans="1:39">
      <c r="A299" s="508"/>
      <c r="B299" s="799"/>
      <c r="C299" s="118" t="s">
        <v>522</v>
      </c>
      <c r="D299" s="677">
        <v>0.41</v>
      </c>
      <c r="E299" s="579">
        <v>0.63</v>
      </c>
      <c r="F299" s="72"/>
      <c r="G299" s="72"/>
      <c r="H299" s="508"/>
      <c r="I299" s="508"/>
      <c r="J299" s="508"/>
      <c r="K299" s="508"/>
      <c r="L299" s="508"/>
      <c r="M299" s="508"/>
      <c r="N299" s="508"/>
      <c r="O299" s="799"/>
      <c r="P299" s="118" t="s">
        <v>522</v>
      </c>
      <c r="Q299" s="677">
        <v>0.41</v>
      </c>
      <c r="R299" s="579">
        <v>0.63</v>
      </c>
      <c r="S299" s="72"/>
      <c r="T299" s="72"/>
      <c r="U299" s="508"/>
      <c r="V299" s="508"/>
      <c r="W299" s="508"/>
      <c r="X299" s="508"/>
      <c r="Y299" s="508"/>
      <c r="Z299" s="508"/>
      <c r="AA299" s="508"/>
      <c r="AB299" s="508"/>
      <c r="AC299" s="508"/>
      <c r="AD299" s="508"/>
      <c r="AE299" s="508"/>
      <c r="AF299" s="508"/>
      <c r="AG299" s="508"/>
      <c r="AH299" s="508"/>
      <c r="AI299" s="508"/>
      <c r="AJ299" s="508"/>
      <c r="AK299" s="508"/>
      <c r="AL299" s="508"/>
      <c r="AM299" s="508"/>
    </row>
    <row r="300" spans="1:39">
      <c r="A300" s="508"/>
      <c r="B300" s="797" t="s">
        <v>813</v>
      </c>
      <c r="C300" s="572" t="s">
        <v>510</v>
      </c>
      <c r="D300" s="677">
        <v>1.03</v>
      </c>
      <c r="E300" s="579">
        <v>1.07</v>
      </c>
      <c r="F300" s="72"/>
      <c r="G300" s="72"/>
      <c r="H300" s="508"/>
      <c r="I300" s="508"/>
      <c r="J300" s="508"/>
      <c r="K300" s="508"/>
      <c r="L300" s="508"/>
      <c r="M300" s="508"/>
      <c r="N300" s="508"/>
      <c r="O300" s="797" t="s">
        <v>813</v>
      </c>
      <c r="P300" s="572" t="s">
        <v>510</v>
      </c>
      <c r="Q300" s="677">
        <v>1.03</v>
      </c>
      <c r="R300" s="579">
        <v>1.07</v>
      </c>
      <c r="S300" s="72"/>
      <c r="T300" s="72"/>
      <c r="U300" s="508"/>
      <c r="V300" s="508"/>
      <c r="W300" s="508"/>
      <c r="X300" s="508"/>
      <c r="Y300" s="508"/>
      <c r="Z300" s="508"/>
      <c r="AA300" s="508"/>
      <c r="AB300" s="508"/>
      <c r="AC300" s="508"/>
      <c r="AD300" s="508"/>
      <c r="AE300" s="508"/>
      <c r="AF300" s="508"/>
      <c r="AG300" s="508"/>
      <c r="AH300" s="508"/>
      <c r="AI300" s="508"/>
      <c r="AJ300" s="508"/>
      <c r="AK300" s="508"/>
      <c r="AL300" s="508"/>
      <c r="AM300" s="508"/>
    </row>
    <row r="301" spans="1:39">
      <c r="A301" s="508"/>
      <c r="B301" s="798"/>
      <c r="C301" s="572" t="s">
        <v>194</v>
      </c>
      <c r="D301" s="677">
        <v>1.88</v>
      </c>
      <c r="E301" s="579">
        <v>1.1599999999999999</v>
      </c>
      <c r="F301" s="72"/>
      <c r="G301" s="72"/>
      <c r="H301" s="508"/>
      <c r="I301" s="508"/>
      <c r="J301" s="508"/>
      <c r="K301" s="508"/>
      <c r="L301" s="508"/>
      <c r="M301" s="508"/>
      <c r="N301" s="508"/>
      <c r="O301" s="798"/>
      <c r="P301" s="572" t="s">
        <v>194</v>
      </c>
      <c r="Q301" s="677">
        <v>1.88</v>
      </c>
      <c r="R301" s="579">
        <v>1.1599999999999999</v>
      </c>
      <c r="S301" s="72"/>
      <c r="T301" s="72"/>
      <c r="U301" s="508"/>
      <c r="V301" s="508"/>
      <c r="W301" s="508"/>
      <c r="X301" s="508"/>
      <c r="Y301" s="508"/>
      <c r="Z301" s="508"/>
      <c r="AA301" s="508"/>
      <c r="AB301" s="508"/>
      <c r="AC301" s="508"/>
      <c r="AD301" s="508"/>
      <c r="AE301" s="508"/>
      <c r="AF301" s="508"/>
      <c r="AG301" s="508"/>
      <c r="AH301" s="508"/>
      <c r="AI301" s="508"/>
      <c r="AJ301" s="508"/>
      <c r="AK301" s="508"/>
      <c r="AL301" s="508"/>
      <c r="AM301" s="508"/>
    </row>
    <row r="302" spans="1:39">
      <c r="A302" s="508"/>
      <c r="B302" s="799"/>
      <c r="C302" s="572" t="s">
        <v>522</v>
      </c>
      <c r="D302" s="677">
        <v>0.35</v>
      </c>
      <c r="E302" s="579">
        <v>0.89</v>
      </c>
      <c r="F302" s="72"/>
      <c r="G302" s="72"/>
      <c r="H302" s="508"/>
      <c r="I302" s="508"/>
      <c r="J302" s="508"/>
      <c r="K302" s="508"/>
      <c r="L302" s="508"/>
      <c r="M302" s="508"/>
      <c r="N302" s="508"/>
      <c r="O302" s="799"/>
      <c r="P302" s="572" t="s">
        <v>522</v>
      </c>
      <c r="Q302" s="677">
        <v>0.35</v>
      </c>
      <c r="R302" s="579">
        <v>0.89</v>
      </c>
      <c r="S302" s="72"/>
      <c r="T302" s="72"/>
      <c r="U302" s="508"/>
      <c r="V302" s="508"/>
      <c r="W302" s="508"/>
      <c r="X302" s="508"/>
      <c r="Y302" s="508"/>
      <c r="Z302" s="508"/>
      <c r="AA302" s="508"/>
      <c r="AB302" s="508"/>
      <c r="AC302" s="508"/>
      <c r="AD302" s="508"/>
      <c r="AE302" s="508"/>
      <c r="AF302" s="508"/>
      <c r="AG302" s="508"/>
      <c r="AH302" s="508"/>
      <c r="AI302" s="508"/>
      <c r="AJ302" s="508"/>
      <c r="AK302" s="508"/>
      <c r="AL302" s="508"/>
      <c r="AM302" s="508"/>
    </row>
    <row r="303" spans="1:39">
      <c r="A303" s="508"/>
      <c r="B303" s="797" t="s">
        <v>814</v>
      </c>
      <c r="C303" s="572" t="s">
        <v>800</v>
      </c>
      <c r="D303" s="677">
        <v>7.12</v>
      </c>
      <c r="E303" s="579">
        <v>0.5</v>
      </c>
      <c r="F303" s="72"/>
      <c r="G303" s="72"/>
      <c r="H303" s="508"/>
      <c r="I303" s="508"/>
      <c r="J303" s="508"/>
      <c r="K303" s="508"/>
      <c r="L303" s="508"/>
      <c r="M303" s="508"/>
      <c r="N303" s="508"/>
      <c r="O303" s="797" t="s">
        <v>814</v>
      </c>
      <c r="P303" s="572" t="s">
        <v>800</v>
      </c>
      <c r="Q303" s="677">
        <v>7.12</v>
      </c>
      <c r="R303" s="579">
        <v>0.5</v>
      </c>
      <c r="S303" s="72"/>
      <c r="T303" s="72"/>
      <c r="U303" s="508"/>
      <c r="V303" s="508"/>
      <c r="W303" s="508"/>
      <c r="X303" s="508"/>
      <c r="Y303" s="508"/>
      <c r="Z303" s="508"/>
      <c r="AA303" s="508"/>
      <c r="AB303" s="508"/>
      <c r="AC303" s="508"/>
      <c r="AD303" s="508"/>
      <c r="AE303" s="508"/>
      <c r="AF303" s="508"/>
      <c r="AG303" s="508"/>
      <c r="AH303" s="508"/>
      <c r="AI303" s="508"/>
      <c r="AJ303" s="508"/>
      <c r="AK303" s="508"/>
      <c r="AL303" s="508"/>
      <c r="AM303" s="508"/>
    </row>
    <row r="304" spans="1:39">
      <c r="A304" s="508"/>
      <c r="B304" s="798"/>
      <c r="C304" s="572" t="s">
        <v>801</v>
      </c>
      <c r="D304" s="677">
        <v>2.74</v>
      </c>
      <c r="E304" s="579">
        <v>1.54</v>
      </c>
      <c r="F304" s="72"/>
      <c r="G304" s="72"/>
      <c r="H304" s="508"/>
      <c r="I304" s="508"/>
      <c r="J304" s="508"/>
      <c r="K304" s="508"/>
      <c r="L304" s="508"/>
      <c r="M304" s="508"/>
      <c r="N304" s="508"/>
      <c r="O304" s="798"/>
      <c r="P304" s="572" t="s">
        <v>801</v>
      </c>
      <c r="Q304" s="677">
        <v>2.74</v>
      </c>
      <c r="R304" s="579">
        <v>1.54</v>
      </c>
      <c r="S304" s="72"/>
      <c r="T304" s="72"/>
      <c r="U304" s="508"/>
      <c r="V304" s="508"/>
      <c r="W304" s="508"/>
      <c r="X304" s="508"/>
      <c r="Y304" s="508"/>
      <c r="Z304" s="508"/>
      <c r="AA304" s="508"/>
      <c r="AB304" s="508"/>
      <c r="AC304" s="508"/>
      <c r="AD304" s="508"/>
      <c r="AE304" s="508"/>
      <c r="AF304" s="508"/>
      <c r="AG304" s="508"/>
      <c r="AH304" s="508"/>
      <c r="AI304" s="508"/>
      <c r="AJ304" s="508"/>
      <c r="AK304" s="508"/>
      <c r="AL304" s="508"/>
      <c r="AM304" s="508"/>
    </row>
    <row r="305" spans="1:39">
      <c r="A305" s="508"/>
      <c r="B305" s="798"/>
      <c r="C305" s="572" t="s">
        <v>194</v>
      </c>
      <c r="D305" s="677">
        <v>0.41</v>
      </c>
      <c r="E305" s="579">
        <v>0.6</v>
      </c>
      <c r="F305" s="72"/>
      <c r="G305" s="72"/>
      <c r="H305" s="508"/>
      <c r="I305" s="508"/>
      <c r="J305" s="508"/>
      <c r="K305" s="508"/>
      <c r="L305" s="508"/>
      <c r="M305" s="508"/>
      <c r="N305" s="508"/>
      <c r="O305" s="798"/>
      <c r="P305" s="572" t="s">
        <v>194</v>
      </c>
      <c r="Q305" s="677">
        <v>0.41</v>
      </c>
      <c r="R305" s="579">
        <v>0.6</v>
      </c>
      <c r="S305" s="72"/>
      <c r="T305" s="72"/>
      <c r="U305" s="508"/>
      <c r="V305" s="508"/>
      <c r="W305" s="508"/>
      <c r="X305" s="508"/>
      <c r="Y305" s="508"/>
      <c r="Z305" s="508"/>
      <c r="AA305" s="508"/>
      <c r="AB305" s="508"/>
      <c r="AC305" s="508"/>
      <c r="AD305" s="508"/>
      <c r="AE305" s="508"/>
      <c r="AF305" s="508"/>
      <c r="AG305" s="508"/>
      <c r="AH305" s="508"/>
      <c r="AI305" s="508"/>
      <c r="AJ305" s="508"/>
      <c r="AK305" s="508"/>
      <c r="AL305" s="508"/>
      <c r="AM305" s="508"/>
    </row>
    <row r="306" spans="1:39">
      <c r="A306" s="508"/>
      <c r="B306" s="799"/>
      <c r="C306" s="572" t="s">
        <v>522</v>
      </c>
      <c r="D306" s="678">
        <v>0.45</v>
      </c>
      <c r="E306" s="576">
        <v>0.64</v>
      </c>
      <c r="F306" s="72"/>
      <c r="G306" s="72"/>
      <c r="H306" s="508"/>
      <c r="I306" s="508"/>
      <c r="J306" s="508"/>
      <c r="K306" s="508"/>
      <c r="L306" s="508"/>
      <c r="M306" s="508"/>
      <c r="N306" s="508"/>
      <c r="O306" s="799"/>
      <c r="P306" s="572" t="s">
        <v>522</v>
      </c>
      <c r="Q306" s="678">
        <v>0.45</v>
      </c>
      <c r="R306" s="576">
        <v>0.64</v>
      </c>
      <c r="S306" s="72"/>
      <c r="T306" s="72"/>
      <c r="U306" s="508"/>
      <c r="V306" s="508"/>
      <c r="W306" s="508"/>
      <c r="X306" s="508"/>
      <c r="Y306" s="508"/>
      <c r="Z306" s="508"/>
      <c r="AA306" s="508"/>
      <c r="AB306" s="508"/>
      <c r="AC306" s="508"/>
      <c r="AD306" s="508"/>
      <c r="AE306" s="508"/>
      <c r="AF306" s="508"/>
      <c r="AG306" s="508"/>
      <c r="AH306" s="508"/>
      <c r="AI306" s="508"/>
      <c r="AJ306" s="508"/>
      <c r="AK306" s="508"/>
      <c r="AL306" s="508"/>
      <c r="AM306" s="508"/>
    </row>
    <row r="307" spans="1:39">
      <c r="A307" s="508"/>
      <c r="B307" s="797" t="s">
        <v>815</v>
      </c>
      <c r="C307" s="572" t="s">
        <v>800</v>
      </c>
      <c r="D307" s="677">
        <v>9.68</v>
      </c>
      <c r="E307" s="567" t="s">
        <v>763</v>
      </c>
      <c r="F307" s="72"/>
      <c r="G307" s="72"/>
      <c r="H307" s="508"/>
      <c r="I307" s="508"/>
      <c r="J307" s="508"/>
      <c r="K307" s="508"/>
      <c r="L307" s="508"/>
      <c r="M307" s="508"/>
      <c r="N307" s="508"/>
      <c r="O307" s="797" t="s">
        <v>815</v>
      </c>
      <c r="P307" s="572" t="s">
        <v>800</v>
      </c>
      <c r="Q307" s="677">
        <v>9.68</v>
      </c>
      <c r="R307" s="567" t="s">
        <v>763</v>
      </c>
      <c r="S307" s="72"/>
      <c r="T307" s="72"/>
      <c r="U307" s="508"/>
      <c r="V307" s="508"/>
      <c r="W307" s="508"/>
      <c r="X307" s="508"/>
      <c r="Y307" s="508"/>
      <c r="Z307" s="508"/>
      <c r="AA307" s="508"/>
      <c r="AB307" s="508"/>
      <c r="AC307" s="508"/>
      <c r="AD307" s="508"/>
      <c r="AE307" s="508"/>
      <c r="AF307" s="508"/>
      <c r="AG307" s="508"/>
      <c r="AH307" s="508"/>
      <c r="AI307" s="508"/>
      <c r="AJ307" s="508"/>
      <c r="AK307" s="508"/>
      <c r="AL307" s="508"/>
      <c r="AM307" s="508"/>
    </row>
    <row r="308" spans="1:39">
      <c r="A308" s="508"/>
      <c r="B308" s="798"/>
      <c r="C308" s="572" t="s">
        <v>801</v>
      </c>
      <c r="D308" s="677">
        <v>3.24</v>
      </c>
      <c r="E308" s="579">
        <v>2.0499999999999998</v>
      </c>
      <c r="F308" s="72"/>
      <c r="G308" s="72"/>
      <c r="H308" s="508"/>
      <c r="I308" s="508"/>
      <c r="J308" s="508"/>
      <c r="K308" s="508"/>
      <c r="L308" s="508"/>
      <c r="M308" s="508"/>
      <c r="N308" s="508"/>
      <c r="O308" s="798"/>
      <c r="P308" s="572" t="s">
        <v>801</v>
      </c>
      <c r="Q308" s="677">
        <v>3.24</v>
      </c>
      <c r="R308" s="579">
        <v>2.0499999999999998</v>
      </c>
      <c r="S308" s="72"/>
      <c r="T308" s="72"/>
      <c r="U308" s="508"/>
      <c r="V308" s="508"/>
      <c r="W308" s="508"/>
      <c r="X308" s="508"/>
      <c r="Y308" s="508"/>
      <c r="Z308" s="508"/>
      <c r="AA308" s="508"/>
      <c r="AB308" s="508"/>
      <c r="AC308" s="508"/>
      <c r="AD308" s="508"/>
      <c r="AE308" s="508"/>
      <c r="AF308" s="508"/>
      <c r="AG308" s="508"/>
      <c r="AH308" s="508"/>
      <c r="AI308" s="508"/>
      <c r="AJ308" s="508"/>
      <c r="AK308" s="508"/>
      <c r="AL308" s="508"/>
      <c r="AM308" s="508"/>
    </row>
    <row r="309" spans="1:39">
      <c r="A309" s="508"/>
      <c r="B309" s="799"/>
      <c r="C309" s="572" t="s">
        <v>194</v>
      </c>
      <c r="D309" s="677">
        <v>0.48</v>
      </c>
      <c r="E309" s="579">
        <v>1.27</v>
      </c>
      <c r="F309" s="72"/>
      <c r="G309" s="72"/>
      <c r="H309" s="508"/>
      <c r="I309" s="508"/>
      <c r="J309" s="508"/>
      <c r="K309" s="508"/>
      <c r="L309" s="508"/>
      <c r="M309" s="508"/>
      <c r="N309" s="508"/>
      <c r="O309" s="799"/>
      <c r="P309" s="572" t="s">
        <v>194</v>
      </c>
      <c r="Q309" s="677">
        <v>0.48</v>
      </c>
      <c r="R309" s="579">
        <v>1.27</v>
      </c>
      <c r="S309" s="72"/>
      <c r="T309" s="72"/>
      <c r="U309" s="508"/>
      <c r="V309" s="508"/>
      <c r="W309" s="508"/>
      <c r="X309" s="508"/>
      <c r="Y309" s="508"/>
      <c r="Z309" s="508"/>
      <c r="AA309" s="508"/>
      <c r="AB309" s="508"/>
      <c r="AC309" s="508"/>
      <c r="AD309" s="508"/>
      <c r="AE309" s="508"/>
      <c r="AF309" s="508"/>
      <c r="AG309" s="508"/>
      <c r="AH309" s="508"/>
      <c r="AI309" s="508"/>
      <c r="AJ309" s="508"/>
      <c r="AK309" s="508"/>
      <c r="AL309" s="508"/>
      <c r="AM309" s="508"/>
    </row>
    <row r="310" spans="1:39">
      <c r="A310" s="508"/>
      <c r="B310" s="797" t="s">
        <v>816</v>
      </c>
      <c r="C310" s="572" t="s">
        <v>510</v>
      </c>
      <c r="D310" s="677">
        <v>3.24</v>
      </c>
      <c r="E310" s="579">
        <v>1.81</v>
      </c>
      <c r="F310" s="72"/>
      <c r="G310" s="72"/>
      <c r="H310" s="508"/>
      <c r="I310" s="508"/>
      <c r="J310" s="508"/>
      <c r="K310" s="508"/>
      <c r="L310" s="508"/>
      <c r="M310" s="508"/>
      <c r="N310" s="508"/>
      <c r="O310" s="797" t="s">
        <v>816</v>
      </c>
      <c r="P310" s="572" t="s">
        <v>510</v>
      </c>
      <c r="Q310" s="677">
        <v>3.24</v>
      </c>
      <c r="R310" s="579">
        <v>1.81</v>
      </c>
      <c r="S310" s="72"/>
      <c r="T310" s="72"/>
      <c r="U310" s="508"/>
      <c r="V310" s="508"/>
      <c r="W310" s="508"/>
      <c r="X310" s="508"/>
      <c r="Y310" s="508"/>
      <c r="Z310" s="508"/>
      <c r="AA310" s="508"/>
      <c r="AB310" s="508"/>
      <c r="AC310" s="508"/>
      <c r="AD310" s="508"/>
      <c r="AE310" s="508"/>
      <c r="AF310" s="508"/>
      <c r="AG310" s="508"/>
      <c r="AH310" s="508"/>
      <c r="AI310" s="508"/>
      <c r="AJ310" s="508"/>
      <c r="AK310" s="508"/>
      <c r="AL310" s="508"/>
      <c r="AM310" s="508"/>
    </row>
    <row r="311" spans="1:39">
      <c r="A311" s="508"/>
      <c r="B311" s="798"/>
      <c r="C311" s="572" t="s">
        <v>194</v>
      </c>
      <c r="D311" s="677">
        <v>0.38</v>
      </c>
      <c r="E311" s="579">
        <v>0.95</v>
      </c>
      <c r="F311" s="72"/>
      <c r="G311" s="72"/>
      <c r="H311" s="508"/>
      <c r="I311" s="508"/>
      <c r="J311" s="508"/>
      <c r="K311" s="508"/>
      <c r="L311" s="508"/>
      <c r="M311" s="508"/>
      <c r="N311" s="508"/>
      <c r="O311" s="798"/>
      <c r="P311" s="572" t="s">
        <v>194</v>
      </c>
      <c r="Q311" s="677">
        <v>0.38</v>
      </c>
      <c r="R311" s="579">
        <v>0.95</v>
      </c>
      <c r="S311" s="72"/>
      <c r="T311" s="72"/>
      <c r="U311" s="508"/>
      <c r="V311" s="508"/>
      <c r="W311" s="508"/>
      <c r="X311" s="508"/>
      <c r="Y311" s="508"/>
      <c r="Z311" s="508"/>
      <c r="AA311" s="508"/>
      <c r="AB311" s="508"/>
      <c r="AC311" s="508"/>
      <c r="AD311" s="508"/>
      <c r="AE311" s="508"/>
      <c r="AF311" s="508"/>
      <c r="AG311" s="508"/>
      <c r="AH311" s="508"/>
      <c r="AI311" s="508"/>
      <c r="AJ311" s="508"/>
      <c r="AK311" s="508"/>
      <c r="AL311" s="508"/>
      <c r="AM311" s="508"/>
    </row>
    <row r="312" spans="1:39">
      <c r="A312" s="508"/>
      <c r="B312" s="799"/>
      <c r="C312" s="572" t="s">
        <v>522</v>
      </c>
      <c r="D312" s="677">
        <v>1.99</v>
      </c>
      <c r="E312" s="579">
        <v>0.01</v>
      </c>
      <c r="F312" s="72"/>
      <c r="G312" s="72"/>
      <c r="H312" s="508"/>
      <c r="I312" s="508"/>
      <c r="J312" s="508"/>
      <c r="K312" s="508"/>
      <c r="L312" s="508"/>
      <c r="M312" s="508"/>
      <c r="N312" s="508"/>
      <c r="O312" s="799"/>
      <c r="P312" s="572" t="s">
        <v>522</v>
      </c>
      <c r="Q312" s="677">
        <v>1.99</v>
      </c>
      <c r="R312" s="579">
        <v>0.01</v>
      </c>
      <c r="S312" s="72"/>
      <c r="T312" s="72"/>
      <c r="U312" s="508"/>
      <c r="V312" s="508"/>
      <c r="W312" s="508"/>
      <c r="X312" s="508"/>
      <c r="Y312" s="508"/>
      <c r="Z312" s="508"/>
      <c r="AA312" s="508"/>
      <c r="AB312" s="508"/>
      <c r="AC312" s="508"/>
      <c r="AD312" s="508"/>
      <c r="AE312" s="508"/>
      <c r="AF312" s="508"/>
      <c r="AG312" s="508"/>
      <c r="AH312" s="508"/>
      <c r="AI312" s="508"/>
      <c r="AJ312" s="508"/>
      <c r="AK312" s="508"/>
      <c r="AL312" s="508"/>
      <c r="AM312" s="508"/>
    </row>
    <row r="313" spans="1:39">
      <c r="A313" s="508"/>
      <c r="B313" s="797" t="s">
        <v>817</v>
      </c>
      <c r="C313" s="572" t="s">
        <v>800</v>
      </c>
      <c r="D313" s="677">
        <v>17.61</v>
      </c>
      <c r="E313" s="579">
        <v>0.11</v>
      </c>
      <c r="F313" s="72"/>
      <c r="G313" s="72"/>
      <c r="H313" s="508"/>
      <c r="I313" s="508"/>
      <c r="J313" s="508"/>
      <c r="K313" s="508"/>
      <c r="L313" s="508"/>
      <c r="M313" s="508"/>
      <c r="N313" s="508"/>
      <c r="O313" s="797" t="s">
        <v>817</v>
      </c>
      <c r="P313" s="572" t="s">
        <v>800</v>
      </c>
      <c r="Q313" s="677">
        <v>17.61</v>
      </c>
      <c r="R313" s="579">
        <v>0.11</v>
      </c>
      <c r="S313" s="72"/>
      <c r="T313" s="72"/>
      <c r="U313" s="508"/>
      <c r="V313" s="508"/>
      <c r="W313" s="508"/>
      <c r="X313" s="508"/>
      <c r="Y313" s="508"/>
      <c r="Z313" s="508"/>
      <c r="AA313" s="508"/>
      <c r="AB313" s="508"/>
      <c r="AC313" s="508"/>
      <c r="AD313" s="508"/>
      <c r="AE313" s="508"/>
      <c r="AF313" s="508"/>
      <c r="AG313" s="508"/>
      <c r="AH313" s="508"/>
      <c r="AI313" s="508"/>
      <c r="AJ313" s="508"/>
      <c r="AK313" s="508"/>
      <c r="AL313" s="508"/>
      <c r="AM313" s="508"/>
    </row>
    <row r="314" spans="1:39">
      <c r="A314" s="508"/>
      <c r="B314" s="798"/>
      <c r="C314" s="572" t="s">
        <v>801</v>
      </c>
      <c r="D314" s="677">
        <v>2.87</v>
      </c>
      <c r="E314" s="579">
        <v>1.5</v>
      </c>
      <c r="F314" s="72"/>
      <c r="G314" s="72"/>
      <c r="H314" s="508"/>
      <c r="I314" s="508"/>
      <c r="J314" s="508"/>
      <c r="K314" s="508"/>
      <c r="L314" s="508"/>
      <c r="M314" s="508"/>
      <c r="N314" s="508"/>
      <c r="O314" s="798"/>
      <c r="P314" s="572" t="s">
        <v>801</v>
      </c>
      <c r="Q314" s="677">
        <v>2.87</v>
      </c>
      <c r="R314" s="579">
        <v>1.5</v>
      </c>
      <c r="S314" s="72"/>
      <c r="T314" s="72"/>
      <c r="U314" s="508"/>
      <c r="V314" s="508"/>
      <c r="W314" s="508"/>
      <c r="X314" s="508"/>
      <c r="Y314" s="508"/>
      <c r="Z314" s="508"/>
      <c r="AA314" s="508"/>
      <c r="AB314" s="508"/>
      <c r="AC314" s="508"/>
      <c r="AD314" s="508"/>
      <c r="AE314" s="508"/>
      <c r="AF314" s="508"/>
      <c r="AG314" s="508"/>
      <c r="AH314" s="508"/>
      <c r="AI314" s="508"/>
      <c r="AJ314" s="508"/>
      <c r="AK314" s="508"/>
      <c r="AL314" s="508"/>
      <c r="AM314" s="508"/>
    </row>
    <row r="315" spans="1:39">
      <c r="A315" s="508"/>
      <c r="B315" s="798"/>
      <c r="C315" s="572" t="s">
        <v>194</v>
      </c>
      <c r="D315" s="677">
        <v>0.73</v>
      </c>
      <c r="E315" s="579">
        <v>0.66</v>
      </c>
      <c r="F315" s="72"/>
      <c r="G315" s="72"/>
      <c r="H315" s="508"/>
      <c r="I315" s="508"/>
      <c r="J315" s="508"/>
      <c r="K315" s="508"/>
      <c r="L315" s="508"/>
      <c r="M315" s="508"/>
      <c r="N315" s="508"/>
      <c r="O315" s="798"/>
      <c r="P315" s="572" t="s">
        <v>194</v>
      </c>
      <c r="Q315" s="677">
        <v>0.73</v>
      </c>
      <c r="R315" s="579">
        <v>0.66</v>
      </c>
      <c r="S315" s="72"/>
      <c r="T315" s="72"/>
      <c r="U315" s="508"/>
      <c r="V315" s="508"/>
      <c r="W315" s="508"/>
      <c r="X315" s="508"/>
      <c r="Y315" s="508"/>
      <c r="Z315" s="508"/>
      <c r="AA315" s="508"/>
      <c r="AB315" s="508"/>
      <c r="AC315" s="508"/>
      <c r="AD315" s="508"/>
      <c r="AE315" s="508"/>
      <c r="AF315" s="508"/>
      <c r="AG315" s="508"/>
      <c r="AH315" s="508"/>
      <c r="AI315" s="508"/>
      <c r="AJ315" s="508"/>
      <c r="AK315" s="508"/>
      <c r="AL315" s="508"/>
      <c r="AM315" s="508"/>
    </row>
    <row r="316" spans="1:39" ht="15.75" thickBot="1">
      <c r="A316" s="508"/>
      <c r="B316" s="800"/>
      <c r="C316" s="581" t="s">
        <v>522</v>
      </c>
      <c r="D316" s="582">
        <v>0.43</v>
      </c>
      <c r="E316" s="583">
        <v>0.6</v>
      </c>
      <c r="F316" s="72"/>
      <c r="G316" s="72"/>
      <c r="H316" s="508"/>
      <c r="I316" s="508"/>
      <c r="J316" s="508"/>
      <c r="K316" s="508"/>
      <c r="L316" s="508"/>
      <c r="M316" s="508"/>
      <c r="N316" s="508"/>
      <c r="O316" s="800"/>
      <c r="P316" s="581" t="s">
        <v>522</v>
      </c>
      <c r="Q316" s="582">
        <v>0.43</v>
      </c>
      <c r="R316" s="583">
        <v>0.6</v>
      </c>
      <c r="S316" s="72"/>
      <c r="T316" s="72"/>
      <c r="U316" s="508"/>
      <c r="V316" s="508"/>
      <c r="W316" s="508"/>
      <c r="X316" s="508"/>
      <c r="Y316" s="508"/>
      <c r="Z316" s="508"/>
      <c r="AA316" s="508"/>
      <c r="AB316" s="508"/>
      <c r="AC316" s="508"/>
      <c r="AD316" s="508"/>
      <c r="AE316" s="508"/>
      <c r="AF316" s="508"/>
      <c r="AG316" s="508"/>
      <c r="AH316" s="508"/>
      <c r="AI316" s="508"/>
      <c r="AJ316" s="508"/>
      <c r="AK316" s="508"/>
      <c r="AL316" s="508"/>
      <c r="AM316" s="508"/>
    </row>
    <row r="317" spans="1:39">
      <c r="A317" s="508"/>
      <c r="B317" s="230" t="s">
        <v>818</v>
      </c>
      <c r="C317" s="694"/>
      <c r="D317" s="694"/>
      <c r="E317" s="694"/>
      <c r="F317" s="72"/>
      <c r="G317" s="72"/>
      <c r="H317" s="508"/>
      <c r="I317" s="508"/>
      <c r="J317" s="508"/>
      <c r="K317" s="508"/>
      <c r="L317" s="508"/>
      <c r="M317" s="508"/>
      <c r="N317" s="508"/>
      <c r="O317" s="230" t="s">
        <v>818</v>
      </c>
      <c r="P317" s="694"/>
      <c r="Q317" s="694"/>
      <c r="R317" s="694"/>
      <c r="S317" s="72"/>
      <c r="T317" s="72"/>
      <c r="U317" s="508"/>
      <c r="V317" s="508"/>
      <c r="W317" s="508"/>
      <c r="X317" s="508"/>
      <c r="Y317" s="508"/>
      <c r="Z317" s="508"/>
      <c r="AA317" s="508"/>
      <c r="AB317" s="508"/>
      <c r="AC317" s="508"/>
      <c r="AD317" s="508"/>
      <c r="AE317" s="508"/>
      <c r="AF317" s="508"/>
      <c r="AG317" s="508"/>
      <c r="AH317" s="508"/>
      <c r="AI317" s="508"/>
      <c r="AJ317" s="508"/>
      <c r="AK317" s="508"/>
      <c r="AL317" s="508"/>
      <c r="AM317" s="508"/>
    </row>
    <row r="318" spans="1:39">
      <c r="A318" s="508"/>
      <c r="B318" s="115" t="s">
        <v>791</v>
      </c>
      <c r="C318" s="694"/>
      <c r="D318" s="694"/>
      <c r="E318" s="694"/>
      <c r="F318" s="72"/>
      <c r="G318" s="72"/>
      <c r="H318" s="508"/>
      <c r="I318" s="508"/>
      <c r="J318" s="508"/>
      <c r="K318" s="508"/>
      <c r="L318" s="508"/>
      <c r="M318" s="508"/>
      <c r="N318" s="508"/>
      <c r="O318" s="115" t="s">
        <v>791</v>
      </c>
      <c r="P318" s="694"/>
      <c r="Q318" s="694"/>
      <c r="R318" s="694"/>
      <c r="S318" s="72"/>
      <c r="T318" s="72"/>
      <c r="U318" s="508"/>
      <c r="V318" s="508"/>
      <c r="W318" s="508"/>
      <c r="X318" s="508"/>
      <c r="Y318" s="508"/>
      <c r="Z318" s="508"/>
      <c r="AA318" s="508"/>
      <c r="AB318" s="508"/>
      <c r="AC318" s="508"/>
      <c r="AD318" s="508"/>
      <c r="AE318" s="508"/>
      <c r="AF318" s="508"/>
      <c r="AG318" s="508"/>
      <c r="AH318" s="508"/>
      <c r="AI318" s="508"/>
      <c r="AJ318" s="508"/>
      <c r="AK318" s="508"/>
      <c r="AL318" s="508"/>
      <c r="AM318" s="508"/>
    </row>
    <row r="319" spans="1:39">
      <c r="A319" s="119"/>
      <c r="B319" s="801" t="s">
        <v>819</v>
      </c>
      <c r="C319" s="801"/>
      <c r="D319" s="801"/>
      <c r="E319" s="801"/>
      <c r="F319" s="801"/>
      <c r="G319" s="801"/>
      <c r="H319" s="508"/>
      <c r="I319" s="508"/>
      <c r="J319" s="508"/>
      <c r="K319" s="508"/>
      <c r="L319" s="508"/>
      <c r="M319" s="508"/>
      <c r="N319" s="119"/>
      <c r="O319" s="801" t="s">
        <v>820</v>
      </c>
      <c r="P319" s="801"/>
      <c r="Q319" s="801"/>
      <c r="R319" s="801"/>
      <c r="S319" s="801"/>
      <c r="T319" s="801"/>
      <c r="U319" s="508"/>
      <c r="V319" s="508"/>
      <c r="W319" s="508"/>
      <c r="X319" s="508"/>
      <c r="Y319" s="508"/>
      <c r="Z319" s="508"/>
      <c r="AA319" s="508"/>
      <c r="AB319" s="508"/>
      <c r="AC319" s="508"/>
      <c r="AD319" s="508"/>
      <c r="AE319" s="508"/>
      <c r="AF319" s="508"/>
      <c r="AG319" s="508"/>
      <c r="AH319" s="508"/>
      <c r="AI319" s="508"/>
      <c r="AJ319" s="508"/>
      <c r="AK319" s="508"/>
      <c r="AL319" s="508"/>
      <c r="AM319" s="508"/>
    </row>
    <row r="320" spans="1:39">
      <c r="A320" s="41"/>
      <c r="B320" s="688"/>
      <c r="C320" s="688"/>
      <c r="D320" s="688"/>
      <c r="E320" s="688"/>
      <c r="F320" s="688"/>
      <c r="G320" s="688"/>
      <c r="H320" s="688"/>
      <c r="I320" s="688"/>
      <c r="J320" s="688"/>
      <c r="K320" s="508"/>
      <c r="L320" s="508"/>
      <c r="M320" s="508"/>
      <c r="N320" s="41"/>
      <c r="O320" s="688"/>
      <c r="P320" s="688"/>
      <c r="Q320" s="688"/>
      <c r="R320" s="688"/>
      <c r="S320" s="688"/>
      <c r="T320" s="688"/>
      <c r="U320" s="688"/>
      <c r="V320" s="688"/>
      <c r="W320" s="688"/>
      <c r="X320" s="86"/>
      <c r="Y320" s="86"/>
      <c r="Z320" s="508"/>
      <c r="AA320" s="508"/>
      <c r="AB320" s="508"/>
      <c r="AC320" s="508"/>
      <c r="AD320" s="508"/>
      <c r="AE320" s="508"/>
      <c r="AF320" s="508"/>
      <c r="AG320" s="508"/>
      <c r="AH320" s="508"/>
      <c r="AI320" s="508"/>
      <c r="AJ320" s="508"/>
      <c r="AK320" s="508"/>
      <c r="AL320" s="508"/>
      <c r="AM320" s="508"/>
    </row>
    <row r="321" spans="1:39" ht="15.75">
      <c r="A321" s="641" t="s">
        <v>821</v>
      </c>
      <c r="B321" s="518" t="s">
        <v>822</v>
      </c>
      <c r="C321" s="519"/>
      <c r="D321" s="519"/>
      <c r="E321" s="520"/>
      <c r="F321" s="556"/>
      <c r="G321" s="556"/>
      <c r="H321" s="556"/>
      <c r="I321" s="556"/>
      <c r="J321" s="556"/>
      <c r="K321" s="50"/>
      <c r="L321" s="50"/>
      <c r="M321" s="50"/>
      <c r="N321" s="641" t="s">
        <v>821</v>
      </c>
      <c r="O321" s="518" t="s">
        <v>822</v>
      </c>
      <c r="P321" s="519"/>
      <c r="Q321" s="519"/>
      <c r="R321" s="520"/>
      <c r="S321" s="556"/>
      <c r="T321" s="556"/>
      <c r="U321" s="556"/>
      <c r="V321" s="556"/>
      <c r="W321" s="556"/>
      <c r="Y321" s="508"/>
      <c r="Z321" s="50"/>
      <c r="AA321" s="50"/>
      <c r="AB321" s="50"/>
      <c r="AC321" s="50"/>
      <c r="AD321" s="50"/>
      <c r="AE321" s="50"/>
      <c r="AF321" s="50"/>
      <c r="AG321" s="50"/>
      <c r="AH321" s="50"/>
      <c r="AI321" s="50"/>
      <c r="AJ321" s="50"/>
      <c r="AK321" s="50"/>
      <c r="AL321" s="50"/>
      <c r="AM321" s="50"/>
    </row>
    <row r="322" spans="1:39" ht="15.75" thickBot="1">
      <c r="A322" s="41"/>
      <c r="B322" s="92"/>
      <c r="C322" s="92"/>
      <c r="D322" s="92"/>
      <c r="E322" s="508"/>
      <c r="F322" s="508"/>
      <c r="G322" s="508"/>
      <c r="H322" s="508"/>
      <c r="I322" s="508"/>
      <c r="J322" s="508"/>
      <c r="K322" s="508"/>
      <c r="L322" s="508"/>
      <c r="M322" s="508"/>
      <c r="N322" s="41"/>
      <c r="O322" s="92"/>
      <c r="P322" s="92"/>
      <c r="Q322" s="92"/>
      <c r="R322" s="508"/>
      <c r="S322" s="508"/>
      <c r="T322" s="508"/>
      <c r="U322" s="508"/>
      <c r="V322" s="508"/>
      <c r="W322" s="508"/>
      <c r="X322" s="508"/>
      <c r="Y322" s="508"/>
      <c r="Z322" s="508"/>
      <c r="AA322" s="508"/>
      <c r="AB322" s="508"/>
      <c r="AC322" s="508"/>
      <c r="AD322" s="508"/>
      <c r="AE322" s="508"/>
      <c r="AF322" s="508"/>
      <c r="AG322" s="508"/>
      <c r="AH322" s="508"/>
      <c r="AI322" s="508"/>
      <c r="AJ322" s="508"/>
      <c r="AK322" s="508"/>
      <c r="AL322" s="508"/>
      <c r="AM322" s="508"/>
    </row>
    <row r="323" spans="1:39">
      <c r="A323" s="41"/>
      <c r="B323" s="120"/>
      <c r="C323" s="121"/>
      <c r="D323" s="689" t="s">
        <v>823</v>
      </c>
      <c r="E323" s="690"/>
      <c r="F323" s="696"/>
      <c r="G323" s="802" t="s">
        <v>824</v>
      </c>
      <c r="H323" s="803"/>
      <c r="I323" s="803"/>
      <c r="J323" s="477"/>
      <c r="K323" s="86"/>
      <c r="L323" s="508"/>
      <c r="M323" s="508"/>
      <c r="N323" s="41"/>
      <c r="O323" s="120"/>
      <c r="P323" s="121"/>
      <c r="Q323" s="689" t="s">
        <v>823</v>
      </c>
      <c r="R323" s="690"/>
      <c r="S323" s="696"/>
      <c r="T323" s="802" t="s">
        <v>824</v>
      </c>
      <c r="U323" s="803"/>
      <c r="V323" s="804"/>
      <c r="W323" s="45"/>
      <c r="X323" s="508"/>
      <c r="Y323" s="508"/>
      <c r="Z323" s="508"/>
      <c r="AA323" s="508"/>
      <c r="AB323" s="508"/>
      <c r="AC323" s="508"/>
      <c r="AD323" s="508"/>
      <c r="AE323" s="508"/>
      <c r="AF323" s="508"/>
      <c r="AG323" s="508"/>
      <c r="AH323" s="508"/>
      <c r="AI323" s="508"/>
      <c r="AJ323" s="508"/>
      <c r="AK323" s="508"/>
      <c r="AL323" s="508"/>
      <c r="AM323" s="508"/>
    </row>
    <row r="324" spans="1:39" ht="27">
      <c r="A324" s="41"/>
      <c r="B324" s="122" t="s">
        <v>825</v>
      </c>
      <c r="C324" s="584" t="s">
        <v>826</v>
      </c>
      <c r="D324" s="585" t="s">
        <v>563</v>
      </c>
      <c r="E324" s="586" t="s">
        <v>564</v>
      </c>
      <c r="F324" s="587" t="s">
        <v>565</v>
      </c>
      <c r="G324" s="585" t="s">
        <v>563</v>
      </c>
      <c r="H324" s="586" t="s">
        <v>564</v>
      </c>
      <c r="I324" s="586" t="s">
        <v>565</v>
      </c>
      <c r="J324" s="478"/>
      <c r="K324" s="86"/>
      <c r="L324" s="508"/>
      <c r="M324" s="508"/>
      <c r="N324" s="41"/>
      <c r="O324" s="122" t="s">
        <v>825</v>
      </c>
      <c r="P324" s="584" t="s">
        <v>826</v>
      </c>
      <c r="Q324" s="585" t="s">
        <v>566</v>
      </c>
      <c r="R324" s="586" t="s">
        <v>567</v>
      </c>
      <c r="S324" s="587" t="s">
        <v>568</v>
      </c>
      <c r="T324" s="585" t="s">
        <v>566</v>
      </c>
      <c r="U324" s="586" t="s">
        <v>567</v>
      </c>
      <c r="V324" s="587" t="s">
        <v>568</v>
      </c>
      <c r="W324" s="588" t="s">
        <v>827</v>
      </c>
      <c r="X324" s="588" t="s">
        <v>828</v>
      </c>
      <c r="Y324" s="508"/>
      <c r="Z324" s="7"/>
      <c r="AA324" s="86"/>
      <c r="AB324" s="86"/>
      <c r="AC324" s="508"/>
      <c r="AD324" s="508"/>
      <c r="AE324" s="508"/>
      <c r="AF324" s="508"/>
      <c r="AG324" s="508"/>
      <c r="AH324" s="508"/>
      <c r="AI324" s="508"/>
      <c r="AJ324" s="508"/>
      <c r="AK324" s="508"/>
      <c r="AL324" s="508"/>
      <c r="AM324" s="508"/>
    </row>
    <row r="325" spans="1:39" ht="26.25" thickBot="1">
      <c r="A325" s="41"/>
      <c r="B325" s="123"/>
      <c r="C325" s="124"/>
      <c r="D325" s="125" t="s">
        <v>829</v>
      </c>
      <c r="E325" s="126" t="s">
        <v>829</v>
      </c>
      <c r="F325" s="127" t="s">
        <v>829</v>
      </c>
      <c r="G325" s="125" t="s">
        <v>829</v>
      </c>
      <c r="H325" s="126" t="s">
        <v>829</v>
      </c>
      <c r="I325" s="473" t="s">
        <v>829</v>
      </c>
      <c r="J325" s="478"/>
      <c r="K325" s="86"/>
      <c r="L325" s="508"/>
      <c r="M325" s="508"/>
      <c r="N325" s="41"/>
      <c r="O325" s="123"/>
      <c r="P325" s="124"/>
      <c r="Q325" s="125" t="s">
        <v>829</v>
      </c>
      <c r="R325" s="126" t="s">
        <v>829</v>
      </c>
      <c r="S325" s="127" t="s">
        <v>829</v>
      </c>
      <c r="T325" s="125" t="s">
        <v>829</v>
      </c>
      <c r="U325" s="126" t="s">
        <v>829</v>
      </c>
      <c r="V325" s="127" t="s">
        <v>829</v>
      </c>
      <c r="W325" s="588"/>
      <c r="X325" s="588"/>
      <c r="Y325" s="508"/>
      <c r="Z325" s="483"/>
      <c r="AA325" s="86"/>
      <c r="AB325" s="86"/>
      <c r="AC325" s="508"/>
      <c r="AD325" s="508"/>
      <c r="AE325" s="508"/>
      <c r="AF325" s="508"/>
      <c r="AG325" s="508"/>
      <c r="AH325" s="508"/>
      <c r="AI325" s="508"/>
      <c r="AJ325" s="508"/>
      <c r="AK325" s="508"/>
      <c r="AL325" s="508"/>
      <c r="AM325" s="508"/>
    </row>
    <row r="326" spans="1:39" ht="15.75" thickBot="1">
      <c r="A326" s="508"/>
      <c r="B326" s="128" t="s">
        <v>830</v>
      </c>
      <c r="C326" s="129" t="s">
        <v>831</v>
      </c>
      <c r="D326" s="130">
        <v>1067.7</v>
      </c>
      <c r="E326" s="131">
        <v>9.0999999999999998E-2</v>
      </c>
      <c r="F326" s="132">
        <v>1.2E-2</v>
      </c>
      <c r="G326" s="130">
        <v>1229.5999999999999</v>
      </c>
      <c r="H326" s="131">
        <v>0.12</v>
      </c>
      <c r="I326" s="474">
        <v>1.6E-2</v>
      </c>
      <c r="J326" s="479"/>
      <c r="K326" s="86"/>
      <c r="L326" s="508"/>
      <c r="M326" s="508"/>
      <c r="N326" s="508"/>
      <c r="O326" s="128" t="s">
        <v>830</v>
      </c>
      <c r="P326" s="129" t="s">
        <v>831</v>
      </c>
      <c r="Q326" s="130">
        <f t="shared" ref="Q326:V326" si="0">D326</f>
        <v>1067.7</v>
      </c>
      <c r="R326" s="130">
        <f t="shared" si="0"/>
        <v>9.0999999999999998E-2</v>
      </c>
      <c r="S326" s="130">
        <f t="shared" si="0"/>
        <v>1.2E-2</v>
      </c>
      <c r="T326" s="130">
        <f t="shared" si="0"/>
        <v>1229.5999999999999</v>
      </c>
      <c r="U326" s="130">
        <f t="shared" si="0"/>
        <v>0.12</v>
      </c>
      <c r="V326" s="130">
        <f t="shared" si="0"/>
        <v>1.6E-2</v>
      </c>
      <c r="W326" s="679">
        <f t="shared" ref="W326:W353" si="1">(T326+U326*$D$9+V326*$D$10)/2205</f>
        <v>0.56108843537414954</v>
      </c>
      <c r="X326" s="680">
        <f t="shared" ref="X326:X353" si="2">W326/1000</f>
        <v>5.6108843537414955E-4</v>
      </c>
      <c r="Y326" s="508"/>
      <c r="Z326" s="480"/>
      <c r="AA326" s="480"/>
      <c r="AB326" s="480"/>
      <c r="AC326" s="508"/>
      <c r="AD326" s="508"/>
      <c r="AE326" s="508"/>
      <c r="AF326" s="508"/>
      <c r="AG326" s="508"/>
      <c r="AH326" s="508"/>
      <c r="AI326" s="508"/>
      <c r="AJ326" s="508"/>
      <c r="AK326" s="508"/>
      <c r="AL326" s="508"/>
      <c r="AM326" s="508"/>
    </row>
    <row r="327" spans="1:39" ht="15.75" thickBot="1">
      <c r="A327" s="508"/>
      <c r="B327" s="589" t="s">
        <v>832</v>
      </c>
      <c r="C327" s="590" t="s">
        <v>833</v>
      </c>
      <c r="D327" s="591">
        <v>485.2</v>
      </c>
      <c r="E327" s="681">
        <v>2.5000000000000001E-2</v>
      </c>
      <c r="F327" s="592">
        <v>4.0000000000000001E-3</v>
      </c>
      <c r="G327" s="591">
        <v>1531.3</v>
      </c>
      <c r="H327" s="681">
        <v>6.6000000000000003E-2</v>
      </c>
      <c r="I327" s="475">
        <v>1.2E-2</v>
      </c>
      <c r="J327" s="479"/>
      <c r="K327" s="86"/>
      <c r="L327" s="508"/>
      <c r="M327" s="508"/>
      <c r="N327" s="508"/>
      <c r="O327" s="589" t="s">
        <v>832</v>
      </c>
      <c r="P327" s="590" t="s">
        <v>833</v>
      </c>
      <c r="Q327" s="130">
        <f t="shared" ref="Q327:V353" si="3">D327</f>
        <v>485.2</v>
      </c>
      <c r="R327" s="130">
        <f t="shared" si="3"/>
        <v>2.5000000000000001E-2</v>
      </c>
      <c r="S327" s="130">
        <f t="shared" si="3"/>
        <v>4.0000000000000001E-3</v>
      </c>
      <c r="T327" s="130">
        <f t="shared" si="3"/>
        <v>1531.3</v>
      </c>
      <c r="U327" s="130">
        <f t="shared" si="3"/>
        <v>6.6000000000000003E-2</v>
      </c>
      <c r="V327" s="130">
        <f t="shared" si="3"/>
        <v>1.2E-2</v>
      </c>
      <c r="W327" s="679">
        <f t="shared" si="1"/>
        <v>0.6967473922902494</v>
      </c>
      <c r="X327" s="680">
        <f t="shared" si="2"/>
        <v>6.9674739229024939E-4</v>
      </c>
      <c r="Y327" s="508"/>
      <c r="Z327" s="480"/>
      <c r="AA327" s="480"/>
      <c r="AB327" s="480"/>
      <c r="AC327" s="508"/>
      <c r="AD327" s="508"/>
      <c r="AE327" s="508"/>
      <c r="AF327" s="508"/>
      <c r="AG327" s="508"/>
      <c r="AH327" s="508"/>
      <c r="AI327" s="508"/>
      <c r="AJ327" s="508"/>
      <c r="AK327" s="508"/>
      <c r="AL327" s="508"/>
      <c r="AM327" s="508"/>
    </row>
    <row r="328" spans="1:39" ht="15.75" thickBot="1">
      <c r="A328" s="508"/>
      <c r="B328" s="589" t="s">
        <v>834</v>
      </c>
      <c r="C328" s="590" t="s">
        <v>835</v>
      </c>
      <c r="D328" s="591">
        <v>819.7</v>
      </c>
      <c r="E328" s="681">
        <v>5.1999999999999998E-2</v>
      </c>
      <c r="F328" s="592">
        <v>7.0000000000000001E-3</v>
      </c>
      <c r="G328" s="591">
        <v>1227.5999999999999</v>
      </c>
      <c r="H328" s="681">
        <v>6.7000000000000004E-2</v>
      </c>
      <c r="I328" s="475">
        <v>8.9999999999999993E-3</v>
      </c>
      <c r="J328" s="479"/>
      <c r="K328" s="86"/>
      <c r="L328" s="508"/>
      <c r="M328" s="508"/>
      <c r="N328" s="508"/>
      <c r="O328" s="589" t="s">
        <v>834</v>
      </c>
      <c r="P328" s="590" t="s">
        <v>835</v>
      </c>
      <c r="Q328" s="130">
        <f t="shared" si="3"/>
        <v>819.7</v>
      </c>
      <c r="R328" s="130">
        <f t="shared" si="3"/>
        <v>5.1999999999999998E-2</v>
      </c>
      <c r="S328" s="130">
        <f t="shared" si="3"/>
        <v>7.0000000000000001E-3</v>
      </c>
      <c r="T328" s="130">
        <f t="shared" si="3"/>
        <v>1227.5999999999999</v>
      </c>
      <c r="U328" s="130">
        <f t="shared" si="3"/>
        <v>6.7000000000000004E-2</v>
      </c>
      <c r="V328" s="130">
        <f t="shared" si="3"/>
        <v>8.9999999999999993E-3</v>
      </c>
      <c r="W328" s="679">
        <f t="shared" si="1"/>
        <v>0.55866712018140585</v>
      </c>
      <c r="X328" s="680">
        <f t="shared" si="2"/>
        <v>5.5866712018140584E-4</v>
      </c>
      <c r="Y328" s="508"/>
      <c r="Z328" s="480"/>
      <c r="AA328" s="480"/>
      <c r="AB328" s="480"/>
      <c r="AC328" s="508"/>
      <c r="AD328" s="508"/>
      <c r="AE328" s="508"/>
      <c r="AF328" s="508"/>
      <c r="AG328" s="508"/>
      <c r="AH328" s="508"/>
      <c r="AI328" s="508"/>
      <c r="AJ328" s="508"/>
      <c r="AK328" s="508"/>
      <c r="AL328" s="508"/>
      <c r="AM328" s="508"/>
    </row>
    <row r="329" spans="1:39" ht="15.75" thickBot="1">
      <c r="A329" s="508"/>
      <c r="B329" s="589" t="s">
        <v>836</v>
      </c>
      <c r="C329" s="590" t="s">
        <v>837</v>
      </c>
      <c r="D329" s="591">
        <v>531.70000000000005</v>
      </c>
      <c r="E329" s="681">
        <v>3.1E-2</v>
      </c>
      <c r="F329" s="592">
        <v>4.0000000000000001E-3</v>
      </c>
      <c r="G329" s="591">
        <v>1047.5</v>
      </c>
      <c r="H329" s="681">
        <v>4.9000000000000002E-2</v>
      </c>
      <c r="I329" s="475">
        <v>6.0000000000000001E-3</v>
      </c>
      <c r="J329" s="479"/>
      <c r="K329" s="86"/>
      <c r="L329" s="508"/>
      <c r="M329" s="508"/>
      <c r="N329" s="508"/>
      <c r="O329" s="589" t="s">
        <v>836</v>
      </c>
      <c r="P329" s="590" t="s">
        <v>837</v>
      </c>
      <c r="Q329" s="130">
        <f t="shared" si="3"/>
        <v>531.70000000000005</v>
      </c>
      <c r="R329" s="130">
        <f t="shared" si="3"/>
        <v>3.1E-2</v>
      </c>
      <c r="S329" s="130">
        <f t="shared" si="3"/>
        <v>4.0000000000000001E-3</v>
      </c>
      <c r="T329" s="130">
        <f t="shared" si="3"/>
        <v>1047.5</v>
      </c>
      <c r="U329" s="130">
        <f t="shared" si="3"/>
        <v>4.9000000000000002E-2</v>
      </c>
      <c r="V329" s="130">
        <f t="shared" si="3"/>
        <v>6.0000000000000001E-3</v>
      </c>
      <c r="W329" s="679">
        <f t="shared" si="1"/>
        <v>0.47639999999999999</v>
      </c>
      <c r="X329" s="680">
        <f t="shared" si="2"/>
        <v>4.7639999999999998E-4</v>
      </c>
      <c r="Y329" s="508"/>
      <c r="Z329" s="480"/>
      <c r="AA329" s="480"/>
      <c r="AB329" s="480"/>
      <c r="AC329" s="508"/>
      <c r="AD329" s="508"/>
      <c r="AE329" s="508"/>
      <c r="AF329" s="508"/>
      <c r="AG329" s="508"/>
      <c r="AH329" s="508"/>
      <c r="AI329" s="508"/>
      <c r="AJ329" s="508"/>
      <c r="AK329" s="508"/>
      <c r="AL329" s="508"/>
      <c r="AM329" s="508"/>
    </row>
    <row r="330" spans="1:39" ht="15.75" thickBot="1">
      <c r="A330" s="508"/>
      <c r="B330" s="589" t="s">
        <v>838</v>
      </c>
      <c r="C330" s="590" t="s">
        <v>839</v>
      </c>
      <c r="D330" s="591">
        <v>813.6</v>
      </c>
      <c r="E330" s="681">
        <v>5.3999999999999999E-2</v>
      </c>
      <c r="F330" s="592">
        <v>8.0000000000000002E-3</v>
      </c>
      <c r="G330" s="591">
        <v>1177.4000000000001</v>
      </c>
      <c r="H330" s="681">
        <v>6.5000000000000002E-2</v>
      </c>
      <c r="I330" s="475">
        <v>8.9999999999999993E-3</v>
      </c>
      <c r="J330" s="479"/>
      <c r="K330" s="86"/>
      <c r="L330" s="508"/>
      <c r="M330" s="508"/>
      <c r="N330" s="508"/>
      <c r="O330" s="589" t="s">
        <v>838</v>
      </c>
      <c r="P330" s="590" t="s">
        <v>839</v>
      </c>
      <c r="Q330" s="130">
        <f t="shared" si="3"/>
        <v>813.6</v>
      </c>
      <c r="R330" s="130">
        <f t="shared" si="3"/>
        <v>5.3999999999999999E-2</v>
      </c>
      <c r="S330" s="130">
        <f t="shared" si="3"/>
        <v>8.0000000000000002E-3</v>
      </c>
      <c r="T330" s="130">
        <f t="shared" si="3"/>
        <v>1177.4000000000001</v>
      </c>
      <c r="U330" s="130">
        <f t="shared" si="3"/>
        <v>6.5000000000000002E-2</v>
      </c>
      <c r="V330" s="130">
        <f t="shared" si="3"/>
        <v>8.9999999999999993E-3</v>
      </c>
      <c r="W330" s="679">
        <f t="shared" si="1"/>
        <v>0.53587528344671198</v>
      </c>
      <c r="X330" s="680">
        <f t="shared" si="2"/>
        <v>5.3587528344671196E-4</v>
      </c>
      <c r="Y330" s="508"/>
      <c r="Z330" s="480"/>
      <c r="AA330" s="480"/>
      <c r="AB330" s="480"/>
      <c r="AC330" s="508"/>
      <c r="AD330" s="508"/>
      <c r="AE330" s="508"/>
      <c r="AF330" s="508"/>
      <c r="AG330" s="508"/>
      <c r="AH330" s="508"/>
      <c r="AI330" s="508"/>
      <c r="AJ330" s="508"/>
      <c r="AK330" s="508"/>
      <c r="AL330" s="508"/>
      <c r="AM330" s="508"/>
    </row>
    <row r="331" spans="1:39" ht="15.75" thickBot="1">
      <c r="A331" s="508"/>
      <c r="B331" s="589" t="s">
        <v>840</v>
      </c>
      <c r="C331" s="590" t="s">
        <v>841</v>
      </c>
      <c r="D331" s="591">
        <v>832.9</v>
      </c>
      <c r="E331" s="681">
        <v>5.2999999999999999E-2</v>
      </c>
      <c r="F331" s="592">
        <v>7.0000000000000001E-3</v>
      </c>
      <c r="G331" s="591">
        <v>1016.5</v>
      </c>
      <c r="H331" s="681">
        <v>5.3999999999999999E-2</v>
      </c>
      <c r="I331" s="475">
        <v>7.0000000000000001E-3</v>
      </c>
      <c r="J331" s="479"/>
      <c r="K331" s="86"/>
      <c r="L331" s="508"/>
      <c r="M331" s="508"/>
      <c r="N331" s="508"/>
      <c r="O331" s="589" t="s">
        <v>840</v>
      </c>
      <c r="P331" s="590" t="s">
        <v>841</v>
      </c>
      <c r="Q331" s="130">
        <f t="shared" si="3"/>
        <v>832.9</v>
      </c>
      <c r="R331" s="130">
        <f t="shared" si="3"/>
        <v>5.2999999999999999E-2</v>
      </c>
      <c r="S331" s="130">
        <f t="shared" si="3"/>
        <v>7.0000000000000001E-3</v>
      </c>
      <c r="T331" s="130">
        <f t="shared" si="3"/>
        <v>1016.5</v>
      </c>
      <c r="U331" s="130">
        <f t="shared" si="3"/>
        <v>5.3999999999999999E-2</v>
      </c>
      <c r="V331" s="130">
        <f t="shared" si="3"/>
        <v>7.0000000000000001E-3</v>
      </c>
      <c r="W331" s="679">
        <f t="shared" si="1"/>
        <v>0.46252471655328797</v>
      </c>
      <c r="X331" s="680">
        <f t="shared" si="2"/>
        <v>4.6252471655328797E-4</v>
      </c>
      <c r="Y331" s="508"/>
      <c r="Z331" s="480"/>
      <c r="AA331" s="480"/>
      <c r="AB331" s="480"/>
      <c r="AC331" s="508"/>
      <c r="AD331" s="508"/>
      <c r="AE331" s="508"/>
      <c r="AF331" s="508"/>
      <c r="AG331" s="508"/>
      <c r="AH331" s="508"/>
      <c r="AI331" s="508"/>
      <c r="AJ331" s="508"/>
      <c r="AK331" s="508"/>
      <c r="AL331" s="508"/>
      <c r="AM331" s="508"/>
    </row>
    <row r="332" spans="1:39" ht="15.75" thickBot="1">
      <c r="A332" s="508"/>
      <c r="B332" s="589" t="s">
        <v>842</v>
      </c>
      <c r="C332" s="590" t="s">
        <v>843</v>
      </c>
      <c r="D332" s="591">
        <v>1134.4000000000001</v>
      </c>
      <c r="E332" s="681">
        <v>0.13500000000000001</v>
      </c>
      <c r="F332" s="592">
        <v>2.1000000000000001E-2</v>
      </c>
      <c r="G332" s="591">
        <v>1649.4</v>
      </c>
      <c r="H332" s="681">
        <v>0.17599999999999999</v>
      </c>
      <c r="I332" s="475">
        <v>2.7E-2</v>
      </c>
      <c r="J332" s="479"/>
      <c r="K332" s="86"/>
      <c r="L332" s="508"/>
      <c r="M332" s="508"/>
      <c r="N332" s="508"/>
      <c r="O332" s="589" t="s">
        <v>842</v>
      </c>
      <c r="P332" s="590" t="s">
        <v>843</v>
      </c>
      <c r="Q332" s="130">
        <f t="shared" si="3"/>
        <v>1134.4000000000001</v>
      </c>
      <c r="R332" s="130">
        <f t="shared" si="3"/>
        <v>0.13500000000000001</v>
      </c>
      <c r="S332" s="130">
        <f t="shared" si="3"/>
        <v>2.1000000000000001E-2</v>
      </c>
      <c r="T332" s="130">
        <f t="shared" si="3"/>
        <v>1649.4</v>
      </c>
      <c r="U332" s="130">
        <f t="shared" si="3"/>
        <v>0.17599999999999999</v>
      </c>
      <c r="V332" s="130">
        <f t="shared" si="3"/>
        <v>2.7E-2</v>
      </c>
      <c r="W332" s="679">
        <f t="shared" si="1"/>
        <v>0.75350702947845816</v>
      </c>
      <c r="X332" s="680">
        <f t="shared" si="2"/>
        <v>7.5350702947845813E-4</v>
      </c>
      <c r="Y332" s="508"/>
      <c r="Z332" s="480"/>
      <c r="AA332" s="480"/>
      <c r="AB332" s="480"/>
      <c r="AC332" s="508"/>
      <c r="AD332" s="508"/>
      <c r="AE332" s="508"/>
      <c r="AF332" s="508"/>
      <c r="AG332" s="508"/>
      <c r="AH332" s="508"/>
      <c r="AI332" s="508"/>
      <c r="AJ332" s="508"/>
      <c r="AK332" s="508"/>
      <c r="AL332" s="508"/>
      <c r="AM332" s="508"/>
    </row>
    <row r="333" spans="1:39" ht="15.75" thickBot="1">
      <c r="A333" s="508"/>
      <c r="B333" s="589" t="s">
        <v>844</v>
      </c>
      <c r="C333" s="590" t="s">
        <v>845</v>
      </c>
      <c r="D333" s="591">
        <v>1633.1</v>
      </c>
      <c r="E333" s="681">
        <v>0.17599999999999999</v>
      </c>
      <c r="F333" s="592">
        <v>2.7E-2</v>
      </c>
      <c r="G333" s="591">
        <v>1784</v>
      </c>
      <c r="H333" s="681">
        <v>0.17199999999999999</v>
      </c>
      <c r="I333" s="475">
        <v>2.7E-2</v>
      </c>
      <c r="J333" s="479"/>
      <c r="K333" s="86"/>
      <c r="L333" s="508"/>
      <c r="M333" s="508"/>
      <c r="N333" s="508"/>
      <c r="O333" s="589" t="s">
        <v>844</v>
      </c>
      <c r="P333" s="590" t="s">
        <v>845</v>
      </c>
      <c r="Q333" s="130">
        <f t="shared" si="3"/>
        <v>1633.1</v>
      </c>
      <c r="R333" s="130">
        <f t="shared" si="3"/>
        <v>0.17599999999999999</v>
      </c>
      <c r="S333" s="130">
        <f t="shared" si="3"/>
        <v>2.7E-2</v>
      </c>
      <c r="T333" s="130">
        <f t="shared" si="3"/>
        <v>1784</v>
      </c>
      <c r="U333" s="130">
        <f t="shared" si="3"/>
        <v>0.17199999999999999</v>
      </c>
      <c r="V333" s="130">
        <f t="shared" si="3"/>
        <v>2.7E-2</v>
      </c>
      <c r="W333" s="679">
        <f t="shared" si="1"/>
        <v>0.81449931972789114</v>
      </c>
      <c r="X333" s="680">
        <f t="shared" si="2"/>
        <v>8.1449931972789119E-4</v>
      </c>
      <c r="Y333" s="508"/>
      <c r="Z333" s="480"/>
      <c r="AA333" s="480"/>
      <c r="AB333" s="480"/>
      <c r="AC333" s="508"/>
      <c r="AD333" s="508"/>
      <c r="AE333" s="508"/>
      <c r="AF333" s="508"/>
      <c r="AG333" s="508"/>
      <c r="AH333" s="508"/>
      <c r="AI333" s="508"/>
      <c r="AJ333" s="508"/>
      <c r="AK333" s="508"/>
      <c r="AL333" s="508"/>
      <c r="AM333" s="508"/>
    </row>
    <row r="334" spans="1:39" ht="15.75" thickBot="1">
      <c r="A334" s="508"/>
      <c r="B334" s="589" t="s">
        <v>846</v>
      </c>
      <c r="C334" s="590" t="s">
        <v>847</v>
      </c>
      <c r="D334" s="591">
        <v>1582.1</v>
      </c>
      <c r="E334" s="681">
        <v>0.14799999999999999</v>
      </c>
      <c r="F334" s="592">
        <v>2.1999999999999999E-2</v>
      </c>
      <c r="G334" s="591">
        <v>1555.9</v>
      </c>
      <c r="H334" s="681">
        <v>0.13300000000000001</v>
      </c>
      <c r="I334" s="475">
        <v>1.9E-2</v>
      </c>
      <c r="J334" s="479"/>
      <c r="K334" s="86"/>
      <c r="L334" s="508"/>
      <c r="M334" s="508"/>
      <c r="N334" s="508"/>
      <c r="O334" s="589" t="s">
        <v>846</v>
      </c>
      <c r="P334" s="590" t="s">
        <v>847</v>
      </c>
      <c r="Q334" s="130">
        <f t="shared" si="3"/>
        <v>1582.1</v>
      </c>
      <c r="R334" s="130">
        <f t="shared" si="3"/>
        <v>0.14799999999999999</v>
      </c>
      <c r="S334" s="130">
        <f t="shared" si="3"/>
        <v>2.1999999999999999E-2</v>
      </c>
      <c r="T334" s="130">
        <f t="shared" si="3"/>
        <v>1555.9</v>
      </c>
      <c r="U334" s="130">
        <f t="shared" si="3"/>
        <v>0.13300000000000001</v>
      </c>
      <c r="V334" s="130">
        <f t="shared" si="3"/>
        <v>1.9E-2</v>
      </c>
      <c r="W334" s="679">
        <f t="shared" si="1"/>
        <v>0.70959591836734703</v>
      </c>
      <c r="X334" s="680">
        <f t="shared" si="2"/>
        <v>7.0959591836734705E-4</v>
      </c>
      <c r="Y334" s="508"/>
      <c r="Z334" s="480"/>
      <c r="AA334" s="480"/>
      <c r="AB334" s="480"/>
      <c r="AC334" s="508"/>
      <c r="AD334" s="508"/>
      <c r="AE334" s="508"/>
      <c r="AF334" s="508"/>
      <c r="AG334" s="508"/>
      <c r="AH334" s="508"/>
      <c r="AI334" s="508"/>
      <c r="AJ334" s="508"/>
      <c r="AK334" s="508"/>
      <c r="AL334" s="508"/>
      <c r="AM334" s="508"/>
    </row>
    <row r="335" spans="1:39" ht="15.75" thickBot="1">
      <c r="A335" s="508"/>
      <c r="B335" s="589" t="s">
        <v>848</v>
      </c>
      <c r="C335" s="590" t="s">
        <v>849</v>
      </c>
      <c r="D335" s="591">
        <v>995.8</v>
      </c>
      <c r="E335" s="681">
        <v>0.107</v>
      </c>
      <c r="F335" s="592">
        <v>1.4999999999999999E-2</v>
      </c>
      <c r="G335" s="591">
        <v>1808.3</v>
      </c>
      <c r="H335" s="681">
        <v>0.183</v>
      </c>
      <c r="I335" s="475">
        <v>2.5999999999999999E-2</v>
      </c>
      <c r="J335" s="479"/>
      <c r="K335" s="86"/>
      <c r="L335" s="508"/>
      <c r="M335" s="508"/>
      <c r="N335" s="508"/>
      <c r="O335" s="589" t="s">
        <v>848</v>
      </c>
      <c r="P335" s="590" t="s">
        <v>849</v>
      </c>
      <c r="Q335" s="130">
        <f t="shared" si="3"/>
        <v>995.8</v>
      </c>
      <c r="R335" s="130">
        <f t="shared" si="3"/>
        <v>0.107</v>
      </c>
      <c r="S335" s="130">
        <f t="shared" si="3"/>
        <v>1.4999999999999999E-2</v>
      </c>
      <c r="T335" s="130">
        <f t="shared" si="3"/>
        <v>1808.3</v>
      </c>
      <c r="U335" s="130">
        <f t="shared" si="3"/>
        <v>0.183</v>
      </c>
      <c r="V335" s="130">
        <f t="shared" si="3"/>
        <v>2.5999999999999999E-2</v>
      </c>
      <c r="W335" s="679">
        <f t="shared" si="1"/>
        <v>0.82553922902494337</v>
      </c>
      <c r="X335" s="680">
        <f t="shared" si="2"/>
        <v>8.2553922902494335E-4</v>
      </c>
      <c r="Y335" s="508"/>
      <c r="Z335" s="480"/>
      <c r="AA335" s="480"/>
      <c r="AB335" s="480"/>
      <c r="AC335" s="508"/>
      <c r="AD335" s="508"/>
      <c r="AE335" s="508"/>
      <c r="AF335" s="508"/>
      <c r="AG335" s="508"/>
      <c r="AH335" s="508"/>
      <c r="AI335" s="508"/>
      <c r="AJ335" s="508"/>
      <c r="AK335" s="508"/>
      <c r="AL335" s="508"/>
      <c r="AM335" s="508"/>
    </row>
    <row r="336" spans="1:39" ht="15.75" thickBot="1">
      <c r="A336" s="508"/>
      <c r="B336" s="589" t="s">
        <v>850</v>
      </c>
      <c r="C336" s="590" t="s">
        <v>851</v>
      </c>
      <c r="D336" s="591">
        <v>539.4</v>
      </c>
      <c r="E336" s="681">
        <v>7.1999999999999995E-2</v>
      </c>
      <c r="F336" s="592">
        <v>8.9999999999999993E-3</v>
      </c>
      <c r="G336" s="591">
        <v>900.5</v>
      </c>
      <c r="H336" s="681">
        <v>7.2999999999999995E-2</v>
      </c>
      <c r="I336" s="475">
        <v>8.9999999999999993E-3</v>
      </c>
      <c r="J336" s="479"/>
      <c r="K336" s="86"/>
      <c r="L336" s="508"/>
      <c r="M336" s="508"/>
      <c r="N336" s="508"/>
      <c r="O336" s="589" t="s">
        <v>850</v>
      </c>
      <c r="P336" s="590" t="s">
        <v>851</v>
      </c>
      <c r="Q336" s="130">
        <f t="shared" si="3"/>
        <v>539.4</v>
      </c>
      <c r="R336" s="130">
        <f t="shared" si="3"/>
        <v>7.1999999999999995E-2</v>
      </c>
      <c r="S336" s="130">
        <f t="shared" si="3"/>
        <v>8.9999999999999993E-3</v>
      </c>
      <c r="T336" s="130">
        <f t="shared" si="3"/>
        <v>900.5</v>
      </c>
      <c r="U336" s="130">
        <f t="shared" si="3"/>
        <v>7.2999999999999995E-2</v>
      </c>
      <c r="V336" s="130">
        <f t="shared" si="3"/>
        <v>8.9999999999999993E-3</v>
      </c>
      <c r="W336" s="679">
        <f t="shared" si="1"/>
        <v>0.41039863945578231</v>
      </c>
      <c r="X336" s="680">
        <f t="shared" si="2"/>
        <v>4.1039863945578229E-4</v>
      </c>
      <c r="Y336" s="508"/>
      <c r="Z336" s="480"/>
      <c r="AA336" s="480"/>
      <c r="AB336" s="480"/>
      <c r="AC336" s="508"/>
      <c r="AD336" s="508"/>
      <c r="AE336" s="508"/>
      <c r="AF336" s="508"/>
      <c r="AG336" s="508"/>
      <c r="AH336" s="508"/>
      <c r="AI336" s="508"/>
      <c r="AJ336" s="508"/>
      <c r="AK336" s="508"/>
      <c r="AL336" s="508"/>
      <c r="AM336" s="508"/>
    </row>
    <row r="337" spans="1:39" ht="15.75" thickBot="1">
      <c r="A337" s="508"/>
      <c r="B337" s="589" t="s">
        <v>852</v>
      </c>
      <c r="C337" s="590" t="s">
        <v>853</v>
      </c>
      <c r="D337" s="591">
        <v>634.6</v>
      </c>
      <c r="E337" s="681">
        <v>5.8000000000000003E-2</v>
      </c>
      <c r="F337" s="592">
        <v>8.0000000000000002E-3</v>
      </c>
      <c r="G337" s="591">
        <v>1545.7</v>
      </c>
      <c r="H337" s="681">
        <v>0.13900000000000001</v>
      </c>
      <c r="I337" s="475">
        <v>0.02</v>
      </c>
      <c r="J337" s="479"/>
      <c r="K337" s="86"/>
      <c r="L337" s="508"/>
      <c r="M337" s="508"/>
      <c r="N337" s="508"/>
      <c r="O337" s="589" t="s">
        <v>852</v>
      </c>
      <c r="P337" s="590" t="s">
        <v>853</v>
      </c>
      <c r="Q337" s="130">
        <f t="shared" si="3"/>
        <v>634.6</v>
      </c>
      <c r="R337" s="130">
        <f t="shared" si="3"/>
        <v>5.8000000000000003E-2</v>
      </c>
      <c r="S337" s="130">
        <f t="shared" si="3"/>
        <v>8.0000000000000002E-3</v>
      </c>
      <c r="T337" s="130">
        <f t="shared" si="3"/>
        <v>1545.7</v>
      </c>
      <c r="U337" s="130">
        <f t="shared" si="3"/>
        <v>0.13900000000000001</v>
      </c>
      <c r="V337" s="130">
        <f t="shared" si="3"/>
        <v>0.02</v>
      </c>
      <c r="W337" s="679">
        <f t="shared" si="1"/>
        <v>0.70516643990929706</v>
      </c>
      <c r="X337" s="680">
        <f t="shared" si="2"/>
        <v>7.0516643990929705E-4</v>
      </c>
      <c r="Y337" s="508"/>
      <c r="Z337" s="480"/>
      <c r="AA337" s="480"/>
      <c r="AB337" s="480"/>
      <c r="AC337" s="508"/>
      <c r="AD337" s="508"/>
      <c r="AE337" s="508"/>
      <c r="AF337" s="508"/>
      <c r="AG337" s="508"/>
      <c r="AH337" s="508"/>
      <c r="AI337" s="508"/>
      <c r="AJ337" s="508"/>
      <c r="AK337" s="508"/>
      <c r="AL337" s="508"/>
      <c r="AM337" s="508"/>
    </row>
    <row r="338" spans="1:39" ht="15.75" thickBot="1">
      <c r="A338" s="508"/>
      <c r="B338" s="589" t="s">
        <v>854</v>
      </c>
      <c r="C338" s="590" t="s">
        <v>855</v>
      </c>
      <c r="D338" s="591">
        <v>816.8</v>
      </c>
      <c r="E338" s="681">
        <v>1.9E-2</v>
      </c>
      <c r="F338" s="592">
        <v>2E-3</v>
      </c>
      <c r="G338" s="591">
        <v>930.8</v>
      </c>
      <c r="H338" s="681">
        <v>0.02</v>
      </c>
      <c r="I338" s="475">
        <v>2E-3</v>
      </c>
      <c r="J338" s="479"/>
      <c r="K338" s="86"/>
      <c r="L338" s="508"/>
      <c r="M338" s="508"/>
      <c r="N338" s="508"/>
      <c r="O338" s="589" t="s">
        <v>854</v>
      </c>
      <c r="P338" s="590" t="s">
        <v>855</v>
      </c>
      <c r="Q338" s="130">
        <f t="shared" si="3"/>
        <v>816.8</v>
      </c>
      <c r="R338" s="130">
        <f t="shared" si="3"/>
        <v>1.9E-2</v>
      </c>
      <c r="S338" s="130">
        <f t="shared" si="3"/>
        <v>2E-3</v>
      </c>
      <c r="T338" s="130">
        <f t="shared" si="3"/>
        <v>930.8</v>
      </c>
      <c r="U338" s="130">
        <f t="shared" si="3"/>
        <v>0.02</v>
      </c>
      <c r="V338" s="130">
        <f t="shared" si="3"/>
        <v>2E-3</v>
      </c>
      <c r="W338" s="679">
        <f t="shared" si="1"/>
        <v>0.422625850340136</v>
      </c>
      <c r="X338" s="680">
        <f t="shared" si="2"/>
        <v>4.2262585034013602E-4</v>
      </c>
      <c r="Y338" s="508"/>
      <c r="Z338" s="480"/>
      <c r="AA338" s="480"/>
      <c r="AB338" s="480"/>
      <c r="AC338" s="508"/>
      <c r="AD338" s="508"/>
      <c r="AE338" s="508"/>
      <c r="AF338" s="508"/>
      <c r="AG338" s="508"/>
      <c r="AH338" s="508"/>
      <c r="AI338" s="508"/>
      <c r="AJ338" s="508"/>
      <c r="AK338" s="508"/>
      <c r="AL338" s="508"/>
      <c r="AM338" s="508"/>
    </row>
    <row r="339" spans="1:39" ht="15.75" thickBot="1">
      <c r="A339" s="508"/>
      <c r="B339" s="589" t="s">
        <v>856</v>
      </c>
      <c r="C339" s="590" t="s">
        <v>857</v>
      </c>
      <c r="D339" s="591">
        <v>1210.9000000000001</v>
      </c>
      <c r="E339" s="681">
        <v>0.126</v>
      </c>
      <c r="F339" s="592">
        <v>1.6E-2</v>
      </c>
      <c r="G339" s="591">
        <v>1317.3</v>
      </c>
      <c r="H339" s="681">
        <v>0.04</v>
      </c>
      <c r="I339" s="475">
        <v>5.0000000000000001E-3</v>
      </c>
      <c r="J339" s="479"/>
      <c r="K339" s="86"/>
      <c r="L339" s="508"/>
      <c r="M339" s="508"/>
      <c r="N339" s="508"/>
      <c r="O339" s="589" t="s">
        <v>856</v>
      </c>
      <c r="P339" s="590" t="s">
        <v>857</v>
      </c>
      <c r="Q339" s="130">
        <f t="shared" si="3"/>
        <v>1210.9000000000001</v>
      </c>
      <c r="R339" s="130">
        <f t="shared" si="3"/>
        <v>0.126</v>
      </c>
      <c r="S339" s="130">
        <f t="shared" si="3"/>
        <v>1.6E-2</v>
      </c>
      <c r="T339" s="130">
        <f t="shared" si="3"/>
        <v>1317.3</v>
      </c>
      <c r="U339" s="130">
        <f t="shared" si="3"/>
        <v>0.04</v>
      </c>
      <c r="V339" s="130">
        <f t="shared" si="3"/>
        <v>5.0000000000000001E-3</v>
      </c>
      <c r="W339" s="679">
        <f t="shared" si="1"/>
        <v>0.59852380952380946</v>
      </c>
      <c r="X339" s="680">
        <f t="shared" si="2"/>
        <v>5.9852380952380943E-4</v>
      </c>
      <c r="Y339" s="508"/>
      <c r="Z339" s="480"/>
      <c r="AA339" s="480"/>
      <c r="AB339" s="480"/>
      <c r="AC339" s="508"/>
      <c r="AD339" s="508"/>
      <c r="AE339" s="508"/>
      <c r="AF339" s="508"/>
      <c r="AG339" s="508"/>
      <c r="AH339" s="508"/>
      <c r="AI339" s="508"/>
      <c r="AJ339" s="508"/>
      <c r="AK339" s="508"/>
      <c r="AL339" s="508"/>
      <c r="AM339" s="508"/>
    </row>
    <row r="340" spans="1:39" ht="15.75" thickBot="1">
      <c r="A340" s="508"/>
      <c r="B340" s="589" t="s">
        <v>858</v>
      </c>
      <c r="C340" s="590" t="s">
        <v>859</v>
      </c>
      <c r="D340" s="591">
        <v>233.1</v>
      </c>
      <c r="E340" s="681">
        <v>1.4999999999999999E-2</v>
      </c>
      <c r="F340" s="592">
        <v>2E-3</v>
      </c>
      <c r="G340" s="591">
        <v>880.7</v>
      </c>
      <c r="H340" s="681">
        <v>4.7E-2</v>
      </c>
      <c r="I340" s="475">
        <v>6.0000000000000001E-3</v>
      </c>
      <c r="J340" s="479"/>
      <c r="K340" s="86"/>
      <c r="L340" s="508"/>
      <c r="M340" s="508"/>
      <c r="N340" s="508"/>
      <c r="O340" s="589" t="s">
        <v>858</v>
      </c>
      <c r="P340" s="590" t="s">
        <v>859</v>
      </c>
      <c r="Q340" s="130">
        <f t="shared" si="3"/>
        <v>233.1</v>
      </c>
      <c r="R340" s="130">
        <f t="shared" si="3"/>
        <v>1.4999999999999999E-2</v>
      </c>
      <c r="S340" s="130">
        <f t="shared" si="3"/>
        <v>2E-3</v>
      </c>
      <c r="T340" s="130">
        <f t="shared" si="3"/>
        <v>880.7</v>
      </c>
      <c r="U340" s="130">
        <f t="shared" si="3"/>
        <v>4.7E-2</v>
      </c>
      <c r="V340" s="130">
        <f t="shared" si="3"/>
        <v>6.0000000000000001E-3</v>
      </c>
      <c r="W340" s="679">
        <f t="shared" si="1"/>
        <v>0.40072834467120189</v>
      </c>
      <c r="X340" s="680">
        <f t="shared" si="2"/>
        <v>4.0072834467120189E-4</v>
      </c>
      <c r="Y340" s="508"/>
      <c r="Z340" s="480"/>
      <c r="AA340" s="480"/>
      <c r="AB340" s="480"/>
      <c r="AC340" s="508"/>
      <c r="AD340" s="508"/>
      <c r="AE340" s="508"/>
      <c r="AF340" s="508"/>
      <c r="AG340" s="508"/>
      <c r="AH340" s="508"/>
      <c r="AI340" s="508"/>
      <c r="AJ340" s="508"/>
      <c r="AK340" s="508"/>
      <c r="AL340" s="508"/>
      <c r="AM340" s="508"/>
    </row>
    <row r="341" spans="1:39" ht="15.75" thickBot="1">
      <c r="A341" s="508"/>
      <c r="B341" s="589" t="s">
        <v>860</v>
      </c>
      <c r="C341" s="590" t="s">
        <v>861</v>
      </c>
      <c r="D341" s="591">
        <v>1558</v>
      </c>
      <c r="E341" s="681">
        <v>8.1000000000000003E-2</v>
      </c>
      <c r="F341" s="592">
        <v>1.2999999999999999E-2</v>
      </c>
      <c r="G341" s="591">
        <v>1618.1</v>
      </c>
      <c r="H341" s="681">
        <v>0.06</v>
      </c>
      <c r="I341" s="475">
        <v>1.0999999999999999E-2</v>
      </c>
      <c r="J341" s="479"/>
      <c r="K341" s="86"/>
      <c r="L341" s="508"/>
      <c r="M341" s="508"/>
      <c r="N341" s="508"/>
      <c r="O341" s="589" t="s">
        <v>860</v>
      </c>
      <c r="P341" s="590" t="s">
        <v>861</v>
      </c>
      <c r="Q341" s="130">
        <f t="shared" si="3"/>
        <v>1558</v>
      </c>
      <c r="R341" s="130">
        <f t="shared" si="3"/>
        <v>8.1000000000000003E-2</v>
      </c>
      <c r="S341" s="130">
        <f t="shared" si="3"/>
        <v>1.2999999999999999E-2</v>
      </c>
      <c r="T341" s="130">
        <f t="shared" si="3"/>
        <v>1618.1</v>
      </c>
      <c r="U341" s="130">
        <f t="shared" si="3"/>
        <v>0.06</v>
      </c>
      <c r="V341" s="130">
        <f t="shared" si="3"/>
        <v>1.0999999999999999E-2</v>
      </c>
      <c r="W341" s="679">
        <f t="shared" si="1"/>
        <v>0.73591609977324257</v>
      </c>
      <c r="X341" s="680">
        <f t="shared" si="2"/>
        <v>7.359160997732426E-4</v>
      </c>
      <c r="Y341" s="508"/>
      <c r="Z341" s="480"/>
      <c r="AA341" s="480"/>
      <c r="AB341" s="480"/>
      <c r="AC341" s="508"/>
      <c r="AD341" s="508"/>
      <c r="AE341" s="508"/>
      <c r="AF341" s="508"/>
      <c r="AG341" s="508"/>
      <c r="AH341" s="508"/>
      <c r="AI341" s="508"/>
      <c r="AJ341" s="508"/>
      <c r="AK341" s="508"/>
      <c r="AL341" s="508"/>
      <c r="AM341" s="508"/>
    </row>
    <row r="342" spans="1:39" ht="15.75" thickBot="1">
      <c r="A342" s="508"/>
      <c r="B342" s="589" t="s">
        <v>862</v>
      </c>
      <c r="C342" s="590" t="s">
        <v>863</v>
      </c>
      <c r="D342" s="591">
        <v>672.8</v>
      </c>
      <c r="E342" s="681">
        <v>4.9000000000000002E-2</v>
      </c>
      <c r="F342" s="592">
        <v>7.0000000000000001E-3</v>
      </c>
      <c r="G342" s="591">
        <v>1357.3</v>
      </c>
      <c r="H342" s="681">
        <v>0.106</v>
      </c>
      <c r="I342" s="475">
        <v>1.4999999999999999E-2</v>
      </c>
      <c r="J342" s="479"/>
      <c r="K342" s="86"/>
      <c r="L342" s="508"/>
      <c r="M342" s="508"/>
      <c r="N342" s="508"/>
      <c r="O342" s="589" t="s">
        <v>862</v>
      </c>
      <c r="P342" s="590" t="s">
        <v>863</v>
      </c>
      <c r="Q342" s="130">
        <f t="shared" si="3"/>
        <v>672.8</v>
      </c>
      <c r="R342" s="130">
        <f t="shared" si="3"/>
        <v>4.9000000000000002E-2</v>
      </c>
      <c r="S342" s="130">
        <f t="shared" si="3"/>
        <v>7.0000000000000001E-3</v>
      </c>
      <c r="T342" s="130">
        <f t="shared" si="3"/>
        <v>1357.3</v>
      </c>
      <c r="U342" s="130">
        <f t="shared" si="3"/>
        <v>0.106</v>
      </c>
      <c r="V342" s="130">
        <f t="shared" si="3"/>
        <v>1.4999999999999999E-2</v>
      </c>
      <c r="W342" s="679">
        <f t="shared" si="1"/>
        <v>0.61870430839002266</v>
      </c>
      <c r="X342" s="680">
        <f t="shared" si="2"/>
        <v>6.187043083900227E-4</v>
      </c>
      <c r="Y342" s="508"/>
      <c r="Z342" s="480"/>
      <c r="AA342" s="480"/>
      <c r="AB342" s="480"/>
      <c r="AC342" s="508"/>
      <c r="AD342" s="508"/>
      <c r="AE342" s="508"/>
      <c r="AF342" s="508"/>
      <c r="AG342" s="508"/>
      <c r="AH342" s="508"/>
      <c r="AI342" s="508"/>
      <c r="AJ342" s="508"/>
      <c r="AK342" s="508"/>
      <c r="AL342" s="508"/>
      <c r="AM342" s="508"/>
    </row>
    <row r="343" spans="1:39" ht="15.75" thickBot="1">
      <c r="A343" s="508"/>
      <c r="B343" s="589" t="s">
        <v>864</v>
      </c>
      <c r="C343" s="590" t="s">
        <v>865</v>
      </c>
      <c r="D343" s="591">
        <v>1214.0999999999999</v>
      </c>
      <c r="E343" s="681">
        <v>0.115</v>
      </c>
      <c r="F343" s="592">
        <v>1.6E-2</v>
      </c>
      <c r="G343" s="591">
        <v>1717</v>
      </c>
      <c r="H343" s="681">
        <v>0.16</v>
      </c>
      <c r="I343" s="475">
        <v>2.3E-2</v>
      </c>
      <c r="J343" s="479"/>
      <c r="K343" s="86"/>
      <c r="L343" s="508"/>
      <c r="M343" s="508"/>
      <c r="N343" s="508"/>
      <c r="O343" s="589" t="s">
        <v>864</v>
      </c>
      <c r="P343" s="590" t="s">
        <v>865</v>
      </c>
      <c r="Q343" s="130">
        <f t="shared" si="3"/>
        <v>1214.0999999999999</v>
      </c>
      <c r="R343" s="130">
        <f t="shared" si="3"/>
        <v>0.115</v>
      </c>
      <c r="S343" s="130">
        <f t="shared" si="3"/>
        <v>1.6E-2</v>
      </c>
      <c r="T343" s="130">
        <f t="shared" si="3"/>
        <v>1717</v>
      </c>
      <c r="U343" s="130">
        <f t="shared" si="3"/>
        <v>0.16</v>
      </c>
      <c r="V343" s="130">
        <f t="shared" si="3"/>
        <v>2.3E-2</v>
      </c>
      <c r="W343" s="679">
        <f t="shared" si="1"/>
        <v>0.78348072562358284</v>
      </c>
      <c r="X343" s="680">
        <f t="shared" si="2"/>
        <v>7.8348072562358284E-4</v>
      </c>
      <c r="Y343" s="508"/>
      <c r="Z343" s="480"/>
      <c r="AA343" s="480"/>
      <c r="AB343" s="480"/>
      <c r="AC343" s="508"/>
      <c r="AD343" s="508"/>
      <c r="AE343" s="508"/>
      <c r="AF343" s="508"/>
      <c r="AG343" s="508"/>
      <c r="AH343" s="508"/>
      <c r="AI343" s="508"/>
      <c r="AJ343" s="508"/>
      <c r="AK343" s="508"/>
      <c r="AL343" s="508"/>
      <c r="AM343" s="508"/>
    </row>
    <row r="344" spans="1:39" ht="15.75" thickBot="1">
      <c r="A344" s="508"/>
      <c r="B344" s="589" t="s">
        <v>866</v>
      </c>
      <c r="C344" s="590" t="s">
        <v>867</v>
      </c>
      <c r="D344" s="591">
        <v>1046.0999999999999</v>
      </c>
      <c r="E344" s="681">
        <v>9.5000000000000001E-2</v>
      </c>
      <c r="F344" s="592">
        <v>1.4E-2</v>
      </c>
      <c r="G344" s="591">
        <v>1798.8</v>
      </c>
      <c r="H344" s="681">
        <v>0.17199999999999999</v>
      </c>
      <c r="I344" s="475">
        <v>2.5000000000000001E-2</v>
      </c>
      <c r="J344" s="479"/>
      <c r="K344" s="86"/>
      <c r="L344" s="508"/>
      <c r="M344" s="508"/>
      <c r="N344" s="508"/>
      <c r="O344" s="589" t="s">
        <v>866</v>
      </c>
      <c r="P344" s="590" t="s">
        <v>867</v>
      </c>
      <c r="Q344" s="130">
        <f t="shared" si="3"/>
        <v>1046.0999999999999</v>
      </c>
      <c r="R344" s="130">
        <f t="shared" si="3"/>
        <v>9.5000000000000001E-2</v>
      </c>
      <c r="S344" s="130">
        <f t="shared" si="3"/>
        <v>1.4E-2</v>
      </c>
      <c r="T344" s="130">
        <f t="shared" si="3"/>
        <v>1798.8</v>
      </c>
      <c r="U344" s="130">
        <f t="shared" si="3"/>
        <v>0.17199999999999999</v>
      </c>
      <c r="V344" s="130">
        <f t="shared" si="3"/>
        <v>2.5000000000000001E-2</v>
      </c>
      <c r="W344" s="679">
        <f t="shared" si="1"/>
        <v>0.82097097505668937</v>
      </c>
      <c r="X344" s="680">
        <f t="shared" si="2"/>
        <v>8.2097097505668933E-4</v>
      </c>
      <c r="Y344" s="508"/>
      <c r="Z344" s="480"/>
      <c r="AA344" s="480"/>
      <c r="AB344" s="480"/>
      <c r="AC344" s="508"/>
      <c r="AD344" s="508"/>
      <c r="AE344" s="508"/>
      <c r="AF344" s="508"/>
      <c r="AG344" s="508"/>
      <c r="AH344" s="508"/>
      <c r="AI344" s="508"/>
      <c r="AJ344" s="508"/>
      <c r="AK344" s="508"/>
      <c r="AL344" s="508"/>
      <c r="AM344" s="508"/>
    </row>
    <row r="345" spans="1:39" ht="15.75" thickBot="1">
      <c r="A345" s="508"/>
      <c r="B345" s="589" t="s">
        <v>868</v>
      </c>
      <c r="C345" s="590" t="s">
        <v>869</v>
      </c>
      <c r="D345" s="591">
        <v>1158.9000000000001</v>
      </c>
      <c r="E345" s="681">
        <v>0.109</v>
      </c>
      <c r="F345" s="592">
        <v>1.6E-2</v>
      </c>
      <c r="G345" s="591">
        <v>1614.2</v>
      </c>
      <c r="H345" s="681">
        <v>0.128</v>
      </c>
      <c r="I345" s="475">
        <v>1.7999999999999999E-2</v>
      </c>
      <c r="J345" s="479"/>
      <c r="K345" s="86"/>
      <c r="L345" s="508"/>
      <c r="M345" s="508"/>
      <c r="N345" s="508"/>
      <c r="O345" s="589" t="s">
        <v>868</v>
      </c>
      <c r="P345" s="590" t="s">
        <v>869</v>
      </c>
      <c r="Q345" s="130">
        <f t="shared" si="3"/>
        <v>1158.9000000000001</v>
      </c>
      <c r="R345" s="130">
        <f t="shared" si="3"/>
        <v>0.109</v>
      </c>
      <c r="S345" s="130">
        <f t="shared" si="3"/>
        <v>1.6E-2</v>
      </c>
      <c r="T345" s="130">
        <f t="shared" si="3"/>
        <v>1614.2</v>
      </c>
      <c r="U345" s="130">
        <f t="shared" si="3"/>
        <v>0.128</v>
      </c>
      <c r="V345" s="130">
        <f t="shared" si="3"/>
        <v>1.7999999999999999E-2</v>
      </c>
      <c r="W345" s="679">
        <f t="shared" si="1"/>
        <v>0.73585215419501138</v>
      </c>
      <c r="X345" s="680">
        <f t="shared" si="2"/>
        <v>7.3585215419501142E-4</v>
      </c>
      <c r="Y345" s="508"/>
      <c r="Z345" s="480"/>
      <c r="AA345" s="480"/>
      <c r="AB345" s="480"/>
      <c r="AC345" s="508"/>
      <c r="AD345" s="508"/>
      <c r="AE345" s="508"/>
      <c r="AF345" s="508"/>
      <c r="AG345" s="508"/>
      <c r="AH345" s="508"/>
      <c r="AI345" s="508"/>
      <c r="AJ345" s="508"/>
      <c r="AK345" s="508"/>
      <c r="AL345" s="508"/>
      <c r="AM345" s="508"/>
    </row>
    <row r="346" spans="1:39" ht="15.75" thickBot="1">
      <c r="A346" s="508"/>
      <c r="B346" s="589" t="s">
        <v>870</v>
      </c>
      <c r="C346" s="590" t="s">
        <v>871</v>
      </c>
      <c r="D346" s="591">
        <v>991.7</v>
      </c>
      <c r="E346" s="681">
        <v>0.108</v>
      </c>
      <c r="F346" s="592">
        <v>1.6E-2</v>
      </c>
      <c r="G346" s="591">
        <v>1926.2</v>
      </c>
      <c r="H346" s="681">
        <v>0.20399999999999999</v>
      </c>
      <c r="I346" s="475">
        <v>2.9000000000000001E-2</v>
      </c>
      <c r="J346" s="479"/>
      <c r="K346" s="86"/>
      <c r="L346" s="508"/>
      <c r="M346" s="508"/>
      <c r="N346" s="508"/>
      <c r="O346" s="589" t="s">
        <v>870</v>
      </c>
      <c r="P346" s="590" t="s">
        <v>871</v>
      </c>
      <c r="Q346" s="130">
        <f t="shared" si="3"/>
        <v>991.7</v>
      </c>
      <c r="R346" s="130">
        <f t="shared" si="3"/>
        <v>0.108</v>
      </c>
      <c r="S346" s="130">
        <f t="shared" si="3"/>
        <v>1.6E-2</v>
      </c>
      <c r="T346" s="130">
        <f t="shared" si="3"/>
        <v>1926.2</v>
      </c>
      <c r="U346" s="130">
        <f t="shared" si="3"/>
        <v>0.20399999999999999</v>
      </c>
      <c r="V346" s="130">
        <f t="shared" si="3"/>
        <v>2.9000000000000001E-2</v>
      </c>
      <c r="W346" s="679">
        <f t="shared" si="1"/>
        <v>0.87963582766439907</v>
      </c>
      <c r="X346" s="680">
        <f t="shared" si="2"/>
        <v>8.7963582766439907E-4</v>
      </c>
      <c r="Y346" s="508"/>
      <c r="Z346" s="480"/>
      <c r="AA346" s="480"/>
      <c r="AB346" s="480"/>
      <c r="AC346" s="508"/>
      <c r="AD346" s="508"/>
      <c r="AE346" s="508"/>
      <c r="AF346" s="508"/>
      <c r="AG346" s="508"/>
      <c r="AH346" s="508"/>
      <c r="AI346" s="508"/>
      <c r="AJ346" s="508"/>
      <c r="AK346" s="508"/>
      <c r="AL346" s="508"/>
      <c r="AM346" s="508"/>
    </row>
    <row r="347" spans="1:39" ht="15.75" thickBot="1">
      <c r="A347" s="508"/>
      <c r="B347" s="589" t="s">
        <v>872</v>
      </c>
      <c r="C347" s="590" t="s">
        <v>873</v>
      </c>
      <c r="D347" s="591">
        <v>1031.5999999999999</v>
      </c>
      <c r="E347" s="681">
        <v>0.08</v>
      </c>
      <c r="F347" s="592">
        <v>1.2E-2</v>
      </c>
      <c r="G347" s="591">
        <v>1584.6</v>
      </c>
      <c r="H347" s="681">
        <v>0.11600000000000001</v>
      </c>
      <c r="I347" s="475">
        <v>1.7000000000000001E-2</v>
      </c>
      <c r="J347" s="479"/>
      <c r="K347" s="86"/>
      <c r="L347" s="508"/>
      <c r="M347" s="508"/>
      <c r="N347" s="508"/>
      <c r="O347" s="589" t="s">
        <v>872</v>
      </c>
      <c r="P347" s="590" t="s">
        <v>873</v>
      </c>
      <c r="Q347" s="130">
        <f t="shared" si="3"/>
        <v>1031.5999999999999</v>
      </c>
      <c r="R347" s="130">
        <f t="shared" si="3"/>
        <v>0.08</v>
      </c>
      <c r="S347" s="130">
        <f t="shared" si="3"/>
        <v>1.2E-2</v>
      </c>
      <c r="T347" s="130">
        <f t="shared" si="3"/>
        <v>1584.6</v>
      </c>
      <c r="U347" s="130">
        <f t="shared" si="3"/>
        <v>0.11600000000000001</v>
      </c>
      <c r="V347" s="130">
        <f t="shared" si="3"/>
        <v>1.7000000000000001E-2</v>
      </c>
      <c r="W347" s="679">
        <f t="shared" si="1"/>
        <v>0.72215555555555555</v>
      </c>
      <c r="X347" s="680">
        <f t="shared" si="2"/>
        <v>7.2215555555555559E-4</v>
      </c>
      <c r="Y347" s="508"/>
      <c r="Z347" s="480"/>
      <c r="AA347" s="480"/>
      <c r="AB347" s="480"/>
      <c r="AC347" s="508"/>
      <c r="AD347" s="508"/>
      <c r="AE347" s="508"/>
      <c r="AF347" s="508"/>
      <c r="AG347" s="508"/>
      <c r="AH347" s="508"/>
      <c r="AI347" s="508"/>
      <c r="AJ347" s="508"/>
      <c r="AK347" s="508"/>
      <c r="AL347" s="508"/>
      <c r="AM347" s="508"/>
    </row>
    <row r="348" spans="1:39" ht="15.75" thickBot="1">
      <c r="A348" s="508"/>
      <c r="B348" s="589" t="s">
        <v>874</v>
      </c>
      <c r="C348" s="590" t="s">
        <v>875</v>
      </c>
      <c r="D348" s="591">
        <v>772.7</v>
      </c>
      <c r="E348" s="681">
        <v>0.04</v>
      </c>
      <c r="F348" s="592">
        <v>6.0000000000000001E-3</v>
      </c>
      <c r="G348" s="591">
        <v>1177</v>
      </c>
      <c r="H348" s="681">
        <v>6.6000000000000003E-2</v>
      </c>
      <c r="I348" s="475">
        <v>8.9999999999999993E-3</v>
      </c>
      <c r="J348" s="479"/>
      <c r="K348" s="86"/>
      <c r="L348" s="508"/>
      <c r="M348" s="508"/>
      <c r="N348" s="508"/>
      <c r="O348" s="589" t="s">
        <v>874</v>
      </c>
      <c r="P348" s="590" t="s">
        <v>875</v>
      </c>
      <c r="Q348" s="130">
        <f t="shared" si="3"/>
        <v>772.7</v>
      </c>
      <c r="R348" s="130">
        <f t="shared" si="3"/>
        <v>0.04</v>
      </c>
      <c r="S348" s="130">
        <f t="shared" si="3"/>
        <v>6.0000000000000001E-3</v>
      </c>
      <c r="T348" s="130">
        <f t="shared" si="3"/>
        <v>1177</v>
      </c>
      <c r="U348" s="130">
        <f t="shared" si="3"/>
        <v>6.6000000000000003E-2</v>
      </c>
      <c r="V348" s="130">
        <f t="shared" si="3"/>
        <v>8.9999999999999993E-3</v>
      </c>
      <c r="W348" s="679">
        <f t="shared" si="1"/>
        <v>0.53570657596371885</v>
      </c>
      <c r="X348" s="680">
        <f t="shared" si="2"/>
        <v>5.3570657596371883E-4</v>
      </c>
      <c r="Y348" s="508"/>
      <c r="Z348" s="480"/>
      <c r="AA348" s="480"/>
      <c r="AB348" s="480"/>
      <c r="AC348" s="508"/>
      <c r="AD348" s="508"/>
      <c r="AE348" s="508"/>
      <c r="AF348" s="508"/>
      <c r="AG348" s="508"/>
      <c r="AH348" s="508"/>
      <c r="AI348" s="508"/>
      <c r="AJ348" s="508"/>
      <c r="AK348" s="508"/>
      <c r="AL348" s="508"/>
      <c r="AM348" s="508"/>
    </row>
    <row r="349" spans="1:39" ht="15.75" thickBot="1">
      <c r="A349" s="508"/>
      <c r="B349" s="589" t="s">
        <v>876</v>
      </c>
      <c r="C349" s="590" t="s">
        <v>877</v>
      </c>
      <c r="D349" s="591">
        <v>1543</v>
      </c>
      <c r="E349" s="681">
        <v>0.17100000000000001</v>
      </c>
      <c r="F349" s="592">
        <v>2.5000000000000001E-2</v>
      </c>
      <c r="G349" s="591">
        <v>1763.2</v>
      </c>
      <c r="H349" s="681">
        <v>0.17899999999999999</v>
      </c>
      <c r="I349" s="475">
        <v>2.5999999999999999E-2</v>
      </c>
      <c r="J349" s="479"/>
      <c r="K349" s="86"/>
      <c r="L349" s="508"/>
      <c r="M349" s="508"/>
      <c r="N349" s="508"/>
      <c r="O349" s="589" t="s">
        <v>876</v>
      </c>
      <c r="P349" s="590" t="s">
        <v>877</v>
      </c>
      <c r="Q349" s="130">
        <f t="shared" si="3"/>
        <v>1543</v>
      </c>
      <c r="R349" s="130">
        <f t="shared" si="3"/>
        <v>0.17100000000000001</v>
      </c>
      <c r="S349" s="130">
        <f t="shared" si="3"/>
        <v>2.5000000000000001E-2</v>
      </c>
      <c r="T349" s="130">
        <f t="shared" si="3"/>
        <v>1763.2</v>
      </c>
      <c r="U349" s="130">
        <f t="shared" si="3"/>
        <v>0.17899999999999999</v>
      </c>
      <c r="V349" s="130">
        <f t="shared" si="3"/>
        <v>2.5999999999999999E-2</v>
      </c>
      <c r="W349" s="679">
        <f t="shared" si="1"/>
        <v>0.80503492063492066</v>
      </c>
      <c r="X349" s="680">
        <f t="shared" si="2"/>
        <v>8.0503492063492066E-4</v>
      </c>
      <c r="Y349" s="508"/>
      <c r="Z349" s="480"/>
      <c r="AA349" s="480"/>
      <c r="AB349" s="480"/>
      <c r="AC349" s="508"/>
      <c r="AD349" s="508"/>
      <c r="AE349" s="508"/>
      <c r="AF349" s="508"/>
      <c r="AG349" s="508"/>
      <c r="AH349" s="508"/>
      <c r="AI349" s="508"/>
      <c r="AJ349" s="508"/>
      <c r="AK349" s="508"/>
      <c r="AL349" s="508"/>
      <c r="AM349" s="508"/>
    </row>
    <row r="350" spans="1:39" ht="15.75" thickBot="1">
      <c r="A350" s="508"/>
      <c r="B350" s="589" t="s">
        <v>878</v>
      </c>
      <c r="C350" s="590" t="s">
        <v>879</v>
      </c>
      <c r="D350" s="591">
        <v>891.9</v>
      </c>
      <c r="E350" s="681">
        <v>6.7000000000000004E-2</v>
      </c>
      <c r="F350" s="592">
        <v>0.01</v>
      </c>
      <c r="G350" s="591">
        <v>1384.6</v>
      </c>
      <c r="H350" s="681">
        <v>0.10100000000000001</v>
      </c>
      <c r="I350" s="475">
        <v>1.4999999999999999E-2</v>
      </c>
      <c r="J350" s="479"/>
      <c r="K350" s="86"/>
      <c r="L350" s="508"/>
      <c r="M350" s="508"/>
      <c r="N350" s="508"/>
      <c r="O350" s="589" t="s">
        <v>878</v>
      </c>
      <c r="P350" s="590" t="s">
        <v>879</v>
      </c>
      <c r="Q350" s="130">
        <f t="shared" si="3"/>
        <v>891.9</v>
      </c>
      <c r="R350" s="130">
        <f t="shared" si="3"/>
        <v>6.7000000000000004E-2</v>
      </c>
      <c r="S350" s="130">
        <f t="shared" si="3"/>
        <v>0.01</v>
      </c>
      <c r="T350" s="130">
        <f t="shared" si="3"/>
        <v>1384.6</v>
      </c>
      <c r="U350" s="130">
        <f t="shared" si="3"/>
        <v>0.10100000000000001</v>
      </c>
      <c r="V350" s="130">
        <f t="shared" si="3"/>
        <v>1.4999999999999999E-2</v>
      </c>
      <c r="W350" s="679">
        <f t="shared" si="1"/>
        <v>0.63102176870748294</v>
      </c>
      <c r="X350" s="680">
        <f t="shared" si="2"/>
        <v>6.3102176870748292E-4</v>
      </c>
      <c r="Y350" s="508"/>
      <c r="Z350" s="480"/>
      <c r="AA350" s="480"/>
      <c r="AB350" s="480"/>
      <c r="AC350" s="508"/>
      <c r="AD350" s="508"/>
      <c r="AE350" s="508"/>
      <c r="AF350" s="508"/>
      <c r="AG350" s="508"/>
      <c r="AH350" s="508"/>
      <c r="AI350" s="508"/>
      <c r="AJ350" s="508"/>
      <c r="AK350" s="508"/>
      <c r="AL350" s="508"/>
      <c r="AM350" s="508"/>
    </row>
    <row r="351" spans="1:39" ht="15.75" thickBot="1">
      <c r="A351" s="508"/>
      <c r="B351" s="589" t="s">
        <v>880</v>
      </c>
      <c r="C351" s="590" t="s">
        <v>881</v>
      </c>
      <c r="D351" s="591">
        <v>931.6</v>
      </c>
      <c r="E351" s="681">
        <v>8.6999999999999994E-2</v>
      </c>
      <c r="F351" s="592">
        <v>1.2999999999999999E-2</v>
      </c>
      <c r="G351" s="591">
        <v>1636.2</v>
      </c>
      <c r="H351" s="681">
        <v>0.151</v>
      </c>
      <c r="I351" s="475">
        <v>2.1999999999999999E-2</v>
      </c>
      <c r="J351" s="479"/>
      <c r="K351" s="86"/>
      <c r="L351" s="508"/>
      <c r="M351" s="508"/>
      <c r="N351" s="508"/>
      <c r="O351" s="589" t="s">
        <v>880</v>
      </c>
      <c r="P351" s="590" t="s">
        <v>881</v>
      </c>
      <c r="Q351" s="130">
        <f t="shared" si="3"/>
        <v>931.6</v>
      </c>
      <c r="R351" s="130">
        <f t="shared" si="3"/>
        <v>8.6999999999999994E-2</v>
      </c>
      <c r="S351" s="130">
        <f t="shared" si="3"/>
        <v>1.2999999999999999E-2</v>
      </c>
      <c r="T351" s="130">
        <f t="shared" si="3"/>
        <v>1636.2</v>
      </c>
      <c r="U351" s="130">
        <f t="shared" si="3"/>
        <v>0.151</v>
      </c>
      <c r="V351" s="130">
        <f t="shared" si="3"/>
        <v>2.1999999999999999E-2</v>
      </c>
      <c r="W351" s="679">
        <f t="shared" si="1"/>
        <v>0.74660226757369619</v>
      </c>
      <c r="X351" s="680">
        <f t="shared" si="2"/>
        <v>7.4660226757369624E-4</v>
      </c>
      <c r="Y351" s="508"/>
      <c r="Z351" s="480"/>
      <c r="AA351" s="480"/>
      <c r="AB351" s="480"/>
      <c r="AC351" s="508"/>
      <c r="AD351" s="508"/>
      <c r="AE351" s="508"/>
      <c r="AF351" s="508"/>
      <c r="AG351" s="508"/>
      <c r="AH351" s="508"/>
      <c r="AI351" s="508"/>
      <c r="AJ351" s="508"/>
      <c r="AK351" s="508"/>
      <c r="AL351" s="508"/>
      <c r="AM351" s="508"/>
    </row>
    <row r="352" spans="1:39" ht="15.75" thickBot="1">
      <c r="A352" s="508"/>
      <c r="B352" s="589" t="s">
        <v>882</v>
      </c>
      <c r="C352" s="590" t="s">
        <v>883</v>
      </c>
      <c r="D352" s="591">
        <v>639.70000000000005</v>
      </c>
      <c r="E352" s="681">
        <v>5.1999999999999998E-2</v>
      </c>
      <c r="F352" s="592">
        <v>7.0000000000000001E-3</v>
      </c>
      <c r="G352" s="591">
        <v>1357</v>
      </c>
      <c r="H352" s="681">
        <v>0.11600000000000001</v>
      </c>
      <c r="I352" s="475">
        <v>1.6E-2</v>
      </c>
      <c r="J352" s="479"/>
      <c r="K352" s="86"/>
      <c r="L352" s="508"/>
      <c r="M352" s="508"/>
      <c r="N352" s="508"/>
      <c r="O352" s="589" t="s">
        <v>882</v>
      </c>
      <c r="P352" s="590" t="s">
        <v>883</v>
      </c>
      <c r="Q352" s="130">
        <f t="shared" si="3"/>
        <v>639.70000000000005</v>
      </c>
      <c r="R352" s="130">
        <f t="shared" si="3"/>
        <v>5.1999999999999998E-2</v>
      </c>
      <c r="S352" s="130">
        <f t="shared" si="3"/>
        <v>7.0000000000000001E-3</v>
      </c>
      <c r="T352" s="130">
        <f t="shared" si="3"/>
        <v>1357</v>
      </c>
      <c r="U352" s="130">
        <f t="shared" si="3"/>
        <v>0.11600000000000001</v>
      </c>
      <c r="V352" s="130">
        <f t="shared" si="3"/>
        <v>1.6E-2</v>
      </c>
      <c r="W352" s="679">
        <f t="shared" si="1"/>
        <v>0.61881541950113383</v>
      </c>
      <c r="X352" s="680">
        <f t="shared" si="2"/>
        <v>6.188154195011338E-4</v>
      </c>
      <c r="Y352" s="508"/>
      <c r="Z352" s="480"/>
      <c r="AA352" s="480"/>
      <c r="AB352" s="480"/>
      <c r="AC352" s="508"/>
      <c r="AD352" s="508"/>
      <c r="AE352" s="508"/>
      <c r="AF352" s="508"/>
      <c r="AG352" s="508"/>
      <c r="AH352" s="508"/>
      <c r="AI352" s="508"/>
      <c r="AJ352" s="508"/>
      <c r="AK352" s="508"/>
      <c r="AL352" s="508"/>
      <c r="AM352" s="508"/>
    </row>
    <row r="353" spans="1:39" ht="15.75" thickBot="1">
      <c r="A353" s="508"/>
      <c r="B353" s="593" t="s">
        <v>884</v>
      </c>
      <c r="C353" s="594" t="s">
        <v>884</v>
      </c>
      <c r="D353" s="595">
        <v>852.3</v>
      </c>
      <c r="E353" s="596">
        <v>7.0999999999999994E-2</v>
      </c>
      <c r="F353" s="597">
        <v>0.01</v>
      </c>
      <c r="G353" s="595">
        <v>1410</v>
      </c>
      <c r="H353" s="596">
        <v>0.11</v>
      </c>
      <c r="I353" s="476">
        <v>1.6E-2</v>
      </c>
      <c r="J353" s="479"/>
      <c r="K353" s="86"/>
      <c r="L353" s="508"/>
      <c r="M353" s="508"/>
      <c r="N353" s="508"/>
      <c r="O353" s="593" t="s">
        <v>884</v>
      </c>
      <c r="P353" s="594" t="s">
        <v>884</v>
      </c>
      <c r="Q353" s="130">
        <f t="shared" si="3"/>
        <v>852.3</v>
      </c>
      <c r="R353" s="130">
        <f t="shared" si="3"/>
        <v>7.0999999999999994E-2</v>
      </c>
      <c r="S353" s="130">
        <f t="shared" si="3"/>
        <v>0.01</v>
      </c>
      <c r="T353" s="130">
        <f t="shared" si="3"/>
        <v>1410</v>
      </c>
      <c r="U353" s="130">
        <f t="shared" si="3"/>
        <v>0.11</v>
      </c>
      <c r="V353" s="130">
        <f t="shared" si="3"/>
        <v>1.6E-2</v>
      </c>
      <c r="W353" s="679">
        <f t="shared" si="1"/>
        <v>0.64277551020408163</v>
      </c>
      <c r="X353" s="680">
        <f t="shared" si="2"/>
        <v>6.4277551020408162E-4</v>
      </c>
      <c r="Y353" s="508"/>
      <c r="Z353" s="480"/>
      <c r="AA353" s="480"/>
      <c r="AB353" s="480"/>
      <c r="AC353" s="508"/>
      <c r="AD353" s="508"/>
      <c r="AE353" s="508"/>
      <c r="AF353" s="508"/>
      <c r="AG353" s="508"/>
      <c r="AH353" s="508"/>
      <c r="AI353" s="508"/>
      <c r="AJ353" s="508"/>
      <c r="AK353" s="508"/>
      <c r="AL353" s="508"/>
      <c r="AM353" s="508"/>
    </row>
    <row r="354" spans="1:39">
      <c r="A354" s="41"/>
      <c r="B354" s="245" t="s">
        <v>885</v>
      </c>
      <c r="C354" s="246"/>
      <c r="D354" s="246"/>
      <c r="E354" s="246"/>
      <c r="F354" s="688"/>
      <c r="G354" s="688"/>
      <c r="H354" s="688"/>
      <c r="I354" s="508"/>
      <c r="J354" s="133"/>
      <c r="K354" s="508"/>
      <c r="L354" s="508"/>
      <c r="M354" s="508"/>
      <c r="N354" s="41"/>
      <c r="O354" s="245" t="s">
        <v>886</v>
      </c>
      <c r="P354" s="246"/>
      <c r="Q354" s="246"/>
      <c r="R354" s="246"/>
      <c r="S354" s="688"/>
      <c r="T354" s="688"/>
      <c r="U354" s="688"/>
      <c r="V354" s="508"/>
      <c r="W354" s="133"/>
      <c r="X354" s="133"/>
      <c r="Y354" s="508"/>
      <c r="Z354" s="86"/>
      <c r="AA354" s="86"/>
      <c r="AB354" s="86"/>
      <c r="AC354" s="508"/>
      <c r="AD354" s="508"/>
      <c r="AE354" s="508"/>
      <c r="AF354" s="508"/>
      <c r="AG354" s="508"/>
      <c r="AH354" s="508"/>
      <c r="AI354" s="508"/>
      <c r="AJ354" s="508"/>
      <c r="AK354" s="508"/>
      <c r="AL354" s="508"/>
      <c r="AM354" s="508"/>
    </row>
    <row r="355" spans="1:39">
      <c r="A355" s="229"/>
      <c r="B355" s="134" t="s">
        <v>887</v>
      </c>
      <c r="C355" s="688"/>
      <c r="D355" s="688"/>
      <c r="E355" s="688"/>
      <c r="F355" s="688"/>
      <c r="G355" s="688"/>
      <c r="H355" s="688"/>
      <c r="I355" s="228"/>
      <c r="J355" s="135"/>
      <c r="K355" s="228"/>
      <c r="L355" s="228"/>
      <c r="M355" s="228"/>
      <c r="N355" s="229"/>
      <c r="O355" s="134" t="s">
        <v>887</v>
      </c>
      <c r="P355" s="688"/>
      <c r="Q355" s="688"/>
      <c r="R355" s="688"/>
      <c r="S355" s="688"/>
      <c r="T355" s="688"/>
      <c r="U355" s="688"/>
      <c r="V355" s="228"/>
      <c r="W355" s="135"/>
      <c r="X355" s="240"/>
      <c r="Y355" s="228"/>
      <c r="Z355" s="228"/>
      <c r="AA355" s="228"/>
      <c r="AB355" s="228"/>
      <c r="AC355" s="228"/>
      <c r="AD355" s="228"/>
      <c r="AE355" s="228"/>
      <c r="AF355" s="228"/>
      <c r="AG355" s="228"/>
      <c r="AH355" s="228"/>
      <c r="AI355" s="228"/>
      <c r="AJ355" s="228"/>
      <c r="AK355" s="228"/>
      <c r="AL355" s="228"/>
      <c r="AM355" s="228"/>
    </row>
    <row r="356" spans="1:39">
      <c r="A356" s="41"/>
      <c r="B356" s="805" t="s">
        <v>888</v>
      </c>
      <c r="C356" s="796"/>
      <c r="D356" s="796"/>
      <c r="E356" s="796"/>
      <c r="F356" s="796"/>
      <c r="G356" s="796"/>
      <c r="H356" s="796"/>
      <c r="I356" s="796"/>
      <c r="J356" s="45"/>
      <c r="K356" s="508"/>
      <c r="L356" s="508"/>
      <c r="M356" s="508"/>
      <c r="N356" s="41"/>
      <c r="O356" s="805" t="s">
        <v>888</v>
      </c>
      <c r="P356" s="796"/>
      <c r="Q356" s="796"/>
      <c r="R356" s="796"/>
      <c r="S356" s="796"/>
      <c r="T356" s="796"/>
      <c r="U356" s="796"/>
      <c r="V356" s="796"/>
      <c r="W356" s="45"/>
      <c r="X356" s="508"/>
      <c r="Y356" s="508"/>
      <c r="Z356" s="508"/>
      <c r="AA356" s="508"/>
      <c r="AB356" s="508"/>
      <c r="AC356" s="508"/>
      <c r="AD356" s="508"/>
      <c r="AE356" s="508"/>
      <c r="AF356" s="508"/>
      <c r="AG356" s="508"/>
      <c r="AH356" s="508"/>
      <c r="AI356" s="508"/>
      <c r="AJ356" s="508"/>
      <c r="AK356" s="508"/>
      <c r="AL356" s="508"/>
      <c r="AM356" s="508"/>
    </row>
    <row r="357" spans="1:39">
      <c r="A357" s="41"/>
      <c r="B357" s="796" t="s">
        <v>889</v>
      </c>
      <c r="C357" s="796"/>
      <c r="D357" s="796"/>
      <c r="E357" s="796"/>
      <c r="F357" s="796"/>
      <c r="G357" s="796"/>
      <c r="H357" s="796"/>
      <c r="I357" s="796"/>
      <c r="J357" s="45"/>
      <c r="K357" s="508"/>
      <c r="L357" s="508"/>
      <c r="M357" s="508"/>
      <c r="N357" s="41"/>
      <c r="O357" s="796" t="s">
        <v>889</v>
      </c>
      <c r="P357" s="796"/>
      <c r="Q357" s="796"/>
      <c r="R357" s="796"/>
      <c r="S357" s="796"/>
      <c r="T357" s="796"/>
      <c r="U357" s="796"/>
      <c r="V357" s="796"/>
      <c r="W357" s="45"/>
      <c r="X357" s="508"/>
      <c r="Y357" s="508"/>
      <c r="Z357" s="508"/>
      <c r="AA357" s="508"/>
      <c r="AB357" s="508"/>
      <c r="AC357" s="508"/>
      <c r="AD357" s="508"/>
      <c r="AE357" s="508"/>
      <c r="AF357" s="508"/>
      <c r="AG357" s="508"/>
      <c r="AH357" s="508"/>
      <c r="AI357" s="508"/>
      <c r="AJ357" s="508"/>
      <c r="AK357" s="508"/>
      <c r="AL357" s="508"/>
      <c r="AM357" s="508"/>
    </row>
    <row r="358" spans="1:39">
      <c r="A358" s="41"/>
      <c r="B358" s="136" t="s">
        <v>890</v>
      </c>
      <c r="C358" s="691"/>
      <c r="D358" s="691"/>
      <c r="E358" s="691"/>
      <c r="F358" s="691"/>
      <c r="G358" s="691"/>
      <c r="H358" s="691"/>
      <c r="I358" s="691"/>
      <c r="J358" s="45"/>
      <c r="K358" s="508"/>
      <c r="L358" s="508"/>
      <c r="M358" s="508"/>
      <c r="N358" s="41"/>
      <c r="O358" s="136" t="s">
        <v>890</v>
      </c>
      <c r="P358" s="691"/>
      <c r="Q358" s="691"/>
      <c r="R358" s="691"/>
      <c r="S358" s="691"/>
      <c r="T358" s="691"/>
      <c r="U358" s="691"/>
      <c r="V358" s="691"/>
      <c r="W358" s="45"/>
      <c r="X358" s="508"/>
      <c r="Y358" s="508"/>
      <c r="Z358" s="508"/>
      <c r="AA358" s="508"/>
      <c r="AB358" s="508"/>
      <c r="AC358" s="508"/>
      <c r="AD358" s="508"/>
      <c r="AE358" s="508"/>
      <c r="AF358" s="508"/>
      <c r="AG358" s="508"/>
      <c r="AH358" s="508"/>
      <c r="AI358" s="508"/>
      <c r="AJ358" s="508"/>
      <c r="AK358" s="508"/>
      <c r="AL358" s="508"/>
      <c r="AM358" s="508"/>
    </row>
    <row r="359" spans="1:39">
      <c r="A359" s="41"/>
      <c r="B359" s="242" t="s">
        <v>674</v>
      </c>
      <c r="C359" s="688"/>
      <c r="D359" s="688"/>
      <c r="E359" s="688"/>
      <c r="F359" s="688"/>
      <c r="G359" s="688"/>
      <c r="H359" s="688"/>
      <c r="I359" s="688"/>
      <c r="J359" s="688"/>
      <c r="K359" s="508"/>
      <c r="L359" s="508"/>
      <c r="M359" s="508"/>
      <c r="N359" s="41"/>
      <c r="O359" s="242" t="s">
        <v>674</v>
      </c>
      <c r="P359" s="688"/>
      <c r="Q359" s="688"/>
      <c r="R359" s="688"/>
      <c r="S359" s="688"/>
      <c r="T359" s="688"/>
      <c r="U359" s="688"/>
      <c r="V359" s="688"/>
      <c r="W359" s="688"/>
      <c r="X359" s="86"/>
      <c r="Y359" s="86"/>
      <c r="Z359" s="508"/>
      <c r="AA359" s="508"/>
      <c r="AB359" s="508"/>
      <c r="AC359" s="508"/>
      <c r="AD359" s="508"/>
      <c r="AE359" s="508"/>
      <c r="AF359" s="508"/>
      <c r="AG359" s="508"/>
      <c r="AH359" s="508"/>
      <c r="AI359" s="508"/>
      <c r="AJ359" s="508"/>
      <c r="AK359" s="508"/>
      <c r="AL359" s="508"/>
      <c r="AM359" s="508"/>
    </row>
    <row r="360" spans="1:39">
      <c r="A360" s="41"/>
      <c r="B360" s="137"/>
      <c r="C360" s="137"/>
      <c r="D360" s="137"/>
      <c r="E360" s="508"/>
      <c r="F360" s="508"/>
      <c r="G360" s="508"/>
      <c r="H360" s="508"/>
      <c r="I360" s="508"/>
      <c r="J360" s="508"/>
      <c r="K360" s="508"/>
      <c r="L360" s="508"/>
      <c r="M360" s="508"/>
      <c r="N360" s="41"/>
      <c r="O360" s="137"/>
      <c r="P360" s="137"/>
      <c r="Q360" s="137"/>
      <c r="R360" s="508"/>
      <c r="S360" s="508"/>
      <c r="T360" s="508"/>
      <c r="U360" s="508"/>
      <c r="V360" s="508"/>
      <c r="W360" s="508"/>
      <c r="X360" s="508"/>
      <c r="Y360" s="508"/>
      <c r="Z360" s="508"/>
      <c r="AA360" s="508"/>
      <c r="AB360" s="508"/>
      <c r="AC360" s="508"/>
      <c r="AD360" s="508"/>
      <c r="AE360" s="508"/>
      <c r="AF360" s="508"/>
      <c r="AG360" s="508"/>
      <c r="AH360" s="508"/>
      <c r="AI360" s="508"/>
      <c r="AJ360" s="508"/>
      <c r="AK360" s="508"/>
      <c r="AL360" s="508"/>
      <c r="AM360" s="508"/>
    </row>
    <row r="361" spans="1:39">
      <c r="A361" s="41"/>
      <c r="B361" s="137"/>
      <c r="C361" s="137"/>
      <c r="D361" s="137"/>
      <c r="E361" s="508"/>
      <c r="F361" s="508"/>
      <c r="G361" s="508"/>
      <c r="H361" s="508"/>
      <c r="I361" s="508"/>
      <c r="J361" s="508"/>
      <c r="K361" s="508"/>
      <c r="L361" s="508"/>
      <c r="M361" s="508"/>
      <c r="N361" s="41"/>
      <c r="O361" s="137"/>
      <c r="P361" s="137"/>
      <c r="Q361" s="137"/>
      <c r="R361" s="508"/>
      <c r="S361" s="508"/>
      <c r="T361" s="508"/>
      <c r="U361" s="508"/>
      <c r="V361" s="508"/>
      <c r="W361" s="508"/>
      <c r="X361" s="508"/>
      <c r="Y361" s="508"/>
      <c r="Z361" s="508"/>
      <c r="AA361" s="508"/>
      <c r="AB361" s="508"/>
      <c r="AC361" s="508"/>
      <c r="AD361" s="508"/>
      <c r="AE361" s="508"/>
      <c r="AF361" s="508"/>
      <c r="AG361" s="508"/>
      <c r="AH361" s="508"/>
      <c r="AI361" s="508"/>
      <c r="AJ361" s="508"/>
      <c r="AK361" s="508"/>
      <c r="AL361" s="508"/>
      <c r="AM361" s="508"/>
    </row>
    <row r="362" spans="1:39">
      <c r="A362" s="41"/>
      <c r="B362" s="137"/>
      <c r="C362" s="137"/>
      <c r="D362" s="137"/>
      <c r="E362" s="508"/>
      <c r="F362" s="508"/>
      <c r="G362" s="508"/>
      <c r="H362" s="138"/>
      <c r="I362" s="508"/>
      <c r="J362" s="508"/>
      <c r="K362" s="508"/>
      <c r="L362" s="508"/>
      <c r="M362" s="508"/>
      <c r="N362" s="41"/>
      <c r="O362" s="137"/>
      <c r="P362" s="137"/>
      <c r="Q362" s="137"/>
      <c r="R362" s="508"/>
      <c r="S362" s="508"/>
      <c r="T362" s="508"/>
      <c r="U362" s="138"/>
      <c r="V362" s="508"/>
      <c r="W362" s="508"/>
      <c r="X362" s="508"/>
      <c r="Y362" s="508"/>
      <c r="Z362" s="508"/>
      <c r="AA362" s="508"/>
      <c r="AB362" s="508"/>
      <c r="AC362" s="508"/>
      <c r="AD362" s="508"/>
      <c r="AE362" s="508"/>
      <c r="AF362" s="508"/>
      <c r="AG362" s="508"/>
      <c r="AH362" s="508"/>
      <c r="AI362" s="508"/>
      <c r="AJ362" s="508"/>
      <c r="AK362" s="508"/>
      <c r="AL362" s="508"/>
      <c r="AM362" s="508"/>
    </row>
    <row r="363" spans="1:39">
      <c r="A363" s="41"/>
      <c r="B363" s="137"/>
      <c r="C363" s="137"/>
      <c r="D363" s="137"/>
      <c r="E363" s="508"/>
      <c r="F363" s="508"/>
      <c r="G363" s="508"/>
      <c r="H363" s="508"/>
      <c r="I363" s="508"/>
      <c r="J363" s="508"/>
      <c r="K363" s="508"/>
      <c r="L363" s="508"/>
      <c r="M363" s="508"/>
      <c r="N363" s="41"/>
      <c r="O363" s="137"/>
      <c r="P363" s="137"/>
      <c r="Q363" s="137"/>
      <c r="R363" s="508"/>
      <c r="S363" s="508"/>
      <c r="T363" s="508"/>
      <c r="U363" s="508"/>
      <c r="V363" s="508"/>
      <c r="W363" s="508"/>
      <c r="X363" s="508"/>
      <c r="Y363" s="508"/>
      <c r="Z363" s="508"/>
      <c r="AA363" s="508"/>
      <c r="AB363" s="508"/>
      <c r="AC363" s="508"/>
      <c r="AD363" s="508"/>
      <c r="AE363" s="508"/>
      <c r="AF363" s="508"/>
      <c r="AG363" s="508"/>
      <c r="AH363" s="508"/>
      <c r="AI363" s="508"/>
      <c r="AJ363" s="508"/>
      <c r="AK363" s="508"/>
      <c r="AL363" s="508"/>
      <c r="AM363" s="508"/>
    </row>
    <row r="364" spans="1:39">
      <c r="A364" s="41"/>
      <c r="B364" s="137"/>
      <c r="C364" s="137"/>
      <c r="D364" s="137"/>
      <c r="E364" s="508"/>
      <c r="F364" s="508"/>
      <c r="G364" s="508"/>
      <c r="H364" s="508"/>
      <c r="I364" s="508"/>
      <c r="J364" s="508"/>
      <c r="K364" s="508"/>
      <c r="L364" s="508"/>
      <c r="M364" s="508"/>
      <c r="N364" s="41"/>
      <c r="O364" s="137"/>
      <c r="P364" s="137"/>
      <c r="Q364" s="137"/>
      <c r="R364" s="508"/>
      <c r="S364" s="508"/>
      <c r="T364" s="508"/>
      <c r="U364" s="508"/>
      <c r="V364" s="508"/>
      <c r="W364" s="508"/>
      <c r="X364" s="508"/>
      <c r="Y364" s="508"/>
      <c r="Z364" s="508"/>
      <c r="AA364" s="508"/>
      <c r="AB364" s="508"/>
      <c r="AC364" s="508"/>
      <c r="AD364" s="508"/>
      <c r="AE364" s="508"/>
      <c r="AF364" s="508"/>
      <c r="AG364" s="508"/>
      <c r="AH364" s="508"/>
      <c r="AI364" s="508"/>
      <c r="AJ364" s="508"/>
      <c r="AK364" s="508"/>
      <c r="AL364" s="508"/>
      <c r="AM364" s="508"/>
    </row>
    <row r="365" spans="1:39">
      <c r="A365" s="41"/>
      <c r="B365" s="137"/>
      <c r="C365" s="137"/>
      <c r="D365" s="137"/>
      <c r="E365" s="508"/>
      <c r="F365" s="508"/>
      <c r="G365" s="508"/>
      <c r="H365" s="508"/>
      <c r="I365" s="508"/>
      <c r="J365" s="226"/>
      <c r="K365" s="508"/>
      <c r="L365" s="508"/>
      <c r="M365" s="508"/>
      <c r="N365" s="41"/>
      <c r="O365" s="137"/>
      <c r="P365" s="137"/>
      <c r="Q365" s="137"/>
      <c r="R365" s="508"/>
      <c r="S365" s="508"/>
      <c r="T365" s="508"/>
      <c r="U365" s="508"/>
      <c r="V365" s="508"/>
      <c r="W365" s="226"/>
      <c r="X365" s="508"/>
      <c r="Y365" s="508"/>
      <c r="Z365" s="508"/>
      <c r="AA365" s="508"/>
      <c r="AB365" s="508"/>
      <c r="AC365" s="508"/>
      <c r="AD365" s="508"/>
      <c r="AE365" s="508"/>
      <c r="AF365" s="508"/>
      <c r="AG365" s="508"/>
      <c r="AH365" s="508"/>
      <c r="AI365" s="508"/>
      <c r="AJ365" s="508"/>
      <c r="AK365" s="508"/>
      <c r="AL365" s="508"/>
      <c r="AM365" s="508"/>
    </row>
    <row r="366" spans="1:39">
      <c r="A366" s="41"/>
      <c r="B366" s="137"/>
      <c r="C366" s="137"/>
      <c r="D366" s="137"/>
      <c r="E366" s="508"/>
      <c r="F366" s="508"/>
      <c r="G366" s="508"/>
      <c r="H366" s="508"/>
      <c r="I366" s="508"/>
      <c r="J366" s="508"/>
      <c r="K366" s="508"/>
      <c r="L366" s="508"/>
      <c r="M366" s="508"/>
      <c r="N366" s="41"/>
      <c r="O366" s="137"/>
      <c r="P366" s="137"/>
      <c r="Q366" s="137"/>
      <c r="R366" s="508"/>
      <c r="S366" s="508"/>
      <c r="T366" s="508"/>
      <c r="U366" s="508"/>
      <c r="V366" s="508"/>
      <c r="W366" s="508"/>
      <c r="X366" s="508"/>
      <c r="Y366" s="508"/>
      <c r="Z366" s="508"/>
      <c r="AA366" s="508"/>
      <c r="AB366" s="508"/>
      <c r="AC366" s="508"/>
      <c r="AD366" s="508"/>
      <c r="AE366" s="508"/>
      <c r="AF366" s="508"/>
      <c r="AG366" s="508"/>
      <c r="AH366" s="508"/>
      <c r="AI366" s="508"/>
      <c r="AJ366" s="508"/>
      <c r="AK366" s="508"/>
      <c r="AL366" s="508"/>
      <c r="AM366" s="508"/>
    </row>
    <row r="367" spans="1:39">
      <c r="A367" s="41"/>
      <c r="B367" s="137"/>
      <c r="C367" s="137"/>
      <c r="D367" s="137"/>
      <c r="E367" s="508"/>
      <c r="F367" s="508"/>
      <c r="G367" s="508"/>
      <c r="H367" s="508"/>
      <c r="I367" s="508"/>
      <c r="J367" s="508"/>
      <c r="K367" s="508"/>
      <c r="L367" s="508"/>
      <c r="M367" s="508"/>
      <c r="N367" s="41"/>
      <c r="O367" s="137"/>
      <c r="P367" s="137"/>
      <c r="Q367" s="137"/>
      <c r="R367" s="508"/>
      <c r="S367" s="508"/>
      <c r="T367" s="508"/>
      <c r="U367" s="508"/>
      <c r="V367" s="508"/>
      <c r="W367" s="508"/>
      <c r="X367" s="508"/>
      <c r="Y367" s="508"/>
      <c r="Z367" s="508"/>
      <c r="AA367" s="508"/>
      <c r="AB367" s="508"/>
      <c r="AC367" s="508"/>
      <c r="AD367" s="508"/>
      <c r="AE367" s="508"/>
      <c r="AF367" s="508"/>
      <c r="AG367" s="508"/>
      <c r="AH367" s="508"/>
      <c r="AI367" s="508"/>
      <c r="AJ367" s="508"/>
      <c r="AK367" s="508"/>
      <c r="AL367" s="508"/>
      <c r="AM367" s="508"/>
    </row>
    <row r="368" spans="1:39">
      <c r="A368" s="41"/>
      <c r="B368" s="137"/>
      <c r="C368" s="137"/>
      <c r="D368" s="137"/>
      <c r="E368" s="508"/>
      <c r="F368" s="508"/>
      <c r="G368" s="508"/>
      <c r="H368" s="508"/>
      <c r="I368" s="508"/>
      <c r="J368" s="508"/>
      <c r="K368" s="508"/>
      <c r="L368" s="508"/>
      <c r="M368" s="508"/>
      <c r="N368" s="41"/>
      <c r="O368" s="137"/>
      <c r="P368" s="137"/>
      <c r="Q368" s="137"/>
      <c r="R368" s="508"/>
      <c r="S368" s="508"/>
      <c r="T368" s="508"/>
      <c r="U368" s="508"/>
      <c r="V368" s="508"/>
      <c r="W368" s="508"/>
      <c r="X368" s="508"/>
      <c r="Y368" s="508"/>
      <c r="Z368" s="508"/>
      <c r="AA368" s="508"/>
      <c r="AB368" s="508"/>
      <c r="AC368" s="508"/>
      <c r="AD368" s="508"/>
      <c r="AE368" s="508"/>
      <c r="AF368" s="508"/>
      <c r="AG368" s="508"/>
      <c r="AH368" s="508"/>
      <c r="AI368" s="508"/>
      <c r="AJ368" s="508"/>
      <c r="AK368" s="508"/>
      <c r="AL368" s="508"/>
      <c r="AM368" s="508"/>
    </row>
    <row r="369" spans="1:39">
      <c r="A369" s="41"/>
      <c r="B369" s="137"/>
      <c r="C369" s="137"/>
      <c r="D369" s="137"/>
      <c r="E369" s="508"/>
      <c r="F369" s="508"/>
      <c r="G369" s="508"/>
      <c r="H369" s="508"/>
      <c r="I369" s="508"/>
      <c r="J369" s="508"/>
      <c r="K369" s="508"/>
      <c r="L369" s="508"/>
      <c r="M369" s="508"/>
      <c r="N369" s="41"/>
      <c r="O369" s="137"/>
      <c r="P369" s="137"/>
      <c r="Q369" s="137"/>
      <c r="R369" s="508"/>
      <c r="S369" s="508"/>
      <c r="T369" s="508"/>
      <c r="U369" s="508"/>
      <c r="V369" s="508"/>
      <c r="W369" s="508"/>
      <c r="X369" s="508"/>
      <c r="Y369" s="508"/>
      <c r="Z369" s="508"/>
      <c r="AA369" s="508"/>
      <c r="AB369" s="508"/>
      <c r="AC369" s="508"/>
      <c r="AD369" s="508"/>
      <c r="AE369" s="508"/>
      <c r="AF369" s="508"/>
      <c r="AG369" s="508"/>
      <c r="AH369" s="508"/>
      <c r="AI369" s="508"/>
      <c r="AJ369" s="508"/>
      <c r="AK369" s="508"/>
      <c r="AL369" s="508"/>
      <c r="AM369" s="508"/>
    </row>
    <row r="370" spans="1:39">
      <c r="A370" s="41"/>
      <c r="B370" s="137"/>
      <c r="C370" s="137"/>
      <c r="D370" s="137"/>
      <c r="E370" s="508"/>
      <c r="F370" s="508"/>
      <c r="G370" s="508"/>
      <c r="H370" s="508"/>
      <c r="I370" s="508"/>
      <c r="J370" s="508"/>
      <c r="K370" s="508"/>
      <c r="L370" s="508"/>
      <c r="M370" s="508"/>
      <c r="N370" s="41"/>
      <c r="O370" s="137"/>
      <c r="P370" s="137"/>
      <c r="Q370" s="137"/>
      <c r="R370" s="508"/>
      <c r="S370" s="508"/>
      <c r="T370" s="508"/>
      <c r="U370" s="508"/>
      <c r="V370" s="508"/>
      <c r="W370" s="508"/>
      <c r="X370" s="508"/>
      <c r="Y370" s="508"/>
      <c r="Z370" s="508"/>
      <c r="AA370" s="508"/>
      <c r="AB370" s="508"/>
      <c r="AC370" s="508"/>
      <c r="AD370" s="508"/>
      <c r="AE370" s="508"/>
      <c r="AF370" s="508"/>
      <c r="AG370" s="508"/>
      <c r="AH370" s="508"/>
      <c r="AI370" s="508"/>
      <c r="AJ370" s="508"/>
      <c r="AK370" s="508"/>
      <c r="AL370" s="508"/>
      <c r="AM370" s="508"/>
    </row>
    <row r="371" spans="1:39">
      <c r="A371" s="41"/>
      <c r="B371" s="137"/>
      <c r="C371" s="137"/>
      <c r="D371" s="137"/>
      <c r="E371" s="508"/>
      <c r="F371" s="508"/>
      <c r="G371" s="508"/>
      <c r="H371" s="508"/>
      <c r="I371" s="508"/>
      <c r="J371" s="508"/>
      <c r="K371" s="508"/>
      <c r="L371" s="508"/>
      <c r="M371" s="508"/>
      <c r="N371" s="41"/>
      <c r="O371" s="137"/>
      <c r="P371" s="137"/>
      <c r="Q371" s="137"/>
      <c r="R371" s="508"/>
      <c r="S371" s="508"/>
      <c r="T371" s="508"/>
      <c r="U371" s="508"/>
      <c r="V371" s="508"/>
      <c r="W371" s="508"/>
      <c r="X371" s="508"/>
      <c r="Y371" s="508"/>
      <c r="Z371" s="508"/>
      <c r="AA371" s="508"/>
      <c r="AB371" s="508"/>
      <c r="AC371" s="508"/>
      <c r="AD371" s="508"/>
      <c r="AE371" s="508"/>
      <c r="AF371" s="508"/>
      <c r="AG371" s="508"/>
      <c r="AH371" s="508"/>
      <c r="AI371" s="508"/>
      <c r="AJ371" s="508"/>
      <c r="AK371" s="508"/>
      <c r="AL371" s="508"/>
      <c r="AM371" s="508"/>
    </row>
    <row r="372" spans="1:39">
      <c r="A372" s="41"/>
      <c r="B372" s="137"/>
      <c r="C372" s="137"/>
      <c r="D372" s="137"/>
      <c r="E372" s="508"/>
      <c r="F372" s="508"/>
      <c r="G372" s="508"/>
      <c r="H372" s="508"/>
      <c r="I372" s="508"/>
      <c r="J372" s="508"/>
      <c r="K372" s="508"/>
      <c r="L372" s="508"/>
      <c r="M372" s="508"/>
      <c r="N372" s="41"/>
      <c r="O372" s="137"/>
      <c r="P372" s="137"/>
      <c r="Q372" s="137"/>
      <c r="R372" s="508"/>
      <c r="S372" s="508"/>
      <c r="T372" s="508"/>
      <c r="U372" s="508"/>
      <c r="V372" s="508"/>
      <c r="W372" s="508"/>
      <c r="X372" s="508"/>
      <c r="Y372" s="508"/>
      <c r="Z372" s="508"/>
      <c r="AA372" s="508"/>
      <c r="AB372" s="508"/>
      <c r="AC372" s="508"/>
      <c r="AD372" s="508"/>
      <c r="AE372" s="508"/>
      <c r="AF372" s="508"/>
      <c r="AG372" s="508"/>
      <c r="AH372" s="508"/>
      <c r="AI372" s="508"/>
      <c r="AJ372" s="508"/>
      <c r="AK372" s="508"/>
      <c r="AL372" s="508"/>
      <c r="AM372" s="508"/>
    </row>
    <row r="373" spans="1:39">
      <c r="A373" s="41"/>
      <c r="B373" s="137"/>
      <c r="C373" s="137"/>
      <c r="D373" s="137"/>
      <c r="E373" s="508"/>
      <c r="F373" s="508"/>
      <c r="G373" s="508"/>
      <c r="H373" s="508"/>
      <c r="I373" s="508"/>
      <c r="J373" s="508"/>
      <c r="K373" s="508"/>
      <c r="L373" s="508"/>
      <c r="M373" s="508"/>
      <c r="N373" s="41"/>
      <c r="O373" s="137"/>
      <c r="P373" s="137"/>
      <c r="Q373" s="137"/>
      <c r="R373" s="508"/>
      <c r="S373" s="508"/>
      <c r="T373" s="508"/>
      <c r="U373" s="508"/>
      <c r="V373" s="508"/>
      <c r="W373" s="508"/>
      <c r="X373" s="508"/>
      <c r="Y373" s="508"/>
      <c r="Z373" s="508"/>
      <c r="AA373" s="508"/>
      <c r="AB373" s="508"/>
      <c r="AC373" s="508"/>
      <c r="AD373" s="508"/>
      <c r="AE373" s="508"/>
      <c r="AF373" s="508"/>
      <c r="AG373" s="508"/>
      <c r="AH373" s="508"/>
      <c r="AI373" s="508"/>
      <c r="AJ373" s="508"/>
      <c r="AK373" s="508"/>
      <c r="AL373" s="508"/>
      <c r="AM373" s="508"/>
    </row>
    <row r="374" spans="1:39">
      <c r="A374" s="41"/>
      <c r="B374" s="137"/>
      <c r="C374" s="137"/>
      <c r="D374" s="137"/>
      <c r="E374" s="508"/>
      <c r="F374" s="508"/>
      <c r="G374" s="508"/>
      <c r="H374" s="508"/>
      <c r="I374" s="508"/>
      <c r="J374" s="508"/>
      <c r="K374" s="508"/>
      <c r="L374" s="508"/>
      <c r="M374" s="508"/>
      <c r="N374" s="41"/>
      <c r="O374" s="137"/>
      <c r="P374" s="137"/>
      <c r="Q374" s="137"/>
      <c r="R374" s="508"/>
      <c r="S374" s="508"/>
      <c r="T374" s="508"/>
      <c r="U374" s="508"/>
      <c r="V374" s="508"/>
      <c r="W374" s="508"/>
      <c r="X374" s="508"/>
      <c r="Y374" s="508"/>
      <c r="Z374" s="508"/>
      <c r="AA374" s="508"/>
      <c r="AB374" s="508"/>
      <c r="AC374" s="508"/>
      <c r="AD374" s="508"/>
      <c r="AE374" s="508"/>
      <c r="AF374" s="508"/>
      <c r="AG374" s="508"/>
      <c r="AH374" s="508"/>
      <c r="AI374" s="508"/>
      <c r="AJ374" s="508"/>
      <c r="AK374" s="508"/>
      <c r="AL374" s="508"/>
      <c r="AM374" s="508"/>
    </row>
    <row r="375" spans="1:39">
      <c r="A375" s="41"/>
      <c r="B375" s="137"/>
      <c r="C375" s="137"/>
      <c r="D375" s="137"/>
      <c r="E375" s="508"/>
      <c r="F375" s="508"/>
      <c r="G375" s="508"/>
      <c r="H375" s="508"/>
      <c r="I375" s="508"/>
      <c r="J375" s="508"/>
      <c r="K375" s="508"/>
      <c r="L375" s="508"/>
      <c r="M375" s="508"/>
      <c r="N375" s="41"/>
      <c r="O375" s="137"/>
      <c r="P375" s="137"/>
      <c r="Q375" s="137"/>
      <c r="R375" s="508"/>
      <c r="S375" s="508"/>
      <c r="T375" s="508"/>
      <c r="U375" s="508"/>
      <c r="V375" s="508"/>
      <c r="W375" s="508"/>
      <c r="X375" s="508"/>
      <c r="Y375" s="508"/>
      <c r="Z375" s="508"/>
      <c r="AA375" s="508"/>
      <c r="AB375" s="508"/>
      <c r="AC375" s="508"/>
      <c r="AD375" s="508"/>
      <c r="AE375" s="508"/>
      <c r="AF375" s="508"/>
      <c r="AG375" s="508"/>
      <c r="AH375" s="508"/>
      <c r="AI375" s="508"/>
      <c r="AJ375" s="508"/>
      <c r="AK375" s="508"/>
      <c r="AL375" s="508"/>
      <c r="AM375" s="508"/>
    </row>
    <row r="376" spans="1:39">
      <c r="A376" s="41"/>
      <c r="B376" s="137"/>
      <c r="C376" s="137"/>
      <c r="D376" s="137"/>
      <c r="E376" s="508"/>
      <c r="F376" s="508"/>
      <c r="G376" s="508"/>
      <c r="H376" s="508"/>
      <c r="I376" s="508"/>
      <c r="J376" s="508"/>
      <c r="K376" s="508"/>
      <c r="L376" s="508"/>
      <c r="M376" s="508"/>
      <c r="N376" s="41"/>
      <c r="O376" s="137"/>
      <c r="P376" s="137"/>
      <c r="Q376" s="137"/>
      <c r="R376" s="508"/>
      <c r="S376" s="508"/>
      <c r="T376" s="508"/>
      <c r="U376" s="508"/>
      <c r="V376" s="508"/>
      <c r="W376" s="508"/>
      <c r="X376" s="508"/>
      <c r="Y376" s="508"/>
      <c r="Z376" s="508"/>
      <c r="AA376" s="508"/>
      <c r="AB376" s="508"/>
      <c r="AC376" s="508"/>
      <c r="AD376" s="508"/>
      <c r="AE376" s="508"/>
      <c r="AF376" s="508"/>
      <c r="AG376" s="508"/>
      <c r="AH376" s="508"/>
      <c r="AI376" s="508"/>
      <c r="AJ376" s="508"/>
      <c r="AK376" s="508"/>
      <c r="AL376" s="508"/>
      <c r="AM376" s="508"/>
    </row>
  </sheetData>
  <mergeCells count="72">
    <mergeCell ref="X15:X16"/>
    <mergeCell ref="B313:B316"/>
    <mergeCell ref="B319:G319"/>
    <mergeCell ref="G323:I323"/>
    <mergeCell ref="B356:I356"/>
    <mergeCell ref="B272:J272"/>
    <mergeCell ref="B277:B280"/>
    <mergeCell ref="B282:B283"/>
    <mergeCell ref="B284:B289"/>
    <mergeCell ref="B290:B295"/>
    <mergeCell ref="B244:B248"/>
    <mergeCell ref="B249:B253"/>
    <mergeCell ref="B254:B257"/>
    <mergeCell ref="B258:B263"/>
    <mergeCell ref="B264:B269"/>
    <mergeCell ref="B236:B238"/>
    <mergeCell ref="B239:B241"/>
    <mergeCell ref="C239:C241"/>
    <mergeCell ref="B242:B243"/>
    <mergeCell ref="C242:C243"/>
    <mergeCell ref="B357:I357"/>
    <mergeCell ref="B296:B299"/>
    <mergeCell ref="B300:B302"/>
    <mergeCell ref="B303:B306"/>
    <mergeCell ref="B307:B309"/>
    <mergeCell ref="B310:B312"/>
    <mergeCell ref="B114:J114"/>
    <mergeCell ref="B115:J115"/>
    <mergeCell ref="B227:B229"/>
    <mergeCell ref="B231:J231"/>
    <mergeCell ref="C236:C238"/>
    <mergeCell ref="A2:J2"/>
    <mergeCell ref="B5:J5"/>
    <mergeCell ref="B92:J92"/>
    <mergeCell ref="B94:J94"/>
    <mergeCell ref="O112:W112"/>
    <mergeCell ref="C11:G11"/>
    <mergeCell ref="O92:W92"/>
    <mergeCell ref="O94:W94"/>
    <mergeCell ref="N2:W2"/>
    <mergeCell ref="W15:W16"/>
    <mergeCell ref="B112:J112"/>
    <mergeCell ref="O114:W114"/>
    <mergeCell ref="O115:W115"/>
    <mergeCell ref="O227:O229"/>
    <mergeCell ref="O231:X231"/>
    <mergeCell ref="O236:O238"/>
    <mergeCell ref="P236:P238"/>
    <mergeCell ref="O282:O283"/>
    <mergeCell ref="O239:O241"/>
    <mergeCell ref="P239:P241"/>
    <mergeCell ref="O242:O243"/>
    <mergeCell ref="P242:P243"/>
    <mergeCell ref="O244:O248"/>
    <mergeCell ref="O249:O253"/>
    <mergeCell ref="O254:O257"/>
    <mergeCell ref="O258:O263"/>
    <mergeCell ref="O264:O269"/>
    <mergeCell ref="O272:X272"/>
    <mergeCell ref="O277:O280"/>
    <mergeCell ref="O357:V357"/>
    <mergeCell ref="O284:O289"/>
    <mergeCell ref="O290:O295"/>
    <mergeCell ref="O296:O299"/>
    <mergeCell ref="O300:O302"/>
    <mergeCell ref="O303:O306"/>
    <mergeCell ref="O307:O309"/>
    <mergeCell ref="O310:O312"/>
    <mergeCell ref="O313:O316"/>
    <mergeCell ref="O319:T319"/>
    <mergeCell ref="T323:V323"/>
    <mergeCell ref="O356:V356"/>
  </mergeCells>
  <hyperlinks>
    <hyperlink ref="O93" r:id="rId1" xr:uid="{35AA964C-A153-46C9-B53F-68C9F58B427F}"/>
    <hyperlink ref="O113" r:id="rId2" xr:uid="{7FBC66D5-ED81-4695-B5C1-2A2094F1D0B6}"/>
    <hyperlink ref="O355" r:id="rId3" xr:uid="{C47893AA-C645-40CE-A676-B4541F19856B}"/>
    <hyperlink ref="O318" r:id="rId4" xr:uid="{1238677E-763B-4292-B72E-A05545D932E4}"/>
    <hyperlink ref="O271" r:id="rId5" xr:uid="{17B1A17A-DC06-4E0C-B138-CCB4EA1327A8}"/>
    <hyperlink ref="O358" r:id="rId6" xr:uid="{59D02A54-C6C8-4FDE-923F-5EBA1A34CD74}"/>
  </hyperlinks>
  <pageMargins left="0.7" right="0.7" top="0.75" bottom="0.75" header="0.3" footer="0.3"/>
  <pageSetup orientation="portrait" r:id="rId7"/>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164AB-CB44-433A-8492-F35B08BC6F67}">
  <sheetPr>
    <tabColor theme="0" tint="-4.9989318521683403E-2"/>
  </sheetPr>
  <dimension ref="C2:G13"/>
  <sheetViews>
    <sheetView workbookViewId="0">
      <selection activeCell="C21" sqref="C21"/>
    </sheetView>
  </sheetViews>
  <sheetFormatPr defaultRowHeight="15"/>
  <cols>
    <col min="3" max="3" width="37.85546875" bestFit="1" customWidth="1"/>
    <col min="4" max="4" width="12.7109375" bestFit="1" customWidth="1"/>
  </cols>
  <sheetData>
    <row r="2" spans="3:7">
      <c r="C2" s="311" t="s">
        <v>891</v>
      </c>
    </row>
    <row r="3" spans="3:7">
      <c r="C3" s="159" t="s">
        <v>892</v>
      </c>
      <c r="D3" s="159"/>
      <c r="E3" s="159"/>
      <c r="F3" s="159"/>
      <c r="G3" s="159"/>
    </row>
    <row r="4" spans="3:7">
      <c r="C4" s="682" t="s">
        <v>193</v>
      </c>
      <c r="D4" s="682" t="s">
        <v>349</v>
      </c>
      <c r="E4" s="682" t="s">
        <v>185</v>
      </c>
      <c r="F4" s="682" t="s">
        <v>183</v>
      </c>
      <c r="G4" s="682" t="s">
        <v>272</v>
      </c>
    </row>
    <row r="5" spans="3:7">
      <c r="C5" s="682" t="s">
        <v>446</v>
      </c>
      <c r="D5" s="682" t="s">
        <v>893</v>
      </c>
      <c r="E5" s="682">
        <v>12206</v>
      </c>
      <c r="F5" s="682">
        <v>350</v>
      </c>
      <c r="G5" s="682">
        <v>0.14000000000000001</v>
      </c>
    </row>
    <row r="6" spans="3:7" hidden="1">
      <c r="C6" s="682" t="s">
        <v>894</v>
      </c>
      <c r="D6" s="682" t="s">
        <v>893</v>
      </c>
      <c r="E6" s="682">
        <v>14599</v>
      </c>
      <c r="F6" s="682">
        <v>119</v>
      </c>
      <c r="G6" s="682">
        <v>0.25</v>
      </c>
    </row>
    <row r="7" spans="3:7" hidden="1">
      <c r="C7" s="682" t="s">
        <v>895</v>
      </c>
      <c r="D7" s="682" t="s">
        <v>893</v>
      </c>
      <c r="E7" s="682">
        <v>4915</v>
      </c>
      <c r="F7" s="682">
        <v>33</v>
      </c>
      <c r="G7" s="682">
        <v>0.08</v>
      </c>
    </row>
    <row r="9" spans="3:7">
      <c r="C9" s="159" t="s">
        <v>896</v>
      </c>
      <c r="D9" s="159"/>
      <c r="E9" s="159"/>
    </row>
    <row r="10" spans="3:7">
      <c r="C10" s="682" t="s">
        <v>193</v>
      </c>
      <c r="D10" s="682" t="s">
        <v>349</v>
      </c>
      <c r="E10" s="682" t="s">
        <v>897</v>
      </c>
    </row>
    <row r="11" spans="3:7">
      <c r="C11" s="682" t="s">
        <v>446</v>
      </c>
      <c r="D11" s="682" t="s">
        <v>898</v>
      </c>
      <c r="E11" s="682">
        <v>1.034E-3</v>
      </c>
    </row>
    <row r="12" spans="3:7" hidden="1">
      <c r="C12" s="682" t="s">
        <v>894</v>
      </c>
      <c r="D12" s="682" t="s">
        <v>899</v>
      </c>
      <c r="E12" s="682">
        <v>0.13700000000000001</v>
      </c>
    </row>
    <row r="13" spans="3:7" hidden="1">
      <c r="C13" s="682" t="s">
        <v>895</v>
      </c>
      <c r="D13" s="682" t="s">
        <v>899</v>
      </c>
      <c r="E13" s="682">
        <v>9.4E-2</v>
      </c>
    </row>
  </sheetData>
  <hyperlinks>
    <hyperlink ref="C2" r:id="rId1" xr:uid="{3D88BE51-ABC6-4170-B161-1E2C5FDC8F5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B1:R14"/>
  <sheetViews>
    <sheetView zoomScaleNormal="100" workbookViewId="0">
      <selection activeCell="B8" sqref="B8:E8"/>
    </sheetView>
  </sheetViews>
  <sheetFormatPr defaultColWidth="8.42578125" defaultRowHeight="15"/>
  <cols>
    <col min="1" max="1" width="4.42578125" style="7" customWidth="1"/>
    <col min="2" max="2" width="16.5703125" style="7" customWidth="1"/>
    <col min="3" max="3" width="29.85546875" style="7" customWidth="1"/>
    <col min="4" max="4" width="16.85546875" style="7" customWidth="1"/>
    <col min="5" max="5" width="66.42578125" style="7" hidden="1" customWidth="1"/>
    <col min="6" max="6" width="18.5703125" style="7" customWidth="1"/>
    <col min="7" max="7" width="20.140625" style="7" customWidth="1"/>
    <col min="8" max="8" width="25.5703125" style="7" customWidth="1"/>
    <col min="9" max="9" width="26.5703125" style="7" customWidth="1"/>
    <col min="10" max="10" width="30" style="7" customWidth="1"/>
    <col min="11" max="11" width="14.42578125" style="7" customWidth="1"/>
    <col min="12" max="12" width="17.42578125" style="7" bestFit="1" customWidth="1"/>
    <col min="13" max="13" width="11.140625" style="7" customWidth="1"/>
    <col min="14" max="14" width="17.42578125" style="7" customWidth="1"/>
    <col min="15" max="15" width="16.42578125" style="7" customWidth="1"/>
    <col min="16" max="16" width="14.42578125" style="7" customWidth="1"/>
    <col min="17" max="17" width="30" style="7" customWidth="1"/>
    <col min="18" max="16384" width="8.42578125" style="7"/>
  </cols>
  <sheetData>
    <row r="1" spans="2:18" ht="15.75" thickBot="1"/>
    <row r="2" spans="2:18">
      <c r="B2" s="286" t="s">
        <v>124</v>
      </c>
      <c r="C2" s="287"/>
    </row>
    <row r="3" spans="2:18" ht="25.5">
      <c r="B3" s="288" t="s">
        <v>125</v>
      </c>
      <c r="C3" s="289" t="s">
        <v>126</v>
      </c>
      <c r="D3" s="7" t="s">
        <v>933</v>
      </c>
    </row>
    <row r="4" spans="2:18" ht="25.5">
      <c r="B4" s="288" t="s">
        <v>127</v>
      </c>
      <c r="C4" s="289" t="s">
        <v>128</v>
      </c>
      <c r="D4" s="7" t="s">
        <v>932</v>
      </c>
    </row>
    <row r="7" spans="2:18" ht="20.25" thickBot="1">
      <c r="B7" s="488" t="s">
        <v>946</v>
      </c>
      <c r="C7" s="488"/>
      <c r="D7" s="503"/>
      <c r="E7" s="488"/>
      <c r="F7" s="504"/>
      <c r="G7" s="504"/>
      <c r="H7" s="488"/>
      <c r="I7" s="488"/>
      <c r="J7" s="488"/>
    </row>
    <row r="8" spans="2:18" s="265" customFormat="1" ht="44.45" customHeight="1" thickBot="1">
      <c r="B8" s="769" t="s">
        <v>129</v>
      </c>
      <c r="C8" s="771"/>
      <c r="D8" s="771"/>
      <c r="E8" s="770"/>
      <c r="F8" s="829" t="s">
        <v>130</v>
      </c>
      <c r="G8" s="830"/>
      <c r="H8" s="769" t="s">
        <v>131</v>
      </c>
      <c r="I8" s="770"/>
      <c r="J8" s="716" t="s">
        <v>132</v>
      </c>
      <c r="M8" s="273"/>
      <c r="N8" s="274"/>
      <c r="P8" s="273"/>
      <c r="Q8" s="273"/>
      <c r="R8" s="273"/>
    </row>
    <row r="9" spans="2:18" ht="69" customHeight="1" thickBot="1">
      <c r="B9" s="280" t="s">
        <v>133</v>
      </c>
      <c r="C9" s="281" t="s">
        <v>134</v>
      </c>
      <c r="D9" s="411" t="s">
        <v>135</v>
      </c>
      <c r="E9" s="282" t="s">
        <v>136</v>
      </c>
      <c r="F9" s="486" t="s">
        <v>955</v>
      </c>
      <c r="G9" s="487" t="s">
        <v>956</v>
      </c>
      <c r="H9" s="283" t="s">
        <v>137</v>
      </c>
      <c r="I9" s="284" t="s">
        <v>138</v>
      </c>
      <c r="J9" s="283" t="s">
        <v>139</v>
      </c>
      <c r="M9" s="275"/>
      <c r="N9" s="276"/>
      <c r="P9" s="275"/>
      <c r="Q9" s="275"/>
      <c r="R9" s="275"/>
    </row>
    <row r="10" spans="2:18" ht="50.1" customHeight="1">
      <c r="B10" s="418">
        <v>1</v>
      </c>
      <c r="C10" s="292" t="s">
        <v>149</v>
      </c>
      <c r="D10" s="505" t="s">
        <v>957</v>
      </c>
      <c r="E10" s="416" t="s">
        <v>150</v>
      </c>
      <c r="F10" s="739">
        <f>'1. Organics Recycling'!D52</f>
        <v>257210.66666666669</v>
      </c>
      <c r="G10" s="740">
        <f>'1. Organics Recycling'!E52</f>
        <v>1546666.6666666667</v>
      </c>
      <c r="H10" s="285" t="s">
        <v>148</v>
      </c>
      <c r="I10" s="417" t="s">
        <v>148</v>
      </c>
      <c r="J10" s="285" t="s">
        <v>148</v>
      </c>
      <c r="M10" s="275"/>
      <c r="N10" s="276"/>
      <c r="P10" s="275"/>
      <c r="Q10" s="275"/>
      <c r="R10" s="275"/>
    </row>
    <row r="11" spans="2:18" ht="50.1" customHeight="1">
      <c r="B11" s="418">
        <v>2</v>
      </c>
      <c r="C11" s="292" t="s">
        <v>146</v>
      </c>
      <c r="D11" s="505" t="s">
        <v>142</v>
      </c>
      <c r="E11" s="416" t="s">
        <v>147</v>
      </c>
      <c r="F11" s="739">
        <f>'2. Natural Refrigerants'!D42</f>
        <v>295228.19620799995</v>
      </c>
      <c r="G11" s="740">
        <f>'2. Natural Refrigerants'!E42</f>
        <v>1476140.9810399998</v>
      </c>
      <c r="H11" s="285" t="s">
        <v>148</v>
      </c>
      <c r="I11" s="417" t="s">
        <v>148</v>
      </c>
      <c r="J11" s="285" t="s">
        <v>148</v>
      </c>
    </row>
    <row r="12" spans="2:18" ht="54" customHeight="1">
      <c r="B12" s="418">
        <v>3</v>
      </c>
      <c r="C12" s="292" t="s">
        <v>141</v>
      </c>
      <c r="D12" s="505" t="s">
        <v>142</v>
      </c>
      <c r="E12" s="416" t="s">
        <v>143</v>
      </c>
      <c r="F12" s="741" t="e">
        <f>'3. CoolingHeating Centers'!D38</f>
        <v>#VALUE!</v>
      </c>
      <c r="G12" s="742" t="e">
        <f>'3. CoolingHeating Centers'!E38</f>
        <v>#VALUE!</v>
      </c>
      <c r="H12" s="285" t="e">
        <f>_xlfn.CONCAT('3. CoolingHeating Centers'!I43:I47)</f>
        <v>#VALUE!</v>
      </c>
      <c r="I12" s="417" t="e">
        <f>_xlfn.CONCAT('3. CoolingHeating Centers'!E43:E47)</f>
        <v>#VALUE!</v>
      </c>
      <c r="J12" s="285" t="e">
        <f>_xlfn.CONCAT('3. CoolingHeating Centers'!M43:M47)</f>
        <v>#VALUE!</v>
      </c>
      <c r="M12" s="275"/>
      <c r="N12" s="276"/>
      <c r="P12" s="275"/>
      <c r="Q12" s="275"/>
      <c r="R12" s="275"/>
    </row>
    <row r="13" spans="2:18" ht="54.6" customHeight="1" thickBot="1">
      <c r="B13" s="418">
        <v>4</v>
      </c>
      <c r="C13" s="292" t="s">
        <v>144</v>
      </c>
      <c r="D13" s="505" t="s">
        <v>142</v>
      </c>
      <c r="E13" s="416" t="s">
        <v>145</v>
      </c>
      <c r="F13" s="741">
        <f>'4. Advanced EPCs'!D46</f>
        <v>0</v>
      </c>
      <c r="G13" s="742">
        <f>'4. Advanced EPCs'!E46</f>
        <v>0</v>
      </c>
      <c r="H13" s="285" t="str">
        <f>_xlfn.CONCAT('4. Advanced EPCs'!I51:I55)</f>
        <v>0 tonnes NH3, 0 tonnes NOX, 0 tonnes PM2.5, 0 tonnes SO2, 0 tonnes VOC</v>
      </c>
      <c r="I13" s="417" t="str">
        <f>_xlfn.CONCAT('4. Advanced EPCs'!E51:E55)</f>
        <v>0 tonnes NH3, 0 tonnes NOX, 0 tonnes PM2.5, 0 tonnes SO2, 0 tonnes VOC</v>
      </c>
      <c r="J13" s="285" t="str">
        <f>_xlfn.CONCAT('4. Advanced EPCs'!M51:M55)</f>
        <v>0 tonnes NH3, 0 tonnes NOX, 0 tonnes PM2.5, 0 tonnes SO2, 0 tonnes VOC</v>
      </c>
      <c r="M13" s="275"/>
      <c r="N13" s="276"/>
      <c r="P13" s="275"/>
      <c r="Q13" s="275"/>
      <c r="R13" s="275"/>
    </row>
    <row r="14" spans="2:18" ht="69" customHeight="1" thickBot="1">
      <c r="B14" s="767" t="s">
        <v>151</v>
      </c>
      <c r="C14" s="768"/>
      <c r="D14" s="768"/>
      <c r="E14" s="768"/>
      <c r="F14" s="743" t="e">
        <f>SUM(F10:F13)</f>
        <v>#VALUE!</v>
      </c>
      <c r="G14" s="744" t="e">
        <f>SUM(G10:G13)</f>
        <v>#VALUE!</v>
      </c>
      <c r="H14" s="500" t="e">
        <f>_xlfn.CONCAT('Annual Co-Pollutant Reductions'!BN4:BN8)</f>
        <v>#VALUE!</v>
      </c>
      <c r="I14" s="501" t="e">
        <f>_xlfn.CONCAT('Annual Co-Pollutant Reductions'!AG4:AG8)</f>
        <v>#VALUE!</v>
      </c>
      <c r="J14" s="502" t="e">
        <f>_xlfn.CONCAT('Annual Co-Pollutant Reductions'!CU4:CU8)</f>
        <v>#VALUE!</v>
      </c>
    </row>
  </sheetData>
  <mergeCells count="4">
    <mergeCell ref="B14:E14"/>
    <mergeCell ref="B8:E8"/>
    <mergeCell ref="H8:I8"/>
    <mergeCell ref="F8:G8"/>
  </mergeCells>
  <conditionalFormatting sqref="F10:F13">
    <cfRule type="colorScale" priority="30">
      <colorScale>
        <cfvo type="min"/>
        <cfvo type="max"/>
        <color theme="7" tint="0.79998168889431442"/>
        <color theme="7"/>
      </colorScale>
    </cfRule>
  </conditionalFormatting>
  <conditionalFormatting sqref="G10:G13">
    <cfRule type="colorScale" priority="32">
      <colorScale>
        <cfvo type="min"/>
        <cfvo type="max"/>
        <color theme="7" tint="0.79998168889431442"/>
        <color theme="7"/>
      </colorScale>
    </cfRule>
  </conditionalFormatting>
  <dataValidations count="1">
    <dataValidation type="list" allowBlank="1" showInputMessage="1" showErrorMessage="1" sqref="C4" xr:uid="{59EDAC17-0925-483A-B772-1881A5059B4D}">
      <formula1>"Included, Excluded"</formula1>
    </dataValidation>
  </dataValidations>
  <pageMargins left="0.7" right="0.7" top="0.75" bottom="0.75" header="0.3" footer="0.3"/>
  <pageSetup orientation="portrait" verticalDpi="2" r:id="rId1"/>
  <extLst>
    <ext xmlns:x14="http://schemas.microsoft.com/office/spreadsheetml/2009/9/main" uri="{CCE6A557-97BC-4b89-ADB6-D9C93CAAB3DF}">
      <x14:dataValidations xmlns:xm="http://schemas.microsoft.com/office/excel/2006/main" count="1">
        <x14:dataValidation type="list" allowBlank="1" showInputMessage="1" showErrorMessage="1" xr:uid="{52A4CA77-C286-4D4A-90FC-37CDAE974D36}">
          <x14:formula1>
            <xm:f>'EPA Grid Emission Factors'!$C$5:$C$10</xm:f>
          </x14:formula1>
          <xm:sqref>C3</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3041A-7B67-45AF-AE42-5AB446DBA59F}">
  <sheetPr>
    <tabColor theme="0" tint="-4.9989318521683403E-2"/>
  </sheetPr>
  <dimension ref="A1:AL47"/>
  <sheetViews>
    <sheetView workbookViewId="0"/>
  </sheetViews>
  <sheetFormatPr defaultColWidth="8.85546875" defaultRowHeight="15"/>
  <cols>
    <col min="2" max="5" width="16.85546875" customWidth="1"/>
    <col min="6" max="30" width="9.5703125" bestFit="1" customWidth="1"/>
  </cols>
  <sheetData>
    <row r="1" spans="1:38" ht="21">
      <c r="A1" s="140" t="s">
        <v>528</v>
      </c>
    </row>
    <row r="3" spans="1:38">
      <c r="C3" s="141" t="s">
        <v>529</v>
      </c>
      <c r="D3" s="141" t="s">
        <v>349</v>
      </c>
      <c r="E3" s="220">
        <v>2020</v>
      </c>
      <c r="F3" s="220">
        <v>2021</v>
      </c>
      <c r="G3" s="220">
        <v>2022</v>
      </c>
      <c r="H3" s="220">
        <v>2023</v>
      </c>
      <c r="I3" s="220">
        <f t="shared" ref="I3:AI3" si="0">H3+1</f>
        <v>2024</v>
      </c>
      <c r="J3" s="220">
        <f t="shared" si="0"/>
        <v>2025</v>
      </c>
      <c r="K3" s="220">
        <f t="shared" si="0"/>
        <v>2026</v>
      </c>
      <c r="L3" s="220">
        <f t="shared" si="0"/>
        <v>2027</v>
      </c>
      <c r="M3" s="220">
        <f t="shared" si="0"/>
        <v>2028</v>
      </c>
      <c r="N3" s="220">
        <f t="shared" si="0"/>
        <v>2029</v>
      </c>
      <c r="O3" s="220">
        <f t="shared" si="0"/>
        <v>2030</v>
      </c>
      <c r="P3" s="220">
        <f t="shared" si="0"/>
        <v>2031</v>
      </c>
      <c r="Q3" s="220">
        <f t="shared" si="0"/>
        <v>2032</v>
      </c>
      <c r="R3" s="220">
        <f t="shared" si="0"/>
        <v>2033</v>
      </c>
      <c r="S3" s="220">
        <f t="shared" si="0"/>
        <v>2034</v>
      </c>
      <c r="T3" s="220">
        <f t="shared" si="0"/>
        <v>2035</v>
      </c>
      <c r="U3" s="220">
        <f t="shared" si="0"/>
        <v>2036</v>
      </c>
      <c r="V3" s="220">
        <f t="shared" si="0"/>
        <v>2037</v>
      </c>
      <c r="W3" s="220">
        <f t="shared" si="0"/>
        <v>2038</v>
      </c>
      <c r="X3" s="220">
        <f t="shared" si="0"/>
        <v>2039</v>
      </c>
      <c r="Y3" s="220">
        <f t="shared" si="0"/>
        <v>2040</v>
      </c>
      <c r="Z3" s="220">
        <f t="shared" si="0"/>
        <v>2041</v>
      </c>
      <c r="AA3" s="220">
        <f t="shared" si="0"/>
        <v>2042</v>
      </c>
      <c r="AB3" s="220">
        <f t="shared" si="0"/>
        <v>2043</v>
      </c>
      <c r="AC3" s="220">
        <f t="shared" si="0"/>
        <v>2044</v>
      </c>
      <c r="AD3" s="220">
        <f t="shared" si="0"/>
        <v>2045</v>
      </c>
      <c r="AE3" s="220">
        <f t="shared" si="0"/>
        <v>2046</v>
      </c>
      <c r="AF3" s="220">
        <f t="shared" si="0"/>
        <v>2047</v>
      </c>
      <c r="AG3" s="220">
        <f t="shared" si="0"/>
        <v>2048</v>
      </c>
      <c r="AH3" s="220">
        <f t="shared" si="0"/>
        <v>2049</v>
      </c>
      <c r="AI3" s="220">
        <f t="shared" si="0"/>
        <v>2050</v>
      </c>
      <c r="AJ3" s="220"/>
      <c r="AK3" s="220"/>
      <c r="AL3" s="221"/>
    </row>
    <row r="4" spans="1:38">
      <c r="C4" s="142" t="s">
        <v>530</v>
      </c>
      <c r="D4" s="142" t="s">
        <v>531</v>
      </c>
      <c r="E4" s="143"/>
      <c r="F4" s="143"/>
      <c r="G4" s="143"/>
      <c r="H4" s="144">
        <f>SUMIFS(H5:H10,$C$5:$C$10,'Summary Dashboard'!$C$3)</f>
        <v>2.9610000000000004E-4</v>
      </c>
      <c r="I4" s="144">
        <f>SUMIFS(I5:I10,$C$5:$C$10,'Summary Dashboard'!$C$3)</f>
        <v>2.854E-4</v>
      </c>
      <c r="J4" s="144">
        <f>SUMIFS(J5:J10,$C$5:$C$10,'Summary Dashboard'!$C$3)</f>
        <v>2.652E-4</v>
      </c>
      <c r="K4" s="144">
        <f>SUMIFS(K5:K10,$C$5:$C$10,'Summary Dashboard'!$C$3)</f>
        <v>2.3670000000000001E-4</v>
      </c>
      <c r="L4" s="144">
        <f>SUMIFS(L5:L10,$C$5:$C$10,'Summary Dashboard'!$C$3)</f>
        <v>2.03E-4</v>
      </c>
      <c r="M4" s="144">
        <f>SUMIFS(M5:M10,$C$5:$C$10,'Summary Dashboard'!$C$3)</f>
        <v>1.6310000000000001E-4</v>
      </c>
      <c r="N4" s="144">
        <f>SUMIFS(N5:N10,$C$5:$C$10,'Summary Dashboard'!$C$3)</f>
        <v>1.3520000000000001E-4</v>
      </c>
      <c r="O4" s="144">
        <f>SUMIFS(O5:O10,$C$5:$C$10,'Summary Dashboard'!$C$3)</f>
        <v>1.078E-4</v>
      </c>
      <c r="P4" s="144">
        <f>SUMIFS(P5:P10,$C$5:$C$10,'Summary Dashboard'!$C$3)</f>
        <v>1.016E-4</v>
      </c>
      <c r="Q4" s="144">
        <f>SUMIFS(Q5:Q10,$C$5:$C$10,'Summary Dashboard'!$C$3)</f>
        <v>9.5799999999999998E-5</v>
      </c>
      <c r="R4" s="144">
        <f>SUMIFS(R5:R10,$C$5:$C$10,'Summary Dashboard'!$C$3)</f>
        <v>8.2000000000000001E-5</v>
      </c>
      <c r="S4" s="144">
        <f>SUMIFS(S5:S10,$C$5:$C$10,'Summary Dashboard'!$C$3)</f>
        <v>7.7100000000000004E-5</v>
      </c>
      <c r="T4" s="144">
        <f>SUMIFS(T5:T10,$C$5:$C$10,'Summary Dashboard'!$C$3)</f>
        <v>7.2600000000000003E-5</v>
      </c>
      <c r="U4" s="144">
        <f>SUMIFS(U5:U10,$C$5:$C$10,'Summary Dashboard'!$C$3)</f>
        <v>5.3600000000000002E-5</v>
      </c>
      <c r="V4" s="144">
        <f>SUMIFS(V5:V10,$C$5:$C$10,'Summary Dashboard'!$C$3)</f>
        <v>4.3600000000000003E-5</v>
      </c>
      <c r="W4" s="144">
        <f>SUMIFS(W5:W10,$C$5:$C$10,'Summary Dashboard'!$C$3)</f>
        <v>2.5900000000000003E-5</v>
      </c>
      <c r="X4" s="144">
        <f>SUMIFS(X5:X10,$C$5:$C$10,'Summary Dashboard'!$C$3)</f>
        <v>8.6999999999999997E-6</v>
      </c>
      <c r="Y4" s="144">
        <f>SUMIFS(Y5:Y10,$C$5:$C$10,'Summary Dashboard'!$C$3)</f>
        <v>4.9999999999999998E-7</v>
      </c>
      <c r="Z4" s="144">
        <f>SUMIFS(Z5:Z10,$C$5:$C$10,'Summary Dashboard'!$C$3)</f>
        <v>4.9999999999999998E-7</v>
      </c>
      <c r="AA4" s="144">
        <f>SUMIFS(AA5:AA10,$C$5:$C$10,'Summary Dashboard'!$C$3)</f>
        <v>5.9999999999999997E-7</v>
      </c>
      <c r="AB4" s="144">
        <f>SUMIFS(AB5:AB10,$C$5:$C$10,'Summary Dashboard'!$C$3)</f>
        <v>5.9999999999999997E-7</v>
      </c>
      <c r="AC4" s="144">
        <f>SUMIFS(AC5:AC10,$C$5:$C$10,'Summary Dashboard'!$C$3)</f>
        <v>5.9999999999999997E-7</v>
      </c>
      <c r="AD4" s="144">
        <f>SUMIFS(AD5:AD10,$C$5:$C$10,'Summary Dashboard'!$C$3)</f>
        <v>5.9999999999999997E-7</v>
      </c>
      <c r="AE4" s="144">
        <f>SUMIFS(AE5:AE10,$C$5:$C$10,'Summary Dashboard'!$C$3)</f>
        <v>6.9999999999999997E-7</v>
      </c>
      <c r="AF4" s="144">
        <f>SUMIFS(AF5:AF10,$C$5:$C$10,'Summary Dashboard'!$C$3)</f>
        <v>8.0000000000000007E-7</v>
      </c>
      <c r="AG4" s="144">
        <f>SUMIFS(AG5:AG10,$C$5:$C$10,'Summary Dashboard'!$C$3)</f>
        <v>8.9999999999999996E-7</v>
      </c>
      <c r="AH4" s="144">
        <f>SUMIFS(AH5:AH10,$C$5:$C$10,'Summary Dashboard'!$C$3)</f>
        <v>8.9999999999999996E-7</v>
      </c>
      <c r="AI4" s="144">
        <f>SUMIFS(AI5:AI10,$C$5:$C$10,'Summary Dashboard'!$C$3)</f>
        <v>9.9999999999999995E-7</v>
      </c>
    </row>
    <row r="5" spans="1:38">
      <c r="C5" s="222" t="s">
        <v>532</v>
      </c>
      <c r="D5" t="s">
        <v>531</v>
      </c>
      <c r="E5" s="145"/>
      <c r="F5" s="145"/>
      <c r="G5" s="145"/>
      <c r="H5" s="146">
        <f>(H20*'CLCPA Emission Factors Hub'!$E$9+'CLCPA Grid Emission Factors '!H24+'CLCPA Grid Emission Factors '!H28*'CLCPA Emission Factors Hub'!$E$10)/1000</f>
        <v>2.943E-4</v>
      </c>
      <c r="I5" s="146">
        <f>(I20*'CLCPA Emission Factors Hub'!$E$9+'CLCPA Grid Emission Factors '!I24+'CLCPA Grid Emission Factors '!I28*'CLCPA Emission Factors Hub'!$E$10)/1000</f>
        <v>2.834E-4</v>
      </c>
      <c r="J5" s="146">
        <f>(J20*'CLCPA Emission Factors Hub'!$E$9+'CLCPA Grid Emission Factors '!J24+'CLCPA Grid Emission Factors '!J28*'CLCPA Emission Factors Hub'!$E$10)/1000</f>
        <v>2.6360000000000001E-4</v>
      </c>
      <c r="K5" s="146">
        <f>(K20*'CLCPA Emission Factors Hub'!$E$9+'CLCPA Grid Emission Factors '!K24+'CLCPA Grid Emission Factors '!K28*'CLCPA Emission Factors Hub'!$E$10)/1000</f>
        <v>2.386E-4</v>
      </c>
      <c r="L5" s="146">
        <f>(L20*'CLCPA Emission Factors Hub'!$E$9+'CLCPA Grid Emission Factors '!L24+'CLCPA Grid Emission Factors '!L28*'CLCPA Emission Factors Hub'!$E$10)/1000</f>
        <v>2.1330000000000001E-4</v>
      </c>
      <c r="M5" s="146">
        <f>(M20*'CLCPA Emission Factors Hub'!$E$9+'CLCPA Grid Emission Factors '!M24+'CLCPA Grid Emission Factors '!M28*'CLCPA Emission Factors Hub'!$E$10)/1000</f>
        <v>1.8779999999999998E-4</v>
      </c>
      <c r="N5" s="146">
        <f>(N20*'CLCPA Emission Factors Hub'!$E$9+'CLCPA Grid Emission Factors '!N24+'CLCPA Grid Emission Factors '!N28*'CLCPA Emission Factors Hub'!$E$10)/1000</f>
        <v>1.6189999999999998E-4</v>
      </c>
      <c r="O5" s="146">
        <f>(O20*'CLCPA Emission Factors Hub'!$E$9+'CLCPA Grid Emission Factors '!O24+'CLCPA Grid Emission Factors '!O28*'CLCPA Emission Factors Hub'!$E$10)/1000</f>
        <v>1.359E-4</v>
      </c>
      <c r="P5" s="146">
        <f>(P20*'CLCPA Emission Factors Hub'!$E$9+'CLCPA Grid Emission Factors '!P24+'CLCPA Grid Emission Factors '!P28*'CLCPA Emission Factors Hub'!$E$10)/1000</f>
        <v>1.3300000000000001E-4</v>
      </c>
      <c r="Q5" s="146">
        <f>(Q20*'CLCPA Emission Factors Hub'!$E$9+'CLCPA Grid Emission Factors '!Q24+'CLCPA Grid Emission Factors '!Q28*'CLCPA Emission Factors Hub'!$E$10)/1000</f>
        <v>1.3009999999999999E-4</v>
      </c>
      <c r="R5" s="146">
        <f>(R20*'CLCPA Emission Factors Hub'!$E$9+'CLCPA Grid Emission Factors '!R24+'CLCPA Grid Emission Factors '!R28*'CLCPA Emission Factors Hub'!$E$10)/1000</f>
        <v>1.27E-4</v>
      </c>
      <c r="S5" s="146">
        <f>(S20*'CLCPA Emission Factors Hub'!$E$9+'CLCPA Grid Emission Factors '!S24+'CLCPA Grid Emission Factors '!S28*'CLCPA Emission Factors Hub'!$E$10)/1000</f>
        <v>1.2400000000000001E-4</v>
      </c>
      <c r="T5" s="146">
        <f>(T20*'CLCPA Emission Factors Hub'!$E$9+'CLCPA Grid Emission Factors '!T24+'CLCPA Grid Emission Factors '!T28*'CLCPA Emission Factors Hub'!$E$10)/1000</f>
        <v>1.1239999999999999E-4</v>
      </c>
      <c r="U5" s="146">
        <f>(U20*'CLCPA Emission Factors Hub'!$E$9+'CLCPA Grid Emission Factors '!U24+'CLCPA Grid Emission Factors '!U28*'CLCPA Emission Factors Hub'!$E$10)/1000</f>
        <v>1.1320000000000001E-4</v>
      </c>
      <c r="V5" s="146">
        <f>(V20*'CLCPA Emission Factors Hub'!$E$9+'CLCPA Grid Emission Factors '!V24+'CLCPA Grid Emission Factors '!V28*'CLCPA Emission Factors Hub'!$E$10)/1000</f>
        <v>1.2240000000000002E-4</v>
      </c>
      <c r="W5" s="146">
        <f>(W20*'CLCPA Emission Factors Hub'!$E$9+'CLCPA Grid Emission Factors '!W24+'CLCPA Grid Emission Factors '!W28*'CLCPA Emission Factors Hub'!$E$10)/1000</f>
        <v>1.2300000000000001E-4</v>
      </c>
      <c r="X5" s="146">
        <f>(X20*'CLCPA Emission Factors Hub'!$E$9+'CLCPA Grid Emission Factors '!X24+'CLCPA Grid Emission Factors '!X28*'CLCPA Emission Factors Hub'!$E$10)/1000</f>
        <v>1.2360000000000002E-4</v>
      </c>
      <c r="Y5" s="146">
        <f>(Y20*'CLCPA Emission Factors Hub'!$E$9+'CLCPA Grid Emission Factors '!Y24+'CLCPA Grid Emission Factors '!Y28*'CLCPA Emission Factors Hub'!$E$10)/1000</f>
        <v>1.2410000000000001E-4</v>
      </c>
      <c r="Z5" s="146">
        <f>(Z20*'CLCPA Emission Factors Hub'!$E$9+'CLCPA Grid Emission Factors '!Z24+'CLCPA Grid Emission Factors '!Z28*'CLCPA Emission Factors Hub'!$E$10)/1000</f>
        <v>1.2520000000000001E-4</v>
      </c>
      <c r="AA5" s="146">
        <f>(AA20*'CLCPA Emission Factors Hub'!$E$9+'CLCPA Grid Emission Factors '!AA24+'CLCPA Grid Emission Factors '!AA28*'CLCPA Emission Factors Hub'!$E$10)/1000</f>
        <v>1.2640000000000001E-4</v>
      </c>
      <c r="AB5" s="146">
        <f>(AB20*'CLCPA Emission Factors Hub'!$E$9+'CLCPA Grid Emission Factors '!AB24+'CLCPA Grid Emission Factors '!AB28*'CLCPA Emission Factors Hub'!$E$10)/1000</f>
        <v>1.2740000000000001E-4</v>
      </c>
      <c r="AC5" s="146">
        <f>(AC20*'CLCPA Emission Factors Hub'!$E$9+'CLCPA Grid Emission Factors '!AC24+'CLCPA Grid Emission Factors '!AC28*'CLCPA Emission Factors Hub'!$E$10)/1000</f>
        <v>1.284E-4</v>
      </c>
      <c r="AD5" s="146">
        <f>(AD20*'CLCPA Emission Factors Hub'!$E$9+'CLCPA Grid Emission Factors '!AD24+'CLCPA Grid Emission Factors '!AD28*'CLCPA Emission Factors Hub'!$E$10)/1000</f>
        <v>1.2940000000000003E-4</v>
      </c>
      <c r="AE5" s="146">
        <f>(AE20*'CLCPA Emission Factors Hub'!$E$9+'CLCPA Grid Emission Factors '!AE24+'CLCPA Grid Emission Factors '!AE28*'CLCPA Emission Factors Hub'!$E$10)/1000</f>
        <v>1.3550000000000001E-4</v>
      </c>
      <c r="AF5" s="146">
        <f>(AF20*'CLCPA Emission Factors Hub'!$E$9+'CLCPA Grid Emission Factors '!AF24+'CLCPA Grid Emission Factors '!AF28*'CLCPA Emission Factors Hub'!$E$10)/1000</f>
        <v>1.4990000000000001E-4</v>
      </c>
      <c r="AG5" s="146">
        <f>(AG20*'CLCPA Emission Factors Hub'!$E$9+'CLCPA Grid Emission Factors '!AG24+'CLCPA Grid Emission Factors '!AG28*'CLCPA Emission Factors Hub'!$E$10)/1000</f>
        <v>1.5559999999999999E-4</v>
      </c>
      <c r="AH5" s="146">
        <f>(AH20*'CLCPA Emission Factors Hub'!$E$9+'CLCPA Grid Emission Factors '!AH24+'CLCPA Grid Emission Factors '!AH28*'CLCPA Emission Factors Hub'!$E$10)/1000</f>
        <v>1.6129999999999999E-4</v>
      </c>
      <c r="AI5" s="146">
        <f>(AI20*'CLCPA Emission Factors Hub'!$E$9+'CLCPA Grid Emission Factors '!AI24+'CLCPA Grid Emission Factors '!AI28*'CLCPA Emission Factors Hub'!$E$10)/1000</f>
        <v>1.6669999999999999E-4</v>
      </c>
    </row>
    <row r="6" spans="1:38">
      <c r="C6" s="222" t="s">
        <v>533</v>
      </c>
      <c r="D6" t="s">
        <v>531</v>
      </c>
      <c r="E6" s="145"/>
      <c r="F6" s="145"/>
      <c r="G6" s="145"/>
      <c r="H6" s="146">
        <f>(H21*'CLCPA Emission Factors Hub'!$E$9+'CLCPA Grid Emission Factors '!H25+'CLCPA Grid Emission Factors '!H29*'CLCPA Emission Factors Hub'!$E$10)/1000</f>
        <v>2.965E-4</v>
      </c>
      <c r="I6" s="146">
        <f>(I21*'CLCPA Emission Factors Hub'!$E$9+'CLCPA Grid Emission Factors '!I25+'CLCPA Grid Emission Factors '!I29*'CLCPA Emission Factors Hub'!$E$10)/1000</f>
        <v>2.8580000000000001E-4</v>
      </c>
      <c r="J6" s="146">
        <f>(J21*'CLCPA Emission Factors Hub'!$E$9+'CLCPA Grid Emission Factors '!J25+'CLCPA Grid Emission Factors '!J29*'CLCPA Emission Factors Hub'!$E$10)/1000</f>
        <v>2.6579999999999996E-4</v>
      </c>
      <c r="K6" s="146">
        <f>(K21*'CLCPA Emission Factors Hub'!$E$9+'CLCPA Grid Emission Factors '!K25+'CLCPA Grid Emission Factors '!K29*'CLCPA Emission Factors Hub'!$E$10)/1000</f>
        <v>2.3560000000000001E-4</v>
      </c>
      <c r="L6" s="146">
        <f>(L21*'CLCPA Emission Factors Hub'!$E$9+'CLCPA Grid Emission Factors '!L25+'CLCPA Grid Emission Factors '!L29*'CLCPA Emission Factors Hub'!$E$10)/1000</f>
        <v>2.0460000000000001E-4</v>
      </c>
      <c r="M6" s="146">
        <f>(M21*'CLCPA Emission Factors Hub'!$E$9+'CLCPA Grid Emission Factors '!M25+'CLCPA Grid Emission Factors '!M29*'CLCPA Emission Factors Hub'!$E$10)/1000</f>
        <v>1.651E-4</v>
      </c>
      <c r="N6" s="146">
        <f>(N21*'CLCPA Emission Factors Hub'!$E$9+'CLCPA Grid Emission Factors '!N25+'CLCPA Grid Emission Factors '!N29*'CLCPA Emission Factors Hub'!$E$10)/1000</f>
        <v>1.339E-4</v>
      </c>
      <c r="O6" s="146">
        <f>(O21*'CLCPA Emission Factors Hub'!$E$9+'CLCPA Grid Emission Factors '!O25+'CLCPA Grid Emission Factors '!O29*'CLCPA Emission Factors Hub'!$E$10)/1000</f>
        <v>1.038E-4</v>
      </c>
      <c r="P6" s="146">
        <f>(P21*'CLCPA Emission Factors Hub'!$E$9+'CLCPA Grid Emission Factors '!P25+'CLCPA Grid Emission Factors '!P29*'CLCPA Emission Factors Hub'!$E$10)/1000</f>
        <v>9.8600000000000011E-5</v>
      </c>
      <c r="Q6" s="146">
        <f>(Q21*'CLCPA Emission Factors Hub'!$E$9+'CLCPA Grid Emission Factors '!Q25+'CLCPA Grid Emission Factors '!Q29*'CLCPA Emission Factors Hub'!$E$10)/1000</f>
        <v>8.5499999999999991E-5</v>
      </c>
      <c r="R6" s="146">
        <f>(R21*'CLCPA Emission Factors Hub'!$E$9+'CLCPA Grid Emission Factors '!R25+'CLCPA Grid Emission Factors '!R29*'CLCPA Emission Factors Hub'!$E$10)/1000</f>
        <v>8.1199999999999995E-5</v>
      </c>
      <c r="S6" s="146">
        <f>(S21*'CLCPA Emission Factors Hub'!$E$9+'CLCPA Grid Emission Factors '!S25+'CLCPA Grid Emission Factors '!S29*'CLCPA Emission Factors Hub'!$E$10)/1000</f>
        <v>7.7299999999999995E-5</v>
      </c>
      <c r="T6" s="146">
        <f>(T21*'CLCPA Emission Factors Hub'!$E$9+'CLCPA Grid Emission Factors '!T25+'CLCPA Grid Emission Factors '!T29*'CLCPA Emission Factors Hub'!$E$10)/1000</f>
        <v>7.3700000000000002E-5</v>
      </c>
      <c r="U6" s="146">
        <f>(U21*'CLCPA Emission Factors Hub'!$E$9+'CLCPA Grid Emission Factors '!U25+'CLCPA Grid Emission Factors '!U29*'CLCPA Emission Factors Hub'!$E$10)/1000</f>
        <v>5.4299999999999998E-5</v>
      </c>
      <c r="V6" s="146">
        <f>(V21*'CLCPA Emission Factors Hub'!$E$9+'CLCPA Grid Emission Factors '!V25+'CLCPA Grid Emission Factors '!V29*'CLCPA Emission Factors Hub'!$E$10)/1000</f>
        <v>4.3999999999999999E-5</v>
      </c>
      <c r="W6" s="146">
        <f>(W21*'CLCPA Emission Factors Hub'!$E$9+'CLCPA Grid Emission Factors '!W25+'CLCPA Grid Emission Factors '!W29*'CLCPA Emission Factors Hub'!$E$10)/1000</f>
        <v>2.6100000000000001E-5</v>
      </c>
      <c r="X6" s="146">
        <f>(X21*'CLCPA Emission Factors Hub'!$E$9+'CLCPA Grid Emission Factors '!X25+'CLCPA Grid Emission Factors '!X29*'CLCPA Emission Factors Hub'!$E$10)/1000</f>
        <v>8.6999999999999997E-6</v>
      </c>
      <c r="Y6" s="146">
        <f>(Y21*'CLCPA Emission Factors Hub'!$E$9+'CLCPA Grid Emission Factors '!Y25+'CLCPA Grid Emission Factors '!Y29*'CLCPA Emission Factors Hub'!$E$10)/1000</f>
        <v>2.0000000000000002E-7</v>
      </c>
      <c r="Z6" s="146">
        <f>(Z21*'CLCPA Emission Factors Hub'!$E$9+'CLCPA Grid Emission Factors '!Z25+'CLCPA Grid Emission Factors '!Z29*'CLCPA Emission Factors Hub'!$E$10)/1000</f>
        <v>2.9999999999999999E-7</v>
      </c>
      <c r="AA6" s="146">
        <f>(AA21*'CLCPA Emission Factors Hub'!$E$9+'CLCPA Grid Emission Factors '!AA25+'CLCPA Grid Emission Factors '!AA29*'CLCPA Emission Factors Hub'!$E$10)/1000</f>
        <v>4.9999999999999998E-7</v>
      </c>
      <c r="AB6" s="146">
        <f>(AB21*'CLCPA Emission Factors Hub'!$E$9+'CLCPA Grid Emission Factors '!AB25+'CLCPA Grid Emission Factors '!AB29*'CLCPA Emission Factors Hub'!$E$10)/1000</f>
        <v>5.9999999999999997E-7</v>
      </c>
      <c r="AC6" s="146">
        <f>(AC21*'CLCPA Emission Factors Hub'!$E$9+'CLCPA Grid Emission Factors '!AC25+'CLCPA Grid Emission Factors '!AC29*'CLCPA Emission Factors Hub'!$E$10)/1000</f>
        <v>6.9999999999999997E-7</v>
      </c>
      <c r="AD6" s="146">
        <f>(AD21*'CLCPA Emission Factors Hub'!$E$9+'CLCPA Grid Emission Factors '!AD25+'CLCPA Grid Emission Factors '!AD29*'CLCPA Emission Factors Hub'!$E$10)/1000</f>
        <v>8.0000000000000007E-7</v>
      </c>
      <c r="AE6" s="146">
        <f>(AE21*'CLCPA Emission Factors Hub'!$E$9+'CLCPA Grid Emission Factors '!AE25+'CLCPA Grid Emission Factors '!AE29*'CLCPA Emission Factors Hub'!$E$10)/1000</f>
        <v>8.9999999999999996E-7</v>
      </c>
      <c r="AF6" s="146">
        <f>(AF21*'CLCPA Emission Factors Hub'!$E$9+'CLCPA Grid Emission Factors '!AF25+'CLCPA Grid Emission Factors '!AF29*'CLCPA Emission Factors Hub'!$E$10)/1000</f>
        <v>8.9999999999999996E-7</v>
      </c>
      <c r="AG6" s="146">
        <f>(AG21*'CLCPA Emission Factors Hub'!$E$9+'CLCPA Grid Emission Factors '!AG25+'CLCPA Grid Emission Factors '!AG29*'CLCPA Emission Factors Hub'!$E$10)/1000</f>
        <v>9.9999999999999995E-7</v>
      </c>
      <c r="AH6" s="146">
        <f>(AH21*'CLCPA Emission Factors Hub'!$E$9+'CLCPA Grid Emission Factors '!AH25+'CLCPA Grid Emission Factors '!AH29*'CLCPA Emission Factors Hub'!$E$10)/1000</f>
        <v>1.1000000000000001E-6</v>
      </c>
      <c r="AI6" s="146">
        <f>(AI21*'CLCPA Emission Factors Hub'!$E$9+'CLCPA Grid Emission Factors '!AI25+'CLCPA Grid Emission Factors '!AI29*'CLCPA Emission Factors Hub'!$E$10)/1000</f>
        <v>1.1000000000000001E-6</v>
      </c>
    </row>
    <row r="7" spans="1:38">
      <c r="C7" s="222" t="s">
        <v>534</v>
      </c>
      <c r="D7" t="s">
        <v>531</v>
      </c>
      <c r="E7" s="145"/>
      <c r="F7" s="145"/>
      <c r="G7" s="145"/>
      <c r="H7" s="146">
        <f>(H22*'CLCPA Emission Factors Hub'!$E$9+'CLCPA Grid Emission Factors '!H26+'CLCPA Grid Emission Factors '!H30*'CLCPA Emission Factors Hub'!$E$10)/1000</f>
        <v>2.9580000000000003E-4</v>
      </c>
      <c r="I7" s="146">
        <f>(I22*'CLCPA Emission Factors Hub'!$E$9+'CLCPA Grid Emission Factors '!I26+'CLCPA Grid Emission Factors '!I30*'CLCPA Emission Factors Hub'!$E$10)/1000</f>
        <v>2.8490000000000004E-4</v>
      </c>
      <c r="J7" s="146">
        <f>(J22*'CLCPA Emission Factors Hub'!$E$9+'CLCPA Grid Emission Factors '!J26+'CLCPA Grid Emission Factors '!J30*'CLCPA Emission Factors Hub'!$E$10)/1000</f>
        <v>2.6459999999999998E-4</v>
      </c>
      <c r="K7" s="146">
        <f>(K22*'CLCPA Emission Factors Hub'!$E$9+'CLCPA Grid Emission Factors '!K26+'CLCPA Grid Emission Factors '!K30*'CLCPA Emission Factors Hub'!$E$10)/1000</f>
        <v>2.363E-4</v>
      </c>
      <c r="L7" s="146">
        <f>(L22*'CLCPA Emission Factors Hub'!$E$9+'CLCPA Grid Emission Factors '!L26+'CLCPA Grid Emission Factors '!L30*'CLCPA Emission Factors Hub'!$E$10)/1000</f>
        <v>2.028E-4</v>
      </c>
      <c r="M7" s="146">
        <f>(M22*'CLCPA Emission Factors Hub'!$E$9+'CLCPA Grid Emission Factors '!M26+'CLCPA Grid Emission Factors '!M30*'CLCPA Emission Factors Hub'!$E$10)/1000</f>
        <v>1.63E-4</v>
      </c>
      <c r="N7" s="146">
        <f>(N22*'CLCPA Emission Factors Hub'!$E$9+'CLCPA Grid Emission Factors '!N26+'CLCPA Grid Emission Factors '!N30*'CLCPA Emission Factors Hub'!$E$10)/1000</f>
        <v>1.3579999999999999E-4</v>
      </c>
      <c r="O7" s="146">
        <f>(O22*'CLCPA Emission Factors Hub'!$E$9+'CLCPA Grid Emission Factors '!O26+'CLCPA Grid Emission Factors '!O30*'CLCPA Emission Factors Hub'!$E$10)/1000</f>
        <v>1.089E-4</v>
      </c>
      <c r="P7" s="146">
        <f>(P22*'CLCPA Emission Factors Hub'!$E$9+'CLCPA Grid Emission Factors '!P26+'CLCPA Grid Emission Factors '!P30*'CLCPA Emission Factors Hub'!$E$10)/1000</f>
        <v>1.0250000000000001E-4</v>
      </c>
      <c r="Q7" s="146">
        <f>(Q22*'CLCPA Emission Factors Hub'!$E$9+'CLCPA Grid Emission Factors '!Q26+'CLCPA Grid Emission Factors '!Q30*'CLCPA Emission Factors Hub'!$E$10)/1000</f>
        <v>9.6700000000000006E-5</v>
      </c>
      <c r="R7" s="146">
        <f>(R22*'CLCPA Emission Factors Hub'!$E$9+'CLCPA Grid Emission Factors '!R26+'CLCPA Grid Emission Factors '!R30*'CLCPA Emission Factors Hub'!$E$10)/1000</f>
        <v>8.2799999999999993E-5</v>
      </c>
      <c r="S7" s="146">
        <f>(S22*'CLCPA Emission Factors Hub'!$E$9+'CLCPA Grid Emission Factors '!S26+'CLCPA Grid Emission Factors '!S30*'CLCPA Emission Factors Hub'!$E$10)/1000</f>
        <v>7.7899999999999996E-5</v>
      </c>
      <c r="T7" s="146">
        <f>(T22*'CLCPA Emission Factors Hub'!$E$9+'CLCPA Grid Emission Factors '!T26+'CLCPA Grid Emission Factors '!T30*'CLCPA Emission Factors Hub'!$E$10)/1000</f>
        <v>7.3299999999999993E-5</v>
      </c>
      <c r="U7" s="146">
        <f>(U22*'CLCPA Emission Factors Hub'!$E$9+'CLCPA Grid Emission Factors '!U26+'CLCPA Grid Emission Factors '!U30*'CLCPA Emission Factors Hub'!$E$10)/1000</f>
        <v>5.3999999999999998E-5</v>
      </c>
      <c r="V7" s="146">
        <f>(V22*'CLCPA Emission Factors Hub'!$E$9+'CLCPA Grid Emission Factors '!V26+'CLCPA Grid Emission Factors '!V30*'CLCPA Emission Factors Hub'!$E$10)/1000</f>
        <v>4.3900000000000003E-5</v>
      </c>
      <c r="W7" s="146">
        <f>(W22*'CLCPA Emission Factors Hub'!$E$9+'CLCPA Grid Emission Factors '!W26+'CLCPA Grid Emission Factors '!W30*'CLCPA Emission Factors Hub'!$E$10)/1000</f>
        <v>2.6000000000000002E-5</v>
      </c>
      <c r="X7" s="146">
        <f>(X22*'CLCPA Emission Factors Hub'!$E$9+'CLCPA Grid Emission Factors '!X26+'CLCPA Grid Emission Factors '!X30*'CLCPA Emission Factors Hub'!$E$10)/1000</f>
        <v>8.8000000000000004E-6</v>
      </c>
      <c r="Y7" s="146">
        <f>(Y22*'CLCPA Emission Factors Hub'!$E$9+'CLCPA Grid Emission Factors '!Y26+'CLCPA Grid Emission Factors '!Y30*'CLCPA Emission Factors Hub'!$E$10)/1000</f>
        <v>4.0000000000000003E-7</v>
      </c>
      <c r="Z7" s="146">
        <f>(Z22*'CLCPA Emission Factors Hub'!$E$9+'CLCPA Grid Emission Factors '!Z26+'CLCPA Grid Emission Factors '!Z30*'CLCPA Emission Factors Hub'!$E$10)/1000</f>
        <v>4.9999999999999998E-7</v>
      </c>
      <c r="AA7" s="146">
        <f>(AA22*'CLCPA Emission Factors Hub'!$E$9+'CLCPA Grid Emission Factors '!AA26+'CLCPA Grid Emission Factors '!AA30*'CLCPA Emission Factors Hub'!$E$10)/1000</f>
        <v>5.9999999999999997E-7</v>
      </c>
      <c r="AB7" s="146">
        <f>(AB22*'CLCPA Emission Factors Hub'!$E$9+'CLCPA Grid Emission Factors '!AB26+'CLCPA Grid Emission Factors '!AB30*'CLCPA Emission Factors Hub'!$E$10)/1000</f>
        <v>6.9999999999999997E-7</v>
      </c>
      <c r="AC7" s="146">
        <f>(AC22*'CLCPA Emission Factors Hub'!$E$9+'CLCPA Grid Emission Factors '!AC26+'CLCPA Grid Emission Factors '!AC30*'CLCPA Emission Factors Hub'!$E$10)/1000</f>
        <v>6.9999999999999997E-7</v>
      </c>
      <c r="AD7" s="146">
        <f>(AD22*'CLCPA Emission Factors Hub'!$E$9+'CLCPA Grid Emission Factors '!AD26+'CLCPA Grid Emission Factors '!AD30*'CLCPA Emission Factors Hub'!$E$10)/1000</f>
        <v>6.9999999999999997E-7</v>
      </c>
      <c r="AE7" s="146">
        <f>(AE22*'CLCPA Emission Factors Hub'!$E$9+'CLCPA Grid Emission Factors '!AE26+'CLCPA Grid Emission Factors '!AE30*'CLCPA Emission Factors Hub'!$E$10)/1000</f>
        <v>8.0000000000000007E-7</v>
      </c>
      <c r="AF7" s="146">
        <f>(AF22*'CLCPA Emission Factors Hub'!$E$9+'CLCPA Grid Emission Factors '!AF26+'CLCPA Grid Emission Factors '!AF30*'CLCPA Emission Factors Hub'!$E$10)/1000</f>
        <v>8.9999999999999996E-7</v>
      </c>
      <c r="AG7" s="146">
        <f>(AG22*'CLCPA Emission Factors Hub'!$E$9+'CLCPA Grid Emission Factors '!AG26+'CLCPA Grid Emission Factors '!AG30*'CLCPA Emission Factors Hub'!$E$10)/1000</f>
        <v>9.9999999999999995E-7</v>
      </c>
      <c r="AH7" s="146">
        <f>(AH22*'CLCPA Emission Factors Hub'!$E$9+'CLCPA Grid Emission Factors '!AH26+'CLCPA Grid Emission Factors '!AH30*'CLCPA Emission Factors Hub'!$E$10)/1000</f>
        <v>9.9999999999999995E-7</v>
      </c>
      <c r="AI7" s="146">
        <f>(AI22*'CLCPA Emission Factors Hub'!$E$9+'CLCPA Grid Emission Factors '!AI26+'CLCPA Grid Emission Factors '!AI30*'CLCPA Emission Factors Hub'!$E$10)/1000</f>
        <v>1.1000000000000001E-6</v>
      </c>
    </row>
    <row r="8" spans="1:38">
      <c r="C8" s="222" t="s">
        <v>126</v>
      </c>
      <c r="D8" t="s">
        <v>531</v>
      </c>
      <c r="E8" s="145"/>
      <c r="F8" s="145"/>
      <c r="G8" s="145"/>
      <c r="H8" s="146">
        <f>(H23*'CLCPA Emission Factors Hub'!$E$9+'CLCPA Grid Emission Factors '!H27+'CLCPA Grid Emission Factors '!H31*'CLCPA Emission Factors Hub'!$E$10)/1000</f>
        <v>2.9610000000000004E-4</v>
      </c>
      <c r="I8" s="146">
        <f>(I23*'CLCPA Emission Factors Hub'!$E$9+'CLCPA Grid Emission Factors '!I27+'CLCPA Grid Emission Factors '!I31*'CLCPA Emission Factors Hub'!$E$10)/1000</f>
        <v>2.854E-4</v>
      </c>
      <c r="J8" s="146">
        <f>(J23*'CLCPA Emission Factors Hub'!$E$9+'CLCPA Grid Emission Factors '!J27+'CLCPA Grid Emission Factors '!J31*'CLCPA Emission Factors Hub'!$E$10)/1000</f>
        <v>2.652E-4</v>
      </c>
      <c r="K8" s="146">
        <f>(K23*'CLCPA Emission Factors Hub'!$E$9+'CLCPA Grid Emission Factors '!K27+'CLCPA Grid Emission Factors '!K31*'CLCPA Emission Factors Hub'!$E$10)/1000</f>
        <v>2.3670000000000001E-4</v>
      </c>
      <c r="L8" s="146">
        <f>(L23*'CLCPA Emission Factors Hub'!$E$9+'CLCPA Grid Emission Factors '!L27+'CLCPA Grid Emission Factors '!L31*'CLCPA Emission Factors Hub'!$E$10)/1000</f>
        <v>2.03E-4</v>
      </c>
      <c r="M8" s="146">
        <f>(M23*'CLCPA Emission Factors Hub'!$E$9+'CLCPA Grid Emission Factors '!M27+'CLCPA Grid Emission Factors '!M31*'CLCPA Emission Factors Hub'!$E$10)/1000</f>
        <v>1.6310000000000001E-4</v>
      </c>
      <c r="N8" s="146">
        <f>(N23*'CLCPA Emission Factors Hub'!$E$9+'CLCPA Grid Emission Factors '!N27+'CLCPA Grid Emission Factors '!N31*'CLCPA Emission Factors Hub'!$E$10)/1000</f>
        <v>1.3520000000000001E-4</v>
      </c>
      <c r="O8" s="146">
        <f>(O23*'CLCPA Emission Factors Hub'!$E$9+'CLCPA Grid Emission Factors '!O27+'CLCPA Grid Emission Factors '!O31*'CLCPA Emission Factors Hub'!$E$10)/1000</f>
        <v>1.078E-4</v>
      </c>
      <c r="P8" s="146">
        <f>(P23*'CLCPA Emission Factors Hub'!$E$9+'CLCPA Grid Emission Factors '!P27+'CLCPA Grid Emission Factors '!P31*'CLCPA Emission Factors Hub'!$E$10)/1000</f>
        <v>1.016E-4</v>
      </c>
      <c r="Q8" s="146">
        <f>(Q23*'CLCPA Emission Factors Hub'!$E$9+'CLCPA Grid Emission Factors '!Q27+'CLCPA Grid Emission Factors '!Q31*'CLCPA Emission Factors Hub'!$E$10)/1000</f>
        <v>9.5799999999999998E-5</v>
      </c>
      <c r="R8" s="146">
        <f>(R23*'CLCPA Emission Factors Hub'!$E$9+'CLCPA Grid Emission Factors '!R27+'CLCPA Grid Emission Factors '!R31*'CLCPA Emission Factors Hub'!$E$10)/1000</f>
        <v>8.2000000000000001E-5</v>
      </c>
      <c r="S8" s="146">
        <f>(S23*'CLCPA Emission Factors Hub'!$E$9+'CLCPA Grid Emission Factors '!S27+'CLCPA Grid Emission Factors '!S31*'CLCPA Emission Factors Hub'!$E$10)/1000</f>
        <v>7.7100000000000004E-5</v>
      </c>
      <c r="T8" s="146">
        <f>(T23*'CLCPA Emission Factors Hub'!$E$9+'CLCPA Grid Emission Factors '!T27+'CLCPA Grid Emission Factors '!T31*'CLCPA Emission Factors Hub'!$E$10)/1000</f>
        <v>7.2600000000000003E-5</v>
      </c>
      <c r="U8" s="146">
        <f>(U23*'CLCPA Emission Factors Hub'!$E$9+'CLCPA Grid Emission Factors '!U27+'CLCPA Grid Emission Factors '!U31*'CLCPA Emission Factors Hub'!$E$10)/1000</f>
        <v>5.3600000000000002E-5</v>
      </c>
      <c r="V8" s="146">
        <f>(V23*'CLCPA Emission Factors Hub'!$E$9+'CLCPA Grid Emission Factors '!V27+'CLCPA Grid Emission Factors '!V31*'CLCPA Emission Factors Hub'!$E$10)/1000</f>
        <v>4.3600000000000003E-5</v>
      </c>
      <c r="W8" s="146">
        <f>(W23*'CLCPA Emission Factors Hub'!$E$9+'CLCPA Grid Emission Factors '!W27+'CLCPA Grid Emission Factors '!W31*'CLCPA Emission Factors Hub'!$E$10)/1000</f>
        <v>2.5900000000000003E-5</v>
      </c>
      <c r="X8" s="146">
        <f>(X23*'CLCPA Emission Factors Hub'!$E$9+'CLCPA Grid Emission Factors '!X27+'CLCPA Grid Emission Factors '!X31*'CLCPA Emission Factors Hub'!$E$10)/1000</f>
        <v>8.6999999999999997E-6</v>
      </c>
      <c r="Y8" s="146">
        <f>(Y23*'CLCPA Emission Factors Hub'!$E$9+'CLCPA Grid Emission Factors '!Y27+'CLCPA Grid Emission Factors '!Y31*'CLCPA Emission Factors Hub'!$E$10)/1000</f>
        <v>4.9999999999999998E-7</v>
      </c>
      <c r="Z8" s="146">
        <f>(Z23*'CLCPA Emission Factors Hub'!$E$9+'CLCPA Grid Emission Factors '!Z27+'CLCPA Grid Emission Factors '!Z31*'CLCPA Emission Factors Hub'!$E$10)/1000</f>
        <v>4.9999999999999998E-7</v>
      </c>
      <c r="AA8" s="146">
        <f>(AA23*'CLCPA Emission Factors Hub'!$E$9+'CLCPA Grid Emission Factors '!AA27+'CLCPA Grid Emission Factors '!AA31*'CLCPA Emission Factors Hub'!$E$10)/1000</f>
        <v>5.9999999999999997E-7</v>
      </c>
      <c r="AB8" s="146">
        <f>(AB23*'CLCPA Emission Factors Hub'!$E$9+'CLCPA Grid Emission Factors '!AB27+'CLCPA Grid Emission Factors '!AB31*'CLCPA Emission Factors Hub'!$E$10)/1000</f>
        <v>5.9999999999999997E-7</v>
      </c>
      <c r="AC8" s="146">
        <f>(AC23*'CLCPA Emission Factors Hub'!$E$9+'CLCPA Grid Emission Factors '!AC27+'CLCPA Grid Emission Factors '!AC31*'CLCPA Emission Factors Hub'!$E$10)/1000</f>
        <v>5.9999999999999997E-7</v>
      </c>
      <c r="AD8" s="146">
        <f>(AD23*'CLCPA Emission Factors Hub'!$E$9+'CLCPA Grid Emission Factors '!AD27+'CLCPA Grid Emission Factors '!AD31*'CLCPA Emission Factors Hub'!$E$10)/1000</f>
        <v>5.9999999999999997E-7</v>
      </c>
      <c r="AE8" s="146">
        <f>(AE23*'CLCPA Emission Factors Hub'!$E$9+'CLCPA Grid Emission Factors '!AE27+'CLCPA Grid Emission Factors '!AE31*'CLCPA Emission Factors Hub'!$E$10)/1000</f>
        <v>6.9999999999999997E-7</v>
      </c>
      <c r="AF8" s="146">
        <f>(AF23*'CLCPA Emission Factors Hub'!$E$9+'CLCPA Grid Emission Factors '!AF27+'CLCPA Grid Emission Factors '!AF31*'CLCPA Emission Factors Hub'!$E$10)/1000</f>
        <v>8.0000000000000007E-7</v>
      </c>
      <c r="AG8" s="146">
        <f>(AG23*'CLCPA Emission Factors Hub'!$E$9+'CLCPA Grid Emission Factors '!AG27+'CLCPA Grid Emission Factors '!AG31*'CLCPA Emission Factors Hub'!$E$10)/1000</f>
        <v>8.9999999999999996E-7</v>
      </c>
      <c r="AH8" s="146">
        <f>(AH23*'CLCPA Emission Factors Hub'!$E$9+'CLCPA Grid Emission Factors '!AH27+'CLCPA Grid Emission Factors '!AH31*'CLCPA Emission Factors Hub'!$E$10)/1000</f>
        <v>8.9999999999999996E-7</v>
      </c>
      <c r="AI8" s="146">
        <f>(AI23*'CLCPA Emission Factors Hub'!$E$9+'CLCPA Grid Emission Factors '!AI27+'CLCPA Grid Emission Factors '!AI31*'CLCPA Emission Factors Hub'!$E$10)/1000</f>
        <v>9.9999999999999995E-7</v>
      </c>
    </row>
    <row r="9" spans="1:38">
      <c r="C9" t="s">
        <v>535</v>
      </c>
      <c r="D9" t="s">
        <v>531</v>
      </c>
      <c r="E9" s="145"/>
      <c r="F9" s="145"/>
      <c r="G9" s="145"/>
      <c r="H9" s="146">
        <f>(G45+G46*'CLCPA Emission Factors Hub'!$E$9+'CLCPA Grid Emission Factors '!G47*'CLCPA Emission Factors Hub'!$E$10)/10^3</f>
        <v>4.58495005599833E-4</v>
      </c>
      <c r="I9" s="146">
        <f>(H45+H46*'CLCPA Emission Factors Hub'!$E$9+'CLCPA Grid Emission Factors '!H47*'CLCPA Emission Factors Hub'!$E$10)/10^3</f>
        <v>4.4336195908327729E-4</v>
      </c>
      <c r="J9" s="146">
        <f>(I45+I46*'CLCPA Emission Factors Hub'!$E$9+'CLCPA Grid Emission Factors '!I47*'CLCPA Emission Factors Hub'!$E$10)/10^3</f>
        <v>3.972035556665019E-4</v>
      </c>
      <c r="K9" s="146">
        <f>(J45+J46*'CLCPA Emission Factors Hub'!$E$9+'CLCPA Grid Emission Factors '!J47*'CLCPA Emission Factors Hub'!$E$10)/10^3</f>
        <v>3.8134935788412404E-4</v>
      </c>
      <c r="L9" s="146">
        <f>(K45+K46*'CLCPA Emission Factors Hub'!$E$9+'CLCPA Grid Emission Factors '!K47*'CLCPA Emission Factors Hub'!$E$10)/10^3</f>
        <v>3.3633338349161294E-4</v>
      </c>
      <c r="M9" s="146">
        <f>(L45+L46*'CLCPA Emission Factors Hub'!$E$9+'CLCPA Grid Emission Factors '!L47*'CLCPA Emission Factors Hub'!$E$10)/10^3</f>
        <v>2.9548777450888279E-4</v>
      </c>
      <c r="N9" s="146">
        <f>(M45+M46*'CLCPA Emission Factors Hub'!$E$9+'CLCPA Grid Emission Factors '!M47*'CLCPA Emission Factors Hub'!$E$10)/10^3</f>
        <v>2.2961382644889479E-4</v>
      </c>
      <c r="O9" s="146">
        <f>(N45+N46*'CLCPA Emission Factors Hub'!$E$9+'CLCPA Grid Emission Factors '!N47*'CLCPA Emission Factors Hub'!$E$10)/10^3</f>
        <v>2.0272401320597542E-4</v>
      </c>
      <c r="P9" s="146">
        <f>(O45+O46*'CLCPA Emission Factors Hub'!$E$9+'CLCPA Grid Emission Factors '!O47*'CLCPA Emission Factors Hub'!$E$10)/10^3</f>
        <v>1.6874851555000281E-4</v>
      </c>
      <c r="Q9" s="146">
        <f>(P45+P46*'CLCPA Emission Factors Hub'!$E$9+'CLCPA Grid Emission Factors '!P47*'CLCPA Emission Factors Hub'!$E$10)/10^3</f>
        <v>1.5187366399500252E-4</v>
      </c>
      <c r="R9" s="146">
        <f>(Q45+Q46*'CLCPA Emission Factors Hub'!$E$9+'CLCPA Grid Emission Factors '!Q47*'CLCPA Emission Factors Hub'!$E$10)/10^3</f>
        <v>1.3499881244000226E-4</v>
      </c>
      <c r="S9" s="146">
        <f>(R45+R46*'CLCPA Emission Factors Hub'!$E$9+'CLCPA Grid Emission Factors '!R47*'CLCPA Emission Factors Hub'!$E$10)/10^3</f>
        <v>1.1812396088500196E-4</v>
      </c>
      <c r="T9" s="146">
        <f>(S45+S46*'CLCPA Emission Factors Hub'!$E$9+'CLCPA Grid Emission Factors '!S47*'CLCPA Emission Factors Hub'!$E$10)/10^3</f>
        <v>1.012491093300017E-4</v>
      </c>
      <c r="U9" s="146">
        <f>(T45+T46*'CLCPA Emission Factors Hub'!$E$9+'CLCPA Grid Emission Factors '!T47*'CLCPA Emission Factors Hub'!$E$10)/10^3</f>
        <v>8.4374257775001433E-5</v>
      </c>
      <c r="V9" s="146">
        <f>(U45+U46*'CLCPA Emission Factors Hub'!$E$9+'CLCPA Grid Emission Factors '!U47*'CLCPA Emission Factors Hub'!$E$10)/10^3</f>
        <v>6.7499406220001158E-5</v>
      </c>
      <c r="W9" s="146">
        <f>(V45+V46*'CLCPA Emission Factors Hub'!$E$9+'CLCPA Grid Emission Factors '!V47*'CLCPA Emission Factors Hub'!$E$10)/10^3</f>
        <v>5.0624554665000875E-5</v>
      </c>
      <c r="X9" s="146">
        <f>(W45+W46*'CLCPA Emission Factors Hub'!$E$9+'CLCPA Grid Emission Factors '!W47*'CLCPA Emission Factors Hub'!$E$10)/10^3</f>
        <v>3.3749703110000599E-5</v>
      </c>
      <c r="Y9" s="146">
        <f>(X45+X46*'CLCPA Emission Factors Hub'!$E$9+'CLCPA Grid Emission Factors '!X47*'CLCPA Emission Factors Hub'!$E$10)/10^3</f>
        <v>1.6874851555000316E-5</v>
      </c>
      <c r="Z9" s="146">
        <f>(Y45+Y46*'CLCPA Emission Factors Hub'!$E$9+'CLCPA Grid Emission Factors '!Y47*'CLCPA Emission Factors Hub'!$E$10)/10^3</f>
        <v>0</v>
      </c>
      <c r="AA9" s="146">
        <f>(Z45+Z46*'CLCPA Emission Factors Hub'!$E$9+'CLCPA Grid Emission Factors '!Z47*'CLCPA Emission Factors Hub'!$E$10)/10^3</f>
        <v>0</v>
      </c>
      <c r="AB9" s="146">
        <f>(AA45+AA46*'CLCPA Emission Factors Hub'!$E$9+'CLCPA Grid Emission Factors '!AA47*'CLCPA Emission Factors Hub'!$E$10)/10^3</f>
        <v>0</v>
      </c>
      <c r="AC9" s="146">
        <f>(AB45+AB46*'CLCPA Emission Factors Hub'!$E$9+'CLCPA Grid Emission Factors '!AB47*'CLCPA Emission Factors Hub'!$E$10)/10^3</f>
        <v>0</v>
      </c>
      <c r="AD9" s="146">
        <f>(AC45+AC46*'CLCPA Emission Factors Hub'!$E$9+'CLCPA Grid Emission Factors '!AC47*'CLCPA Emission Factors Hub'!$E$10)/10^3</f>
        <v>0</v>
      </c>
      <c r="AE9" s="146">
        <f>(AD45+AD46*'CLCPA Emission Factors Hub'!$E$9+'CLCPA Grid Emission Factors '!AD47*'CLCPA Emission Factors Hub'!$E$10)/10^3</f>
        <v>0</v>
      </c>
      <c r="AF9" s="146">
        <f>(AE45+AE46*'CLCPA Emission Factors Hub'!$E$9+'CLCPA Grid Emission Factors '!AE47*'CLCPA Emission Factors Hub'!$E$10)/10^3</f>
        <v>0</v>
      </c>
      <c r="AG9" s="146">
        <f>(AF45+AF46*'CLCPA Emission Factors Hub'!$E$9+'CLCPA Grid Emission Factors '!AF47*'CLCPA Emission Factors Hub'!$E$10)/10^3</f>
        <v>0</v>
      </c>
      <c r="AH9" s="146">
        <f>(AG45+AG46*'CLCPA Emission Factors Hub'!$E$9+'CLCPA Grid Emission Factors '!AG47*'CLCPA Emission Factors Hub'!$E$10)/10^3</f>
        <v>0</v>
      </c>
      <c r="AI9" s="146">
        <f>(AH45+AH46*'CLCPA Emission Factors Hub'!$E$9+'CLCPA Grid Emission Factors '!AH47*'CLCPA Emission Factors Hub'!$E$10)/10^3</f>
        <v>0</v>
      </c>
    </row>
    <row r="10" spans="1:38">
      <c r="C10" s="222" t="s">
        <v>536</v>
      </c>
      <c r="D10" t="s">
        <v>531</v>
      </c>
      <c r="E10" s="145"/>
      <c r="F10" s="145"/>
      <c r="G10" s="145"/>
      <c r="H10" s="146">
        <f t="shared" ref="H10" si="1">H37</f>
        <v>4.2262585034013602E-4</v>
      </c>
      <c r="I10" s="146">
        <f t="shared" ref="I10:AI10" si="2">I37</f>
        <v>4.2262585034013602E-4</v>
      </c>
      <c r="J10" s="146">
        <f t="shared" si="2"/>
        <v>4.2262585034013602E-4</v>
      </c>
      <c r="K10" s="146">
        <f t="shared" si="2"/>
        <v>4.2262585034013602E-4</v>
      </c>
      <c r="L10" s="146">
        <f t="shared" si="2"/>
        <v>4.2262585034013602E-4</v>
      </c>
      <c r="M10" s="146">
        <f t="shared" si="2"/>
        <v>4.2262585034013602E-4</v>
      </c>
      <c r="N10" s="146">
        <f t="shared" si="2"/>
        <v>4.2262585034013602E-4</v>
      </c>
      <c r="O10" s="146">
        <f t="shared" si="2"/>
        <v>4.2262585034013602E-4</v>
      </c>
      <c r="P10" s="146">
        <f t="shared" si="2"/>
        <v>4.2262585034013602E-4</v>
      </c>
      <c r="Q10" s="146">
        <f t="shared" si="2"/>
        <v>4.2262585034013602E-4</v>
      </c>
      <c r="R10" s="146">
        <f t="shared" si="2"/>
        <v>4.2262585034013602E-4</v>
      </c>
      <c r="S10" s="146">
        <f t="shared" si="2"/>
        <v>4.2262585034013602E-4</v>
      </c>
      <c r="T10" s="146">
        <f t="shared" si="2"/>
        <v>4.2262585034013602E-4</v>
      </c>
      <c r="U10" s="146">
        <f t="shared" si="2"/>
        <v>4.2262585034013602E-4</v>
      </c>
      <c r="V10" s="146">
        <f t="shared" si="2"/>
        <v>4.2262585034013602E-4</v>
      </c>
      <c r="W10" s="146">
        <f t="shared" si="2"/>
        <v>4.2262585034013602E-4</v>
      </c>
      <c r="X10" s="146">
        <f t="shared" si="2"/>
        <v>4.2262585034013602E-4</v>
      </c>
      <c r="Y10" s="146">
        <f t="shared" si="2"/>
        <v>4.2262585034013602E-4</v>
      </c>
      <c r="Z10" s="146">
        <f t="shared" si="2"/>
        <v>4.2262585034013602E-4</v>
      </c>
      <c r="AA10" s="146">
        <f t="shared" si="2"/>
        <v>4.2262585034013602E-4</v>
      </c>
      <c r="AB10" s="146">
        <f t="shared" si="2"/>
        <v>4.2262585034013602E-4</v>
      </c>
      <c r="AC10" s="146">
        <f t="shared" si="2"/>
        <v>4.2262585034013602E-4</v>
      </c>
      <c r="AD10" s="146">
        <f t="shared" si="2"/>
        <v>4.2262585034013602E-4</v>
      </c>
      <c r="AE10" s="146">
        <f t="shared" si="2"/>
        <v>4.2262585034013602E-4</v>
      </c>
      <c r="AF10" s="146">
        <f t="shared" si="2"/>
        <v>4.2262585034013602E-4</v>
      </c>
      <c r="AG10" s="146">
        <f t="shared" si="2"/>
        <v>4.2262585034013602E-4</v>
      </c>
      <c r="AH10" s="146">
        <f t="shared" si="2"/>
        <v>4.2262585034013602E-4</v>
      </c>
      <c r="AI10" s="146">
        <f t="shared" si="2"/>
        <v>4.2262585034013602E-4</v>
      </c>
    </row>
    <row r="11" spans="1:38">
      <c r="C11" s="222"/>
      <c r="E11" s="145"/>
      <c r="F11" s="145"/>
      <c r="G11" s="145"/>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row>
    <row r="12" spans="1:38">
      <c r="C12" s="222"/>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row>
    <row r="13" spans="1:38">
      <c r="C13" s="222"/>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row>
    <row r="14" spans="1:38">
      <c r="C14" s="222"/>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row>
    <row r="15" spans="1:38" s="139" customFormat="1" ht="21">
      <c r="A15" s="140" t="s">
        <v>537</v>
      </c>
      <c r="C15" s="223"/>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row>
    <row r="16" spans="1:38">
      <c r="C16" s="222"/>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row>
    <row r="17" spans="1:38">
      <c r="A17" s="4" t="s">
        <v>538</v>
      </c>
      <c r="C17" s="222"/>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row>
    <row r="19" spans="1:38">
      <c r="A19" s="141" t="s">
        <v>431</v>
      </c>
      <c r="B19" s="141" t="s">
        <v>529</v>
      </c>
      <c r="C19" s="141" t="s">
        <v>180</v>
      </c>
      <c r="D19" s="141" t="s">
        <v>349</v>
      </c>
      <c r="E19" s="220">
        <v>2020</v>
      </c>
      <c r="F19" s="220">
        <v>2021</v>
      </c>
      <c r="G19" s="220">
        <v>2022</v>
      </c>
      <c r="H19" s="220">
        <v>2023</v>
      </c>
      <c r="I19" s="220">
        <v>2024</v>
      </c>
      <c r="J19" s="220">
        <v>2025</v>
      </c>
      <c r="K19" s="220">
        <v>2026</v>
      </c>
      <c r="L19" s="220">
        <v>2027</v>
      </c>
      <c r="M19" s="220">
        <v>2028</v>
      </c>
      <c r="N19" s="220">
        <v>2029</v>
      </c>
      <c r="O19" s="220">
        <v>2030</v>
      </c>
      <c r="P19" s="220">
        <v>2031</v>
      </c>
      <c r="Q19" s="220">
        <v>2032</v>
      </c>
      <c r="R19" s="220">
        <v>2033</v>
      </c>
      <c r="S19" s="220">
        <v>2034</v>
      </c>
      <c r="T19" s="220">
        <v>2035</v>
      </c>
      <c r="U19" s="220">
        <v>2036</v>
      </c>
      <c r="V19" s="220">
        <v>2037</v>
      </c>
      <c r="W19" s="220">
        <v>2038</v>
      </c>
      <c r="X19" s="220">
        <v>2039</v>
      </c>
      <c r="Y19" s="220">
        <v>2040</v>
      </c>
      <c r="Z19" s="220">
        <v>2041</v>
      </c>
      <c r="AA19" s="220">
        <v>2042</v>
      </c>
      <c r="AB19" s="220">
        <v>2043</v>
      </c>
      <c r="AC19" s="220">
        <v>2044</v>
      </c>
      <c r="AD19" s="220">
        <v>2045</v>
      </c>
      <c r="AE19" s="220">
        <v>2046</v>
      </c>
      <c r="AF19" s="220">
        <v>2047</v>
      </c>
      <c r="AG19" s="220">
        <v>2048</v>
      </c>
      <c r="AH19" s="220">
        <v>2049</v>
      </c>
      <c r="AI19" s="220">
        <v>2050</v>
      </c>
      <c r="AJ19" s="220">
        <v>2051</v>
      </c>
      <c r="AK19" s="220">
        <v>2052</v>
      </c>
      <c r="AL19" s="221">
        <v>2053</v>
      </c>
    </row>
    <row r="20" spans="1:38">
      <c r="A20" s="222" t="s">
        <v>418</v>
      </c>
      <c r="B20" s="222" t="s">
        <v>539</v>
      </c>
      <c r="C20" s="222" t="s">
        <v>183</v>
      </c>
      <c r="D20" s="222" t="s">
        <v>540</v>
      </c>
      <c r="E20" s="224">
        <v>1.2999999999999999E-3</v>
      </c>
      <c r="F20" s="224">
        <v>1.2999999999999999E-3</v>
      </c>
      <c r="G20" s="224">
        <v>1.1999999999999999E-3</v>
      </c>
      <c r="H20" s="224">
        <v>1.1000000000000001E-3</v>
      </c>
      <c r="I20" s="224">
        <v>1.1000000000000001E-3</v>
      </c>
      <c r="J20" s="224">
        <v>1E-3</v>
      </c>
      <c r="K20" s="224">
        <v>8.9999999999999998E-4</v>
      </c>
      <c r="L20" s="224">
        <v>8.0000000000000004E-4</v>
      </c>
      <c r="M20" s="224">
        <v>6.9999999999999999E-4</v>
      </c>
      <c r="N20" s="224">
        <v>5.9999999999999995E-4</v>
      </c>
      <c r="O20" s="224">
        <v>5.0000000000000001E-4</v>
      </c>
      <c r="P20" s="224">
        <v>5.0000000000000001E-4</v>
      </c>
      <c r="Q20" s="224">
        <v>5.0000000000000001E-4</v>
      </c>
      <c r="R20" s="224">
        <v>5.0000000000000001E-4</v>
      </c>
      <c r="S20" s="224">
        <v>5.0000000000000001E-4</v>
      </c>
      <c r="T20" s="224">
        <v>4.0000000000000002E-4</v>
      </c>
      <c r="U20" s="224">
        <v>4.0000000000000002E-4</v>
      </c>
      <c r="V20" s="224">
        <v>5.0000000000000001E-4</v>
      </c>
      <c r="W20" s="224">
        <v>5.0000000000000001E-4</v>
      </c>
      <c r="X20" s="224">
        <v>5.0000000000000001E-4</v>
      </c>
      <c r="Y20" s="224">
        <v>5.0000000000000001E-4</v>
      </c>
      <c r="Z20" s="224">
        <v>5.0000000000000001E-4</v>
      </c>
      <c r="AA20" s="224">
        <v>5.0000000000000001E-4</v>
      </c>
      <c r="AB20" s="224">
        <v>5.0000000000000001E-4</v>
      </c>
      <c r="AC20" s="224">
        <v>5.0000000000000001E-4</v>
      </c>
      <c r="AD20" s="224">
        <v>5.0000000000000001E-4</v>
      </c>
      <c r="AE20" s="224">
        <v>5.0000000000000001E-4</v>
      </c>
      <c r="AF20" s="224">
        <v>5.9999999999999995E-4</v>
      </c>
      <c r="AG20" s="224">
        <v>5.9999999999999995E-4</v>
      </c>
      <c r="AH20" s="224">
        <v>5.9999999999999995E-4</v>
      </c>
      <c r="AI20" s="224">
        <v>5.9999999999999995E-4</v>
      </c>
      <c r="AJ20" s="224">
        <v>5.9999999999999995E-4</v>
      </c>
      <c r="AK20" s="224">
        <v>5.9999999999999995E-4</v>
      </c>
      <c r="AL20" s="224">
        <v>5.9999999999999995E-4</v>
      </c>
    </row>
    <row r="21" spans="1:38">
      <c r="A21" s="222" t="s">
        <v>418</v>
      </c>
      <c r="B21" s="222" t="s">
        <v>541</v>
      </c>
      <c r="C21" s="222" t="s">
        <v>183</v>
      </c>
      <c r="D21" s="222" t="s">
        <v>540</v>
      </c>
      <c r="E21" s="224">
        <v>1.2999999999999999E-3</v>
      </c>
      <c r="F21" s="224">
        <v>1.2999999999999999E-3</v>
      </c>
      <c r="G21" s="224">
        <v>1.1999999999999999E-3</v>
      </c>
      <c r="H21" s="224">
        <v>1.1000000000000001E-3</v>
      </c>
      <c r="I21" s="224">
        <v>1.1000000000000001E-3</v>
      </c>
      <c r="J21" s="224">
        <v>1E-3</v>
      </c>
      <c r="K21" s="224">
        <v>8.9999999999999998E-4</v>
      </c>
      <c r="L21" s="224">
        <v>8.0000000000000004E-4</v>
      </c>
      <c r="M21" s="224">
        <v>5.9999999999999995E-4</v>
      </c>
      <c r="N21" s="224">
        <v>5.0000000000000001E-4</v>
      </c>
      <c r="O21" s="224">
        <v>4.0000000000000002E-4</v>
      </c>
      <c r="P21" s="224">
        <v>4.0000000000000002E-4</v>
      </c>
      <c r="Q21" s="224">
        <v>2.9999999999999997E-4</v>
      </c>
      <c r="R21" s="224">
        <v>2.9999999999999997E-4</v>
      </c>
      <c r="S21" s="224">
        <v>2.9999999999999997E-4</v>
      </c>
      <c r="T21" s="224">
        <v>2.9999999999999997E-4</v>
      </c>
      <c r="U21" s="224">
        <v>2.0000000000000001E-4</v>
      </c>
      <c r="V21" s="224">
        <v>2.0000000000000001E-4</v>
      </c>
      <c r="W21" s="224">
        <v>1E-4</v>
      </c>
      <c r="X21" s="224">
        <v>0</v>
      </c>
      <c r="Y21" s="224">
        <v>0</v>
      </c>
      <c r="Z21" s="224">
        <v>0</v>
      </c>
      <c r="AA21" s="224">
        <v>0</v>
      </c>
      <c r="AB21" s="224">
        <v>0</v>
      </c>
      <c r="AC21" s="224">
        <v>0</v>
      </c>
      <c r="AD21" s="224">
        <v>0</v>
      </c>
      <c r="AE21" s="224">
        <v>0</v>
      </c>
      <c r="AF21" s="224">
        <v>0</v>
      </c>
      <c r="AG21" s="224">
        <v>0</v>
      </c>
      <c r="AH21" s="224">
        <v>0</v>
      </c>
      <c r="AI21" s="224">
        <v>0</v>
      </c>
      <c r="AJ21" s="224">
        <v>0</v>
      </c>
      <c r="AK21" s="224">
        <v>0</v>
      </c>
      <c r="AL21" s="224">
        <v>0</v>
      </c>
    </row>
    <row r="22" spans="1:38">
      <c r="A22" s="222" t="s">
        <v>418</v>
      </c>
      <c r="B22" s="222" t="s">
        <v>542</v>
      </c>
      <c r="C22" s="222" t="s">
        <v>183</v>
      </c>
      <c r="D22" s="222" t="s">
        <v>540</v>
      </c>
      <c r="E22" s="224">
        <v>1.2999999999999999E-3</v>
      </c>
      <c r="F22" s="224">
        <v>1.2999999999999999E-3</v>
      </c>
      <c r="G22" s="224">
        <v>1.1999999999999999E-3</v>
      </c>
      <c r="H22" s="224">
        <v>1.1000000000000001E-3</v>
      </c>
      <c r="I22" s="224">
        <v>1.1000000000000001E-3</v>
      </c>
      <c r="J22" s="224">
        <v>1E-3</v>
      </c>
      <c r="K22" s="224">
        <v>8.9999999999999998E-4</v>
      </c>
      <c r="L22" s="224">
        <v>8.0000000000000004E-4</v>
      </c>
      <c r="M22" s="224">
        <v>5.9999999999999995E-4</v>
      </c>
      <c r="N22" s="224">
        <v>5.0000000000000001E-4</v>
      </c>
      <c r="O22" s="224">
        <v>4.0000000000000002E-4</v>
      </c>
      <c r="P22" s="224">
        <v>4.0000000000000002E-4</v>
      </c>
      <c r="Q22" s="224">
        <v>4.0000000000000002E-4</v>
      </c>
      <c r="R22" s="224">
        <v>2.9999999999999997E-4</v>
      </c>
      <c r="S22" s="224">
        <v>2.9999999999999997E-4</v>
      </c>
      <c r="T22" s="224">
        <v>2.9999999999999997E-4</v>
      </c>
      <c r="U22" s="224">
        <v>2.0000000000000001E-4</v>
      </c>
      <c r="V22" s="224">
        <v>2.0000000000000001E-4</v>
      </c>
      <c r="W22" s="224">
        <v>1E-4</v>
      </c>
      <c r="X22" s="224">
        <v>0</v>
      </c>
      <c r="Y22" s="224">
        <v>0</v>
      </c>
      <c r="Z22" s="224">
        <v>0</v>
      </c>
      <c r="AA22" s="224">
        <v>0</v>
      </c>
      <c r="AB22" s="224">
        <v>0</v>
      </c>
      <c r="AC22" s="224">
        <v>0</v>
      </c>
      <c r="AD22" s="224">
        <v>0</v>
      </c>
      <c r="AE22" s="224">
        <v>0</v>
      </c>
      <c r="AF22" s="224">
        <v>0</v>
      </c>
      <c r="AG22" s="224">
        <v>0</v>
      </c>
      <c r="AH22" s="224">
        <v>0</v>
      </c>
      <c r="AI22" s="224">
        <v>0</v>
      </c>
      <c r="AJ22" s="224">
        <v>0</v>
      </c>
      <c r="AK22" s="224">
        <v>0</v>
      </c>
      <c r="AL22" s="224">
        <v>0</v>
      </c>
    </row>
    <row r="23" spans="1:38">
      <c r="A23" s="222" t="s">
        <v>418</v>
      </c>
      <c r="B23" s="222" t="s">
        <v>543</v>
      </c>
      <c r="C23" s="222" t="s">
        <v>183</v>
      </c>
      <c r="D23" s="222" t="s">
        <v>540</v>
      </c>
      <c r="E23" s="224">
        <v>1.2999999999999999E-3</v>
      </c>
      <c r="F23" s="224">
        <v>1.2999999999999999E-3</v>
      </c>
      <c r="G23" s="224">
        <v>1.1999999999999999E-3</v>
      </c>
      <c r="H23" s="224">
        <v>1.1000000000000001E-3</v>
      </c>
      <c r="I23" s="224">
        <v>1.1000000000000001E-3</v>
      </c>
      <c r="J23" s="224">
        <v>1E-3</v>
      </c>
      <c r="K23" s="224">
        <v>8.9999999999999998E-4</v>
      </c>
      <c r="L23" s="224">
        <v>8.0000000000000004E-4</v>
      </c>
      <c r="M23" s="224">
        <v>5.9999999999999995E-4</v>
      </c>
      <c r="N23" s="224">
        <v>5.0000000000000001E-4</v>
      </c>
      <c r="O23" s="224">
        <v>4.0000000000000002E-4</v>
      </c>
      <c r="P23" s="224">
        <v>4.0000000000000002E-4</v>
      </c>
      <c r="Q23" s="224">
        <v>4.0000000000000002E-4</v>
      </c>
      <c r="R23" s="224">
        <v>2.9999999999999997E-4</v>
      </c>
      <c r="S23" s="224">
        <v>2.9999999999999997E-4</v>
      </c>
      <c r="T23" s="224">
        <v>2.9999999999999997E-4</v>
      </c>
      <c r="U23" s="224">
        <v>2.0000000000000001E-4</v>
      </c>
      <c r="V23" s="224">
        <v>2.0000000000000001E-4</v>
      </c>
      <c r="W23" s="224">
        <v>1E-4</v>
      </c>
      <c r="X23" s="224">
        <v>0</v>
      </c>
      <c r="Y23" s="224">
        <v>0</v>
      </c>
      <c r="Z23" s="224">
        <v>0</v>
      </c>
      <c r="AA23" s="224">
        <v>0</v>
      </c>
      <c r="AB23" s="224">
        <v>0</v>
      </c>
      <c r="AC23" s="224">
        <v>0</v>
      </c>
      <c r="AD23" s="224">
        <v>0</v>
      </c>
      <c r="AE23" s="224">
        <v>0</v>
      </c>
      <c r="AF23" s="224">
        <v>0</v>
      </c>
      <c r="AG23" s="224">
        <v>0</v>
      </c>
      <c r="AH23" s="224">
        <v>0</v>
      </c>
      <c r="AI23" s="224">
        <v>0</v>
      </c>
      <c r="AJ23" s="224">
        <v>0</v>
      </c>
      <c r="AK23" s="224">
        <v>0</v>
      </c>
      <c r="AL23" s="224">
        <v>0</v>
      </c>
    </row>
    <row r="24" spans="1:38">
      <c r="A24" s="222" t="s">
        <v>418</v>
      </c>
      <c r="B24" s="222" t="s">
        <v>539</v>
      </c>
      <c r="C24" s="222" t="s">
        <v>185</v>
      </c>
      <c r="D24" s="222" t="s">
        <v>544</v>
      </c>
      <c r="E24" s="224">
        <v>0.2344</v>
      </c>
      <c r="F24" s="224">
        <v>0.2235</v>
      </c>
      <c r="G24" s="224">
        <v>0.2127</v>
      </c>
      <c r="H24" s="224">
        <v>0.2019</v>
      </c>
      <c r="I24" s="224">
        <v>0.191</v>
      </c>
      <c r="J24" s="224">
        <v>0.17960000000000001</v>
      </c>
      <c r="K24" s="224">
        <v>0.16300000000000001</v>
      </c>
      <c r="L24" s="224">
        <v>0.14610000000000001</v>
      </c>
      <c r="M24" s="224">
        <v>0.129</v>
      </c>
      <c r="N24" s="224">
        <v>0.1115</v>
      </c>
      <c r="O24" s="224">
        <v>9.3899999999999997E-2</v>
      </c>
      <c r="P24" s="224">
        <v>9.0999999999999998E-2</v>
      </c>
      <c r="Q24" s="224">
        <v>8.8099999999999998E-2</v>
      </c>
      <c r="R24" s="224">
        <v>8.5000000000000006E-2</v>
      </c>
      <c r="S24" s="224">
        <v>8.2000000000000003E-2</v>
      </c>
      <c r="T24" s="224">
        <v>7.8799999999999995E-2</v>
      </c>
      <c r="U24" s="224">
        <v>7.9600000000000004E-2</v>
      </c>
      <c r="V24" s="224">
        <v>8.0399999999999999E-2</v>
      </c>
      <c r="W24" s="224">
        <v>8.1000000000000003E-2</v>
      </c>
      <c r="X24" s="224">
        <v>8.1600000000000006E-2</v>
      </c>
      <c r="Y24" s="224">
        <v>8.2100000000000006E-2</v>
      </c>
      <c r="Z24" s="224">
        <v>8.3199999999999996E-2</v>
      </c>
      <c r="AA24" s="224">
        <v>8.4400000000000003E-2</v>
      </c>
      <c r="AB24" s="224">
        <v>8.5400000000000004E-2</v>
      </c>
      <c r="AC24" s="224">
        <v>8.6400000000000005E-2</v>
      </c>
      <c r="AD24" s="224">
        <v>8.7400000000000005E-2</v>
      </c>
      <c r="AE24" s="224">
        <v>9.35E-2</v>
      </c>
      <c r="AF24" s="224">
        <v>9.9500000000000005E-2</v>
      </c>
      <c r="AG24" s="224">
        <v>0.1052</v>
      </c>
      <c r="AH24" s="224">
        <v>0.1109</v>
      </c>
      <c r="AI24" s="224">
        <v>0.1163</v>
      </c>
      <c r="AJ24" s="224">
        <v>0.1163</v>
      </c>
      <c r="AK24" s="224">
        <v>0.1163</v>
      </c>
      <c r="AL24" s="224">
        <v>0.1163</v>
      </c>
    </row>
    <row r="25" spans="1:38">
      <c r="A25" s="222" t="s">
        <v>418</v>
      </c>
      <c r="B25" s="222" t="s">
        <v>541</v>
      </c>
      <c r="C25" s="222" t="s">
        <v>185</v>
      </c>
      <c r="D25" s="222" t="s">
        <v>544</v>
      </c>
      <c r="E25" s="224">
        <v>0.2339</v>
      </c>
      <c r="F25" s="224">
        <v>0.22409999999999999</v>
      </c>
      <c r="G25" s="224">
        <v>0.2142</v>
      </c>
      <c r="H25" s="224">
        <v>0.2041</v>
      </c>
      <c r="I25" s="224">
        <v>0.19339999999999999</v>
      </c>
      <c r="J25" s="224">
        <v>0.18179999999999999</v>
      </c>
      <c r="K25" s="224">
        <v>0.16</v>
      </c>
      <c r="L25" s="224">
        <v>0.13739999999999999</v>
      </c>
      <c r="M25" s="224">
        <v>0.1147</v>
      </c>
      <c r="N25" s="224">
        <v>9.1899999999999996E-2</v>
      </c>
      <c r="O25" s="224">
        <v>7.0199999999999999E-2</v>
      </c>
      <c r="P25" s="224">
        <v>6.5000000000000002E-2</v>
      </c>
      <c r="Q25" s="224">
        <v>6.0299999999999999E-2</v>
      </c>
      <c r="R25" s="224">
        <v>5.6000000000000001E-2</v>
      </c>
      <c r="S25" s="224">
        <v>5.21E-2</v>
      </c>
      <c r="T25" s="224">
        <v>4.8500000000000001E-2</v>
      </c>
      <c r="U25" s="224">
        <v>3.7499999999999999E-2</v>
      </c>
      <c r="V25" s="224">
        <v>2.7199999999999998E-2</v>
      </c>
      <c r="W25" s="224">
        <v>1.77E-2</v>
      </c>
      <c r="X25" s="224">
        <v>8.6999999999999994E-3</v>
      </c>
      <c r="Y25" s="224">
        <v>2.0000000000000001E-4</v>
      </c>
      <c r="Z25" s="224">
        <v>2.9999999999999997E-4</v>
      </c>
      <c r="AA25" s="224">
        <v>5.0000000000000001E-4</v>
      </c>
      <c r="AB25" s="224">
        <v>5.9999999999999995E-4</v>
      </c>
      <c r="AC25" s="224">
        <v>6.9999999999999999E-4</v>
      </c>
      <c r="AD25" s="224">
        <v>8.0000000000000004E-4</v>
      </c>
      <c r="AE25" s="224">
        <v>8.9999999999999998E-4</v>
      </c>
      <c r="AF25" s="224">
        <v>8.9999999999999998E-4</v>
      </c>
      <c r="AG25" s="224">
        <v>1E-3</v>
      </c>
      <c r="AH25" s="224">
        <v>1.1000000000000001E-3</v>
      </c>
      <c r="AI25" s="224">
        <v>1.1000000000000001E-3</v>
      </c>
      <c r="AJ25" s="224">
        <v>1.1000000000000001E-3</v>
      </c>
      <c r="AK25" s="224">
        <v>1.1000000000000001E-3</v>
      </c>
      <c r="AL25" s="224">
        <v>1.1000000000000001E-3</v>
      </c>
    </row>
    <row r="26" spans="1:38">
      <c r="A26" s="222" t="s">
        <v>418</v>
      </c>
      <c r="B26" s="222" t="s">
        <v>542</v>
      </c>
      <c r="C26" s="222" t="s">
        <v>185</v>
      </c>
      <c r="D26" s="222" t="s">
        <v>544</v>
      </c>
      <c r="E26" s="224">
        <v>0.2339</v>
      </c>
      <c r="F26" s="224">
        <v>0.2238</v>
      </c>
      <c r="G26" s="224">
        <v>0.21379999999999999</v>
      </c>
      <c r="H26" s="224">
        <v>0.2034</v>
      </c>
      <c r="I26" s="224">
        <v>0.1925</v>
      </c>
      <c r="J26" s="224">
        <v>0.18060000000000001</v>
      </c>
      <c r="K26" s="224">
        <v>0.16070000000000001</v>
      </c>
      <c r="L26" s="224">
        <v>0.1356</v>
      </c>
      <c r="M26" s="224">
        <v>0.11260000000000001</v>
      </c>
      <c r="N26" s="224">
        <v>9.3799999999999994E-2</v>
      </c>
      <c r="O26" s="224">
        <v>7.5300000000000006E-2</v>
      </c>
      <c r="P26" s="224">
        <v>6.8900000000000003E-2</v>
      </c>
      <c r="Q26" s="224">
        <v>6.3100000000000003E-2</v>
      </c>
      <c r="R26" s="224">
        <v>5.7599999999999998E-2</v>
      </c>
      <c r="S26" s="224">
        <v>5.2699999999999997E-2</v>
      </c>
      <c r="T26" s="224">
        <v>4.8099999999999997E-2</v>
      </c>
      <c r="U26" s="224">
        <v>3.7199999999999997E-2</v>
      </c>
      <c r="V26" s="224">
        <v>2.7099999999999999E-2</v>
      </c>
      <c r="W26" s="224">
        <v>1.7600000000000001E-2</v>
      </c>
      <c r="X26" s="224">
        <v>8.8000000000000005E-3</v>
      </c>
      <c r="Y26" s="224">
        <v>4.0000000000000002E-4</v>
      </c>
      <c r="Z26" s="224">
        <v>5.0000000000000001E-4</v>
      </c>
      <c r="AA26" s="224">
        <v>5.9999999999999995E-4</v>
      </c>
      <c r="AB26" s="224">
        <v>6.9999999999999999E-4</v>
      </c>
      <c r="AC26" s="224">
        <v>6.9999999999999999E-4</v>
      </c>
      <c r="AD26" s="224">
        <v>6.9999999999999999E-4</v>
      </c>
      <c r="AE26" s="224">
        <v>8.0000000000000004E-4</v>
      </c>
      <c r="AF26" s="224">
        <v>8.9999999999999998E-4</v>
      </c>
      <c r="AG26" s="224">
        <v>1E-3</v>
      </c>
      <c r="AH26" s="224">
        <v>1E-3</v>
      </c>
      <c r="AI26" s="224">
        <v>1.1000000000000001E-3</v>
      </c>
      <c r="AJ26" s="224">
        <v>1.1000000000000001E-3</v>
      </c>
      <c r="AK26" s="224">
        <v>1.1000000000000001E-3</v>
      </c>
      <c r="AL26" s="224">
        <v>1.1000000000000001E-3</v>
      </c>
    </row>
    <row r="27" spans="1:38">
      <c r="A27" s="222" t="s">
        <v>418</v>
      </c>
      <c r="B27" s="222" t="s">
        <v>543</v>
      </c>
      <c r="C27" s="222" t="s">
        <v>185</v>
      </c>
      <c r="D27" s="222" t="s">
        <v>544</v>
      </c>
      <c r="E27" s="224">
        <v>0.2339</v>
      </c>
      <c r="F27" s="224">
        <v>0.22389999999999999</v>
      </c>
      <c r="G27" s="224">
        <v>0.214</v>
      </c>
      <c r="H27" s="224">
        <v>0.20369999999999999</v>
      </c>
      <c r="I27" s="224">
        <v>0.193</v>
      </c>
      <c r="J27" s="224">
        <v>0.1812</v>
      </c>
      <c r="K27" s="224">
        <v>0.16109999999999999</v>
      </c>
      <c r="L27" s="224">
        <v>0.1358</v>
      </c>
      <c r="M27" s="224">
        <v>0.11269999999999999</v>
      </c>
      <c r="N27" s="224">
        <v>9.3200000000000005E-2</v>
      </c>
      <c r="O27" s="224">
        <v>7.4200000000000002E-2</v>
      </c>
      <c r="P27" s="224">
        <v>6.8000000000000005E-2</v>
      </c>
      <c r="Q27" s="224">
        <v>6.2199999999999998E-2</v>
      </c>
      <c r="R27" s="224">
        <v>5.6800000000000003E-2</v>
      </c>
      <c r="S27" s="224">
        <v>5.1900000000000002E-2</v>
      </c>
      <c r="T27" s="224">
        <v>4.7399999999999998E-2</v>
      </c>
      <c r="U27" s="224">
        <v>3.6799999999999999E-2</v>
      </c>
      <c r="V27" s="224">
        <v>2.6800000000000001E-2</v>
      </c>
      <c r="W27" s="224">
        <v>1.7500000000000002E-2</v>
      </c>
      <c r="X27" s="224">
        <v>8.6999999999999994E-3</v>
      </c>
      <c r="Y27" s="224">
        <v>5.0000000000000001E-4</v>
      </c>
      <c r="Z27" s="224">
        <v>5.0000000000000001E-4</v>
      </c>
      <c r="AA27" s="224">
        <v>5.9999999999999995E-4</v>
      </c>
      <c r="AB27" s="224">
        <v>5.9999999999999995E-4</v>
      </c>
      <c r="AC27" s="224">
        <v>5.9999999999999995E-4</v>
      </c>
      <c r="AD27" s="224">
        <v>5.9999999999999995E-4</v>
      </c>
      <c r="AE27" s="224">
        <v>6.9999999999999999E-4</v>
      </c>
      <c r="AF27" s="224">
        <v>8.0000000000000004E-4</v>
      </c>
      <c r="AG27" s="224">
        <v>8.9999999999999998E-4</v>
      </c>
      <c r="AH27" s="224">
        <v>8.9999999999999998E-4</v>
      </c>
      <c r="AI27" s="224">
        <v>1E-3</v>
      </c>
      <c r="AJ27" s="224">
        <v>1E-3</v>
      </c>
      <c r="AK27" s="224">
        <v>1E-3</v>
      </c>
      <c r="AL27" s="224">
        <v>1E-3</v>
      </c>
    </row>
    <row r="28" spans="1:38">
      <c r="A28" s="222" t="s">
        <v>418</v>
      </c>
      <c r="B28" s="222" t="s">
        <v>539</v>
      </c>
      <c r="C28" s="222" t="s">
        <v>184</v>
      </c>
      <c r="D28" s="222" t="s">
        <v>545</v>
      </c>
      <c r="E28" s="224">
        <v>0</v>
      </c>
      <c r="F28" s="224">
        <v>0</v>
      </c>
      <c r="G28" s="224">
        <v>0</v>
      </c>
      <c r="H28" s="224">
        <v>0</v>
      </c>
      <c r="I28" s="224">
        <v>0</v>
      </c>
      <c r="J28" s="224">
        <v>0</v>
      </c>
      <c r="K28" s="224">
        <v>0</v>
      </c>
      <c r="L28" s="224">
        <v>0</v>
      </c>
      <c r="M28" s="224">
        <v>0</v>
      </c>
      <c r="N28" s="224">
        <v>0</v>
      </c>
      <c r="O28" s="224">
        <v>0</v>
      </c>
      <c r="P28" s="224">
        <v>0</v>
      </c>
      <c r="Q28" s="224">
        <v>0</v>
      </c>
      <c r="R28" s="224">
        <v>0</v>
      </c>
      <c r="S28" s="224">
        <v>0</v>
      </c>
      <c r="T28" s="224">
        <v>0</v>
      </c>
      <c r="U28" s="224">
        <v>0</v>
      </c>
      <c r="V28" s="224">
        <v>0</v>
      </c>
      <c r="W28" s="224">
        <v>0</v>
      </c>
      <c r="X28" s="224">
        <v>0</v>
      </c>
      <c r="Y28" s="224">
        <v>0</v>
      </c>
      <c r="Z28" s="224">
        <v>0</v>
      </c>
      <c r="AA28" s="224">
        <v>0</v>
      </c>
      <c r="AB28" s="224">
        <v>0</v>
      </c>
      <c r="AC28" s="224">
        <v>0</v>
      </c>
      <c r="AD28" s="224">
        <v>0</v>
      </c>
      <c r="AE28" s="224">
        <v>0</v>
      </c>
      <c r="AF28" s="224">
        <v>0</v>
      </c>
      <c r="AG28" s="224">
        <v>0</v>
      </c>
      <c r="AH28" s="224">
        <v>0</v>
      </c>
      <c r="AI28" s="224">
        <v>0</v>
      </c>
      <c r="AJ28" s="224">
        <v>0</v>
      </c>
      <c r="AK28" s="224">
        <v>0</v>
      </c>
      <c r="AL28" s="224">
        <v>0</v>
      </c>
    </row>
    <row r="29" spans="1:38">
      <c r="A29" s="222" t="s">
        <v>418</v>
      </c>
      <c r="B29" s="222" t="s">
        <v>541</v>
      </c>
      <c r="C29" s="222" t="s">
        <v>184</v>
      </c>
      <c r="D29" s="222" t="s">
        <v>545</v>
      </c>
      <c r="E29" s="224">
        <v>0</v>
      </c>
      <c r="F29" s="224">
        <v>0</v>
      </c>
      <c r="G29" s="224">
        <v>0</v>
      </c>
      <c r="H29" s="224">
        <v>0</v>
      </c>
      <c r="I29" s="224">
        <v>0</v>
      </c>
      <c r="J29" s="224">
        <v>0</v>
      </c>
      <c r="K29" s="224">
        <v>0</v>
      </c>
      <c r="L29" s="224">
        <v>0</v>
      </c>
      <c r="M29" s="224">
        <v>0</v>
      </c>
      <c r="N29" s="224">
        <v>0</v>
      </c>
      <c r="O29" s="224">
        <v>0</v>
      </c>
      <c r="P29" s="224">
        <v>0</v>
      </c>
      <c r="Q29" s="224">
        <v>0</v>
      </c>
      <c r="R29" s="224">
        <v>0</v>
      </c>
      <c r="S29" s="224">
        <v>0</v>
      </c>
      <c r="T29" s="224">
        <v>0</v>
      </c>
      <c r="U29" s="224">
        <v>0</v>
      </c>
      <c r="V29" s="224">
        <v>0</v>
      </c>
      <c r="W29" s="224">
        <v>0</v>
      </c>
      <c r="X29" s="224">
        <v>0</v>
      </c>
      <c r="Y29" s="224">
        <v>0</v>
      </c>
      <c r="Z29" s="224">
        <v>0</v>
      </c>
      <c r="AA29" s="224">
        <v>0</v>
      </c>
      <c r="AB29" s="224">
        <v>0</v>
      </c>
      <c r="AC29" s="224">
        <v>0</v>
      </c>
      <c r="AD29" s="224">
        <v>0</v>
      </c>
      <c r="AE29" s="224">
        <v>0</v>
      </c>
      <c r="AF29" s="224">
        <v>0</v>
      </c>
      <c r="AG29" s="224">
        <v>0</v>
      </c>
      <c r="AH29" s="224">
        <v>0</v>
      </c>
      <c r="AI29" s="224">
        <v>0</v>
      </c>
      <c r="AJ29" s="224">
        <v>0</v>
      </c>
      <c r="AK29" s="224">
        <v>0</v>
      </c>
      <c r="AL29" s="224">
        <v>0</v>
      </c>
    </row>
    <row r="30" spans="1:38">
      <c r="A30" s="222" t="s">
        <v>418</v>
      </c>
      <c r="B30" s="222" t="s">
        <v>542</v>
      </c>
      <c r="C30" s="222" t="s">
        <v>184</v>
      </c>
      <c r="D30" s="222" t="s">
        <v>545</v>
      </c>
      <c r="E30" s="224">
        <v>0</v>
      </c>
      <c r="F30" s="224">
        <v>0</v>
      </c>
      <c r="G30" s="224">
        <v>0</v>
      </c>
      <c r="H30" s="224">
        <v>0</v>
      </c>
      <c r="I30" s="224">
        <v>0</v>
      </c>
      <c r="J30" s="224">
        <v>0</v>
      </c>
      <c r="K30" s="224">
        <v>0</v>
      </c>
      <c r="L30" s="224">
        <v>0</v>
      </c>
      <c r="M30" s="224">
        <v>0</v>
      </c>
      <c r="N30" s="224">
        <v>0</v>
      </c>
      <c r="O30" s="224">
        <v>0</v>
      </c>
      <c r="P30" s="224">
        <v>0</v>
      </c>
      <c r="Q30" s="224">
        <v>0</v>
      </c>
      <c r="R30" s="224">
        <v>0</v>
      </c>
      <c r="S30" s="224">
        <v>0</v>
      </c>
      <c r="T30" s="224">
        <v>0</v>
      </c>
      <c r="U30" s="224">
        <v>0</v>
      </c>
      <c r="V30" s="224">
        <v>0</v>
      </c>
      <c r="W30" s="224">
        <v>0</v>
      </c>
      <c r="X30" s="224">
        <v>0</v>
      </c>
      <c r="Y30" s="224">
        <v>0</v>
      </c>
      <c r="Z30" s="224">
        <v>0</v>
      </c>
      <c r="AA30" s="224">
        <v>0</v>
      </c>
      <c r="AB30" s="224">
        <v>0</v>
      </c>
      <c r="AC30" s="224">
        <v>0</v>
      </c>
      <c r="AD30" s="224">
        <v>0</v>
      </c>
      <c r="AE30" s="224">
        <v>0</v>
      </c>
      <c r="AF30" s="224">
        <v>0</v>
      </c>
      <c r="AG30" s="224">
        <v>0</v>
      </c>
      <c r="AH30" s="224">
        <v>0</v>
      </c>
      <c r="AI30" s="224">
        <v>0</v>
      </c>
      <c r="AJ30" s="224">
        <v>0</v>
      </c>
      <c r="AK30" s="224">
        <v>0</v>
      </c>
      <c r="AL30" s="224">
        <v>0</v>
      </c>
    </row>
    <row r="31" spans="1:38">
      <c r="A31" s="222" t="s">
        <v>418</v>
      </c>
      <c r="B31" s="222" t="s">
        <v>543</v>
      </c>
      <c r="C31" s="222" t="s">
        <v>184</v>
      </c>
      <c r="D31" s="222" t="s">
        <v>545</v>
      </c>
      <c r="E31" s="224">
        <v>0</v>
      </c>
      <c r="F31" s="224">
        <v>0</v>
      </c>
      <c r="G31" s="224">
        <v>0</v>
      </c>
      <c r="H31" s="224">
        <v>0</v>
      </c>
      <c r="I31" s="224">
        <v>0</v>
      </c>
      <c r="J31" s="224">
        <v>0</v>
      </c>
      <c r="K31" s="224">
        <v>0</v>
      </c>
      <c r="L31" s="224">
        <v>0</v>
      </c>
      <c r="M31" s="224">
        <v>0</v>
      </c>
      <c r="N31" s="224">
        <v>0</v>
      </c>
      <c r="O31" s="224">
        <v>0</v>
      </c>
      <c r="P31" s="224">
        <v>0</v>
      </c>
      <c r="Q31" s="224">
        <v>0</v>
      </c>
      <c r="R31" s="224">
        <v>0</v>
      </c>
      <c r="S31" s="224">
        <v>0</v>
      </c>
      <c r="T31" s="224">
        <v>0</v>
      </c>
      <c r="U31" s="224">
        <v>0</v>
      </c>
      <c r="V31" s="224">
        <v>0</v>
      </c>
      <c r="W31" s="224">
        <v>0</v>
      </c>
      <c r="X31" s="224">
        <v>0</v>
      </c>
      <c r="Y31" s="224">
        <v>0</v>
      </c>
      <c r="Z31" s="224">
        <v>0</v>
      </c>
      <c r="AA31" s="224">
        <v>0</v>
      </c>
      <c r="AB31" s="224">
        <v>0</v>
      </c>
      <c r="AC31" s="224">
        <v>0</v>
      </c>
      <c r="AD31" s="224">
        <v>0</v>
      </c>
      <c r="AE31" s="224">
        <v>0</v>
      </c>
      <c r="AF31" s="224">
        <v>0</v>
      </c>
      <c r="AG31" s="224">
        <v>0</v>
      </c>
      <c r="AH31" s="224">
        <v>0</v>
      </c>
      <c r="AI31" s="224">
        <v>0</v>
      </c>
      <c r="AJ31" s="224">
        <v>0</v>
      </c>
      <c r="AK31" s="224">
        <v>0</v>
      </c>
      <c r="AL31" s="224">
        <v>0</v>
      </c>
    </row>
    <row r="34" spans="1:38">
      <c r="A34" s="148" t="s">
        <v>22</v>
      </c>
    </row>
    <row r="35" spans="1:38">
      <c r="A35" s="222" t="s">
        <v>339</v>
      </c>
      <c r="B35" s="174" t="s">
        <v>332</v>
      </c>
    </row>
    <row r="36" spans="1:38">
      <c r="C36" s="141" t="s">
        <v>529</v>
      </c>
      <c r="D36" s="141" t="s">
        <v>349</v>
      </c>
      <c r="E36" s="220">
        <v>2020</v>
      </c>
      <c r="F36" s="220">
        <v>2021</v>
      </c>
      <c r="G36" s="220">
        <v>2022</v>
      </c>
      <c r="H36" s="220">
        <v>2023</v>
      </c>
      <c r="I36" s="220">
        <f t="shared" ref="I36:AI36" si="3">H36+1</f>
        <v>2024</v>
      </c>
      <c r="J36" s="220">
        <f t="shared" si="3"/>
        <v>2025</v>
      </c>
      <c r="K36" s="220">
        <f t="shared" si="3"/>
        <v>2026</v>
      </c>
      <c r="L36" s="220">
        <f t="shared" si="3"/>
        <v>2027</v>
      </c>
      <c r="M36" s="220">
        <f t="shared" si="3"/>
        <v>2028</v>
      </c>
      <c r="N36" s="220">
        <f t="shared" si="3"/>
        <v>2029</v>
      </c>
      <c r="O36" s="220">
        <f t="shared" si="3"/>
        <v>2030</v>
      </c>
      <c r="P36" s="220">
        <f t="shared" si="3"/>
        <v>2031</v>
      </c>
      <c r="Q36" s="220">
        <f t="shared" si="3"/>
        <v>2032</v>
      </c>
      <c r="R36" s="220">
        <f t="shared" si="3"/>
        <v>2033</v>
      </c>
      <c r="S36" s="220">
        <f t="shared" si="3"/>
        <v>2034</v>
      </c>
      <c r="T36" s="220">
        <f t="shared" si="3"/>
        <v>2035</v>
      </c>
      <c r="U36" s="220">
        <f t="shared" si="3"/>
        <v>2036</v>
      </c>
      <c r="V36" s="220">
        <f t="shared" si="3"/>
        <v>2037</v>
      </c>
      <c r="W36" s="220">
        <f t="shared" si="3"/>
        <v>2038</v>
      </c>
      <c r="X36" s="220">
        <f t="shared" si="3"/>
        <v>2039</v>
      </c>
      <c r="Y36" s="220">
        <f t="shared" si="3"/>
        <v>2040</v>
      </c>
      <c r="Z36" s="220">
        <f t="shared" si="3"/>
        <v>2041</v>
      </c>
      <c r="AA36" s="220">
        <f t="shared" si="3"/>
        <v>2042</v>
      </c>
      <c r="AB36" s="220">
        <f t="shared" si="3"/>
        <v>2043</v>
      </c>
      <c r="AC36" s="220">
        <f t="shared" si="3"/>
        <v>2044</v>
      </c>
      <c r="AD36" s="220">
        <f t="shared" si="3"/>
        <v>2045</v>
      </c>
      <c r="AE36" s="220">
        <f t="shared" si="3"/>
        <v>2046</v>
      </c>
      <c r="AF36" s="220">
        <f t="shared" si="3"/>
        <v>2047</v>
      </c>
      <c r="AG36" s="220">
        <f t="shared" si="3"/>
        <v>2048</v>
      </c>
      <c r="AH36" s="220">
        <f t="shared" si="3"/>
        <v>2049</v>
      </c>
      <c r="AI36" s="220">
        <f t="shared" si="3"/>
        <v>2050</v>
      </c>
      <c r="AJ36" s="220"/>
      <c r="AK36" s="220"/>
      <c r="AL36" s="221"/>
    </row>
    <row r="37" spans="1:38">
      <c r="C37" t="s">
        <v>546</v>
      </c>
      <c r="D37" t="s">
        <v>531</v>
      </c>
      <c r="E37" s="145"/>
      <c r="F37" s="145"/>
      <c r="G37" s="145"/>
      <c r="H37">
        <f>'EPA Emission Factors Hub'!X338</f>
        <v>4.2262585034013602E-4</v>
      </c>
      <c r="I37">
        <f t="shared" ref="I37:AI37" si="4">H37</f>
        <v>4.2262585034013602E-4</v>
      </c>
      <c r="J37">
        <f t="shared" si="4"/>
        <v>4.2262585034013602E-4</v>
      </c>
      <c r="K37">
        <f t="shared" si="4"/>
        <v>4.2262585034013602E-4</v>
      </c>
      <c r="L37">
        <f t="shared" si="4"/>
        <v>4.2262585034013602E-4</v>
      </c>
      <c r="M37">
        <f t="shared" si="4"/>
        <v>4.2262585034013602E-4</v>
      </c>
      <c r="N37">
        <f t="shared" si="4"/>
        <v>4.2262585034013602E-4</v>
      </c>
      <c r="O37">
        <f t="shared" si="4"/>
        <v>4.2262585034013602E-4</v>
      </c>
      <c r="P37">
        <f t="shared" si="4"/>
        <v>4.2262585034013602E-4</v>
      </c>
      <c r="Q37">
        <f t="shared" si="4"/>
        <v>4.2262585034013602E-4</v>
      </c>
      <c r="R37">
        <f t="shared" si="4"/>
        <v>4.2262585034013602E-4</v>
      </c>
      <c r="S37">
        <f t="shared" si="4"/>
        <v>4.2262585034013602E-4</v>
      </c>
      <c r="T37">
        <f t="shared" si="4"/>
        <v>4.2262585034013602E-4</v>
      </c>
      <c r="U37">
        <f t="shared" si="4"/>
        <v>4.2262585034013602E-4</v>
      </c>
      <c r="V37">
        <f t="shared" si="4"/>
        <v>4.2262585034013602E-4</v>
      </c>
      <c r="W37">
        <f t="shared" si="4"/>
        <v>4.2262585034013602E-4</v>
      </c>
      <c r="X37">
        <f t="shared" si="4"/>
        <v>4.2262585034013602E-4</v>
      </c>
      <c r="Y37">
        <f t="shared" si="4"/>
        <v>4.2262585034013602E-4</v>
      </c>
      <c r="Z37">
        <f t="shared" si="4"/>
        <v>4.2262585034013602E-4</v>
      </c>
      <c r="AA37">
        <f t="shared" si="4"/>
        <v>4.2262585034013602E-4</v>
      </c>
      <c r="AB37">
        <f t="shared" si="4"/>
        <v>4.2262585034013602E-4</v>
      </c>
      <c r="AC37">
        <f t="shared" si="4"/>
        <v>4.2262585034013602E-4</v>
      </c>
      <c r="AD37">
        <f t="shared" si="4"/>
        <v>4.2262585034013602E-4</v>
      </c>
      <c r="AE37">
        <f t="shared" si="4"/>
        <v>4.2262585034013602E-4</v>
      </c>
      <c r="AF37">
        <f t="shared" si="4"/>
        <v>4.2262585034013602E-4</v>
      </c>
      <c r="AG37">
        <f t="shared" si="4"/>
        <v>4.2262585034013602E-4</v>
      </c>
      <c r="AH37">
        <f t="shared" si="4"/>
        <v>4.2262585034013602E-4</v>
      </c>
      <c r="AI37">
        <f t="shared" si="4"/>
        <v>4.2262585034013602E-4</v>
      </c>
    </row>
    <row r="38" spans="1:38">
      <c r="C38" t="s">
        <v>547</v>
      </c>
      <c r="D38" t="s">
        <v>531</v>
      </c>
      <c r="E38" s="145"/>
      <c r="F38" s="145"/>
      <c r="G38" s="145"/>
    </row>
    <row r="41" spans="1:38">
      <c r="A41" s="225" t="s">
        <v>548</v>
      </c>
      <c r="C41" s="4"/>
    </row>
    <row r="42" spans="1:38">
      <c r="A42" s="196" t="s">
        <v>339</v>
      </c>
      <c r="B42" s="174" t="s">
        <v>549</v>
      </c>
    </row>
    <row r="44" spans="1:38">
      <c r="B44" s="141" t="s">
        <v>529</v>
      </c>
      <c r="C44" s="141" t="s">
        <v>180</v>
      </c>
      <c r="D44" s="141" t="s">
        <v>349</v>
      </c>
      <c r="E44" s="141"/>
      <c r="F44" s="141"/>
      <c r="G44" s="141">
        <v>2022</v>
      </c>
      <c r="H44" s="141">
        <v>2023</v>
      </c>
      <c r="I44" s="141">
        <v>2024</v>
      </c>
      <c r="J44" s="141">
        <v>2025</v>
      </c>
      <c r="K44" s="141">
        <v>2026</v>
      </c>
      <c r="L44" s="141">
        <v>2027</v>
      </c>
      <c r="M44" s="141">
        <v>2028</v>
      </c>
      <c r="N44" s="141">
        <v>2029</v>
      </c>
      <c r="O44" s="141">
        <v>2030</v>
      </c>
      <c r="P44" s="141">
        <v>2031</v>
      </c>
      <c r="Q44" s="141">
        <v>2032</v>
      </c>
      <c r="R44" s="141">
        <v>2033</v>
      </c>
      <c r="S44" s="141">
        <v>2034</v>
      </c>
      <c r="T44" s="141">
        <v>2035</v>
      </c>
      <c r="U44" s="141">
        <v>2036</v>
      </c>
      <c r="V44" s="141">
        <v>2037</v>
      </c>
      <c r="W44" s="141">
        <v>2038</v>
      </c>
      <c r="X44" s="141">
        <v>2039</v>
      </c>
      <c r="Y44" s="141">
        <v>2040</v>
      </c>
      <c r="Z44" s="141">
        <v>2041</v>
      </c>
      <c r="AA44" s="141">
        <v>2042</v>
      </c>
      <c r="AB44" s="141">
        <v>2043</v>
      </c>
      <c r="AC44" s="141">
        <v>2044</v>
      </c>
      <c r="AD44" s="141">
        <v>2045</v>
      </c>
      <c r="AE44" s="141">
        <v>2046</v>
      </c>
      <c r="AF44" s="141">
        <v>2047</v>
      </c>
      <c r="AG44" s="141">
        <v>2048</v>
      </c>
      <c r="AH44" s="141">
        <v>2049</v>
      </c>
      <c r="AI44" s="141">
        <v>2050</v>
      </c>
    </row>
    <row r="45" spans="1:38">
      <c r="B45" t="s">
        <v>550</v>
      </c>
      <c r="C45" t="s">
        <v>185</v>
      </c>
      <c r="D45" t="s">
        <v>551</v>
      </c>
      <c r="E45" s="145"/>
      <c r="F45" s="145"/>
      <c r="G45" s="149">
        <v>0.31268981692759745</v>
      </c>
      <c r="H45" s="149">
        <v>0.30236920386306038</v>
      </c>
      <c r="I45" s="149">
        <v>0.27088955296658196</v>
      </c>
      <c r="J45" s="149">
        <v>0.26007712067929889</v>
      </c>
      <c r="K45" s="149">
        <v>0.22937659696651272</v>
      </c>
      <c r="L45" s="149">
        <v>0.20152022810945841</v>
      </c>
      <c r="M45" s="149">
        <v>0.15659473817477981</v>
      </c>
      <c r="N45" s="149">
        <v>0.13825610705022559</v>
      </c>
      <c r="O45" s="149">
        <v>0.11508509752489532</v>
      </c>
      <c r="P45" s="150">
        <v>0.10357658777240579</v>
      </c>
      <c r="Q45" s="150">
        <v>9.2068078019916261E-2</v>
      </c>
      <c r="R45" s="150">
        <v>8.0559568267426732E-2</v>
      </c>
      <c r="S45" s="150">
        <v>6.9051058514937202E-2</v>
      </c>
      <c r="T45" s="150">
        <v>5.7542548762447673E-2</v>
      </c>
      <c r="U45" s="150">
        <v>4.6034039009958144E-2</v>
      </c>
      <c r="V45" s="150">
        <v>3.4525529257468615E-2</v>
      </c>
      <c r="W45" s="150">
        <v>2.3017019504979083E-2</v>
      </c>
      <c r="X45" s="150">
        <v>1.150850975248955E-2</v>
      </c>
      <c r="Y45" s="151">
        <v>0</v>
      </c>
      <c r="Z45" s="151">
        <v>0</v>
      </c>
      <c r="AA45" s="151">
        <v>0</v>
      </c>
      <c r="AB45" s="151">
        <v>0</v>
      </c>
      <c r="AC45" s="151">
        <v>0</v>
      </c>
      <c r="AD45" s="151">
        <v>0</v>
      </c>
      <c r="AE45" s="151">
        <v>0</v>
      </c>
      <c r="AF45" s="151">
        <v>0</v>
      </c>
      <c r="AG45" s="151">
        <v>0</v>
      </c>
      <c r="AH45" s="151">
        <v>0</v>
      </c>
      <c r="AI45" s="151">
        <v>0</v>
      </c>
    </row>
    <row r="46" spans="1:38">
      <c r="B46" t="s">
        <v>550</v>
      </c>
      <c r="C46" t="s">
        <v>183</v>
      </c>
      <c r="D46" t="s">
        <v>551</v>
      </c>
      <c r="E46" s="145"/>
      <c r="F46" s="145"/>
      <c r="G46" s="149">
        <v>1.7288495600260674E-3</v>
      </c>
      <c r="H46" s="149">
        <v>1.6717873009120918E-3</v>
      </c>
      <c r="I46" s="149">
        <v>1.4977375632618485E-3</v>
      </c>
      <c r="J46" s="149">
        <v>1.4379560552282521E-3</v>
      </c>
      <c r="K46" s="149">
        <v>1.2682140807855409E-3</v>
      </c>
      <c r="L46" s="149">
        <v>1.1141973254090991E-3</v>
      </c>
      <c r="M46" s="149">
        <v>8.6580607854764853E-4</v>
      </c>
      <c r="N46" s="149">
        <v>7.6441251651007496E-4</v>
      </c>
      <c r="O46" s="149">
        <v>6.3630092651063895E-4</v>
      </c>
      <c r="P46" s="150">
        <v>5.7267083385957509E-4</v>
      </c>
      <c r="Q46" s="150">
        <v>5.0904074120851123E-4</v>
      </c>
      <c r="R46" s="150">
        <v>4.4541064855744736E-4</v>
      </c>
      <c r="S46" s="150">
        <v>3.817805559063835E-4</v>
      </c>
      <c r="T46" s="150">
        <v>3.1815046325531964E-4</v>
      </c>
      <c r="U46" s="150">
        <v>2.5452037060425578E-4</v>
      </c>
      <c r="V46" s="150">
        <v>1.9089027795319189E-4</v>
      </c>
      <c r="W46" s="150">
        <v>1.27260185302128E-4</v>
      </c>
      <c r="X46" s="150">
        <v>6.3630092651064107E-5</v>
      </c>
      <c r="Y46" s="151">
        <v>0</v>
      </c>
      <c r="Z46" s="151">
        <v>0</v>
      </c>
      <c r="AA46" s="151">
        <v>0</v>
      </c>
      <c r="AB46" s="151">
        <v>0</v>
      </c>
      <c r="AC46" s="151">
        <v>0</v>
      </c>
      <c r="AD46" s="151">
        <v>0</v>
      </c>
      <c r="AE46" s="151">
        <v>0</v>
      </c>
      <c r="AF46" s="151">
        <v>0</v>
      </c>
      <c r="AG46" s="151">
        <v>0</v>
      </c>
      <c r="AH46" s="151">
        <v>0</v>
      </c>
      <c r="AI46" s="151">
        <v>0</v>
      </c>
    </row>
    <row r="47" spans="1:38">
      <c r="B47" t="s">
        <v>550</v>
      </c>
      <c r="C47" t="s">
        <v>272</v>
      </c>
      <c r="D47" t="s">
        <v>551</v>
      </c>
      <c r="E47" s="145"/>
      <c r="F47" s="145"/>
      <c r="G47" s="152">
        <v>2.2038849622949992E-6</v>
      </c>
      <c r="H47" s="152">
        <v>2.1311437257619747E-6</v>
      </c>
      <c r="I47" s="152">
        <v>1.9092704012299213E-6</v>
      </c>
      <c r="J47" s="152">
        <v>1.8330627486817294E-6</v>
      </c>
      <c r="K47" s="152">
        <v>1.6166808299803057E-6</v>
      </c>
      <c r="L47" s="152">
        <v>1.4203449434093018E-6</v>
      </c>
      <c r="M47" s="152">
        <v>1.1037033186080082E-6</v>
      </c>
      <c r="N47" s="152">
        <v>9.7444988221024315E-7</v>
      </c>
      <c r="O47" s="152">
        <v>8.1113711444622649E-7</v>
      </c>
      <c r="P47" s="153">
        <v>7.3002340300160383E-7</v>
      </c>
      <c r="Q47" s="153">
        <v>6.4890969155698117E-7</v>
      </c>
      <c r="R47" s="153">
        <v>5.6779598011235851E-7</v>
      </c>
      <c r="S47" s="153">
        <v>4.8668226866773585E-7</v>
      </c>
      <c r="T47" s="153">
        <v>4.0556855722311319E-7</v>
      </c>
      <c r="U47" s="153">
        <v>3.2445484577849053E-7</v>
      </c>
      <c r="V47" s="153">
        <v>2.4334113433386787E-7</v>
      </c>
      <c r="W47" s="153">
        <v>1.6222742288924521E-7</v>
      </c>
      <c r="X47" s="153">
        <v>8.1113711444622567E-8</v>
      </c>
      <c r="Y47" s="151">
        <v>0</v>
      </c>
      <c r="Z47" s="151">
        <v>0</v>
      </c>
      <c r="AA47" s="151">
        <v>0</v>
      </c>
      <c r="AB47" s="151">
        <v>0</v>
      </c>
      <c r="AC47" s="151">
        <v>0</v>
      </c>
      <c r="AD47" s="151">
        <v>0</v>
      </c>
      <c r="AE47" s="151">
        <v>0</v>
      </c>
      <c r="AF47" s="151">
        <v>0</v>
      </c>
      <c r="AG47" s="151">
        <v>0</v>
      </c>
      <c r="AH47" s="151">
        <v>0</v>
      </c>
      <c r="AI47" s="151">
        <v>0</v>
      </c>
    </row>
  </sheetData>
  <hyperlinks>
    <hyperlink ref="B35" r:id="rId1" xr:uid="{6181B891-9101-439B-9533-B7C6BCB5652F}"/>
    <hyperlink ref="B42" r:id="rId2" xr:uid="{F6407CFD-89AF-45DD-9877-08D4A756CF5F}"/>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F878E-7CA0-4626-9AA8-CBC831F1A748}">
  <sheetPr>
    <tabColor theme="0" tint="-4.9989318521683403E-2"/>
  </sheetPr>
  <dimension ref="B2:L23"/>
  <sheetViews>
    <sheetView workbookViewId="0">
      <selection activeCell="C34" sqref="C34"/>
    </sheetView>
  </sheetViews>
  <sheetFormatPr defaultColWidth="8.85546875" defaultRowHeight="15"/>
  <cols>
    <col min="2" max="2" width="22.85546875" customWidth="1"/>
    <col min="3" max="3" width="17" customWidth="1"/>
    <col min="4" max="4" width="13.5703125" customWidth="1"/>
    <col min="5" max="5" width="15.5703125" customWidth="1"/>
    <col min="6" max="6" width="11.5703125" customWidth="1"/>
    <col min="8" max="8" width="12.5703125" customWidth="1"/>
  </cols>
  <sheetData>
    <row r="2" spans="2:12" ht="20.25">
      <c r="B2" s="816" t="s">
        <v>900</v>
      </c>
      <c r="C2" s="822"/>
      <c r="D2" s="822"/>
      <c r="E2" s="822"/>
      <c r="F2" s="822"/>
      <c r="G2" s="822"/>
      <c r="H2" s="822"/>
      <c r="I2" s="822"/>
      <c r="J2" s="822"/>
      <c r="K2" s="822"/>
      <c r="L2" s="823"/>
    </row>
    <row r="4" spans="2:12">
      <c r="B4" s="4" t="s">
        <v>339</v>
      </c>
      <c r="C4" s="174" t="s">
        <v>901</v>
      </c>
    </row>
    <row r="5" spans="2:12">
      <c r="B5" s="175"/>
    </row>
    <row r="6" spans="2:12" ht="15.75" thickBot="1"/>
    <row r="7" spans="2:12" ht="15.75" thickBot="1">
      <c r="B7" s="201"/>
      <c r="C7" s="201"/>
      <c r="D7" s="46" t="s">
        <v>410</v>
      </c>
      <c r="E7" s="47" t="s">
        <v>63</v>
      </c>
      <c r="F7" s="201"/>
      <c r="G7" s="201"/>
      <c r="H7" s="201"/>
    </row>
    <row r="8" spans="2:12">
      <c r="B8" s="201"/>
      <c r="C8" s="201"/>
      <c r="D8" s="48" t="s">
        <v>185</v>
      </c>
      <c r="E8" s="49">
        <v>1</v>
      </c>
      <c r="F8" s="201"/>
      <c r="G8" s="201"/>
      <c r="H8" s="201"/>
    </row>
    <row r="9" spans="2:12" ht="15.75">
      <c r="B9" s="201"/>
      <c r="C9" s="201"/>
      <c r="D9" s="733" t="s">
        <v>557</v>
      </c>
      <c r="E9" s="734">
        <v>84</v>
      </c>
      <c r="F9" s="201"/>
      <c r="G9" s="201"/>
      <c r="H9" s="201"/>
    </row>
    <row r="10" spans="2:12" ht="16.5" thickBot="1">
      <c r="B10" s="201"/>
      <c r="C10" s="201"/>
      <c r="D10" s="516" t="s">
        <v>558</v>
      </c>
      <c r="E10" s="517">
        <v>264</v>
      </c>
      <c r="F10" s="201"/>
      <c r="G10" s="201"/>
      <c r="H10" s="201"/>
    </row>
    <row r="11" spans="2:12">
      <c r="B11" s="201"/>
      <c r="C11" s="201"/>
      <c r="D11" s="201"/>
      <c r="E11" s="201"/>
      <c r="F11" s="201"/>
      <c r="G11" s="201"/>
      <c r="H11" s="201"/>
    </row>
    <row r="12" spans="2:12">
      <c r="B12" s="201"/>
      <c r="C12" s="826" t="s">
        <v>902</v>
      </c>
      <c r="D12" s="827"/>
      <c r="E12" s="827"/>
      <c r="F12" s="827"/>
      <c r="G12" s="828"/>
      <c r="H12" s="201" t="s">
        <v>903</v>
      </c>
    </row>
    <row r="13" spans="2:12">
      <c r="B13" s="15" t="s">
        <v>393</v>
      </c>
      <c r="C13" s="171" t="s">
        <v>431</v>
      </c>
      <c r="D13" s="171" t="s">
        <v>185</v>
      </c>
      <c r="E13" s="171" t="s">
        <v>183</v>
      </c>
      <c r="F13" s="171" t="s">
        <v>184</v>
      </c>
      <c r="G13" s="171" t="s">
        <v>186</v>
      </c>
      <c r="H13" s="201"/>
    </row>
    <row r="14" spans="2:12">
      <c r="B14" s="824" t="s">
        <v>904</v>
      </c>
      <c r="C14" s="643" t="s">
        <v>446</v>
      </c>
      <c r="D14" s="651">
        <v>6.5000000000000002E-2</v>
      </c>
      <c r="E14" s="651">
        <v>3.6200000000000002E-4</v>
      </c>
      <c r="F14" s="683">
        <v>2.4600000000000001E-7</v>
      </c>
      <c r="G14" s="651">
        <v>9.5500000000000002E-2</v>
      </c>
      <c r="H14" s="205"/>
    </row>
    <row r="15" spans="2:12">
      <c r="B15" s="825"/>
      <c r="C15" s="643" t="s">
        <v>905</v>
      </c>
      <c r="D15" s="651">
        <v>8.9300000000000004E-2</v>
      </c>
      <c r="E15" s="651">
        <v>1.3200000000000001E-4</v>
      </c>
      <c r="F15" s="683">
        <v>8.9400000000000004E-7</v>
      </c>
      <c r="G15" s="651">
        <v>0.10100000000000001</v>
      </c>
      <c r="H15" s="201"/>
    </row>
    <row r="16" spans="2:12" ht="26.45" customHeight="1">
      <c r="B16" s="684" t="s">
        <v>906</v>
      </c>
      <c r="C16" s="662" t="s">
        <v>446</v>
      </c>
      <c r="D16" s="685">
        <v>6.5000000000000002E-2</v>
      </c>
      <c r="E16" s="685">
        <v>3.5799999999999997E-4</v>
      </c>
      <c r="F16" s="686">
        <v>4.5699999999999998E-7</v>
      </c>
      <c r="G16" s="685">
        <v>9.5200000000000007E-2</v>
      </c>
      <c r="H16" s="201"/>
    </row>
    <row r="17" spans="2:8" hidden="1">
      <c r="B17" s="824" t="s">
        <v>140</v>
      </c>
      <c r="C17" s="643" t="s">
        <v>645</v>
      </c>
      <c r="D17" s="651">
        <v>8.9599999999999999E-2</v>
      </c>
      <c r="E17" s="651">
        <v>1.45E-4</v>
      </c>
      <c r="F17" s="683">
        <v>8.7499999999999992E-6</v>
      </c>
      <c r="G17" s="651">
        <v>0.104</v>
      </c>
      <c r="H17" s="201"/>
    </row>
    <row r="18" spans="2:8" hidden="1">
      <c r="B18" s="825"/>
      <c r="C18" s="643" t="s">
        <v>907</v>
      </c>
      <c r="D18" s="651">
        <v>8.9300000000000004E-2</v>
      </c>
      <c r="E18" s="651">
        <v>1.25E-4</v>
      </c>
      <c r="F18" s="651">
        <v>4.3800000000000004E-6</v>
      </c>
      <c r="G18" s="651">
        <v>0.10100000000000001</v>
      </c>
      <c r="H18" s="205">
        <f>G18*D22</f>
        <v>1.3875481000000002E-2</v>
      </c>
    </row>
    <row r="19" spans="2:8" hidden="1">
      <c r="B19" s="201"/>
      <c r="C19" s="201"/>
      <c r="D19" s="201"/>
      <c r="E19" s="201"/>
      <c r="F19" s="201"/>
      <c r="G19" s="201"/>
      <c r="H19" s="201"/>
    </row>
    <row r="20" spans="2:8" hidden="1">
      <c r="B20" s="201"/>
      <c r="C20" s="201"/>
      <c r="D20" s="201"/>
      <c r="E20" s="201"/>
      <c r="F20" s="201"/>
      <c r="G20" s="201"/>
      <c r="H20" s="201"/>
    </row>
    <row r="21" spans="2:8" hidden="1">
      <c r="B21" s="202" t="s">
        <v>431</v>
      </c>
      <c r="C21" s="202" t="s">
        <v>908</v>
      </c>
      <c r="D21" s="201"/>
      <c r="E21" s="201"/>
      <c r="F21" s="201"/>
      <c r="G21" s="201"/>
      <c r="H21" s="201"/>
    </row>
    <row r="22" spans="2:8" hidden="1">
      <c r="B22" s="203" t="s">
        <v>194</v>
      </c>
      <c r="C22" s="203" t="s">
        <v>909</v>
      </c>
      <c r="D22" s="204">
        <v>0.137381</v>
      </c>
      <c r="E22" s="207"/>
      <c r="F22" s="201"/>
      <c r="G22" s="201"/>
      <c r="H22" s="201"/>
    </row>
    <row r="23" spans="2:8">
      <c r="B23" s="201"/>
      <c r="C23" s="201"/>
      <c r="D23" s="201"/>
      <c r="E23" s="201"/>
      <c r="F23" s="201"/>
      <c r="G23" s="201"/>
      <c r="H23" s="201"/>
    </row>
  </sheetData>
  <mergeCells count="4">
    <mergeCell ref="B2:L2"/>
    <mergeCell ref="B14:B15"/>
    <mergeCell ref="B17:B18"/>
    <mergeCell ref="C12:G12"/>
  </mergeCells>
  <hyperlinks>
    <hyperlink ref="C4" r:id="rId1" xr:uid="{7B493661-F623-41A6-B39A-7A59BB80BB2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728D1-C386-4F45-8CF1-2EB1F51CEC56}">
  <sheetPr>
    <tabColor theme="7" tint="0.79998168889431442"/>
  </sheetPr>
  <dimension ref="A2:AG19"/>
  <sheetViews>
    <sheetView topLeftCell="A8" workbookViewId="0">
      <selection activeCell="H8" sqref="H8"/>
    </sheetView>
  </sheetViews>
  <sheetFormatPr defaultColWidth="8.85546875" defaultRowHeight="15"/>
  <cols>
    <col min="1" max="1" width="3.5703125" style="7" customWidth="1"/>
    <col min="2" max="2" width="16.85546875" style="7" customWidth="1"/>
    <col min="3" max="3" width="44.85546875" style="7" customWidth="1"/>
    <col min="4" max="4" width="18.85546875" style="7" customWidth="1"/>
    <col min="5" max="5" width="62.85546875" style="7" hidden="1" customWidth="1"/>
    <col min="6" max="31" width="12.85546875" style="7" customWidth="1"/>
    <col min="32" max="32" width="9.5703125" style="7" bestFit="1" customWidth="1"/>
    <col min="33" max="33" width="11.5703125" style="7" customWidth="1"/>
    <col min="34" max="16384" width="8.85546875" style="7"/>
  </cols>
  <sheetData>
    <row r="2" spans="1:33" ht="20.25" thickBot="1">
      <c r="B2" s="488" t="s">
        <v>954</v>
      </c>
      <c r="C2" s="488"/>
      <c r="D2" s="488"/>
      <c r="E2" s="488"/>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row>
    <row r="3" spans="1:33" ht="30" customHeight="1" thickBot="1">
      <c r="B3" s="777" t="s">
        <v>129</v>
      </c>
      <c r="C3" s="778"/>
      <c r="D3" s="778"/>
      <c r="E3" s="779"/>
      <c r="F3" s="777" t="s">
        <v>167</v>
      </c>
      <c r="G3" s="778"/>
      <c r="H3" s="778"/>
      <c r="I3" s="778"/>
      <c r="J3" s="778"/>
      <c r="K3" s="778"/>
      <c r="L3" s="778"/>
      <c r="M3" s="778"/>
      <c r="N3" s="778"/>
      <c r="O3" s="778"/>
      <c r="P3" s="778"/>
      <c r="Q3" s="778"/>
      <c r="R3" s="778"/>
      <c r="S3" s="778"/>
      <c r="T3" s="778"/>
      <c r="U3" s="778"/>
      <c r="V3" s="778"/>
      <c r="W3" s="778"/>
      <c r="X3" s="778"/>
      <c r="Y3" s="778"/>
      <c r="Z3" s="778"/>
      <c r="AA3" s="778"/>
      <c r="AB3" s="778"/>
      <c r="AC3" s="778"/>
      <c r="AD3" s="778"/>
      <c r="AE3" s="779"/>
      <c r="AF3" s="772" t="s">
        <v>156</v>
      </c>
      <c r="AG3" s="773"/>
    </row>
    <row r="4" spans="1:33" ht="30" customHeight="1" thickBot="1">
      <c r="B4" s="266" t="s">
        <v>133</v>
      </c>
      <c r="C4" s="267" t="s">
        <v>168</v>
      </c>
      <c r="D4" s="267" t="s">
        <v>135</v>
      </c>
      <c r="E4" s="268" t="s">
        <v>136</v>
      </c>
      <c r="F4" s="277">
        <v>2025</v>
      </c>
      <c r="G4" s="278">
        <f>F4+1</f>
        <v>2026</v>
      </c>
      <c r="H4" s="278">
        <f t="shared" ref="H4:AE4" si="0">G4+1</f>
        <v>2027</v>
      </c>
      <c r="I4" s="278">
        <f t="shared" si="0"/>
        <v>2028</v>
      </c>
      <c r="J4" s="278">
        <f t="shared" si="0"/>
        <v>2029</v>
      </c>
      <c r="K4" s="278">
        <f t="shared" si="0"/>
        <v>2030</v>
      </c>
      <c r="L4" s="278">
        <f t="shared" si="0"/>
        <v>2031</v>
      </c>
      <c r="M4" s="278">
        <f t="shared" si="0"/>
        <v>2032</v>
      </c>
      <c r="N4" s="278">
        <f t="shared" si="0"/>
        <v>2033</v>
      </c>
      <c r="O4" s="278">
        <f t="shared" si="0"/>
        <v>2034</v>
      </c>
      <c r="P4" s="278">
        <f t="shared" si="0"/>
        <v>2035</v>
      </c>
      <c r="Q4" s="278">
        <f t="shared" si="0"/>
        <v>2036</v>
      </c>
      <c r="R4" s="278">
        <f t="shared" si="0"/>
        <v>2037</v>
      </c>
      <c r="S4" s="278">
        <f t="shared" si="0"/>
        <v>2038</v>
      </c>
      <c r="T4" s="278">
        <f t="shared" si="0"/>
        <v>2039</v>
      </c>
      <c r="U4" s="278">
        <f t="shared" si="0"/>
        <v>2040</v>
      </c>
      <c r="V4" s="278">
        <f t="shared" si="0"/>
        <v>2041</v>
      </c>
      <c r="W4" s="278">
        <f t="shared" si="0"/>
        <v>2042</v>
      </c>
      <c r="X4" s="278">
        <f t="shared" si="0"/>
        <v>2043</v>
      </c>
      <c r="Y4" s="278">
        <f t="shared" si="0"/>
        <v>2044</v>
      </c>
      <c r="Z4" s="278">
        <f t="shared" si="0"/>
        <v>2045</v>
      </c>
      <c r="AA4" s="278">
        <f t="shared" si="0"/>
        <v>2046</v>
      </c>
      <c r="AB4" s="278">
        <f t="shared" si="0"/>
        <v>2047</v>
      </c>
      <c r="AC4" s="278">
        <f t="shared" si="0"/>
        <v>2048</v>
      </c>
      <c r="AD4" s="278">
        <f t="shared" si="0"/>
        <v>2049</v>
      </c>
      <c r="AE4" s="279">
        <f t="shared" si="0"/>
        <v>2050</v>
      </c>
      <c r="AF4" s="717" t="s">
        <v>159</v>
      </c>
      <c r="AG4" s="718" t="s">
        <v>160</v>
      </c>
    </row>
    <row r="5" spans="1:33" ht="50.1" customHeight="1">
      <c r="A5" s="711"/>
      <c r="B5" s="291">
        <f>'Summary Dashboard'!B10</f>
        <v>1</v>
      </c>
      <c r="C5" s="291" t="str">
        <f>'Summary Dashboard'!C10</f>
        <v>Organics Recycling</v>
      </c>
      <c r="D5" s="412" t="str">
        <f>'Summary Dashboard'!D10</f>
        <v>Waste and Materials Management</v>
      </c>
      <c r="E5" s="412" t="str">
        <f>'Summary Dashboard'!E10</f>
        <v>Support organics diversion from municipal solid waste and expand alternative management practices such as composting or anaerobic digestion; 40 funding grants to organics programs (20 by 2025, another 20 by 2030)</v>
      </c>
      <c r="F5" s="269">
        <f>'1. Organics Recycling'!C100*'1. Organics Recycling'!$C$36</f>
        <v>0</v>
      </c>
      <c r="G5" s="270">
        <f>'1. Organics Recycling'!D100*'1. Organics Recycling'!$C$36</f>
        <v>0</v>
      </c>
      <c r="H5" s="270">
        <f>'1. Organics Recycling'!E100*'1. Organics Recycling'!$C$36</f>
        <v>0</v>
      </c>
      <c r="I5" s="270">
        <f>'1. Organics Recycling'!F100*'1. Organics Recycling'!$C$36</f>
        <v>25520.000000000004</v>
      </c>
      <c r="J5" s="270">
        <f>'1. Organics Recycling'!G100*'1. Organics Recycling'!$C$36</f>
        <v>77024.000000000015</v>
      </c>
      <c r="K5" s="270">
        <f>'1. Organics Recycling'!H100*'1. Organics Recycling'!$C$36</f>
        <v>154666.66666666666</v>
      </c>
      <c r="L5" s="270">
        <f>'1. Organics Recycling'!I100*'1. Organics Recycling'!$C$36</f>
        <v>154666.66666666666</v>
      </c>
      <c r="M5" s="270">
        <f>'1. Organics Recycling'!J100*'1. Organics Recycling'!$C$36</f>
        <v>154666.66666666666</v>
      </c>
      <c r="N5" s="270">
        <f>'1. Organics Recycling'!K100*'1. Organics Recycling'!$C$36</f>
        <v>154666.66666666666</v>
      </c>
      <c r="O5" s="270">
        <f>'1. Organics Recycling'!L100*'1. Organics Recycling'!$C$36</f>
        <v>154666.66666666666</v>
      </c>
      <c r="P5" s="270">
        <f>'1. Organics Recycling'!M100*'1. Organics Recycling'!$C$36</f>
        <v>154666.66666666666</v>
      </c>
      <c r="Q5" s="270">
        <f>'1. Organics Recycling'!N100*'1. Organics Recycling'!$C$36</f>
        <v>154666.66666666666</v>
      </c>
      <c r="R5" s="270">
        <f>'1. Organics Recycling'!O100*'1. Organics Recycling'!$C$36</f>
        <v>154666.66666666666</v>
      </c>
      <c r="S5" s="270">
        <f>'1. Organics Recycling'!P100*'1. Organics Recycling'!$C$36</f>
        <v>129146.66666666666</v>
      </c>
      <c r="T5" s="270">
        <f>'1. Organics Recycling'!Q100*'1. Organics Recycling'!$C$36</f>
        <v>77642.666666666672</v>
      </c>
      <c r="U5" s="270">
        <f>'1. Organics Recycling'!R100*'1. Organics Recycling'!$C$36</f>
        <v>0</v>
      </c>
      <c r="V5" s="270">
        <f>'1. Organics Recycling'!S100*'1. Organics Recycling'!$C$36</f>
        <v>0</v>
      </c>
      <c r="W5" s="270">
        <f>'1. Organics Recycling'!T100*'1. Organics Recycling'!$C$36</f>
        <v>0</v>
      </c>
      <c r="X5" s="270">
        <f>'1. Organics Recycling'!U100*'1. Organics Recycling'!$C$36</f>
        <v>0</v>
      </c>
      <c r="Y5" s="270">
        <f>'1. Organics Recycling'!V100*'1. Organics Recycling'!$C$36</f>
        <v>0</v>
      </c>
      <c r="Z5" s="270">
        <f>'1. Organics Recycling'!W100*'1. Organics Recycling'!$C$36</f>
        <v>0</v>
      </c>
      <c r="AA5" s="270">
        <f>'1. Organics Recycling'!X100*'1. Organics Recycling'!$C$36</f>
        <v>0</v>
      </c>
      <c r="AB5" s="270">
        <f>'1. Organics Recycling'!Y100*'1. Organics Recycling'!$C$36</f>
        <v>0</v>
      </c>
      <c r="AC5" s="270">
        <f>'1. Organics Recycling'!Z100*'1. Organics Recycling'!$C$36</f>
        <v>0</v>
      </c>
      <c r="AD5" s="270">
        <f>'1. Organics Recycling'!AA100*'1. Organics Recycling'!$C$36</f>
        <v>0</v>
      </c>
      <c r="AE5" s="271">
        <f>'1. Organics Recycling'!AB100*'1. Organics Recycling'!$C$36</f>
        <v>0</v>
      </c>
      <c r="AF5" s="723">
        <f>SUM(F5:K5)</f>
        <v>257210.66666666669</v>
      </c>
      <c r="AG5" s="724">
        <f>SUM(F5:AE5)</f>
        <v>1546666.6666666667</v>
      </c>
    </row>
    <row r="6" spans="1:33" ht="50.1" customHeight="1" thickBot="1">
      <c r="A6" s="711"/>
      <c r="B6" s="291">
        <f>'Summary Dashboard'!B11</f>
        <v>2</v>
      </c>
      <c r="C6" s="291" t="str">
        <f>'Summary Dashboard'!C11</f>
        <v>Natural Refrigerants</v>
      </c>
      <c r="D6" s="291" t="str">
        <f>'Summary Dashboard'!D11</f>
        <v>Buildings</v>
      </c>
      <c r="E6" s="412" t="str">
        <f>'Summary Dashboard'!E11</f>
        <v>Fund the transition to climate-friendly refrigerants at State facilities and commercial buildings; 20 facilities per year retrofit (2025-2030)</v>
      </c>
      <c r="F6" s="269">
        <f>'2. Natural Refrigerants'!C82*'2. Natural Refrigerants'!$C$27</f>
        <v>0</v>
      </c>
      <c r="G6" s="270">
        <f>'2. Natural Refrigerants'!D82*'2. Natural Refrigerants'!$C$27</f>
        <v>19681.879747199997</v>
      </c>
      <c r="H6" s="270">
        <f>'2. Natural Refrigerants'!E82*'2. Natural Refrigerants'!$C$27</f>
        <v>39363.759494399994</v>
      </c>
      <c r="I6" s="270">
        <f>'2. Natural Refrigerants'!F82*'2. Natural Refrigerants'!$C$27</f>
        <v>59045.639241599994</v>
      </c>
      <c r="J6" s="270">
        <f>'2. Natural Refrigerants'!G82*'2. Natural Refrigerants'!$C$27</f>
        <v>78727.518988799988</v>
      </c>
      <c r="K6" s="270">
        <f>'2. Natural Refrigerants'!H82*'2. Natural Refrigerants'!$C$27</f>
        <v>98409.398735999988</v>
      </c>
      <c r="L6" s="270">
        <f>'2. Natural Refrigerants'!I82*'2. Natural Refrigerants'!$C$27</f>
        <v>98409.398735999988</v>
      </c>
      <c r="M6" s="270">
        <f>'2. Natural Refrigerants'!J82*'2. Natural Refrigerants'!$C$27</f>
        <v>98409.398735999988</v>
      </c>
      <c r="N6" s="270">
        <f>'2. Natural Refrigerants'!K82*'2. Natural Refrigerants'!$C$27</f>
        <v>98409.398735999988</v>
      </c>
      <c r="O6" s="270">
        <f>'2. Natural Refrigerants'!L82*'2. Natural Refrigerants'!$C$27</f>
        <v>98409.398735999988</v>
      </c>
      <c r="P6" s="270">
        <f>'2. Natural Refrigerants'!M82*'2. Natural Refrigerants'!$C$27</f>
        <v>98409.398735999988</v>
      </c>
      <c r="Q6" s="270">
        <f>'2. Natural Refrigerants'!N82*'2. Natural Refrigerants'!$C$27</f>
        <v>98409.398735999988</v>
      </c>
      <c r="R6" s="270">
        <f>'2. Natural Refrigerants'!O82*'2. Natural Refrigerants'!$C$27</f>
        <v>98409.398735999988</v>
      </c>
      <c r="S6" s="270">
        <f>'2. Natural Refrigerants'!P82*'2. Natural Refrigerants'!$C$27</f>
        <v>98409.398735999988</v>
      </c>
      <c r="T6" s="270">
        <f>'2. Natural Refrigerants'!Q82*'2. Natural Refrigerants'!$C$27</f>
        <v>98409.398735999988</v>
      </c>
      <c r="U6" s="270">
        <f>'2. Natural Refrigerants'!R82*'2. Natural Refrigerants'!$C$27</f>
        <v>98409.398735999988</v>
      </c>
      <c r="V6" s="270">
        <f>'2. Natural Refrigerants'!S82*'2. Natural Refrigerants'!$C$27</f>
        <v>78727.518988799988</v>
      </c>
      <c r="W6" s="270">
        <f>'2. Natural Refrigerants'!T82*'2. Natural Refrigerants'!$C$27</f>
        <v>59045.639241599994</v>
      </c>
      <c r="X6" s="270">
        <f>'2. Natural Refrigerants'!U82*'2. Natural Refrigerants'!$C$27</f>
        <v>39363.759494399994</v>
      </c>
      <c r="Y6" s="270">
        <f>'2. Natural Refrigerants'!V82*'2. Natural Refrigerants'!$C$27</f>
        <v>19681.879747199997</v>
      </c>
      <c r="Z6" s="270">
        <f>'2. Natural Refrigerants'!W82*'2. Natural Refrigerants'!$C$27</f>
        <v>0</v>
      </c>
      <c r="AA6" s="270">
        <f>'2. Natural Refrigerants'!X82*'2. Natural Refrigerants'!$C$27</f>
        <v>0</v>
      </c>
      <c r="AB6" s="270">
        <f>'2. Natural Refrigerants'!Y82*'2. Natural Refrigerants'!$C$27</f>
        <v>0</v>
      </c>
      <c r="AC6" s="270">
        <f>'2. Natural Refrigerants'!Z82*'2. Natural Refrigerants'!$C$27</f>
        <v>0</v>
      </c>
      <c r="AD6" s="270">
        <f>'2. Natural Refrigerants'!AA82*'2. Natural Refrigerants'!$C$27</f>
        <v>0</v>
      </c>
      <c r="AE6" s="271">
        <f>'2. Natural Refrigerants'!AB82*'2. Natural Refrigerants'!$C$27</f>
        <v>0</v>
      </c>
      <c r="AF6" s="721">
        <f>SUM(F6:K6)</f>
        <v>295228.19620799995</v>
      </c>
      <c r="AG6" s="722">
        <f>SUM(F6:AE6)</f>
        <v>1476140.9810399998</v>
      </c>
    </row>
    <row r="7" spans="1:33" ht="50.1" customHeight="1">
      <c r="A7" s="711"/>
      <c r="B7" s="291">
        <f>'Summary Dashboard'!B12</f>
        <v>3</v>
      </c>
      <c r="C7" s="291" t="str">
        <f>'Summary Dashboard'!C12</f>
        <v>Cooling/Heating Centers</v>
      </c>
      <c r="D7" s="291" t="str">
        <f>'Summary Dashboard'!D12</f>
        <v>Buildings</v>
      </c>
      <c r="E7" s="412" t="str">
        <f>'Summary Dashboard'!E12</f>
        <v>Fund electrification, DERs, and envelope upgrades at 10 Resiliency Hubs</v>
      </c>
      <c r="F7" s="269">
        <f>'3. CoolingHeating Centers'!C83*'3. CoolingHeating Centers'!$C$24</f>
        <v>0</v>
      </c>
      <c r="G7" s="270" t="e">
        <f>'3. CoolingHeating Centers'!D83*'3. CoolingHeating Centers'!$C$24</f>
        <v>#VALUE!</v>
      </c>
      <c r="H7" s="270" t="e">
        <f>'3. CoolingHeating Centers'!E83*'3. CoolingHeating Centers'!$C$24</f>
        <v>#VALUE!</v>
      </c>
      <c r="I7" s="270" t="e">
        <f>'3. CoolingHeating Centers'!F83*'3. CoolingHeating Centers'!$C$24</f>
        <v>#VALUE!</v>
      </c>
      <c r="J7" s="270" t="e">
        <f>'3. CoolingHeating Centers'!G83*'3. CoolingHeating Centers'!$C$24</f>
        <v>#VALUE!</v>
      </c>
      <c r="K7" s="270" t="e">
        <f>'3. CoolingHeating Centers'!H83*'3. CoolingHeating Centers'!$C$24</f>
        <v>#VALUE!</v>
      </c>
      <c r="L7" s="270" t="e">
        <f>'3. CoolingHeating Centers'!I83*'3. CoolingHeating Centers'!$C$24</f>
        <v>#VALUE!</v>
      </c>
      <c r="M7" s="270" t="e">
        <f>'3. CoolingHeating Centers'!J83*'3. CoolingHeating Centers'!$C$24</f>
        <v>#VALUE!</v>
      </c>
      <c r="N7" s="270" t="e">
        <f>'3. CoolingHeating Centers'!K83*'3. CoolingHeating Centers'!$C$24</f>
        <v>#VALUE!</v>
      </c>
      <c r="O7" s="270" t="e">
        <f>'3. CoolingHeating Centers'!L83*'3. CoolingHeating Centers'!$C$24</f>
        <v>#VALUE!</v>
      </c>
      <c r="P7" s="270" t="e">
        <f>'3. CoolingHeating Centers'!M83*'3. CoolingHeating Centers'!$C$24</f>
        <v>#VALUE!</v>
      </c>
      <c r="Q7" s="270" t="e">
        <f>'3. CoolingHeating Centers'!N83*'3. CoolingHeating Centers'!$C$24</f>
        <v>#VALUE!</v>
      </c>
      <c r="R7" s="270" t="e">
        <f>'3. CoolingHeating Centers'!O83*'3. CoolingHeating Centers'!$C$24</f>
        <v>#VALUE!</v>
      </c>
      <c r="S7" s="270" t="e">
        <f>'3. CoolingHeating Centers'!P83*'3. CoolingHeating Centers'!$C$24</f>
        <v>#VALUE!</v>
      </c>
      <c r="T7" s="270" t="e">
        <f>'3. CoolingHeating Centers'!Q83*'3. CoolingHeating Centers'!$C$24</f>
        <v>#VALUE!</v>
      </c>
      <c r="U7" s="270" t="e">
        <f>'3. CoolingHeating Centers'!R83*'3. CoolingHeating Centers'!$C$24</f>
        <v>#VALUE!</v>
      </c>
      <c r="V7" s="270" t="e">
        <f>'3. CoolingHeating Centers'!S83*'3. CoolingHeating Centers'!$C$24</f>
        <v>#VALUE!</v>
      </c>
      <c r="W7" s="270" t="e">
        <f>'3. CoolingHeating Centers'!T83*'3. CoolingHeating Centers'!$C$24</f>
        <v>#VALUE!</v>
      </c>
      <c r="X7" s="270" t="e">
        <f>'3. CoolingHeating Centers'!U83*'3. CoolingHeating Centers'!$C$24</f>
        <v>#VALUE!</v>
      </c>
      <c r="Y7" s="270" t="e">
        <f>'3. CoolingHeating Centers'!V83*'3. CoolingHeating Centers'!$C$24</f>
        <v>#VALUE!</v>
      </c>
      <c r="Z7" s="270" t="e">
        <f>'3. CoolingHeating Centers'!W83*'3. CoolingHeating Centers'!$C$24</f>
        <v>#VALUE!</v>
      </c>
      <c r="AA7" s="270" t="e">
        <f>'3. CoolingHeating Centers'!X83*'3. CoolingHeating Centers'!$C$24</f>
        <v>#VALUE!</v>
      </c>
      <c r="AB7" s="270" t="e">
        <f>'3. CoolingHeating Centers'!Y83*'3. CoolingHeating Centers'!$C$24</f>
        <v>#VALUE!</v>
      </c>
      <c r="AC7" s="270" t="e">
        <f>'3. CoolingHeating Centers'!Z83*'3. CoolingHeating Centers'!$C$24</f>
        <v>#VALUE!</v>
      </c>
      <c r="AD7" s="270" t="e">
        <f>'3. CoolingHeating Centers'!AA83*'3. CoolingHeating Centers'!$C$24</f>
        <v>#VALUE!</v>
      </c>
      <c r="AE7" s="271" t="e">
        <f>'3. CoolingHeating Centers'!AB83*'3. CoolingHeating Centers'!$C$24</f>
        <v>#VALUE!</v>
      </c>
      <c r="AF7" s="719" t="e">
        <f>SUM(F7:K7)</f>
        <v>#VALUE!</v>
      </c>
      <c r="AG7" s="720" t="e">
        <f>SUM(F7:AE7)</f>
        <v>#VALUE!</v>
      </c>
    </row>
    <row r="8" spans="1:33" ht="50.1" customHeight="1" thickBot="1">
      <c r="A8" s="711"/>
      <c r="B8" s="291">
        <f>'Summary Dashboard'!B13</f>
        <v>4</v>
      </c>
      <c r="C8" s="291" t="str">
        <f>'Summary Dashboard'!C13</f>
        <v>Advanced EPCs</v>
      </c>
      <c r="D8" s="291" t="str">
        <f>'Summary Dashboard'!D13</f>
        <v>Buildings</v>
      </c>
      <c r="E8" s="412" t="str">
        <f>'Summary Dashboard'!E13</f>
        <v>Establish 50 EPC portfolios</v>
      </c>
      <c r="F8" s="269">
        <f>'4. Advanced EPCs'!C127*'4. Advanced EPCs'!$C$32</f>
        <v>0</v>
      </c>
      <c r="G8" s="270">
        <f>'4. Advanced EPCs'!D127*'4. Advanced EPCs'!$C$32</f>
        <v>0</v>
      </c>
      <c r="H8" s="270">
        <f>'4. Advanced EPCs'!E127*'4. Advanced EPCs'!$C$32</f>
        <v>0</v>
      </c>
      <c r="I8" s="270">
        <f>'4. Advanced EPCs'!F127*'4. Advanced EPCs'!$C$32</f>
        <v>0</v>
      </c>
      <c r="J8" s="270">
        <f>'4. Advanced EPCs'!G127*'4. Advanced EPCs'!$C$32</f>
        <v>0</v>
      </c>
      <c r="K8" s="270">
        <f>'4. Advanced EPCs'!H127*'4. Advanced EPCs'!$C$32</f>
        <v>0</v>
      </c>
      <c r="L8" s="270">
        <f>'4. Advanced EPCs'!I127*'4. Advanced EPCs'!$C$32</f>
        <v>0</v>
      </c>
      <c r="M8" s="270">
        <f>'4. Advanced EPCs'!J127*'4. Advanced EPCs'!$C$32</f>
        <v>0</v>
      </c>
      <c r="N8" s="270">
        <f>'4. Advanced EPCs'!K127*'4. Advanced EPCs'!$C$32</f>
        <v>0</v>
      </c>
      <c r="O8" s="270">
        <f>'4. Advanced EPCs'!L127*'4. Advanced EPCs'!$C$32</f>
        <v>0</v>
      </c>
      <c r="P8" s="270">
        <f>'4. Advanced EPCs'!M127*'4. Advanced EPCs'!$C$32</f>
        <v>0</v>
      </c>
      <c r="Q8" s="270">
        <f>'4. Advanced EPCs'!N127*'4. Advanced EPCs'!$C$32</f>
        <v>0</v>
      </c>
      <c r="R8" s="270">
        <f>'4. Advanced EPCs'!O127*'4. Advanced EPCs'!$C$32</f>
        <v>0</v>
      </c>
      <c r="S8" s="270">
        <f>'4. Advanced EPCs'!P127*'4. Advanced EPCs'!$C$32</f>
        <v>0</v>
      </c>
      <c r="T8" s="270">
        <f>'4. Advanced EPCs'!Q127*'4. Advanced EPCs'!$C$32</f>
        <v>0</v>
      </c>
      <c r="U8" s="270">
        <f>'4. Advanced EPCs'!R127*'4. Advanced EPCs'!$C$32</f>
        <v>0</v>
      </c>
      <c r="V8" s="270">
        <f>'4. Advanced EPCs'!S127*'4. Advanced EPCs'!$C$32</f>
        <v>0</v>
      </c>
      <c r="W8" s="270">
        <f>'4. Advanced EPCs'!T127*'4. Advanced EPCs'!$C$32</f>
        <v>0</v>
      </c>
      <c r="X8" s="270">
        <f>'4. Advanced EPCs'!U127*'4. Advanced EPCs'!$C$32</f>
        <v>0</v>
      </c>
      <c r="Y8" s="270">
        <f>'4. Advanced EPCs'!V127*'4. Advanced EPCs'!$C$32</f>
        <v>0</v>
      </c>
      <c r="Z8" s="270">
        <f>'4. Advanced EPCs'!W127*'4. Advanced EPCs'!$C$32</f>
        <v>0</v>
      </c>
      <c r="AA8" s="270">
        <f>'4. Advanced EPCs'!X127*'4. Advanced EPCs'!$C$32</f>
        <v>0</v>
      </c>
      <c r="AB8" s="270">
        <f>'4. Advanced EPCs'!Y127*'4. Advanced EPCs'!$C$32</f>
        <v>0</v>
      </c>
      <c r="AC8" s="270">
        <f>'4. Advanced EPCs'!Z127*'4. Advanced EPCs'!$C$32</f>
        <v>0</v>
      </c>
      <c r="AD8" s="270">
        <f>'4. Advanced EPCs'!AA127*'4. Advanced EPCs'!$C$32</f>
        <v>0</v>
      </c>
      <c r="AE8" s="271">
        <f>'4. Advanced EPCs'!AB127*'4. Advanced EPCs'!$C$32</f>
        <v>0</v>
      </c>
      <c r="AF8" s="721">
        <f>SUM(F8:K8)</f>
        <v>0</v>
      </c>
      <c r="AG8" s="722">
        <f>SUM(F8:AE8)</f>
        <v>0</v>
      </c>
    </row>
    <row r="9" spans="1:33" ht="20.100000000000001" customHeight="1" thickBot="1">
      <c r="B9" s="774" t="s">
        <v>169</v>
      </c>
      <c r="C9" s="775"/>
      <c r="D9" s="775"/>
      <c r="E9" s="776"/>
      <c r="F9" s="272">
        <f>SUM(F5:F8)</f>
        <v>0</v>
      </c>
      <c r="G9" s="272" t="e">
        <f t="shared" ref="G9:AE9" si="1">SUM(G5:G8)</f>
        <v>#VALUE!</v>
      </c>
      <c r="H9" s="272" t="e">
        <f t="shared" si="1"/>
        <v>#VALUE!</v>
      </c>
      <c r="I9" s="272" t="e">
        <f t="shared" si="1"/>
        <v>#VALUE!</v>
      </c>
      <c r="J9" s="272" t="e">
        <f t="shared" si="1"/>
        <v>#VALUE!</v>
      </c>
      <c r="K9" s="272" t="e">
        <f t="shared" si="1"/>
        <v>#VALUE!</v>
      </c>
      <c r="L9" s="272" t="e">
        <f t="shared" si="1"/>
        <v>#VALUE!</v>
      </c>
      <c r="M9" s="272" t="e">
        <f t="shared" si="1"/>
        <v>#VALUE!</v>
      </c>
      <c r="N9" s="272" t="e">
        <f t="shared" si="1"/>
        <v>#VALUE!</v>
      </c>
      <c r="O9" s="272" t="e">
        <f t="shared" si="1"/>
        <v>#VALUE!</v>
      </c>
      <c r="P9" s="272" t="e">
        <f t="shared" si="1"/>
        <v>#VALUE!</v>
      </c>
      <c r="Q9" s="272" t="e">
        <f t="shared" si="1"/>
        <v>#VALUE!</v>
      </c>
      <c r="R9" s="272" t="e">
        <f t="shared" si="1"/>
        <v>#VALUE!</v>
      </c>
      <c r="S9" s="272" t="e">
        <f t="shared" si="1"/>
        <v>#VALUE!</v>
      </c>
      <c r="T9" s="272" t="e">
        <f t="shared" si="1"/>
        <v>#VALUE!</v>
      </c>
      <c r="U9" s="272" t="e">
        <f t="shared" si="1"/>
        <v>#VALUE!</v>
      </c>
      <c r="V9" s="272" t="e">
        <f t="shared" si="1"/>
        <v>#VALUE!</v>
      </c>
      <c r="W9" s="272" t="e">
        <f t="shared" si="1"/>
        <v>#VALUE!</v>
      </c>
      <c r="X9" s="272" t="e">
        <f t="shared" si="1"/>
        <v>#VALUE!</v>
      </c>
      <c r="Y9" s="272" t="e">
        <f t="shared" si="1"/>
        <v>#VALUE!</v>
      </c>
      <c r="Z9" s="272" t="e">
        <f t="shared" si="1"/>
        <v>#VALUE!</v>
      </c>
      <c r="AA9" s="272" t="e">
        <f t="shared" si="1"/>
        <v>#VALUE!</v>
      </c>
      <c r="AB9" s="272" t="e">
        <f t="shared" si="1"/>
        <v>#VALUE!</v>
      </c>
      <c r="AC9" s="272" t="e">
        <f t="shared" si="1"/>
        <v>#VALUE!</v>
      </c>
      <c r="AD9" s="272" t="e">
        <f t="shared" si="1"/>
        <v>#VALUE!</v>
      </c>
      <c r="AE9" s="272" t="e">
        <f t="shared" si="1"/>
        <v>#VALUE!</v>
      </c>
      <c r="AF9" s="725" t="e">
        <f>SUM(F9:K9)</f>
        <v>#VALUE!</v>
      </c>
      <c r="AG9" s="726" t="e">
        <f>SUM(F9:AE9)</f>
        <v>#VALUE!</v>
      </c>
    </row>
    <row r="10" spans="1:33">
      <c r="F10" s="711"/>
      <c r="G10" s="711"/>
      <c r="H10" s="711"/>
      <c r="I10" s="711"/>
      <c r="J10" s="711"/>
      <c r="K10" s="711"/>
      <c r="L10" s="711"/>
      <c r="M10" s="711"/>
      <c r="N10" s="711"/>
      <c r="O10" s="711"/>
      <c r="P10" s="711"/>
      <c r="Q10" s="711"/>
      <c r="R10" s="711"/>
      <c r="S10" s="711"/>
      <c r="T10" s="711"/>
      <c r="U10" s="711"/>
      <c r="V10" s="711"/>
      <c r="W10" s="711"/>
      <c r="X10" s="711"/>
      <c r="Y10" s="711"/>
      <c r="Z10" s="711"/>
      <c r="AA10" s="711"/>
      <c r="AB10" s="711"/>
      <c r="AC10" s="711"/>
      <c r="AD10" s="711"/>
      <c r="AE10" s="711"/>
    </row>
    <row r="11" spans="1:33" ht="20.25" thickBot="1">
      <c r="B11" s="488" t="s">
        <v>953</v>
      </c>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c r="AD11" s="488"/>
      <c r="AE11" s="488"/>
    </row>
    <row r="12" spans="1:33" ht="30" customHeight="1" thickBot="1">
      <c r="B12" s="777" t="s">
        <v>129</v>
      </c>
      <c r="C12" s="778"/>
      <c r="D12" s="778"/>
      <c r="E12" s="779"/>
      <c r="F12" s="777" t="s">
        <v>170</v>
      </c>
      <c r="G12" s="778"/>
      <c r="H12" s="778"/>
      <c r="I12" s="778"/>
      <c r="J12" s="778"/>
      <c r="K12" s="778"/>
      <c r="L12" s="778"/>
      <c r="M12" s="778"/>
      <c r="N12" s="778"/>
      <c r="O12" s="778"/>
      <c r="P12" s="778"/>
      <c r="Q12" s="778"/>
      <c r="R12" s="778"/>
      <c r="S12" s="778"/>
      <c r="T12" s="778"/>
      <c r="U12" s="778"/>
      <c r="V12" s="778"/>
      <c r="W12" s="778"/>
      <c r="X12" s="778"/>
      <c r="Y12" s="778"/>
      <c r="Z12" s="778"/>
      <c r="AA12" s="778"/>
      <c r="AB12" s="778"/>
      <c r="AC12" s="778"/>
      <c r="AD12" s="778"/>
      <c r="AE12" s="779"/>
    </row>
    <row r="13" spans="1:33" ht="30" customHeight="1" thickBot="1">
      <c r="B13" s="266" t="s">
        <v>133</v>
      </c>
      <c r="C13" s="267" t="s">
        <v>168</v>
      </c>
      <c r="D13" s="267" t="s">
        <v>135</v>
      </c>
      <c r="E13" s="268" t="s">
        <v>136</v>
      </c>
      <c r="F13" s="277">
        <v>2025</v>
      </c>
      <c r="G13" s="278">
        <f>F13+1</f>
        <v>2026</v>
      </c>
      <c r="H13" s="278">
        <f t="shared" ref="H13" si="2">G13+1</f>
        <v>2027</v>
      </c>
      <c r="I13" s="278">
        <f t="shared" ref="I13" si="3">H13+1</f>
        <v>2028</v>
      </c>
      <c r="J13" s="278">
        <f t="shared" ref="J13" si="4">I13+1</f>
        <v>2029</v>
      </c>
      <c r="K13" s="278">
        <f t="shared" ref="K13" si="5">J13+1</f>
        <v>2030</v>
      </c>
      <c r="L13" s="278">
        <f t="shared" ref="L13" si="6">K13+1</f>
        <v>2031</v>
      </c>
      <c r="M13" s="278">
        <f t="shared" ref="M13" si="7">L13+1</f>
        <v>2032</v>
      </c>
      <c r="N13" s="278">
        <f t="shared" ref="N13" si="8">M13+1</f>
        <v>2033</v>
      </c>
      <c r="O13" s="278">
        <f t="shared" ref="O13" si="9">N13+1</f>
        <v>2034</v>
      </c>
      <c r="P13" s="278">
        <f t="shared" ref="P13" si="10">O13+1</f>
        <v>2035</v>
      </c>
      <c r="Q13" s="278">
        <f t="shared" ref="Q13" si="11">P13+1</f>
        <v>2036</v>
      </c>
      <c r="R13" s="278">
        <f t="shared" ref="R13" si="12">Q13+1</f>
        <v>2037</v>
      </c>
      <c r="S13" s="278">
        <f t="shared" ref="S13" si="13">R13+1</f>
        <v>2038</v>
      </c>
      <c r="T13" s="278">
        <f t="shared" ref="T13" si="14">S13+1</f>
        <v>2039</v>
      </c>
      <c r="U13" s="278">
        <f t="shared" ref="U13" si="15">T13+1</f>
        <v>2040</v>
      </c>
      <c r="V13" s="278">
        <f t="shared" ref="V13" si="16">U13+1</f>
        <v>2041</v>
      </c>
      <c r="W13" s="278">
        <f t="shared" ref="W13" si="17">V13+1</f>
        <v>2042</v>
      </c>
      <c r="X13" s="278">
        <f t="shared" ref="X13" si="18">W13+1</f>
        <v>2043</v>
      </c>
      <c r="Y13" s="278">
        <f t="shared" ref="Y13" si="19">X13+1</f>
        <v>2044</v>
      </c>
      <c r="Z13" s="278">
        <f t="shared" ref="Z13" si="20">Y13+1</f>
        <v>2045</v>
      </c>
      <c r="AA13" s="278">
        <f t="shared" ref="AA13" si="21">Z13+1</f>
        <v>2046</v>
      </c>
      <c r="AB13" s="278">
        <f t="shared" ref="AB13" si="22">AA13+1</f>
        <v>2047</v>
      </c>
      <c r="AC13" s="278">
        <f t="shared" ref="AC13" si="23">AB13+1</f>
        <v>2048</v>
      </c>
      <c r="AD13" s="278">
        <f t="shared" ref="AD13" si="24">AC13+1</f>
        <v>2049</v>
      </c>
      <c r="AE13" s="279">
        <f t="shared" ref="AE13" si="25">AD13+1</f>
        <v>2050</v>
      </c>
    </row>
    <row r="14" spans="1:33" ht="50.1" customHeight="1">
      <c r="B14" s="291">
        <f>'Summary Dashboard'!B10</f>
        <v>1</v>
      </c>
      <c r="C14" s="291" t="str">
        <f>'Summary Dashboard'!C10</f>
        <v>Organics Recycling</v>
      </c>
      <c r="D14" s="412" t="str">
        <f>'Summary Dashboard'!D10</f>
        <v>Waste and Materials Management</v>
      </c>
      <c r="E14" s="412" t="str">
        <f>'Summary Dashboard'!E10</f>
        <v>Support organics diversion from municipal solid waste and expand alternative management practices such as composting or anaerobic digestion; 40 funding grants to organics programs (20 by 2025, another 20 by 2030)</v>
      </c>
      <c r="F14" s="269">
        <f>SUM($F5:F5)</f>
        <v>0</v>
      </c>
      <c r="G14" s="270">
        <f>SUM($F5:G5)</f>
        <v>0</v>
      </c>
      <c r="H14" s="270">
        <f>SUM($F5:H5)</f>
        <v>0</v>
      </c>
      <c r="I14" s="270">
        <f>SUM($F5:I5)</f>
        <v>25520.000000000004</v>
      </c>
      <c r="J14" s="270">
        <f>SUM($F5:J5)</f>
        <v>102544.00000000001</v>
      </c>
      <c r="K14" s="270">
        <f>SUM($F5:K5)</f>
        <v>257210.66666666669</v>
      </c>
      <c r="L14" s="270">
        <f>SUM($F5:L5)</f>
        <v>411877.33333333337</v>
      </c>
      <c r="M14" s="270">
        <f>SUM($F5:M5)</f>
        <v>566544</v>
      </c>
      <c r="N14" s="270">
        <f>SUM($F5:N5)</f>
        <v>721210.66666666663</v>
      </c>
      <c r="O14" s="270">
        <f>SUM($F5:O5)</f>
        <v>875877.33333333326</v>
      </c>
      <c r="P14" s="270">
        <f>SUM($F5:P5)</f>
        <v>1030543.9999999999</v>
      </c>
      <c r="Q14" s="270">
        <f>SUM($F5:Q5)</f>
        <v>1185210.6666666665</v>
      </c>
      <c r="R14" s="270">
        <f>SUM($F5:R5)</f>
        <v>1339877.3333333333</v>
      </c>
      <c r="S14" s="270">
        <f>SUM($F5:S5)</f>
        <v>1469024</v>
      </c>
      <c r="T14" s="270">
        <f>SUM($F5:T5)</f>
        <v>1546666.6666666667</v>
      </c>
      <c r="U14" s="270">
        <f>SUM($F5:U5)</f>
        <v>1546666.6666666667</v>
      </c>
      <c r="V14" s="270">
        <f>SUM($F5:V5)</f>
        <v>1546666.6666666667</v>
      </c>
      <c r="W14" s="270">
        <f>SUM($F5:W5)</f>
        <v>1546666.6666666667</v>
      </c>
      <c r="X14" s="270">
        <f>SUM($F5:X5)</f>
        <v>1546666.6666666667</v>
      </c>
      <c r="Y14" s="270">
        <f>SUM($F5:Y5)</f>
        <v>1546666.6666666667</v>
      </c>
      <c r="Z14" s="270">
        <f>SUM($F5:Z5)</f>
        <v>1546666.6666666667</v>
      </c>
      <c r="AA14" s="270">
        <f>SUM($F5:AA5)</f>
        <v>1546666.6666666667</v>
      </c>
      <c r="AB14" s="270">
        <f>SUM($F5:AB5)</f>
        <v>1546666.6666666667</v>
      </c>
      <c r="AC14" s="270">
        <f>SUM($F5:AC5)</f>
        <v>1546666.6666666667</v>
      </c>
      <c r="AD14" s="270">
        <f>SUM($F5:AD5)</f>
        <v>1546666.6666666667</v>
      </c>
      <c r="AE14" s="271">
        <f>SUM($F5:AE5)</f>
        <v>1546666.6666666667</v>
      </c>
    </row>
    <row r="15" spans="1:33" ht="50.1" customHeight="1">
      <c r="B15" s="291">
        <f>'Summary Dashboard'!B11</f>
        <v>2</v>
      </c>
      <c r="C15" s="291" t="str">
        <f>'Summary Dashboard'!C11</f>
        <v>Natural Refrigerants</v>
      </c>
      <c r="D15" s="291" t="str">
        <f>'Summary Dashboard'!D11</f>
        <v>Buildings</v>
      </c>
      <c r="E15" s="412" t="str">
        <f>'Summary Dashboard'!E11</f>
        <v>Fund the transition to climate-friendly refrigerants at State facilities and commercial buildings; 20 facilities per year retrofit (2025-2030)</v>
      </c>
      <c r="F15" s="269">
        <f>SUM($F6:F6)</f>
        <v>0</v>
      </c>
      <c r="G15" s="270">
        <f>SUM($F6:G6)</f>
        <v>19681.879747199997</v>
      </c>
      <c r="H15" s="270">
        <f>SUM($F6:H6)</f>
        <v>59045.639241599987</v>
      </c>
      <c r="I15" s="270">
        <f>SUM($F6:I6)</f>
        <v>118091.27848319997</v>
      </c>
      <c r="J15" s="270">
        <f>SUM($F6:J6)</f>
        <v>196818.79747199995</v>
      </c>
      <c r="K15" s="270">
        <f>SUM($F6:K6)</f>
        <v>295228.19620799995</v>
      </c>
      <c r="L15" s="270">
        <f>SUM($F6:L6)</f>
        <v>393637.59494399995</v>
      </c>
      <c r="M15" s="270">
        <f>SUM($F6:M6)</f>
        <v>492046.99367999996</v>
      </c>
      <c r="N15" s="270">
        <f>SUM($F6:N6)</f>
        <v>590456.3924159999</v>
      </c>
      <c r="O15" s="270">
        <f>SUM($F6:O6)</f>
        <v>688865.79115199985</v>
      </c>
      <c r="P15" s="270">
        <f>SUM($F6:P6)</f>
        <v>787275.18988799979</v>
      </c>
      <c r="Q15" s="270">
        <f>SUM($F6:Q6)</f>
        <v>885684.58862399973</v>
      </c>
      <c r="R15" s="270">
        <f>SUM($F6:R6)</f>
        <v>984093.98735999968</v>
      </c>
      <c r="S15" s="270">
        <f>SUM($F6:S6)</f>
        <v>1082503.3860959997</v>
      </c>
      <c r="T15" s="270">
        <f>SUM($F6:T6)</f>
        <v>1180912.7848319998</v>
      </c>
      <c r="U15" s="270">
        <f>SUM($F6:U6)</f>
        <v>1279322.1835679999</v>
      </c>
      <c r="V15" s="270">
        <f>SUM($F6:V6)</f>
        <v>1358049.7025567999</v>
      </c>
      <c r="W15" s="270">
        <f>SUM($F6:W6)</f>
        <v>1417095.3417983998</v>
      </c>
      <c r="X15" s="270">
        <f>SUM($F6:X6)</f>
        <v>1456459.1012927997</v>
      </c>
      <c r="Y15" s="270">
        <f>SUM($F6:Y6)</f>
        <v>1476140.9810399998</v>
      </c>
      <c r="Z15" s="270">
        <f>SUM($F6:Z6)</f>
        <v>1476140.9810399998</v>
      </c>
      <c r="AA15" s="270">
        <f>SUM($F6:AA6)</f>
        <v>1476140.9810399998</v>
      </c>
      <c r="AB15" s="270">
        <f>SUM($F6:AB6)</f>
        <v>1476140.9810399998</v>
      </c>
      <c r="AC15" s="270">
        <f>SUM($F6:AC6)</f>
        <v>1476140.9810399998</v>
      </c>
      <c r="AD15" s="270">
        <f>SUM($F6:AD6)</f>
        <v>1476140.9810399998</v>
      </c>
      <c r="AE15" s="271">
        <f>SUM($F6:AE6)</f>
        <v>1476140.9810399998</v>
      </c>
    </row>
    <row r="16" spans="1:33" ht="50.1" customHeight="1">
      <c r="B16" s="291">
        <f>'Summary Dashboard'!B12</f>
        <v>3</v>
      </c>
      <c r="C16" s="291" t="str">
        <f>'Summary Dashboard'!C12</f>
        <v>Cooling/Heating Centers</v>
      </c>
      <c r="D16" s="291" t="str">
        <f>'Summary Dashboard'!D12</f>
        <v>Buildings</v>
      </c>
      <c r="E16" s="412" t="str">
        <f>'Summary Dashboard'!E12</f>
        <v>Fund electrification, DERs, and envelope upgrades at 10 Resiliency Hubs</v>
      </c>
      <c r="F16" s="269">
        <f>SUM($F7:F7)</f>
        <v>0</v>
      </c>
      <c r="G16" s="270" t="e">
        <f>SUM($F7:G7)</f>
        <v>#VALUE!</v>
      </c>
      <c r="H16" s="270" t="e">
        <f>SUM($F7:H7)</f>
        <v>#VALUE!</v>
      </c>
      <c r="I16" s="270" t="e">
        <f>SUM($F7:I7)</f>
        <v>#VALUE!</v>
      </c>
      <c r="J16" s="270" t="e">
        <f>SUM($F7:J7)</f>
        <v>#VALUE!</v>
      </c>
      <c r="K16" s="270" t="e">
        <f>SUM($F7:K7)</f>
        <v>#VALUE!</v>
      </c>
      <c r="L16" s="270" t="e">
        <f>SUM($F7:L7)</f>
        <v>#VALUE!</v>
      </c>
      <c r="M16" s="270" t="e">
        <f>SUM($F7:M7)</f>
        <v>#VALUE!</v>
      </c>
      <c r="N16" s="270" t="e">
        <f>SUM($F7:N7)</f>
        <v>#VALUE!</v>
      </c>
      <c r="O16" s="270" t="e">
        <f>SUM($F7:O7)</f>
        <v>#VALUE!</v>
      </c>
      <c r="P16" s="270" t="e">
        <f>SUM($F7:P7)</f>
        <v>#VALUE!</v>
      </c>
      <c r="Q16" s="270" t="e">
        <f>SUM($F7:Q7)</f>
        <v>#VALUE!</v>
      </c>
      <c r="R16" s="270" t="e">
        <f>SUM($F7:R7)</f>
        <v>#VALUE!</v>
      </c>
      <c r="S16" s="270" t="e">
        <f>SUM($F7:S7)</f>
        <v>#VALUE!</v>
      </c>
      <c r="T16" s="270" t="e">
        <f>SUM($F7:T7)</f>
        <v>#VALUE!</v>
      </c>
      <c r="U16" s="270" t="e">
        <f>SUM($F7:U7)</f>
        <v>#VALUE!</v>
      </c>
      <c r="V16" s="270" t="e">
        <f>SUM($F7:V7)</f>
        <v>#VALUE!</v>
      </c>
      <c r="W16" s="270" t="e">
        <f>SUM($F7:W7)</f>
        <v>#VALUE!</v>
      </c>
      <c r="X16" s="270" t="e">
        <f>SUM($F7:X7)</f>
        <v>#VALUE!</v>
      </c>
      <c r="Y16" s="270" t="e">
        <f>SUM($F7:Y7)</f>
        <v>#VALUE!</v>
      </c>
      <c r="Z16" s="270" t="e">
        <f>SUM($F7:Z7)</f>
        <v>#VALUE!</v>
      </c>
      <c r="AA16" s="270" t="e">
        <f>SUM($F7:AA7)</f>
        <v>#VALUE!</v>
      </c>
      <c r="AB16" s="270" t="e">
        <f>SUM($F7:AB7)</f>
        <v>#VALUE!</v>
      </c>
      <c r="AC16" s="270" t="e">
        <f>SUM($F7:AC7)</f>
        <v>#VALUE!</v>
      </c>
      <c r="AD16" s="270" t="e">
        <f>SUM($F7:AD7)</f>
        <v>#VALUE!</v>
      </c>
      <c r="AE16" s="271" t="e">
        <f>SUM($F7:AE7)</f>
        <v>#VALUE!</v>
      </c>
    </row>
    <row r="17" spans="2:31" ht="50.1" customHeight="1" thickBot="1">
      <c r="B17" s="291">
        <f>'Summary Dashboard'!B13</f>
        <v>4</v>
      </c>
      <c r="C17" s="291" t="str">
        <f>'Summary Dashboard'!C13</f>
        <v>Advanced EPCs</v>
      </c>
      <c r="D17" s="291" t="str">
        <f>'Summary Dashboard'!D13</f>
        <v>Buildings</v>
      </c>
      <c r="E17" s="412" t="str">
        <f>'Summary Dashboard'!E13</f>
        <v>Establish 50 EPC portfolios</v>
      </c>
      <c r="F17" s="269">
        <f>SUM($F8:F8)</f>
        <v>0</v>
      </c>
      <c r="G17" s="270">
        <f>SUM($F8:G8)</f>
        <v>0</v>
      </c>
      <c r="H17" s="270">
        <f>SUM($F8:H8)</f>
        <v>0</v>
      </c>
      <c r="I17" s="270">
        <f>SUM($F8:I8)</f>
        <v>0</v>
      </c>
      <c r="J17" s="270">
        <f>SUM($F8:J8)</f>
        <v>0</v>
      </c>
      <c r="K17" s="270">
        <f>SUM($F8:K8)</f>
        <v>0</v>
      </c>
      <c r="L17" s="270">
        <f>SUM($F8:L8)</f>
        <v>0</v>
      </c>
      <c r="M17" s="270">
        <f>SUM($F8:M8)</f>
        <v>0</v>
      </c>
      <c r="N17" s="270">
        <f>SUM($F8:N8)</f>
        <v>0</v>
      </c>
      <c r="O17" s="270">
        <f>SUM($F8:O8)</f>
        <v>0</v>
      </c>
      <c r="P17" s="270">
        <f>SUM($F8:P8)</f>
        <v>0</v>
      </c>
      <c r="Q17" s="270">
        <f>SUM($F8:Q8)</f>
        <v>0</v>
      </c>
      <c r="R17" s="270">
        <f>SUM($F8:R8)</f>
        <v>0</v>
      </c>
      <c r="S17" s="270">
        <f>SUM($F8:S8)</f>
        <v>0</v>
      </c>
      <c r="T17" s="270">
        <f>SUM($F8:T8)</f>
        <v>0</v>
      </c>
      <c r="U17" s="270">
        <f>SUM($F8:U8)</f>
        <v>0</v>
      </c>
      <c r="V17" s="270">
        <f>SUM($F8:V8)</f>
        <v>0</v>
      </c>
      <c r="W17" s="270">
        <f>SUM($F8:W8)</f>
        <v>0</v>
      </c>
      <c r="X17" s="270">
        <f>SUM($F8:X8)</f>
        <v>0</v>
      </c>
      <c r="Y17" s="270">
        <f>SUM($F8:Y8)</f>
        <v>0</v>
      </c>
      <c r="Z17" s="270">
        <f>SUM($F8:Z8)</f>
        <v>0</v>
      </c>
      <c r="AA17" s="270">
        <f>SUM($F8:AA8)</f>
        <v>0</v>
      </c>
      <c r="AB17" s="270">
        <f>SUM($F8:AB8)</f>
        <v>0</v>
      </c>
      <c r="AC17" s="270">
        <f>SUM($F8:AC8)</f>
        <v>0</v>
      </c>
      <c r="AD17" s="270">
        <f>SUM($F8:AD8)</f>
        <v>0</v>
      </c>
      <c r="AE17" s="271">
        <f>SUM($F8:AE8)</f>
        <v>0</v>
      </c>
    </row>
    <row r="18" spans="2:31" ht="20.100000000000001" customHeight="1" thickBot="1">
      <c r="B18" s="774" t="s">
        <v>169</v>
      </c>
      <c r="C18" s="775"/>
      <c r="D18" s="775"/>
      <c r="E18" s="776"/>
      <c r="F18" s="272">
        <f>SUM(F14:F17)</f>
        <v>0</v>
      </c>
      <c r="G18" s="272" t="e">
        <f t="shared" ref="G18:AE18" si="26">SUM(G14:G17)</f>
        <v>#VALUE!</v>
      </c>
      <c r="H18" s="272" t="e">
        <f t="shared" si="26"/>
        <v>#VALUE!</v>
      </c>
      <c r="I18" s="272" t="e">
        <f t="shared" si="26"/>
        <v>#VALUE!</v>
      </c>
      <c r="J18" s="272" t="e">
        <f t="shared" si="26"/>
        <v>#VALUE!</v>
      </c>
      <c r="K18" s="272" t="e">
        <f t="shared" si="26"/>
        <v>#VALUE!</v>
      </c>
      <c r="L18" s="272" t="e">
        <f t="shared" si="26"/>
        <v>#VALUE!</v>
      </c>
      <c r="M18" s="272" t="e">
        <f t="shared" si="26"/>
        <v>#VALUE!</v>
      </c>
      <c r="N18" s="272" t="e">
        <f t="shared" si="26"/>
        <v>#VALUE!</v>
      </c>
      <c r="O18" s="272" t="e">
        <f t="shared" si="26"/>
        <v>#VALUE!</v>
      </c>
      <c r="P18" s="272" t="e">
        <f t="shared" si="26"/>
        <v>#VALUE!</v>
      </c>
      <c r="Q18" s="272" t="e">
        <f t="shared" si="26"/>
        <v>#VALUE!</v>
      </c>
      <c r="R18" s="272" t="e">
        <f t="shared" si="26"/>
        <v>#VALUE!</v>
      </c>
      <c r="S18" s="272" t="e">
        <f t="shared" si="26"/>
        <v>#VALUE!</v>
      </c>
      <c r="T18" s="272" t="e">
        <f t="shared" si="26"/>
        <v>#VALUE!</v>
      </c>
      <c r="U18" s="272" t="e">
        <f t="shared" si="26"/>
        <v>#VALUE!</v>
      </c>
      <c r="V18" s="272" t="e">
        <f t="shared" si="26"/>
        <v>#VALUE!</v>
      </c>
      <c r="W18" s="272" t="e">
        <f t="shared" si="26"/>
        <v>#VALUE!</v>
      </c>
      <c r="X18" s="272" t="e">
        <f t="shared" si="26"/>
        <v>#VALUE!</v>
      </c>
      <c r="Y18" s="272" t="e">
        <f t="shared" si="26"/>
        <v>#VALUE!</v>
      </c>
      <c r="Z18" s="272" t="e">
        <f t="shared" si="26"/>
        <v>#VALUE!</v>
      </c>
      <c r="AA18" s="272" t="e">
        <f t="shared" si="26"/>
        <v>#VALUE!</v>
      </c>
      <c r="AB18" s="272" t="e">
        <f t="shared" si="26"/>
        <v>#VALUE!</v>
      </c>
      <c r="AC18" s="272" t="e">
        <f t="shared" si="26"/>
        <v>#VALUE!</v>
      </c>
      <c r="AD18" s="272" t="e">
        <f t="shared" si="26"/>
        <v>#VALUE!</v>
      </c>
      <c r="AE18" s="272" t="e">
        <f t="shared" si="26"/>
        <v>#VALUE!</v>
      </c>
    </row>
    <row r="19" spans="2:31">
      <c r="F19" s="711"/>
      <c r="G19" s="711"/>
      <c r="H19" s="711"/>
      <c r="I19" s="711"/>
      <c r="J19" s="711"/>
      <c r="K19" s="711"/>
      <c r="L19" s="711"/>
      <c r="M19" s="711"/>
      <c r="N19" s="711"/>
      <c r="O19" s="711"/>
      <c r="P19" s="711"/>
      <c r="Q19" s="711"/>
      <c r="R19" s="711"/>
      <c r="S19" s="711"/>
      <c r="T19" s="711"/>
      <c r="U19" s="711"/>
      <c r="V19" s="711"/>
      <c r="W19" s="711"/>
      <c r="X19" s="711"/>
      <c r="Y19" s="711"/>
      <c r="Z19" s="711"/>
      <c r="AA19" s="711"/>
      <c r="AB19" s="711"/>
      <c r="AC19" s="711"/>
      <c r="AD19" s="711"/>
      <c r="AE19" s="711"/>
    </row>
  </sheetData>
  <mergeCells count="7">
    <mergeCell ref="AF3:AG3"/>
    <mergeCell ref="B18:E18"/>
    <mergeCell ref="F3:AE3"/>
    <mergeCell ref="B9:E9"/>
    <mergeCell ref="B3:E3"/>
    <mergeCell ref="B12:E12"/>
    <mergeCell ref="F12:AE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3830B-7157-404D-B63D-8ECC6B2FDDA0}">
  <sheetPr>
    <tabColor theme="7" tint="0.79998168889431442"/>
  </sheetPr>
  <dimension ref="A1:DH24"/>
  <sheetViews>
    <sheetView workbookViewId="0">
      <selection activeCell="F14" sqref="F14"/>
    </sheetView>
  </sheetViews>
  <sheetFormatPr defaultColWidth="9.140625" defaultRowHeight="14.25"/>
  <cols>
    <col min="1" max="1" width="9.140625" style="489"/>
    <col min="2" max="2" width="20.140625" style="489" bestFit="1" customWidth="1"/>
    <col min="3" max="3" width="15.42578125" style="489" customWidth="1"/>
    <col min="4" max="4" width="8" style="489" bestFit="1" customWidth="1"/>
    <col min="5" max="12" width="6.42578125" style="489" bestFit="1" customWidth="1"/>
    <col min="13" max="26" width="7.5703125" style="489" bestFit="1" customWidth="1"/>
    <col min="27" max="29" width="6.42578125" style="489" bestFit="1" customWidth="1"/>
    <col min="30" max="30" width="13.85546875" style="489" bestFit="1" customWidth="1"/>
    <col min="31" max="31" width="12.140625" style="489" customWidth="1"/>
    <col min="32" max="32" width="9.140625" style="489"/>
    <col min="33" max="33" width="17.5703125" style="489" bestFit="1" customWidth="1"/>
    <col min="34" max="34" width="9.140625" style="489"/>
    <col min="35" max="35" width="20.140625" style="489" bestFit="1" customWidth="1"/>
    <col min="36" max="36" width="15.42578125" style="489" customWidth="1"/>
    <col min="37" max="37" width="8" style="489" bestFit="1" customWidth="1"/>
    <col min="38" max="62" width="6.42578125" style="489" bestFit="1" customWidth="1"/>
    <col min="63" max="63" width="13.85546875" style="489" bestFit="1" customWidth="1"/>
    <col min="64" max="64" width="12.140625" style="489" customWidth="1"/>
    <col min="65" max="65" width="9.140625" style="489"/>
    <col min="66" max="66" width="17.5703125" style="489" bestFit="1" customWidth="1"/>
    <col min="67" max="67" width="9.140625" style="489"/>
    <col min="68" max="68" width="20.140625" style="489" bestFit="1" customWidth="1"/>
    <col min="69" max="69" width="15.42578125" style="489" customWidth="1"/>
    <col min="70" max="70" width="8" style="489" bestFit="1" customWidth="1"/>
    <col min="71" max="95" width="6.42578125" style="489" bestFit="1" customWidth="1"/>
    <col min="96" max="96" width="13.85546875" style="489" bestFit="1" customWidth="1"/>
    <col min="97" max="97" width="12.140625" style="489" customWidth="1"/>
    <col min="98" max="98" width="9.140625" style="489"/>
    <col min="99" max="99" width="17.5703125" style="489" bestFit="1" customWidth="1"/>
    <col min="100" max="16384" width="9.140625" style="489"/>
  </cols>
  <sheetData>
    <row r="1" spans="1:112" customFormat="1" ht="20.25" thickBot="1">
      <c r="B1" s="492" t="s">
        <v>152</v>
      </c>
      <c r="C1" s="492"/>
      <c r="D1" s="492"/>
      <c r="E1" s="492"/>
      <c r="F1" s="492"/>
      <c r="G1" s="492"/>
      <c r="H1" s="492"/>
      <c r="I1" s="492"/>
      <c r="J1" s="492"/>
      <c r="K1" s="492"/>
      <c r="L1" s="492"/>
      <c r="M1" s="492"/>
      <c r="N1" s="492"/>
      <c r="O1" s="492"/>
      <c r="P1" s="492"/>
      <c r="Q1" s="492"/>
      <c r="R1" s="492"/>
      <c r="S1" s="492"/>
      <c r="T1" s="492"/>
      <c r="U1" s="492"/>
      <c r="V1" s="492"/>
      <c r="W1" s="492"/>
      <c r="X1" s="492"/>
      <c r="Y1" s="492"/>
      <c r="Z1" s="492"/>
      <c r="AA1" s="492"/>
      <c r="AB1" s="492"/>
      <c r="AC1" s="492"/>
      <c r="AI1" s="492" t="s">
        <v>153</v>
      </c>
      <c r="AJ1" s="492"/>
      <c r="AK1" s="492"/>
      <c r="AL1" s="492"/>
      <c r="AM1" s="492"/>
      <c r="AN1" s="492"/>
      <c r="AO1" s="492"/>
      <c r="AP1" s="492"/>
      <c r="AQ1" s="492"/>
      <c r="AR1" s="492"/>
      <c r="AS1" s="492"/>
      <c r="AT1" s="492"/>
      <c r="AU1" s="492"/>
      <c r="AV1" s="492"/>
      <c r="AW1" s="492"/>
      <c r="AX1" s="492"/>
      <c r="AY1" s="492"/>
      <c r="AZ1" s="492"/>
      <c r="BA1" s="492"/>
      <c r="BB1" s="492"/>
      <c r="BC1" s="492"/>
      <c r="BD1" s="492"/>
      <c r="BE1" s="492"/>
      <c r="BF1" s="492"/>
      <c r="BG1" s="492"/>
      <c r="BH1" s="492"/>
      <c r="BI1" s="492"/>
      <c r="BJ1" s="492"/>
      <c r="BP1" s="492" t="s">
        <v>935</v>
      </c>
      <c r="BQ1" s="492"/>
      <c r="BR1" s="492"/>
      <c r="BS1" s="492"/>
      <c r="BT1" s="492"/>
      <c r="BU1" s="492"/>
      <c r="BV1" s="492"/>
      <c r="BW1" s="492"/>
      <c r="BX1" s="492"/>
      <c r="BY1" s="492"/>
      <c r="BZ1" s="492"/>
      <c r="CA1" s="492"/>
      <c r="CB1" s="492"/>
      <c r="CC1" s="492"/>
      <c r="CD1" s="492"/>
      <c r="CE1" s="492"/>
      <c r="CF1" s="492"/>
      <c r="CG1" s="492"/>
      <c r="CH1" s="492"/>
      <c r="CI1" s="492"/>
      <c r="CJ1" s="492"/>
      <c r="CK1" s="492"/>
      <c r="CL1" s="492"/>
      <c r="CM1" s="492"/>
      <c r="CN1" s="492"/>
      <c r="CO1" s="492"/>
      <c r="CP1" s="492"/>
      <c r="CQ1" s="492"/>
    </row>
    <row r="2" spans="1:112" s="7" customFormat="1" ht="30" customHeight="1" thickTop="1" thickBot="1">
      <c r="A2"/>
      <c r="B2" s="782" t="s">
        <v>154</v>
      </c>
      <c r="C2" s="783"/>
      <c r="D2" s="777" t="s">
        <v>155</v>
      </c>
      <c r="E2" s="778"/>
      <c r="F2" s="778"/>
      <c r="G2" s="778"/>
      <c r="H2" s="778"/>
      <c r="I2" s="778"/>
      <c r="J2" s="778"/>
      <c r="K2" s="778"/>
      <c r="L2" s="778"/>
      <c r="M2" s="778"/>
      <c r="N2" s="778"/>
      <c r="O2" s="778"/>
      <c r="P2" s="778"/>
      <c r="Q2" s="778"/>
      <c r="R2" s="778"/>
      <c r="S2" s="778"/>
      <c r="T2" s="778"/>
      <c r="U2" s="778"/>
      <c r="V2" s="778"/>
      <c r="W2" s="778"/>
      <c r="X2" s="778"/>
      <c r="Y2" s="778"/>
      <c r="Z2" s="778"/>
      <c r="AA2" s="778"/>
      <c r="AB2" s="778"/>
      <c r="AC2" s="779"/>
      <c r="AD2" s="780" t="s">
        <v>156</v>
      </c>
      <c r="AE2" s="781"/>
      <c r="AF2"/>
      <c r="AG2"/>
      <c r="AH2"/>
      <c r="AI2" s="782" t="s">
        <v>154</v>
      </c>
      <c r="AJ2" s="783"/>
      <c r="AK2" s="777" t="s">
        <v>155</v>
      </c>
      <c r="AL2" s="778"/>
      <c r="AM2" s="778"/>
      <c r="AN2" s="778"/>
      <c r="AO2" s="778"/>
      <c r="AP2" s="778"/>
      <c r="AQ2" s="778"/>
      <c r="AR2" s="778"/>
      <c r="AS2" s="778"/>
      <c r="AT2" s="778"/>
      <c r="AU2" s="778"/>
      <c r="AV2" s="778"/>
      <c r="AW2" s="778"/>
      <c r="AX2" s="778"/>
      <c r="AY2" s="778"/>
      <c r="AZ2" s="778"/>
      <c r="BA2" s="778"/>
      <c r="BB2" s="778"/>
      <c r="BC2" s="778"/>
      <c r="BD2" s="778"/>
      <c r="BE2" s="778"/>
      <c r="BF2" s="778"/>
      <c r="BG2" s="778"/>
      <c r="BH2" s="778"/>
      <c r="BI2" s="778"/>
      <c r="BJ2" s="779"/>
      <c r="BK2" s="780" t="s">
        <v>156</v>
      </c>
      <c r="BL2" s="781"/>
      <c r="BM2"/>
      <c r="BN2"/>
      <c r="BO2"/>
      <c r="BP2" s="782" t="s">
        <v>154</v>
      </c>
      <c r="BQ2" s="783"/>
      <c r="BR2" s="777" t="s">
        <v>155</v>
      </c>
      <c r="BS2" s="778"/>
      <c r="BT2" s="778"/>
      <c r="BU2" s="778"/>
      <c r="BV2" s="778"/>
      <c r="BW2" s="778"/>
      <c r="BX2" s="778"/>
      <c r="BY2" s="778"/>
      <c r="BZ2" s="778"/>
      <c r="CA2" s="778"/>
      <c r="CB2" s="778"/>
      <c r="CC2" s="778"/>
      <c r="CD2" s="778"/>
      <c r="CE2" s="778"/>
      <c r="CF2" s="778"/>
      <c r="CG2" s="778"/>
      <c r="CH2" s="778"/>
      <c r="CI2" s="778"/>
      <c r="CJ2" s="778"/>
      <c r="CK2" s="778"/>
      <c r="CL2" s="778"/>
      <c r="CM2" s="778"/>
      <c r="CN2" s="778"/>
      <c r="CO2" s="778"/>
      <c r="CP2" s="778"/>
      <c r="CQ2" s="779"/>
      <c r="CR2" s="780" t="s">
        <v>156</v>
      </c>
      <c r="CS2" s="781"/>
      <c r="CT2"/>
      <c r="CU2"/>
      <c r="CV2"/>
      <c r="CW2"/>
      <c r="CX2"/>
      <c r="CY2"/>
      <c r="CZ2"/>
      <c r="DA2"/>
      <c r="DB2"/>
      <c r="DC2"/>
      <c r="DD2"/>
      <c r="DE2"/>
      <c r="DF2"/>
      <c r="DG2"/>
      <c r="DH2"/>
    </row>
    <row r="3" spans="1:112" ht="15" thickBot="1">
      <c r="B3" s="267" t="s">
        <v>157</v>
      </c>
      <c r="C3" s="268" t="s">
        <v>158</v>
      </c>
      <c r="D3" s="277">
        <v>2025</v>
      </c>
      <c r="E3" s="278">
        <f>D3+1</f>
        <v>2026</v>
      </c>
      <c r="F3" s="278">
        <f t="shared" ref="F3:AC3" si="0">E3+1</f>
        <v>2027</v>
      </c>
      <c r="G3" s="278">
        <f t="shared" si="0"/>
        <v>2028</v>
      </c>
      <c r="H3" s="278">
        <f t="shared" si="0"/>
        <v>2029</v>
      </c>
      <c r="I3" s="278">
        <f t="shared" si="0"/>
        <v>2030</v>
      </c>
      <c r="J3" s="278">
        <f t="shared" si="0"/>
        <v>2031</v>
      </c>
      <c r="K3" s="278">
        <f t="shared" si="0"/>
        <v>2032</v>
      </c>
      <c r="L3" s="278">
        <f t="shared" si="0"/>
        <v>2033</v>
      </c>
      <c r="M3" s="278">
        <f t="shared" si="0"/>
        <v>2034</v>
      </c>
      <c r="N3" s="278">
        <f t="shared" si="0"/>
        <v>2035</v>
      </c>
      <c r="O3" s="278">
        <f t="shared" si="0"/>
        <v>2036</v>
      </c>
      <c r="P3" s="278">
        <f t="shared" si="0"/>
        <v>2037</v>
      </c>
      <c r="Q3" s="278">
        <f t="shared" si="0"/>
        <v>2038</v>
      </c>
      <c r="R3" s="278">
        <f t="shared" si="0"/>
        <v>2039</v>
      </c>
      <c r="S3" s="278">
        <f t="shared" si="0"/>
        <v>2040</v>
      </c>
      <c r="T3" s="278">
        <f t="shared" si="0"/>
        <v>2041</v>
      </c>
      <c r="U3" s="278">
        <f t="shared" si="0"/>
        <v>2042</v>
      </c>
      <c r="V3" s="278">
        <f t="shared" si="0"/>
        <v>2043</v>
      </c>
      <c r="W3" s="278">
        <f t="shared" si="0"/>
        <v>2044</v>
      </c>
      <c r="X3" s="278">
        <f t="shared" si="0"/>
        <v>2045</v>
      </c>
      <c r="Y3" s="278">
        <f t="shared" si="0"/>
        <v>2046</v>
      </c>
      <c r="Z3" s="278">
        <f t="shared" si="0"/>
        <v>2047</v>
      </c>
      <c r="AA3" s="278">
        <f t="shared" si="0"/>
        <v>2048</v>
      </c>
      <c r="AB3" s="278">
        <f t="shared" si="0"/>
        <v>2049</v>
      </c>
      <c r="AC3" s="279">
        <f t="shared" si="0"/>
        <v>2050</v>
      </c>
      <c r="AD3" s="493" t="s">
        <v>159</v>
      </c>
      <c r="AE3" s="494" t="s">
        <v>160</v>
      </c>
      <c r="AI3" s="267" t="s">
        <v>157</v>
      </c>
      <c r="AJ3" s="268" t="s">
        <v>158</v>
      </c>
      <c r="AK3" s="277">
        <v>2025</v>
      </c>
      <c r="AL3" s="278">
        <f>AK3+1</f>
        <v>2026</v>
      </c>
      <c r="AM3" s="278">
        <f t="shared" ref="AM3" si="1">AL3+1</f>
        <v>2027</v>
      </c>
      <c r="AN3" s="278">
        <f t="shared" ref="AN3" si="2">AM3+1</f>
        <v>2028</v>
      </c>
      <c r="AO3" s="278">
        <f t="shared" ref="AO3" si="3">AN3+1</f>
        <v>2029</v>
      </c>
      <c r="AP3" s="278">
        <f t="shared" ref="AP3" si="4">AO3+1</f>
        <v>2030</v>
      </c>
      <c r="AQ3" s="278">
        <f t="shared" ref="AQ3" si="5">AP3+1</f>
        <v>2031</v>
      </c>
      <c r="AR3" s="278">
        <f t="shared" ref="AR3" si="6">AQ3+1</f>
        <v>2032</v>
      </c>
      <c r="AS3" s="278">
        <f t="shared" ref="AS3" si="7">AR3+1</f>
        <v>2033</v>
      </c>
      <c r="AT3" s="278">
        <f t="shared" ref="AT3" si="8">AS3+1</f>
        <v>2034</v>
      </c>
      <c r="AU3" s="278">
        <f t="shared" ref="AU3" si="9">AT3+1</f>
        <v>2035</v>
      </c>
      <c r="AV3" s="278">
        <f t="shared" ref="AV3" si="10">AU3+1</f>
        <v>2036</v>
      </c>
      <c r="AW3" s="278">
        <f t="shared" ref="AW3" si="11">AV3+1</f>
        <v>2037</v>
      </c>
      <c r="AX3" s="278">
        <f t="shared" ref="AX3" si="12">AW3+1</f>
        <v>2038</v>
      </c>
      <c r="AY3" s="278">
        <f t="shared" ref="AY3" si="13">AX3+1</f>
        <v>2039</v>
      </c>
      <c r="AZ3" s="278">
        <f t="shared" ref="AZ3" si="14">AY3+1</f>
        <v>2040</v>
      </c>
      <c r="BA3" s="278">
        <f t="shared" ref="BA3" si="15">AZ3+1</f>
        <v>2041</v>
      </c>
      <c r="BB3" s="278">
        <f t="shared" ref="BB3" si="16">BA3+1</f>
        <v>2042</v>
      </c>
      <c r="BC3" s="278">
        <f t="shared" ref="BC3" si="17">BB3+1</f>
        <v>2043</v>
      </c>
      <c r="BD3" s="278">
        <f t="shared" ref="BD3" si="18">BC3+1</f>
        <v>2044</v>
      </c>
      <c r="BE3" s="278">
        <f t="shared" ref="BE3" si="19">BD3+1</f>
        <v>2045</v>
      </c>
      <c r="BF3" s="278">
        <f t="shared" ref="BF3" si="20">BE3+1</f>
        <v>2046</v>
      </c>
      <c r="BG3" s="278">
        <f t="shared" ref="BG3" si="21">BF3+1</f>
        <v>2047</v>
      </c>
      <c r="BH3" s="278">
        <f t="shared" ref="BH3" si="22">BG3+1</f>
        <v>2048</v>
      </c>
      <c r="BI3" s="278">
        <f t="shared" ref="BI3" si="23">BH3+1</f>
        <v>2049</v>
      </c>
      <c r="BJ3" s="279">
        <f t="shared" ref="BJ3" si="24">BI3+1</f>
        <v>2050</v>
      </c>
      <c r="BK3" s="493" t="s">
        <v>159</v>
      </c>
      <c r="BL3" s="494" t="s">
        <v>160</v>
      </c>
      <c r="BP3" s="267" t="s">
        <v>157</v>
      </c>
      <c r="BQ3" s="268" t="s">
        <v>158</v>
      </c>
      <c r="BR3" s="277">
        <v>2025</v>
      </c>
      <c r="BS3" s="278">
        <f>BR3+1</f>
        <v>2026</v>
      </c>
      <c r="BT3" s="278">
        <f t="shared" ref="BT3" si="25">BS3+1</f>
        <v>2027</v>
      </c>
      <c r="BU3" s="278">
        <f t="shared" ref="BU3" si="26">BT3+1</f>
        <v>2028</v>
      </c>
      <c r="BV3" s="278">
        <f t="shared" ref="BV3" si="27">BU3+1</f>
        <v>2029</v>
      </c>
      <c r="BW3" s="278">
        <f t="shared" ref="BW3" si="28">BV3+1</f>
        <v>2030</v>
      </c>
      <c r="BX3" s="278">
        <f t="shared" ref="BX3" si="29">BW3+1</f>
        <v>2031</v>
      </c>
      <c r="BY3" s="278">
        <f t="shared" ref="BY3" si="30">BX3+1</f>
        <v>2032</v>
      </c>
      <c r="BZ3" s="278">
        <f t="shared" ref="BZ3" si="31">BY3+1</f>
        <v>2033</v>
      </c>
      <c r="CA3" s="278">
        <f t="shared" ref="CA3" si="32">BZ3+1</f>
        <v>2034</v>
      </c>
      <c r="CB3" s="278">
        <f t="shared" ref="CB3" si="33">CA3+1</f>
        <v>2035</v>
      </c>
      <c r="CC3" s="278">
        <f t="shared" ref="CC3" si="34">CB3+1</f>
        <v>2036</v>
      </c>
      <c r="CD3" s="278">
        <f t="shared" ref="CD3" si="35">CC3+1</f>
        <v>2037</v>
      </c>
      <c r="CE3" s="278">
        <f t="shared" ref="CE3" si="36">CD3+1</f>
        <v>2038</v>
      </c>
      <c r="CF3" s="278">
        <f t="shared" ref="CF3" si="37">CE3+1</f>
        <v>2039</v>
      </c>
      <c r="CG3" s="278">
        <f t="shared" ref="CG3" si="38">CF3+1</f>
        <v>2040</v>
      </c>
      <c r="CH3" s="278">
        <f t="shared" ref="CH3" si="39">CG3+1</f>
        <v>2041</v>
      </c>
      <c r="CI3" s="278">
        <f t="shared" ref="CI3" si="40">CH3+1</f>
        <v>2042</v>
      </c>
      <c r="CJ3" s="278">
        <f t="shared" ref="CJ3" si="41">CI3+1</f>
        <v>2043</v>
      </c>
      <c r="CK3" s="278">
        <f t="shared" ref="CK3" si="42">CJ3+1</f>
        <v>2044</v>
      </c>
      <c r="CL3" s="278">
        <f t="shared" ref="CL3" si="43">CK3+1</f>
        <v>2045</v>
      </c>
      <c r="CM3" s="278">
        <f t="shared" ref="CM3" si="44">CL3+1</f>
        <v>2046</v>
      </c>
      <c r="CN3" s="278">
        <f t="shared" ref="CN3" si="45">CM3+1</f>
        <v>2047</v>
      </c>
      <c r="CO3" s="278">
        <f t="shared" ref="CO3" si="46">CN3+1</f>
        <v>2048</v>
      </c>
      <c r="CP3" s="278">
        <f t="shared" ref="CP3" si="47">CO3+1</f>
        <v>2049</v>
      </c>
      <c r="CQ3" s="279">
        <f t="shared" ref="CQ3" si="48">CP3+1</f>
        <v>2050</v>
      </c>
      <c r="CR3" s="493" t="s">
        <v>159</v>
      </c>
      <c r="CS3" s="494" t="s">
        <v>160</v>
      </c>
    </row>
    <row r="4" spans="1:112" ht="15">
      <c r="B4" s="490" t="s">
        <v>161</v>
      </c>
      <c r="C4" s="491" t="s">
        <v>162</v>
      </c>
      <c r="D4" s="598">
        <f>SUM(D12,D20)</f>
        <v>0</v>
      </c>
      <c r="E4" s="598" t="e">
        <f t="shared" ref="E4:AC4" si="49">SUM(E12,E20)</f>
        <v>#VALUE!</v>
      </c>
      <c r="F4" s="598" t="e">
        <f t="shared" si="49"/>
        <v>#VALUE!</v>
      </c>
      <c r="G4" s="598" t="e">
        <f t="shared" si="49"/>
        <v>#VALUE!</v>
      </c>
      <c r="H4" s="598" t="e">
        <f t="shared" si="49"/>
        <v>#VALUE!</v>
      </c>
      <c r="I4" s="598" t="e">
        <f t="shared" si="49"/>
        <v>#VALUE!</v>
      </c>
      <c r="J4" s="598" t="e">
        <f t="shared" si="49"/>
        <v>#VALUE!</v>
      </c>
      <c r="K4" s="598" t="e">
        <f t="shared" si="49"/>
        <v>#VALUE!</v>
      </c>
      <c r="L4" s="598" t="e">
        <f t="shared" si="49"/>
        <v>#VALUE!</v>
      </c>
      <c r="M4" s="598" t="e">
        <f t="shared" si="49"/>
        <v>#VALUE!</v>
      </c>
      <c r="N4" s="598" t="e">
        <f t="shared" si="49"/>
        <v>#VALUE!</v>
      </c>
      <c r="O4" s="598" t="e">
        <f t="shared" si="49"/>
        <v>#VALUE!</v>
      </c>
      <c r="P4" s="598" t="e">
        <f t="shared" si="49"/>
        <v>#VALUE!</v>
      </c>
      <c r="Q4" s="598" t="e">
        <f t="shared" si="49"/>
        <v>#VALUE!</v>
      </c>
      <c r="R4" s="598" t="e">
        <f t="shared" si="49"/>
        <v>#VALUE!</v>
      </c>
      <c r="S4" s="598" t="e">
        <f t="shared" si="49"/>
        <v>#VALUE!</v>
      </c>
      <c r="T4" s="598" t="e">
        <f t="shared" si="49"/>
        <v>#VALUE!</v>
      </c>
      <c r="U4" s="598" t="e">
        <f t="shared" si="49"/>
        <v>#VALUE!</v>
      </c>
      <c r="V4" s="598" t="e">
        <f t="shared" si="49"/>
        <v>#VALUE!</v>
      </c>
      <c r="W4" s="598" t="e">
        <f t="shared" si="49"/>
        <v>#VALUE!</v>
      </c>
      <c r="X4" s="598" t="e">
        <f t="shared" si="49"/>
        <v>#VALUE!</v>
      </c>
      <c r="Y4" s="598" t="e">
        <f t="shared" si="49"/>
        <v>#VALUE!</v>
      </c>
      <c r="Z4" s="598" t="e">
        <f t="shared" si="49"/>
        <v>#VALUE!</v>
      </c>
      <c r="AA4" s="598" t="e">
        <f t="shared" si="49"/>
        <v>#VALUE!</v>
      </c>
      <c r="AB4" s="598" t="e">
        <f t="shared" si="49"/>
        <v>#VALUE!</v>
      </c>
      <c r="AC4" s="598" t="e">
        <f t="shared" si="49"/>
        <v>#VALUE!</v>
      </c>
      <c r="AD4" s="495" t="e">
        <f>SUM(D4:I4)</f>
        <v>#VALUE!</v>
      </c>
      <c r="AE4" s="496" t="e">
        <f>SUM(D4:AC4)</f>
        <v>#VALUE!</v>
      </c>
      <c r="AG4" s="314" t="e">
        <f>ROUND(AE4,1)&amp;" tonnes "&amp;B4&amp;", "</f>
        <v>#VALUE!</v>
      </c>
      <c r="AI4" s="490" t="s">
        <v>161</v>
      </c>
      <c r="AJ4" s="491" t="s">
        <v>162</v>
      </c>
      <c r="AK4" s="598">
        <f>SUM(AK12,AK20)</f>
        <v>0</v>
      </c>
      <c r="AL4" s="598" t="e">
        <f t="shared" ref="AL4:BJ4" si="50">SUM(AL12,AL20)</f>
        <v>#VALUE!</v>
      </c>
      <c r="AM4" s="598" t="e">
        <f t="shared" si="50"/>
        <v>#VALUE!</v>
      </c>
      <c r="AN4" s="598" t="e">
        <f t="shared" si="50"/>
        <v>#VALUE!</v>
      </c>
      <c r="AO4" s="598" t="e">
        <f t="shared" si="50"/>
        <v>#VALUE!</v>
      </c>
      <c r="AP4" s="598" t="e">
        <f t="shared" si="50"/>
        <v>#VALUE!</v>
      </c>
      <c r="AQ4" s="598" t="e">
        <f t="shared" si="50"/>
        <v>#VALUE!</v>
      </c>
      <c r="AR4" s="598" t="e">
        <f t="shared" si="50"/>
        <v>#VALUE!</v>
      </c>
      <c r="AS4" s="598" t="e">
        <f t="shared" si="50"/>
        <v>#VALUE!</v>
      </c>
      <c r="AT4" s="598" t="e">
        <f t="shared" si="50"/>
        <v>#VALUE!</v>
      </c>
      <c r="AU4" s="598" t="e">
        <f t="shared" si="50"/>
        <v>#VALUE!</v>
      </c>
      <c r="AV4" s="598" t="e">
        <f t="shared" si="50"/>
        <v>#VALUE!</v>
      </c>
      <c r="AW4" s="598" t="e">
        <f t="shared" si="50"/>
        <v>#VALUE!</v>
      </c>
      <c r="AX4" s="598" t="e">
        <f t="shared" si="50"/>
        <v>#VALUE!</v>
      </c>
      <c r="AY4" s="598" t="e">
        <f t="shared" si="50"/>
        <v>#VALUE!</v>
      </c>
      <c r="AZ4" s="598" t="e">
        <f t="shared" si="50"/>
        <v>#VALUE!</v>
      </c>
      <c r="BA4" s="598" t="e">
        <f t="shared" si="50"/>
        <v>#VALUE!</v>
      </c>
      <c r="BB4" s="598" t="e">
        <f t="shared" si="50"/>
        <v>#VALUE!</v>
      </c>
      <c r="BC4" s="598" t="e">
        <f t="shared" si="50"/>
        <v>#VALUE!</v>
      </c>
      <c r="BD4" s="598" t="e">
        <f t="shared" si="50"/>
        <v>#VALUE!</v>
      </c>
      <c r="BE4" s="598" t="e">
        <f t="shared" si="50"/>
        <v>#VALUE!</v>
      </c>
      <c r="BF4" s="598" t="e">
        <f t="shared" si="50"/>
        <v>#VALUE!</v>
      </c>
      <c r="BG4" s="598" t="e">
        <f t="shared" si="50"/>
        <v>#VALUE!</v>
      </c>
      <c r="BH4" s="598" t="e">
        <f t="shared" si="50"/>
        <v>#VALUE!</v>
      </c>
      <c r="BI4" s="598" t="e">
        <f t="shared" si="50"/>
        <v>#VALUE!</v>
      </c>
      <c r="BJ4" s="598" t="e">
        <f t="shared" si="50"/>
        <v>#VALUE!</v>
      </c>
      <c r="BK4" s="495" t="e">
        <f>SUM(AK4:AP4)</f>
        <v>#VALUE!</v>
      </c>
      <c r="BL4" s="496" t="e">
        <f>SUM(AK4:BJ4)</f>
        <v>#VALUE!</v>
      </c>
      <c r="BN4" s="314" t="e">
        <f>ROUND(BL4,1)&amp;" tonnes "&amp;AI4&amp;", "</f>
        <v>#VALUE!</v>
      </c>
      <c r="BP4" s="490" t="s">
        <v>161</v>
      </c>
      <c r="BQ4" s="491" t="s">
        <v>162</v>
      </c>
      <c r="BR4" s="598">
        <f>SUM(BR12,BR20)</f>
        <v>0</v>
      </c>
      <c r="BS4" s="598" t="e">
        <f t="shared" ref="BS4:CQ4" si="51">SUM(BS12,BS20)</f>
        <v>#VALUE!</v>
      </c>
      <c r="BT4" s="598" t="e">
        <f t="shared" si="51"/>
        <v>#VALUE!</v>
      </c>
      <c r="BU4" s="598" t="e">
        <f t="shared" si="51"/>
        <v>#VALUE!</v>
      </c>
      <c r="BV4" s="598" t="e">
        <f t="shared" si="51"/>
        <v>#VALUE!</v>
      </c>
      <c r="BW4" s="598" t="e">
        <f t="shared" si="51"/>
        <v>#VALUE!</v>
      </c>
      <c r="BX4" s="598" t="e">
        <f t="shared" si="51"/>
        <v>#VALUE!</v>
      </c>
      <c r="BY4" s="598" t="e">
        <f t="shared" si="51"/>
        <v>#VALUE!</v>
      </c>
      <c r="BZ4" s="598" t="e">
        <f t="shared" si="51"/>
        <v>#VALUE!</v>
      </c>
      <c r="CA4" s="598" t="e">
        <f t="shared" si="51"/>
        <v>#VALUE!</v>
      </c>
      <c r="CB4" s="598" t="e">
        <f t="shared" si="51"/>
        <v>#VALUE!</v>
      </c>
      <c r="CC4" s="598" t="e">
        <f t="shared" si="51"/>
        <v>#VALUE!</v>
      </c>
      <c r="CD4" s="598" t="e">
        <f t="shared" si="51"/>
        <v>#VALUE!</v>
      </c>
      <c r="CE4" s="598" t="e">
        <f t="shared" si="51"/>
        <v>#VALUE!</v>
      </c>
      <c r="CF4" s="598" t="e">
        <f t="shared" si="51"/>
        <v>#VALUE!</v>
      </c>
      <c r="CG4" s="598" t="e">
        <f t="shared" si="51"/>
        <v>#VALUE!</v>
      </c>
      <c r="CH4" s="598" t="e">
        <f t="shared" si="51"/>
        <v>#VALUE!</v>
      </c>
      <c r="CI4" s="598" t="e">
        <f t="shared" si="51"/>
        <v>#VALUE!</v>
      </c>
      <c r="CJ4" s="598" t="e">
        <f t="shared" si="51"/>
        <v>#VALUE!</v>
      </c>
      <c r="CK4" s="598" t="e">
        <f t="shared" si="51"/>
        <v>#VALUE!</v>
      </c>
      <c r="CL4" s="598" t="e">
        <f t="shared" si="51"/>
        <v>#VALUE!</v>
      </c>
      <c r="CM4" s="598" t="e">
        <f t="shared" si="51"/>
        <v>#VALUE!</v>
      </c>
      <c r="CN4" s="598" t="e">
        <f t="shared" si="51"/>
        <v>#VALUE!</v>
      </c>
      <c r="CO4" s="598" t="e">
        <f t="shared" si="51"/>
        <v>#VALUE!</v>
      </c>
      <c r="CP4" s="598" t="e">
        <f t="shared" si="51"/>
        <v>#VALUE!</v>
      </c>
      <c r="CQ4" s="598" t="e">
        <f t="shared" si="51"/>
        <v>#VALUE!</v>
      </c>
      <c r="CR4" s="495" t="e">
        <f>SUM(BR4:BW4)</f>
        <v>#VALUE!</v>
      </c>
      <c r="CS4" s="496" t="e">
        <f>SUM(BR4:CQ4)</f>
        <v>#VALUE!</v>
      </c>
      <c r="CU4" s="314" t="e">
        <f>ROUND(CS4,1)&amp;" tonnes "&amp;BP4&amp;", "</f>
        <v>#VALUE!</v>
      </c>
    </row>
    <row r="5" spans="1:112" ht="15">
      <c r="B5" s="490" t="s">
        <v>163</v>
      </c>
      <c r="C5" s="491" t="s">
        <v>162</v>
      </c>
      <c r="D5" s="598">
        <f t="shared" ref="D5:AC5" si="52">SUM(D13,D21)</f>
        <v>0</v>
      </c>
      <c r="E5" s="598" t="e">
        <f t="shared" si="52"/>
        <v>#VALUE!</v>
      </c>
      <c r="F5" s="598" t="e">
        <f t="shared" si="52"/>
        <v>#VALUE!</v>
      </c>
      <c r="G5" s="598" t="e">
        <f t="shared" si="52"/>
        <v>#VALUE!</v>
      </c>
      <c r="H5" s="598" t="e">
        <f t="shared" si="52"/>
        <v>#VALUE!</v>
      </c>
      <c r="I5" s="598" t="e">
        <f t="shared" si="52"/>
        <v>#VALUE!</v>
      </c>
      <c r="J5" s="598" t="e">
        <f t="shared" si="52"/>
        <v>#VALUE!</v>
      </c>
      <c r="K5" s="598" t="e">
        <f t="shared" si="52"/>
        <v>#VALUE!</v>
      </c>
      <c r="L5" s="598" t="e">
        <f t="shared" si="52"/>
        <v>#VALUE!</v>
      </c>
      <c r="M5" s="598" t="e">
        <f t="shared" si="52"/>
        <v>#VALUE!</v>
      </c>
      <c r="N5" s="598" t="e">
        <f t="shared" si="52"/>
        <v>#VALUE!</v>
      </c>
      <c r="O5" s="598" t="e">
        <f t="shared" si="52"/>
        <v>#VALUE!</v>
      </c>
      <c r="P5" s="598" t="e">
        <f t="shared" si="52"/>
        <v>#VALUE!</v>
      </c>
      <c r="Q5" s="598" t="e">
        <f t="shared" si="52"/>
        <v>#VALUE!</v>
      </c>
      <c r="R5" s="598" t="e">
        <f t="shared" si="52"/>
        <v>#VALUE!</v>
      </c>
      <c r="S5" s="598" t="e">
        <f t="shared" si="52"/>
        <v>#VALUE!</v>
      </c>
      <c r="T5" s="598" t="e">
        <f t="shared" si="52"/>
        <v>#VALUE!</v>
      </c>
      <c r="U5" s="598" t="e">
        <f t="shared" si="52"/>
        <v>#VALUE!</v>
      </c>
      <c r="V5" s="598" t="e">
        <f t="shared" si="52"/>
        <v>#VALUE!</v>
      </c>
      <c r="W5" s="598" t="e">
        <f t="shared" si="52"/>
        <v>#VALUE!</v>
      </c>
      <c r="X5" s="598" t="e">
        <f t="shared" si="52"/>
        <v>#VALUE!</v>
      </c>
      <c r="Y5" s="598" t="e">
        <f t="shared" si="52"/>
        <v>#VALUE!</v>
      </c>
      <c r="Z5" s="598" t="e">
        <f t="shared" si="52"/>
        <v>#VALUE!</v>
      </c>
      <c r="AA5" s="598" t="e">
        <f t="shared" si="52"/>
        <v>#VALUE!</v>
      </c>
      <c r="AB5" s="598" t="e">
        <f t="shared" si="52"/>
        <v>#VALUE!</v>
      </c>
      <c r="AC5" s="598" t="e">
        <f t="shared" si="52"/>
        <v>#VALUE!</v>
      </c>
      <c r="AD5" s="509" t="e">
        <f t="shared" ref="AD5:AD8" si="53">SUM(D5:I5)</f>
        <v>#VALUE!</v>
      </c>
      <c r="AE5" s="497" t="e">
        <f t="shared" ref="AE5:AE8" si="54">SUM(D5:AC5)</f>
        <v>#VALUE!</v>
      </c>
      <c r="AG5" s="314" t="e">
        <f t="shared" ref="AG5:AG7" si="55">ROUND(AE5,1)&amp;" tonnes "&amp;B5&amp;", "</f>
        <v>#VALUE!</v>
      </c>
      <c r="AI5" s="490" t="s">
        <v>163</v>
      </c>
      <c r="AJ5" s="491" t="s">
        <v>162</v>
      </c>
      <c r="AK5" s="598">
        <f t="shared" ref="AK5:BJ5" si="56">SUM(AK13,AK21)</f>
        <v>0</v>
      </c>
      <c r="AL5" s="598" t="e">
        <f t="shared" si="56"/>
        <v>#VALUE!</v>
      </c>
      <c r="AM5" s="598" t="e">
        <f t="shared" si="56"/>
        <v>#VALUE!</v>
      </c>
      <c r="AN5" s="598" t="e">
        <f t="shared" si="56"/>
        <v>#VALUE!</v>
      </c>
      <c r="AO5" s="598" t="e">
        <f t="shared" si="56"/>
        <v>#VALUE!</v>
      </c>
      <c r="AP5" s="598" t="e">
        <f t="shared" si="56"/>
        <v>#VALUE!</v>
      </c>
      <c r="AQ5" s="598" t="e">
        <f t="shared" si="56"/>
        <v>#VALUE!</v>
      </c>
      <c r="AR5" s="598" t="e">
        <f t="shared" si="56"/>
        <v>#VALUE!</v>
      </c>
      <c r="AS5" s="598" t="e">
        <f t="shared" si="56"/>
        <v>#VALUE!</v>
      </c>
      <c r="AT5" s="598" t="e">
        <f t="shared" si="56"/>
        <v>#VALUE!</v>
      </c>
      <c r="AU5" s="598" t="e">
        <f t="shared" si="56"/>
        <v>#VALUE!</v>
      </c>
      <c r="AV5" s="598" t="e">
        <f t="shared" si="56"/>
        <v>#VALUE!</v>
      </c>
      <c r="AW5" s="598" t="e">
        <f t="shared" si="56"/>
        <v>#VALUE!</v>
      </c>
      <c r="AX5" s="598" t="e">
        <f t="shared" si="56"/>
        <v>#VALUE!</v>
      </c>
      <c r="AY5" s="598" t="e">
        <f t="shared" si="56"/>
        <v>#VALUE!</v>
      </c>
      <c r="AZ5" s="598" t="e">
        <f t="shared" si="56"/>
        <v>#VALUE!</v>
      </c>
      <c r="BA5" s="598" t="e">
        <f t="shared" si="56"/>
        <v>#VALUE!</v>
      </c>
      <c r="BB5" s="598" t="e">
        <f t="shared" si="56"/>
        <v>#VALUE!</v>
      </c>
      <c r="BC5" s="598" t="e">
        <f t="shared" si="56"/>
        <v>#VALUE!</v>
      </c>
      <c r="BD5" s="598" t="e">
        <f t="shared" si="56"/>
        <v>#VALUE!</v>
      </c>
      <c r="BE5" s="598" t="e">
        <f t="shared" si="56"/>
        <v>#VALUE!</v>
      </c>
      <c r="BF5" s="598" t="e">
        <f t="shared" si="56"/>
        <v>#VALUE!</v>
      </c>
      <c r="BG5" s="598" t="e">
        <f t="shared" si="56"/>
        <v>#VALUE!</v>
      </c>
      <c r="BH5" s="598" t="e">
        <f t="shared" si="56"/>
        <v>#VALUE!</v>
      </c>
      <c r="BI5" s="598" t="e">
        <f t="shared" si="56"/>
        <v>#VALUE!</v>
      </c>
      <c r="BJ5" s="598" t="e">
        <f t="shared" si="56"/>
        <v>#VALUE!</v>
      </c>
      <c r="BK5" s="509" t="e">
        <f t="shared" ref="BK5:BK8" si="57">SUM(AK5:AP5)</f>
        <v>#VALUE!</v>
      </c>
      <c r="BL5" s="497" t="e">
        <f t="shared" ref="BL5:BL8" si="58">SUM(AK5:BJ5)</f>
        <v>#VALUE!</v>
      </c>
      <c r="BN5" s="314" t="e">
        <f t="shared" ref="BN5:BN7" si="59">ROUND(BL5,1)&amp;" tonnes "&amp;AI5&amp;", "</f>
        <v>#VALUE!</v>
      </c>
      <c r="BP5" s="490" t="s">
        <v>163</v>
      </c>
      <c r="BQ5" s="491" t="s">
        <v>162</v>
      </c>
      <c r="BR5" s="598">
        <f t="shared" ref="BR5:CQ5" si="60">SUM(BR13,BR21)</f>
        <v>0</v>
      </c>
      <c r="BS5" s="598" t="e">
        <f t="shared" si="60"/>
        <v>#VALUE!</v>
      </c>
      <c r="BT5" s="598" t="e">
        <f t="shared" si="60"/>
        <v>#VALUE!</v>
      </c>
      <c r="BU5" s="598" t="e">
        <f t="shared" si="60"/>
        <v>#VALUE!</v>
      </c>
      <c r="BV5" s="598" t="e">
        <f t="shared" si="60"/>
        <v>#VALUE!</v>
      </c>
      <c r="BW5" s="598" t="e">
        <f t="shared" si="60"/>
        <v>#VALUE!</v>
      </c>
      <c r="BX5" s="598" t="e">
        <f t="shared" si="60"/>
        <v>#VALUE!</v>
      </c>
      <c r="BY5" s="598" t="e">
        <f t="shared" si="60"/>
        <v>#VALUE!</v>
      </c>
      <c r="BZ5" s="598" t="e">
        <f t="shared" si="60"/>
        <v>#VALUE!</v>
      </c>
      <c r="CA5" s="598" t="e">
        <f t="shared" si="60"/>
        <v>#VALUE!</v>
      </c>
      <c r="CB5" s="598" t="e">
        <f t="shared" si="60"/>
        <v>#VALUE!</v>
      </c>
      <c r="CC5" s="598" t="e">
        <f t="shared" si="60"/>
        <v>#VALUE!</v>
      </c>
      <c r="CD5" s="598" t="e">
        <f t="shared" si="60"/>
        <v>#VALUE!</v>
      </c>
      <c r="CE5" s="598" t="e">
        <f t="shared" si="60"/>
        <v>#VALUE!</v>
      </c>
      <c r="CF5" s="598" t="e">
        <f t="shared" si="60"/>
        <v>#VALUE!</v>
      </c>
      <c r="CG5" s="598" t="e">
        <f t="shared" si="60"/>
        <v>#VALUE!</v>
      </c>
      <c r="CH5" s="598" t="e">
        <f t="shared" si="60"/>
        <v>#VALUE!</v>
      </c>
      <c r="CI5" s="598" t="e">
        <f t="shared" si="60"/>
        <v>#VALUE!</v>
      </c>
      <c r="CJ5" s="598" t="e">
        <f t="shared" si="60"/>
        <v>#VALUE!</v>
      </c>
      <c r="CK5" s="598" t="e">
        <f t="shared" si="60"/>
        <v>#VALUE!</v>
      </c>
      <c r="CL5" s="598" t="e">
        <f t="shared" si="60"/>
        <v>#VALUE!</v>
      </c>
      <c r="CM5" s="598" t="e">
        <f t="shared" si="60"/>
        <v>#VALUE!</v>
      </c>
      <c r="CN5" s="598" t="e">
        <f t="shared" si="60"/>
        <v>#VALUE!</v>
      </c>
      <c r="CO5" s="598" t="e">
        <f t="shared" si="60"/>
        <v>#VALUE!</v>
      </c>
      <c r="CP5" s="598" t="e">
        <f t="shared" si="60"/>
        <v>#VALUE!</v>
      </c>
      <c r="CQ5" s="598" t="e">
        <f t="shared" si="60"/>
        <v>#VALUE!</v>
      </c>
      <c r="CR5" s="509" t="e">
        <f t="shared" ref="CR5:CR8" si="61">SUM(BR5:BW5)</f>
        <v>#VALUE!</v>
      </c>
      <c r="CS5" s="497" t="e">
        <f t="shared" ref="CS5:CS8" si="62">SUM(BR5:CQ5)</f>
        <v>#VALUE!</v>
      </c>
      <c r="CU5" s="314" t="e">
        <f t="shared" ref="CU5:CU7" si="63">ROUND(CS5,1)&amp;" tonnes "&amp;BP5&amp;", "</f>
        <v>#VALUE!</v>
      </c>
    </row>
    <row r="6" spans="1:112" ht="15">
      <c r="B6" s="490" t="s">
        <v>164</v>
      </c>
      <c r="C6" s="491" t="s">
        <v>162</v>
      </c>
      <c r="D6" s="598">
        <f t="shared" ref="D6:AC6" si="64">SUM(D14,D22)</f>
        <v>0</v>
      </c>
      <c r="E6" s="598" t="e">
        <f t="shared" si="64"/>
        <v>#VALUE!</v>
      </c>
      <c r="F6" s="598" t="e">
        <f t="shared" si="64"/>
        <v>#VALUE!</v>
      </c>
      <c r="G6" s="598" t="e">
        <f t="shared" si="64"/>
        <v>#VALUE!</v>
      </c>
      <c r="H6" s="598" t="e">
        <f t="shared" si="64"/>
        <v>#VALUE!</v>
      </c>
      <c r="I6" s="598" t="e">
        <f t="shared" si="64"/>
        <v>#VALUE!</v>
      </c>
      <c r="J6" s="598" t="e">
        <f t="shared" si="64"/>
        <v>#VALUE!</v>
      </c>
      <c r="K6" s="598" t="e">
        <f t="shared" si="64"/>
        <v>#VALUE!</v>
      </c>
      <c r="L6" s="598" t="e">
        <f t="shared" si="64"/>
        <v>#VALUE!</v>
      </c>
      <c r="M6" s="598" t="e">
        <f t="shared" si="64"/>
        <v>#VALUE!</v>
      </c>
      <c r="N6" s="598" t="e">
        <f t="shared" si="64"/>
        <v>#VALUE!</v>
      </c>
      <c r="O6" s="598" t="e">
        <f t="shared" si="64"/>
        <v>#VALUE!</v>
      </c>
      <c r="P6" s="598" t="e">
        <f t="shared" si="64"/>
        <v>#VALUE!</v>
      </c>
      <c r="Q6" s="598" t="e">
        <f t="shared" si="64"/>
        <v>#VALUE!</v>
      </c>
      <c r="R6" s="598" t="e">
        <f t="shared" si="64"/>
        <v>#VALUE!</v>
      </c>
      <c r="S6" s="598" t="e">
        <f t="shared" si="64"/>
        <v>#VALUE!</v>
      </c>
      <c r="T6" s="598" t="e">
        <f t="shared" si="64"/>
        <v>#VALUE!</v>
      </c>
      <c r="U6" s="598" t="e">
        <f t="shared" si="64"/>
        <v>#VALUE!</v>
      </c>
      <c r="V6" s="598" t="e">
        <f t="shared" si="64"/>
        <v>#VALUE!</v>
      </c>
      <c r="W6" s="598" t="e">
        <f t="shared" si="64"/>
        <v>#VALUE!</v>
      </c>
      <c r="X6" s="598" t="e">
        <f t="shared" si="64"/>
        <v>#VALUE!</v>
      </c>
      <c r="Y6" s="598" t="e">
        <f t="shared" si="64"/>
        <v>#VALUE!</v>
      </c>
      <c r="Z6" s="598" t="e">
        <f t="shared" si="64"/>
        <v>#VALUE!</v>
      </c>
      <c r="AA6" s="598" t="e">
        <f t="shared" si="64"/>
        <v>#VALUE!</v>
      </c>
      <c r="AB6" s="598" t="e">
        <f t="shared" si="64"/>
        <v>#VALUE!</v>
      </c>
      <c r="AC6" s="598" t="e">
        <f t="shared" si="64"/>
        <v>#VALUE!</v>
      </c>
      <c r="AD6" s="509" t="e">
        <f t="shared" si="53"/>
        <v>#VALUE!</v>
      </c>
      <c r="AE6" s="497" t="e">
        <f t="shared" si="54"/>
        <v>#VALUE!</v>
      </c>
      <c r="AG6" s="314" t="e">
        <f t="shared" si="55"/>
        <v>#VALUE!</v>
      </c>
      <c r="AI6" s="490" t="s">
        <v>164</v>
      </c>
      <c r="AJ6" s="491" t="s">
        <v>162</v>
      </c>
      <c r="AK6" s="598">
        <f t="shared" ref="AK6:BJ6" si="65">SUM(AK14,AK22)</f>
        <v>0</v>
      </c>
      <c r="AL6" s="598" t="e">
        <f t="shared" si="65"/>
        <v>#VALUE!</v>
      </c>
      <c r="AM6" s="598" t="e">
        <f t="shared" si="65"/>
        <v>#VALUE!</v>
      </c>
      <c r="AN6" s="598" t="e">
        <f t="shared" si="65"/>
        <v>#VALUE!</v>
      </c>
      <c r="AO6" s="598" t="e">
        <f t="shared" si="65"/>
        <v>#VALUE!</v>
      </c>
      <c r="AP6" s="598" t="e">
        <f t="shared" si="65"/>
        <v>#VALUE!</v>
      </c>
      <c r="AQ6" s="598" t="e">
        <f t="shared" si="65"/>
        <v>#VALUE!</v>
      </c>
      <c r="AR6" s="598" t="e">
        <f t="shared" si="65"/>
        <v>#VALUE!</v>
      </c>
      <c r="AS6" s="598" t="e">
        <f t="shared" si="65"/>
        <v>#VALUE!</v>
      </c>
      <c r="AT6" s="598" t="e">
        <f t="shared" si="65"/>
        <v>#VALUE!</v>
      </c>
      <c r="AU6" s="598" t="e">
        <f t="shared" si="65"/>
        <v>#VALUE!</v>
      </c>
      <c r="AV6" s="598" t="e">
        <f t="shared" si="65"/>
        <v>#VALUE!</v>
      </c>
      <c r="AW6" s="598" t="e">
        <f t="shared" si="65"/>
        <v>#VALUE!</v>
      </c>
      <c r="AX6" s="598" t="e">
        <f t="shared" si="65"/>
        <v>#VALUE!</v>
      </c>
      <c r="AY6" s="598" t="e">
        <f t="shared" si="65"/>
        <v>#VALUE!</v>
      </c>
      <c r="AZ6" s="598" t="e">
        <f t="shared" si="65"/>
        <v>#VALUE!</v>
      </c>
      <c r="BA6" s="598" t="e">
        <f t="shared" si="65"/>
        <v>#VALUE!</v>
      </c>
      <c r="BB6" s="598" t="e">
        <f t="shared" si="65"/>
        <v>#VALUE!</v>
      </c>
      <c r="BC6" s="598" t="e">
        <f t="shared" si="65"/>
        <v>#VALUE!</v>
      </c>
      <c r="BD6" s="598" t="e">
        <f t="shared" si="65"/>
        <v>#VALUE!</v>
      </c>
      <c r="BE6" s="598" t="e">
        <f t="shared" si="65"/>
        <v>#VALUE!</v>
      </c>
      <c r="BF6" s="598" t="e">
        <f t="shared" si="65"/>
        <v>#VALUE!</v>
      </c>
      <c r="BG6" s="598" t="e">
        <f t="shared" si="65"/>
        <v>#VALUE!</v>
      </c>
      <c r="BH6" s="598" t="e">
        <f t="shared" si="65"/>
        <v>#VALUE!</v>
      </c>
      <c r="BI6" s="598" t="e">
        <f t="shared" si="65"/>
        <v>#VALUE!</v>
      </c>
      <c r="BJ6" s="598" t="e">
        <f t="shared" si="65"/>
        <v>#VALUE!</v>
      </c>
      <c r="BK6" s="509" t="e">
        <f t="shared" si="57"/>
        <v>#VALUE!</v>
      </c>
      <c r="BL6" s="497" t="e">
        <f t="shared" si="58"/>
        <v>#VALUE!</v>
      </c>
      <c r="BN6" s="314" t="e">
        <f t="shared" si="59"/>
        <v>#VALUE!</v>
      </c>
      <c r="BP6" s="490" t="s">
        <v>164</v>
      </c>
      <c r="BQ6" s="491" t="s">
        <v>162</v>
      </c>
      <c r="BR6" s="598">
        <f t="shared" ref="BR6:CQ6" si="66">SUM(BR14,BR22)</f>
        <v>0</v>
      </c>
      <c r="BS6" s="598" t="e">
        <f t="shared" si="66"/>
        <v>#VALUE!</v>
      </c>
      <c r="BT6" s="598" t="e">
        <f t="shared" si="66"/>
        <v>#VALUE!</v>
      </c>
      <c r="BU6" s="598" t="e">
        <f t="shared" si="66"/>
        <v>#VALUE!</v>
      </c>
      <c r="BV6" s="598" t="e">
        <f t="shared" si="66"/>
        <v>#VALUE!</v>
      </c>
      <c r="BW6" s="598" t="e">
        <f t="shared" si="66"/>
        <v>#VALUE!</v>
      </c>
      <c r="BX6" s="598" t="e">
        <f t="shared" si="66"/>
        <v>#VALUE!</v>
      </c>
      <c r="BY6" s="598" t="e">
        <f t="shared" si="66"/>
        <v>#VALUE!</v>
      </c>
      <c r="BZ6" s="598" t="e">
        <f t="shared" si="66"/>
        <v>#VALUE!</v>
      </c>
      <c r="CA6" s="598" t="e">
        <f t="shared" si="66"/>
        <v>#VALUE!</v>
      </c>
      <c r="CB6" s="598" t="e">
        <f t="shared" si="66"/>
        <v>#VALUE!</v>
      </c>
      <c r="CC6" s="598" t="e">
        <f t="shared" si="66"/>
        <v>#VALUE!</v>
      </c>
      <c r="CD6" s="598" t="e">
        <f t="shared" si="66"/>
        <v>#VALUE!</v>
      </c>
      <c r="CE6" s="598" t="e">
        <f t="shared" si="66"/>
        <v>#VALUE!</v>
      </c>
      <c r="CF6" s="598" t="e">
        <f t="shared" si="66"/>
        <v>#VALUE!</v>
      </c>
      <c r="CG6" s="598" t="e">
        <f t="shared" si="66"/>
        <v>#VALUE!</v>
      </c>
      <c r="CH6" s="598" t="e">
        <f t="shared" si="66"/>
        <v>#VALUE!</v>
      </c>
      <c r="CI6" s="598" t="e">
        <f t="shared" si="66"/>
        <v>#VALUE!</v>
      </c>
      <c r="CJ6" s="598" t="e">
        <f t="shared" si="66"/>
        <v>#VALUE!</v>
      </c>
      <c r="CK6" s="598" t="e">
        <f t="shared" si="66"/>
        <v>#VALUE!</v>
      </c>
      <c r="CL6" s="598" t="e">
        <f t="shared" si="66"/>
        <v>#VALUE!</v>
      </c>
      <c r="CM6" s="598" t="e">
        <f t="shared" si="66"/>
        <v>#VALUE!</v>
      </c>
      <c r="CN6" s="598" t="e">
        <f t="shared" si="66"/>
        <v>#VALUE!</v>
      </c>
      <c r="CO6" s="598" t="e">
        <f t="shared" si="66"/>
        <v>#VALUE!</v>
      </c>
      <c r="CP6" s="598" t="e">
        <f t="shared" si="66"/>
        <v>#VALUE!</v>
      </c>
      <c r="CQ6" s="598" t="e">
        <f t="shared" si="66"/>
        <v>#VALUE!</v>
      </c>
      <c r="CR6" s="509" t="e">
        <f t="shared" si="61"/>
        <v>#VALUE!</v>
      </c>
      <c r="CS6" s="497" t="e">
        <f t="shared" si="62"/>
        <v>#VALUE!</v>
      </c>
      <c r="CU6" s="314" t="e">
        <f t="shared" si="63"/>
        <v>#VALUE!</v>
      </c>
    </row>
    <row r="7" spans="1:112" ht="15">
      <c r="B7" s="490" t="s">
        <v>165</v>
      </c>
      <c r="C7" s="491" t="s">
        <v>162</v>
      </c>
      <c r="D7" s="598">
        <f t="shared" ref="D7:AC7" si="67">SUM(D15,D23)</f>
        <v>0</v>
      </c>
      <c r="E7" s="598" t="e">
        <f t="shared" si="67"/>
        <v>#VALUE!</v>
      </c>
      <c r="F7" s="598" t="e">
        <f t="shared" si="67"/>
        <v>#VALUE!</v>
      </c>
      <c r="G7" s="598" t="e">
        <f t="shared" si="67"/>
        <v>#VALUE!</v>
      </c>
      <c r="H7" s="598" t="e">
        <f t="shared" si="67"/>
        <v>#VALUE!</v>
      </c>
      <c r="I7" s="598" t="e">
        <f t="shared" si="67"/>
        <v>#VALUE!</v>
      </c>
      <c r="J7" s="598" t="e">
        <f t="shared" si="67"/>
        <v>#VALUE!</v>
      </c>
      <c r="K7" s="598" t="e">
        <f t="shared" si="67"/>
        <v>#VALUE!</v>
      </c>
      <c r="L7" s="598" t="e">
        <f t="shared" si="67"/>
        <v>#VALUE!</v>
      </c>
      <c r="M7" s="598" t="e">
        <f t="shared" si="67"/>
        <v>#VALUE!</v>
      </c>
      <c r="N7" s="598" t="e">
        <f t="shared" si="67"/>
        <v>#VALUE!</v>
      </c>
      <c r="O7" s="598" t="e">
        <f t="shared" si="67"/>
        <v>#VALUE!</v>
      </c>
      <c r="P7" s="598" t="e">
        <f t="shared" si="67"/>
        <v>#VALUE!</v>
      </c>
      <c r="Q7" s="598" t="e">
        <f t="shared" si="67"/>
        <v>#VALUE!</v>
      </c>
      <c r="R7" s="598" t="e">
        <f t="shared" si="67"/>
        <v>#VALUE!</v>
      </c>
      <c r="S7" s="598" t="e">
        <f t="shared" si="67"/>
        <v>#VALUE!</v>
      </c>
      <c r="T7" s="598" t="e">
        <f t="shared" si="67"/>
        <v>#VALUE!</v>
      </c>
      <c r="U7" s="598" t="e">
        <f t="shared" si="67"/>
        <v>#VALUE!</v>
      </c>
      <c r="V7" s="598" t="e">
        <f t="shared" si="67"/>
        <v>#VALUE!</v>
      </c>
      <c r="W7" s="598" t="e">
        <f t="shared" si="67"/>
        <v>#VALUE!</v>
      </c>
      <c r="X7" s="598" t="e">
        <f t="shared" si="67"/>
        <v>#VALUE!</v>
      </c>
      <c r="Y7" s="598" t="e">
        <f t="shared" si="67"/>
        <v>#VALUE!</v>
      </c>
      <c r="Z7" s="598" t="e">
        <f t="shared" si="67"/>
        <v>#VALUE!</v>
      </c>
      <c r="AA7" s="598" t="e">
        <f t="shared" si="67"/>
        <v>#VALUE!</v>
      </c>
      <c r="AB7" s="598" t="e">
        <f t="shared" si="67"/>
        <v>#VALUE!</v>
      </c>
      <c r="AC7" s="598" t="e">
        <f t="shared" si="67"/>
        <v>#VALUE!</v>
      </c>
      <c r="AD7" s="509" t="e">
        <f t="shared" si="53"/>
        <v>#VALUE!</v>
      </c>
      <c r="AE7" s="497" t="e">
        <f t="shared" si="54"/>
        <v>#VALUE!</v>
      </c>
      <c r="AG7" s="314" t="e">
        <f t="shared" si="55"/>
        <v>#VALUE!</v>
      </c>
      <c r="AI7" s="490" t="s">
        <v>165</v>
      </c>
      <c r="AJ7" s="491" t="s">
        <v>162</v>
      </c>
      <c r="AK7" s="598">
        <f t="shared" ref="AK7:BJ7" si="68">SUM(AK15,AK23)</f>
        <v>0</v>
      </c>
      <c r="AL7" s="598" t="e">
        <f t="shared" si="68"/>
        <v>#VALUE!</v>
      </c>
      <c r="AM7" s="598" t="e">
        <f t="shared" si="68"/>
        <v>#VALUE!</v>
      </c>
      <c r="AN7" s="598" t="e">
        <f t="shared" si="68"/>
        <v>#VALUE!</v>
      </c>
      <c r="AO7" s="598" t="e">
        <f t="shared" si="68"/>
        <v>#VALUE!</v>
      </c>
      <c r="AP7" s="598" t="e">
        <f t="shared" si="68"/>
        <v>#VALUE!</v>
      </c>
      <c r="AQ7" s="598" t="e">
        <f t="shared" si="68"/>
        <v>#VALUE!</v>
      </c>
      <c r="AR7" s="598" t="e">
        <f t="shared" si="68"/>
        <v>#VALUE!</v>
      </c>
      <c r="AS7" s="598" t="e">
        <f t="shared" si="68"/>
        <v>#VALUE!</v>
      </c>
      <c r="AT7" s="598" t="e">
        <f t="shared" si="68"/>
        <v>#VALUE!</v>
      </c>
      <c r="AU7" s="598" t="e">
        <f t="shared" si="68"/>
        <v>#VALUE!</v>
      </c>
      <c r="AV7" s="598" t="e">
        <f t="shared" si="68"/>
        <v>#VALUE!</v>
      </c>
      <c r="AW7" s="598" t="e">
        <f t="shared" si="68"/>
        <v>#VALUE!</v>
      </c>
      <c r="AX7" s="598" t="e">
        <f t="shared" si="68"/>
        <v>#VALUE!</v>
      </c>
      <c r="AY7" s="598" t="e">
        <f t="shared" si="68"/>
        <v>#VALUE!</v>
      </c>
      <c r="AZ7" s="598" t="e">
        <f t="shared" si="68"/>
        <v>#VALUE!</v>
      </c>
      <c r="BA7" s="598" t="e">
        <f t="shared" si="68"/>
        <v>#VALUE!</v>
      </c>
      <c r="BB7" s="598" t="e">
        <f t="shared" si="68"/>
        <v>#VALUE!</v>
      </c>
      <c r="BC7" s="598" t="e">
        <f t="shared" si="68"/>
        <v>#VALUE!</v>
      </c>
      <c r="BD7" s="598" t="e">
        <f t="shared" si="68"/>
        <v>#VALUE!</v>
      </c>
      <c r="BE7" s="598" t="e">
        <f t="shared" si="68"/>
        <v>#VALUE!</v>
      </c>
      <c r="BF7" s="598" t="e">
        <f t="shared" si="68"/>
        <v>#VALUE!</v>
      </c>
      <c r="BG7" s="598" t="e">
        <f t="shared" si="68"/>
        <v>#VALUE!</v>
      </c>
      <c r="BH7" s="598" t="e">
        <f t="shared" si="68"/>
        <v>#VALUE!</v>
      </c>
      <c r="BI7" s="598" t="e">
        <f t="shared" si="68"/>
        <v>#VALUE!</v>
      </c>
      <c r="BJ7" s="598" t="e">
        <f t="shared" si="68"/>
        <v>#VALUE!</v>
      </c>
      <c r="BK7" s="509" t="e">
        <f t="shared" si="57"/>
        <v>#VALUE!</v>
      </c>
      <c r="BL7" s="497" t="e">
        <f t="shared" si="58"/>
        <v>#VALUE!</v>
      </c>
      <c r="BN7" s="314" t="e">
        <f t="shared" si="59"/>
        <v>#VALUE!</v>
      </c>
      <c r="BP7" s="490" t="s">
        <v>165</v>
      </c>
      <c r="BQ7" s="491" t="s">
        <v>162</v>
      </c>
      <c r="BR7" s="598">
        <f t="shared" ref="BR7:CQ7" si="69">SUM(BR15,BR23)</f>
        <v>0</v>
      </c>
      <c r="BS7" s="598" t="e">
        <f t="shared" si="69"/>
        <v>#VALUE!</v>
      </c>
      <c r="BT7" s="598" t="e">
        <f t="shared" si="69"/>
        <v>#VALUE!</v>
      </c>
      <c r="BU7" s="598" t="e">
        <f t="shared" si="69"/>
        <v>#VALUE!</v>
      </c>
      <c r="BV7" s="598" t="e">
        <f t="shared" si="69"/>
        <v>#VALUE!</v>
      </c>
      <c r="BW7" s="598" t="e">
        <f t="shared" si="69"/>
        <v>#VALUE!</v>
      </c>
      <c r="BX7" s="598" t="e">
        <f t="shared" si="69"/>
        <v>#VALUE!</v>
      </c>
      <c r="BY7" s="598" t="e">
        <f t="shared" si="69"/>
        <v>#VALUE!</v>
      </c>
      <c r="BZ7" s="598" t="e">
        <f t="shared" si="69"/>
        <v>#VALUE!</v>
      </c>
      <c r="CA7" s="598" t="e">
        <f t="shared" si="69"/>
        <v>#VALUE!</v>
      </c>
      <c r="CB7" s="598" t="e">
        <f t="shared" si="69"/>
        <v>#VALUE!</v>
      </c>
      <c r="CC7" s="598" t="e">
        <f t="shared" si="69"/>
        <v>#VALUE!</v>
      </c>
      <c r="CD7" s="598" t="e">
        <f t="shared" si="69"/>
        <v>#VALUE!</v>
      </c>
      <c r="CE7" s="598" t="e">
        <f t="shared" si="69"/>
        <v>#VALUE!</v>
      </c>
      <c r="CF7" s="598" t="e">
        <f t="shared" si="69"/>
        <v>#VALUE!</v>
      </c>
      <c r="CG7" s="598" t="e">
        <f t="shared" si="69"/>
        <v>#VALUE!</v>
      </c>
      <c r="CH7" s="598" t="e">
        <f t="shared" si="69"/>
        <v>#VALUE!</v>
      </c>
      <c r="CI7" s="598" t="e">
        <f t="shared" si="69"/>
        <v>#VALUE!</v>
      </c>
      <c r="CJ7" s="598" t="e">
        <f t="shared" si="69"/>
        <v>#VALUE!</v>
      </c>
      <c r="CK7" s="598" t="e">
        <f t="shared" si="69"/>
        <v>#VALUE!</v>
      </c>
      <c r="CL7" s="598" t="e">
        <f t="shared" si="69"/>
        <v>#VALUE!</v>
      </c>
      <c r="CM7" s="598" t="e">
        <f t="shared" si="69"/>
        <v>#VALUE!</v>
      </c>
      <c r="CN7" s="598" t="e">
        <f t="shared" si="69"/>
        <v>#VALUE!</v>
      </c>
      <c r="CO7" s="598" t="e">
        <f t="shared" si="69"/>
        <v>#VALUE!</v>
      </c>
      <c r="CP7" s="598" t="e">
        <f t="shared" si="69"/>
        <v>#VALUE!</v>
      </c>
      <c r="CQ7" s="598" t="e">
        <f t="shared" si="69"/>
        <v>#VALUE!</v>
      </c>
      <c r="CR7" s="509" t="e">
        <f t="shared" si="61"/>
        <v>#VALUE!</v>
      </c>
      <c r="CS7" s="497" t="e">
        <f t="shared" si="62"/>
        <v>#VALUE!</v>
      </c>
      <c r="CU7" s="314" t="e">
        <f t="shared" si="63"/>
        <v>#VALUE!</v>
      </c>
    </row>
    <row r="8" spans="1:112" ht="15.75" thickBot="1">
      <c r="B8" s="490" t="s">
        <v>166</v>
      </c>
      <c r="C8" s="491" t="s">
        <v>162</v>
      </c>
      <c r="D8" s="598">
        <f t="shared" ref="D8:AC8" si="70">SUM(D16,D24)</f>
        <v>0</v>
      </c>
      <c r="E8" s="598" t="e">
        <f t="shared" si="70"/>
        <v>#VALUE!</v>
      </c>
      <c r="F8" s="598" t="e">
        <f t="shared" si="70"/>
        <v>#VALUE!</v>
      </c>
      <c r="G8" s="598" t="e">
        <f t="shared" si="70"/>
        <v>#VALUE!</v>
      </c>
      <c r="H8" s="598" t="e">
        <f t="shared" si="70"/>
        <v>#VALUE!</v>
      </c>
      <c r="I8" s="598" t="e">
        <f t="shared" si="70"/>
        <v>#VALUE!</v>
      </c>
      <c r="J8" s="598" t="e">
        <f t="shared" si="70"/>
        <v>#VALUE!</v>
      </c>
      <c r="K8" s="598" t="e">
        <f t="shared" si="70"/>
        <v>#VALUE!</v>
      </c>
      <c r="L8" s="598" t="e">
        <f t="shared" si="70"/>
        <v>#VALUE!</v>
      </c>
      <c r="M8" s="598" t="e">
        <f t="shared" si="70"/>
        <v>#VALUE!</v>
      </c>
      <c r="N8" s="598" t="e">
        <f t="shared" si="70"/>
        <v>#VALUE!</v>
      </c>
      <c r="O8" s="598" t="e">
        <f t="shared" si="70"/>
        <v>#VALUE!</v>
      </c>
      <c r="P8" s="598" t="e">
        <f t="shared" si="70"/>
        <v>#VALUE!</v>
      </c>
      <c r="Q8" s="598" t="e">
        <f t="shared" si="70"/>
        <v>#VALUE!</v>
      </c>
      <c r="R8" s="598" t="e">
        <f t="shared" si="70"/>
        <v>#VALUE!</v>
      </c>
      <c r="S8" s="598" t="e">
        <f t="shared" si="70"/>
        <v>#VALUE!</v>
      </c>
      <c r="T8" s="598" t="e">
        <f t="shared" si="70"/>
        <v>#VALUE!</v>
      </c>
      <c r="U8" s="598" t="e">
        <f t="shared" si="70"/>
        <v>#VALUE!</v>
      </c>
      <c r="V8" s="598" t="e">
        <f t="shared" si="70"/>
        <v>#VALUE!</v>
      </c>
      <c r="W8" s="598" t="e">
        <f t="shared" si="70"/>
        <v>#VALUE!</v>
      </c>
      <c r="X8" s="598" t="e">
        <f t="shared" si="70"/>
        <v>#VALUE!</v>
      </c>
      <c r="Y8" s="598" t="e">
        <f t="shared" si="70"/>
        <v>#VALUE!</v>
      </c>
      <c r="Z8" s="598" t="e">
        <f t="shared" si="70"/>
        <v>#VALUE!</v>
      </c>
      <c r="AA8" s="598" t="e">
        <f t="shared" si="70"/>
        <v>#VALUE!</v>
      </c>
      <c r="AB8" s="598" t="e">
        <f t="shared" si="70"/>
        <v>#VALUE!</v>
      </c>
      <c r="AC8" s="598" t="e">
        <f t="shared" si="70"/>
        <v>#VALUE!</v>
      </c>
      <c r="AD8" s="498" t="e">
        <f t="shared" si="53"/>
        <v>#VALUE!</v>
      </c>
      <c r="AE8" s="499" t="e">
        <f t="shared" si="54"/>
        <v>#VALUE!</v>
      </c>
      <c r="AG8" s="314" t="e">
        <f>ROUND(AE8,1)&amp;" tonnes "&amp;B8</f>
        <v>#VALUE!</v>
      </c>
      <c r="AI8" s="490" t="s">
        <v>166</v>
      </c>
      <c r="AJ8" s="491" t="s">
        <v>162</v>
      </c>
      <c r="AK8" s="598">
        <f t="shared" ref="AK8:BJ8" si="71">SUM(AK16,AK24)</f>
        <v>0</v>
      </c>
      <c r="AL8" s="598" t="e">
        <f t="shared" si="71"/>
        <v>#VALUE!</v>
      </c>
      <c r="AM8" s="598" t="e">
        <f t="shared" si="71"/>
        <v>#VALUE!</v>
      </c>
      <c r="AN8" s="598" t="e">
        <f t="shared" si="71"/>
        <v>#VALUE!</v>
      </c>
      <c r="AO8" s="598" t="e">
        <f t="shared" si="71"/>
        <v>#VALUE!</v>
      </c>
      <c r="AP8" s="598" t="e">
        <f t="shared" si="71"/>
        <v>#VALUE!</v>
      </c>
      <c r="AQ8" s="598" t="e">
        <f t="shared" si="71"/>
        <v>#VALUE!</v>
      </c>
      <c r="AR8" s="598" t="e">
        <f t="shared" si="71"/>
        <v>#VALUE!</v>
      </c>
      <c r="AS8" s="598" t="e">
        <f t="shared" si="71"/>
        <v>#VALUE!</v>
      </c>
      <c r="AT8" s="598" t="e">
        <f t="shared" si="71"/>
        <v>#VALUE!</v>
      </c>
      <c r="AU8" s="598" t="e">
        <f t="shared" si="71"/>
        <v>#VALUE!</v>
      </c>
      <c r="AV8" s="598" t="e">
        <f t="shared" si="71"/>
        <v>#VALUE!</v>
      </c>
      <c r="AW8" s="598" t="e">
        <f t="shared" si="71"/>
        <v>#VALUE!</v>
      </c>
      <c r="AX8" s="598" t="e">
        <f t="shared" si="71"/>
        <v>#VALUE!</v>
      </c>
      <c r="AY8" s="598" t="e">
        <f t="shared" si="71"/>
        <v>#VALUE!</v>
      </c>
      <c r="AZ8" s="598" t="e">
        <f t="shared" si="71"/>
        <v>#VALUE!</v>
      </c>
      <c r="BA8" s="598" t="e">
        <f t="shared" si="71"/>
        <v>#VALUE!</v>
      </c>
      <c r="BB8" s="598" t="e">
        <f t="shared" si="71"/>
        <v>#VALUE!</v>
      </c>
      <c r="BC8" s="598" t="e">
        <f t="shared" si="71"/>
        <v>#VALUE!</v>
      </c>
      <c r="BD8" s="598" t="e">
        <f t="shared" si="71"/>
        <v>#VALUE!</v>
      </c>
      <c r="BE8" s="598" t="e">
        <f t="shared" si="71"/>
        <v>#VALUE!</v>
      </c>
      <c r="BF8" s="598" t="e">
        <f t="shared" si="71"/>
        <v>#VALUE!</v>
      </c>
      <c r="BG8" s="598" t="e">
        <f t="shared" si="71"/>
        <v>#VALUE!</v>
      </c>
      <c r="BH8" s="598" t="e">
        <f t="shared" si="71"/>
        <v>#VALUE!</v>
      </c>
      <c r="BI8" s="598" t="e">
        <f t="shared" si="71"/>
        <v>#VALUE!</v>
      </c>
      <c r="BJ8" s="598" t="e">
        <f t="shared" si="71"/>
        <v>#VALUE!</v>
      </c>
      <c r="BK8" s="498" t="e">
        <f t="shared" si="57"/>
        <v>#VALUE!</v>
      </c>
      <c r="BL8" s="499" t="e">
        <f t="shared" si="58"/>
        <v>#VALUE!</v>
      </c>
      <c r="BN8" s="314" t="e">
        <f>ROUND(BL8,1)&amp;" tonnes "&amp;AI8</f>
        <v>#VALUE!</v>
      </c>
      <c r="BP8" s="490" t="s">
        <v>166</v>
      </c>
      <c r="BQ8" s="491" t="s">
        <v>162</v>
      </c>
      <c r="BR8" s="598">
        <f t="shared" ref="BR8:CQ8" si="72">SUM(BR16,BR24)</f>
        <v>0</v>
      </c>
      <c r="BS8" s="598" t="e">
        <f t="shared" si="72"/>
        <v>#VALUE!</v>
      </c>
      <c r="BT8" s="598" t="e">
        <f t="shared" si="72"/>
        <v>#VALUE!</v>
      </c>
      <c r="BU8" s="598" t="e">
        <f t="shared" si="72"/>
        <v>#VALUE!</v>
      </c>
      <c r="BV8" s="598" t="e">
        <f t="shared" si="72"/>
        <v>#VALUE!</v>
      </c>
      <c r="BW8" s="598" t="e">
        <f t="shared" si="72"/>
        <v>#VALUE!</v>
      </c>
      <c r="BX8" s="598" t="e">
        <f t="shared" si="72"/>
        <v>#VALUE!</v>
      </c>
      <c r="BY8" s="598" t="e">
        <f t="shared" si="72"/>
        <v>#VALUE!</v>
      </c>
      <c r="BZ8" s="598" t="e">
        <f t="shared" si="72"/>
        <v>#VALUE!</v>
      </c>
      <c r="CA8" s="598" t="e">
        <f t="shared" si="72"/>
        <v>#VALUE!</v>
      </c>
      <c r="CB8" s="598" t="e">
        <f t="shared" si="72"/>
        <v>#VALUE!</v>
      </c>
      <c r="CC8" s="598" t="e">
        <f t="shared" si="72"/>
        <v>#VALUE!</v>
      </c>
      <c r="CD8" s="598" t="e">
        <f t="shared" si="72"/>
        <v>#VALUE!</v>
      </c>
      <c r="CE8" s="598" t="e">
        <f t="shared" si="72"/>
        <v>#VALUE!</v>
      </c>
      <c r="CF8" s="598" t="e">
        <f t="shared" si="72"/>
        <v>#VALUE!</v>
      </c>
      <c r="CG8" s="598" t="e">
        <f t="shared" si="72"/>
        <v>#VALUE!</v>
      </c>
      <c r="CH8" s="598" t="e">
        <f t="shared" si="72"/>
        <v>#VALUE!</v>
      </c>
      <c r="CI8" s="598" t="e">
        <f t="shared" si="72"/>
        <v>#VALUE!</v>
      </c>
      <c r="CJ8" s="598" t="e">
        <f t="shared" si="72"/>
        <v>#VALUE!</v>
      </c>
      <c r="CK8" s="598" t="e">
        <f t="shared" si="72"/>
        <v>#VALUE!</v>
      </c>
      <c r="CL8" s="598" t="e">
        <f t="shared" si="72"/>
        <v>#VALUE!</v>
      </c>
      <c r="CM8" s="598" t="e">
        <f t="shared" si="72"/>
        <v>#VALUE!</v>
      </c>
      <c r="CN8" s="598" t="e">
        <f t="shared" si="72"/>
        <v>#VALUE!</v>
      </c>
      <c r="CO8" s="598" t="e">
        <f t="shared" si="72"/>
        <v>#VALUE!</v>
      </c>
      <c r="CP8" s="598" t="e">
        <f t="shared" si="72"/>
        <v>#VALUE!</v>
      </c>
      <c r="CQ8" s="598" t="e">
        <f t="shared" si="72"/>
        <v>#VALUE!</v>
      </c>
      <c r="CR8" s="498" t="e">
        <f t="shared" si="61"/>
        <v>#VALUE!</v>
      </c>
      <c r="CS8" s="499" t="e">
        <f t="shared" si="62"/>
        <v>#VALUE!</v>
      </c>
      <c r="CU8" s="314" t="e">
        <f>ROUND(CS8,1)&amp;" tonnes "&amp;BP8</f>
        <v>#VALUE!</v>
      </c>
    </row>
    <row r="9" spans="1:112" ht="15" thickBot="1"/>
    <row r="10" spans="1:112" ht="17.25" thickTop="1" thickBot="1">
      <c r="B10" s="782" t="s">
        <v>141</v>
      </c>
      <c r="C10" s="783"/>
      <c r="D10" s="777"/>
      <c r="E10" s="778"/>
      <c r="F10" s="778"/>
      <c r="G10" s="778"/>
      <c r="H10" s="778"/>
      <c r="I10" s="778"/>
      <c r="J10" s="778"/>
      <c r="K10" s="778"/>
      <c r="L10" s="778"/>
      <c r="M10" s="778"/>
      <c r="N10" s="778"/>
      <c r="O10" s="778"/>
      <c r="P10" s="778"/>
      <c r="Q10" s="778"/>
      <c r="R10" s="778"/>
      <c r="S10" s="778"/>
      <c r="T10" s="778"/>
      <c r="U10" s="778"/>
      <c r="V10" s="778"/>
      <c r="W10" s="778"/>
      <c r="X10" s="778"/>
      <c r="Y10" s="778"/>
      <c r="Z10" s="778"/>
      <c r="AA10" s="778"/>
      <c r="AB10" s="778"/>
      <c r="AC10" s="779"/>
      <c r="AD10" s="780" t="s">
        <v>156</v>
      </c>
      <c r="AE10" s="781"/>
      <c r="AI10" s="784" t="s">
        <v>141</v>
      </c>
      <c r="AJ10" s="785"/>
      <c r="AK10" s="777"/>
      <c r="AL10" s="778"/>
      <c r="AM10" s="778"/>
      <c r="AN10" s="778"/>
      <c r="AO10" s="778"/>
      <c r="AP10" s="778"/>
      <c r="AQ10" s="778"/>
      <c r="AR10" s="778"/>
      <c r="AS10" s="778"/>
      <c r="AT10" s="778"/>
      <c r="AU10" s="778"/>
      <c r="AV10" s="778"/>
      <c r="AW10" s="778"/>
      <c r="AX10" s="778"/>
      <c r="AY10" s="778"/>
      <c r="AZ10" s="778"/>
      <c r="BA10" s="778"/>
      <c r="BB10" s="778"/>
      <c r="BC10" s="778"/>
      <c r="BD10" s="778"/>
      <c r="BE10" s="778"/>
      <c r="BF10" s="778"/>
      <c r="BG10" s="778"/>
      <c r="BH10" s="778"/>
      <c r="BI10" s="778"/>
      <c r="BJ10" s="779"/>
      <c r="BK10" s="780" t="s">
        <v>156</v>
      </c>
      <c r="BL10" s="781"/>
      <c r="BP10" s="784" t="s">
        <v>141</v>
      </c>
      <c r="BQ10" s="785"/>
      <c r="BR10" s="777"/>
      <c r="BS10" s="778"/>
      <c r="BT10" s="778"/>
      <c r="BU10" s="778"/>
      <c r="BV10" s="778"/>
      <c r="BW10" s="778"/>
      <c r="BX10" s="778"/>
      <c r="BY10" s="778"/>
      <c r="BZ10" s="778"/>
      <c r="CA10" s="778"/>
      <c r="CB10" s="778"/>
      <c r="CC10" s="778"/>
      <c r="CD10" s="778"/>
      <c r="CE10" s="778"/>
      <c r="CF10" s="778"/>
      <c r="CG10" s="778"/>
      <c r="CH10" s="778"/>
      <c r="CI10" s="778"/>
      <c r="CJ10" s="778"/>
      <c r="CK10" s="778"/>
      <c r="CL10" s="778"/>
      <c r="CM10" s="778"/>
      <c r="CN10" s="778"/>
      <c r="CO10" s="778"/>
      <c r="CP10" s="778"/>
      <c r="CQ10" s="779"/>
      <c r="CR10" s="780" t="s">
        <v>156</v>
      </c>
      <c r="CS10" s="781"/>
    </row>
    <row r="11" spans="1:112" ht="15" thickBot="1">
      <c r="B11" s="267" t="s">
        <v>157</v>
      </c>
      <c r="C11" s="268" t="s">
        <v>158</v>
      </c>
      <c r="D11" s="277">
        <v>2025</v>
      </c>
      <c r="E11" s="278">
        <f>D11+1</f>
        <v>2026</v>
      </c>
      <c r="F11" s="278">
        <f t="shared" ref="F11" si="73">E11+1</f>
        <v>2027</v>
      </c>
      <c r="G11" s="278">
        <f t="shared" ref="G11" si="74">F11+1</f>
        <v>2028</v>
      </c>
      <c r="H11" s="278">
        <f t="shared" ref="H11" si="75">G11+1</f>
        <v>2029</v>
      </c>
      <c r="I11" s="278">
        <f t="shared" ref="I11" si="76">H11+1</f>
        <v>2030</v>
      </c>
      <c r="J11" s="278">
        <f t="shared" ref="J11" si="77">I11+1</f>
        <v>2031</v>
      </c>
      <c r="K11" s="278">
        <f t="shared" ref="K11" si="78">J11+1</f>
        <v>2032</v>
      </c>
      <c r="L11" s="278">
        <f t="shared" ref="L11" si="79">K11+1</f>
        <v>2033</v>
      </c>
      <c r="M11" s="278">
        <f t="shared" ref="M11" si="80">L11+1</f>
        <v>2034</v>
      </c>
      <c r="N11" s="278">
        <f t="shared" ref="N11" si="81">M11+1</f>
        <v>2035</v>
      </c>
      <c r="O11" s="278">
        <f t="shared" ref="O11" si="82">N11+1</f>
        <v>2036</v>
      </c>
      <c r="P11" s="278">
        <f t="shared" ref="P11" si="83">O11+1</f>
        <v>2037</v>
      </c>
      <c r="Q11" s="278">
        <f t="shared" ref="Q11" si="84">P11+1</f>
        <v>2038</v>
      </c>
      <c r="R11" s="278">
        <f t="shared" ref="R11" si="85">Q11+1</f>
        <v>2039</v>
      </c>
      <c r="S11" s="278">
        <f t="shared" ref="S11" si="86">R11+1</f>
        <v>2040</v>
      </c>
      <c r="T11" s="278">
        <f t="shared" ref="T11" si="87">S11+1</f>
        <v>2041</v>
      </c>
      <c r="U11" s="278">
        <f t="shared" ref="U11" si="88">T11+1</f>
        <v>2042</v>
      </c>
      <c r="V11" s="278">
        <f t="shared" ref="V11" si="89">U11+1</f>
        <v>2043</v>
      </c>
      <c r="W11" s="278">
        <f t="shared" ref="W11" si="90">V11+1</f>
        <v>2044</v>
      </c>
      <c r="X11" s="278">
        <f t="shared" ref="X11" si="91">W11+1</f>
        <v>2045</v>
      </c>
      <c r="Y11" s="278">
        <f t="shared" ref="Y11" si="92">X11+1</f>
        <v>2046</v>
      </c>
      <c r="Z11" s="278">
        <f t="shared" ref="Z11" si="93">Y11+1</f>
        <v>2047</v>
      </c>
      <c r="AA11" s="278">
        <f t="shared" ref="AA11" si="94">Z11+1</f>
        <v>2048</v>
      </c>
      <c r="AB11" s="278">
        <f t="shared" ref="AB11" si="95">AA11+1</f>
        <v>2049</v>
      </c>
      <c r="AC11" s="279">
        <f t="shared" ref="AC11" si="96">AB11+1</f>
        <v>2050</v>
      </c>
      <c r="AD11" s="493" t="s">
        <v>159</v>
      </c>
      <c r="AE11" s="494" t="s">
        <v>160</v>
      </c>
      <c r="AI11" s="267" t="s">
        <v>157</v>
      </c>
      <c r="AJ11" s="268" t="s">
        <v>158</v>
      </c>
      <c r="AK11" s="277">
        <v>2025</v>
      </c>
      <c r="AL11" s="278">
        <f>AK11+1</f>
        <v>2026</v>
      </c>
      <c r="AM11" s="278">
        <f t="shared" ref="AM11" si="97">AL11+1</f>
        <v>2027</v>
      </c>
      <c r="AN11" s="278">
        <f t="shared" ref="AN11" si="98">AM11+1</f>
        <v>2028</v>
      </c>
      <c r="AO11" s="278">
        <f t="shared" ref="AO11" si="99">AN11+1</f>
        <v>2029</v>
      </c>
      <c r="AP11" s="278">
        <f t="shared" ref="AP11" si="100">AO11+1</f>
        <v>2030</v>
      </c>
      <c r="AQ11" s="278">
        <f t="shared" ref="AQ11" si="101">AP11+1</f>
        <v>2031</v>
      </c>
      <c r="AR11" s="278">
        <f t="shared" ref="AR11" si="102">AQ11+1</f>
        <v>2032</v>
      </c>
      <c r="AS11" s="278">
        <f t="shared" ref="AS11" si="103">AR11+1</f>
        <v>2033</v>
      </c>
      <c r="AT11" s="278">
        <f t="shared" ref="AT11" si="104">AS11+1</f>
        <v>2034</v>
      </c>
      <c r="AU11" s="278">
        <f t="shared" ref="AU11" si="105">AT11+1</f>
        <v>2035</v>
      </c>
      <c r="AV11" s="278">
        <f t="shared" ref="AV11" si="106">AU11+1</f>
        <v>2036</v>
      </c>
      <c r="AW11" s="278">
        <f t="shared" ref="AW11" si="107">AV11+1</f>
        <v>2037</v>
      </c>
      <c r="AX11" s="278">
        <f t="shared" ref="AX11" si="108">AW11+1</f>
        <v>2038</v>
      </c>
      <c r="AY11" s="278">
        <f t="shared" ref="AY11" si="109">AX11+1</f>
        <v>2039</v>
      </c>
      <c r="AZ11" s="278">
        <f t="shared" ref="AZ11" si="110">AY11+1</f>
        <v>2040</v>
      </c>
      <c r="BA11" s="278">
        <f t="shared" ref="BA11" si="111">AZ11+1</f>
        <v>2041</v>
      </c>
      <c r="BB11" s="278">
        <f t="shared" ref="BB11" si="112">BA11+1</f>
        <v>2042</v>
      </c>
      <c r="BC11" s="278">
        <f t="shared" ref="BC11" si="113">BB11+1</f>
        <v>2043</v>
      </c>
      <c r="BD11" s="278">
        <f t="shared" ref="BD11" si="114">BC11+1</f>
        <v>2044</v>
      </c>
      <c r="BE11" s="278">
        <f t="shared" ref="BE11" si="115">BD11+1</f>
        <v>2045</v>
      </c>
      <c r="BF11" s="278">
        <f t="shared" ref="BF11" si="116">BE11+1</f>
        <v>2046</v>
      </c>
      <c r="BG11" s="278">
        <f t="shared" ref="BG11" si="117">BF11+1</f>
        <v>2047</v>
      </c>
      <c r="BH11" s="278">
        <f t="shared" ref="BH11" si="118">BG11+1</f>
        <v>2048</v>
      </c>
      <c r="BI11" s="278">
        <f t="shared" ref="BI11" si="119">BH11+1</f>
        <v>2049</v>
      </c>
      <c r="BJ11" s="279">
        <f t="shared" ref="BJ11" si="120">BI11+1</f>
        <v>2050</v>
      </c>
      <c r="BK11" s="493" t="s">
        <v>159</v>
      </c>
      <c r="BL11" s="494" t="s">
        <v>160</v>
      </c>
      <c r="BP11" s="267" t="s">
        <v>157</v>
      </c>
      <c r="BQ11" s="268" t="s">
        <v>158</v>
      </c>
      <c r="BR11" s="277">
        <v>2025</v>
      </c>
      <c r="BS11" s="278">
        <f>BR11+1</f>
        <v>2026</v>
      </c>
      <c r="BT11" s="278">
        <f t="shared" ref="BT11" si="121">BS11+1</f>
        <v>2027</v>
      </c>
      <c r="BU11" s="278">
        <f t="shared" ref="BU11" si="122">BT11+1</f>
        <v>2028</v>
      </c>
      <c r="BV11" s="278">
        <f t="shared" ref="BV11" si="123">BU11+1</f>
        <v>2029</v>
      </c>
      <c r="BW11" s="278">
        <f t="shared" ref="BW11" si="124">BV11+1</f>
        <v>2030</v>
      </c>
      <c r="BX11" s="278">
        <f t="shared" ref="BX11" si="125">BW11+1</f>
        <v>2031</v>
      </c>
      <c r="BY11" s="278">
        <f t="shared" ref="BY11" si="126">BX11+1</f>
        <v>2032</v>
      </c>
      <c r="BZ11" s="278">
        <f t="shared" ref="BZ11" si="127">BY11+1</f>
        <v>2033</v>
      </c>
      <c r="CA11" s="278">
        <f t="shared" ref="CA11" si="128">BZ11+1</f>
        <v>2034</v>
      </c>
      <c r="CB11" s="278">
        <f t="shared" ref="CB11" si="129">CA11+1</f>
        <v>2035</v>
      </c>
      <c r="CC11" s="278">
        <f t="shared" ref="CC11" si="130">CB11+1</f>
        <v>2036</v>
      </c>
      <c r="CD11" s="278">
        <f t="shared" ref="CD11" si="131">CC11+1</f>
        <v>2037</v>
      </c>
      <c r="CE11" s="278">
        <f t="shared" ref="CE11" si="132">CD11+1</f>
        <v>2038</v>
      </c>
      <c r="CF11" s="278">
        <f t="shared" ref="CF11" si="133">CE11+1</f>
        <v>2039</v>
      </c>
      <c r="CG11" s="278">
        <f t="shared" ref="CG11" si="134">CF11+1</f>
        <v>2040</v>
      </c>
      <c r="CH11" s="278">
        <f t="shared" ref="CH11" si="135">CG11+1</f>
        <v>2041</v>
      </c>
      <c r="CI11" s="278">
        <f t="shared" ref="CI11" si="136">CH11+1</f>
        <v>2042</v>
      </c>
      <c r="CJ11" s="278">
        <f t="shared" ref="CJ11" si="137">CI11+1</f>
        <v>2043</v>
      </c>
      <c r="CK11" s="278">
        <f t="shared" ref="CK11" si="138">CJ11+1</f>
        <v>2044</v>
      </c>
      <c r="CL11" s="278">
        <f t="shared" ref="CL11" si="139">CK11+1</f>
        <v>2045</v>
      </c>
      <c r="CM11" s="278">
        <f t="shared" ref="CM11" si="140">CL11+1</f>
        <v>2046</v>
      </c>
      <c r="CN11" s="278">
        <f t="shared" ref="CN11" si="141">CM11+1</f>
        <v>2047</v>
      </c>
      <c r="CO11" s="278">
        <f t="shared" ref="CO11" si="142">CN11+1</f>
        <v>2048</v>
      </c>
      <c r="CP11" s="278">
        <f t="shared" ref="CP11" si="143">CO11+1</f>
        <v>2049</v>
      </c>
      <c r="CQ11" s="279">
        <f t="shared" ref="CQ11" si="144">CP11+1</f>
        <v>2050</v>
      </c>
      <c r="CR11" s="493" t="s">
        <v>159</v>
      </c>
      <c r="CS11" s="494" t="s">
        <v>160</v>
      </c>
    </row>
    <row r="12" spans="1:112">
      <c r="B12" s="490" t="s">
        <v>161</v>
      </c>
      <c r="C12" s="491" t="s">
        <v>162</v>
      </c>
      <c r="D12" s="598">
        <f>'3. CoolingHeating Centers'!C89</f>
        <v>0</v>
      </c>
      <c r="E12" s="598" t="e">
        <f>'3. CoolingHeating Centers'!D89</f>
        <v>#VALUE!</v>
      </c>
      <c r="F12" s="598" t="e">
        <f>'3. CoolingHeating Centers'!E89</f>
        <v>#VALUE!</v>
      </c>
      <c r="G12" s="598" t="e">
        <f>'3. CoolingHeating Centers'!F89</f>
        <v>#VALUE!</v>
      </c>
      <c r="H12" s="598" t="e">
        <f>'3. CoolingHeating Centers'!G89</f>
        <v>#VALUE!</v>
      </c>
      <c r="I12" s="598" t="e">
        <f>'3. CoolingHeating Centers'!H89</f>
        <v>#VALUE!</v>
      </c>
      <c r="J12" s="598" t="e">
        <f>'3. CoolingHeating Centers'!I89</f>
        <v>#VALUE!</v>
      </c>
      <c r="K12" s="598" t="e">
        <f>'3. CoolingHeating Centers'!J89</f>
        <v>#VALUE!</v>
      </c>
      <c r="L12" s="598" t="e">
        <f>'3. CoolingHeating Centers'!K89</f>
        <v>#VALUE!</v>
      </c>
      <c r="M12" s="598" t="e">
        <f>'3. CoolingHeating Centers'!L89</f>
        <v>#VALUE!</v>
      </c>
      <c r="N12" s="598" t="e">
        <f>'3. CoolingHeating Centers'!M89</f>
        <v>#VALUE!</v>
      </c>
      <c r="O12" s="598" t="e">
        <f>'3. CoolingHeating Centers'!N89</f>
        <v>#VALUE!</v>
      </c>
      <c r="P12" s="598" t="e">
        <f>'3. CoolingHeating Centers'!O89</f>
        <v>#VALUE!</v>
      </c>
      <c r="Q12" s="598" t="e">
        <f>'3. CoolingHeating Centers'!P89</f>
        <v>#VALUE!</v>
      </c>
      <c r="R12" s="598" t="e">
        <f>'3. CoolingHeating Centers'!Q89</f>
        <v>#VALUE!</v>
      </c>
      <c r="S12" s="598" t="e">
        <f>'3. CoolingHeating Centers'!R89</f>
        <v>#VALUE!</v>
      </c>
      <c r="T12" s="598" t="e">
        <f>'3. CoolingHeating Centers'!S89</f>
        <v>#VALUE!</v>
      </c>
      <c r="U12" s="598" t="e">
        <f>'3. CoolingHeating Centers'!T89</f>
        <v>#VALUE!</v>
      </c>
      <c r="V12" s="598" t="e">
        <f>'3. CoolingHeating Centers'!U89</f>
        <v>#VALUE!</v>
      </c>
      <c r="W12" s="598" t="e">
        <f>'3. CoolingHeating Centers'!V89</f>
        <v>#VALUE!</v>
      </c>
      <c r="X12" s="598" t="e">
        <f>'3. CoolingHeating Centers'!W89</f>
        <v>#VALUE!</v>
      </c>
      <c r="Y12" s="598" t="e">
        <f>'3. CoolingHeating Centers'!X89</f>
        <v>#VALUE!</v>
      </c>
      <c r="Z12" s="598" t="e">
        <f>'3. CoolingHeating Centers'!Y89</f>
        <v>#VALUE!</v>
      </c>
      <c r="AA12" s="598" t="e">
        <f>'3. CoolingHeating Centers'!Z89</f>
        <v>#VALUE!</v>
      </c>
      <c r="AB12" s="598" t="e">
        <f>'3. CoolingHeating Centers'!AA89</f>
        <v>#VALUE!</v>
      </c>
      <c r="AC12" s="598" t="e">
        <f>'3. CoolingHeating Centers'!AB89</f>
        <v>#VALUE!</v>
      </c>
      <c r="AD12" s="495" t="e">
        <f>SUM(D12:I12)</f>
        <v>#VALUE!</v>
      </c>
      <c r="AE12" s="496" t="e">
        <f>SUM(D12:AC12)</f>
        <v>#VALUE!</v>
      </c>
      <c r="AI12" s="490" t="s">
        <v>161</v>
      </c>
      <c r="AJ12" s="491" t="s">
        <v>162</v>
      </c>
      <c r="AK12" s="598">
        <f>'3. CoolingHeating Centers'!C97</f>
        <v>0</v>
      </c>
      <c r="AL12" s="598" t="e">
        <f>'3. CoolingHeating Centers'!D97</f>
        <v>#VALUE!</v>
      </c>
      <c r="AM12" s="598" t="e">
        <f>'3. CoolingHeating Centers'!E97</f>
        <v>#VALUE!</v>
      </c>
      <c r="AN12" s="598" t="e">
        <f>'3. CoolingHeating Centers'!F97</f>
        <v>#VALUE!</v>
      </c>
      <c r="AO12" s="598" t="e">
        <f>'3. CoolingHeating Centers'!G97</f>
        <v>#VALUE!</v>
      </c>
      <c r="AP12" s="598" t="e">
        <f>'3. CoolingHeating Centers'!H97</f>
        <v>#VALUE!</v>
      </c>
      <c r="AQ12" s="598" t="e">
        <f>'3. CoolingHeating Centers'!I97</f>
        <v>#VALUE!</v>
      </c>
      <c r="AR12" s="598" t="e">
        <f>'3. CoolingHeating Centers'!J97</f>
        <v>#VALUE!</v>
      </c>
      <c r="AS12" s="598" t="e">
        <f>'3. CoolingHeating Centers'!K97</f>
        <v>#VALUE!</v>
      </c>
      <c r="AT12" s="598" t="e">
        <f>'3. CoolingHeating Centers'!L97</f>
        <v>#VALUE!</v>
      </c>
      <c r="AU12" s="598" t="e">
        <f>'3. CoolingHeating Centers'!M97</f>
        <v>#VALUE!</v>
      </c>
      <c r="AV12" s="598" t="e">
        <f>'3. CoolingHeating Centers'!N97</f>
        <v>#VALUE!</v>
      </c>
      <c r="AW12" s="598" t="e">
        <f>'3. CoolingHeating Centers'!O97</f>
        <v>#VALUE!</v>
      </c>
      <c r="AX12" s="598" t="e">
        <f>'3. CoolingHeating Centers'!P97</f>
        <v>#VALUE!</v>
      </c>
      <c r="AY12" s="598" t="e">
        <f>'3. CoolingHeating Centers'!Q97</f>
        <v>#VALUE!</v>
      </c>
      <c r="AZ12" s="598" t="e">
        <f>'3. CoolingHeating Centers'!R97</f>
        <v>#VALUE!</v>
      </c>
      <c r="BA12" s="598" t="e">
        <f>'3. CoolingHeating Centers'!S97</f>
        <v>#VALUE!</v>
      </c>
      <c r="BB12" s="598" t="e">
        <f>'3. CoolingHeating Centers'!T97</f>
        <v>#VALUE!</v>
      </c>
      <c r="BC12" s="598" t="e">
        <f>'3. CoolingHeating Centers'!U97</f>
        <v>#VALUE!</v>
      </c>
      <c r="BD12" s="598" t="e">
        <f>'3. CoolingHeating Centers'!V97</f>
        <v>#VALUE!</v>
      </c>
      <c r="BE12" s="598" t="e">
        <f>'3. CoolingHeating Centers'!W97</f>
        <v>#VALUE!</v>
      </c>
      <c r="BF12" s="598" t="e">
        <f>'3. CoolingHeating Centers'!X97</f>
        <v>#VALUE!</v>
      </c>
      <c r="BG12" s="598" t="e">
        <f>'3. CoolingHeating Centers'!Y97</f>
        <v>#VALUE!</v>
      </c>
      <c r="BH12" s="598" t="e">
        <f>'3. CoolingHeating Centers'!Z97</f>
        <v>#VALUE!</v>
      </c>
      <c r="BI12" s="598" t="e">
        <f>'3. CoolingHeating Centers'!AA97</f>
        <v>#VALUE!</v>
      </c>
      <c r="BJ12" s="598" t="e">
        <f>'3. CoolingHeating Centers'!AB97</f>
        <v>#VALUE!</v>
      </c>
      <c r="BK12" s="495" t="e">
        <f>SUM(AK12:AP12)</f>
        <v>#VALUE!</v>
      </c>
      <c r="BL12" s="496" t="e">
        <f>SUM(AK12:BJ12)</f>
        <v>#VALUE!</v>
      </c>
      <c r="BP12" s="490" t="s">
        <v>161</v>
      </c>
      <c r="BQ12" s="491" t="s">
        <v>162</v>
      </c>
      <c r="BR12" s="598">
        <f>'3. CoolingHeating Centers'!C105</f>
        <v>0</v>
      </c>
      <c r="BS12" s="598" t="e">
        <f>'3. CoolingHeating Centers'!D105</f>
        <v>#VALUE!</v>
      </c>
      <c r="BT12" s="598" t="e">
        <f>'3. CoolingHeating Centers'!E105</f>
        <v>#VALUE!</v>
      </c>
      <c r="BU12" s="598" t="e">
        <f>'3. CoolingHeating Centers'!F105</f>
        <v>#VALUE!</v>
      </c>
      <c r="BV12" s="598" t="e">
        <f>'3. CoolingHeating Centers'!G105</f>
        <v>#VALUE!</v>
      </c>
      <c r="BW12" s="598" t="e">
        <f>'3. CoolingHeating Centers'!H105</f>
        <v>#VALUE!</v>
      </c>
      <c r="BX12" s="598" t="e">
        <f>'3. CoolingHeating Centers'!I105</f>
        <v>#VALUE!</v>
      </c>
      <c r="BY12" s="598" t="e">
        <f>'3. CoolingHeating Centers'!J105</f>
        <v>#VALUE!</v>
      </c>
      <c r="BZ12" s="598" t="e">
        <f>'3. CoolingHeating Centers'!K105</f>
        <v>#VALUE!</v>
      </c>
      <c r="CA12" s="598" t="e">
        <f>'3. CoolingHeating Centers'!L105</f>
        <v>#VALUE!</v>
      </c>
      <c r="CB12" s="598" t="e">
        <f>'3. CoolingHeating Centers'!M105</f>
        <v>#VALUE!</v>
      </c>
      <c r="CC12" s="598" t="e">
        <f>'3. CoolingHeating Centers'!N105</f>
        <v>#VALUE!</v>
      </c>
      <c r="CD12" s="598" t="e">
        <f>'3. CoolingHeating Centers'!O105</f>
        <v>#VALUE!</v>
      </c>
      <c r="CE12" s="598" t="e">
        <f>'3. CoolingHeating Centers'!P105</f>
        <v>#VALUE!</v>
      </c>
      <c r="CF12" s="598" t="e">
        <f>'3. CoolingHeating Centers'!Q105</f>
        <v>#VALUE!</v>
      </c>
      <c r="CG12" s="598" t="e">
        <f>'3. CoolingHeating Centers'!R105</f>
        <v>#VALUE!</v>
      </c>
      <c r="CH12" s="598" t="e">
        <f>'3. CoolingHeating Centers'!S105</f>
        <v>#VALUE!</v>
      </c>
      <c r="CI12" s="598" t="e">
        <f>'3. CoolingHeating Centers'!T105</f>
        <v>#VALUE!</v>
      </c>
      <c r="CJ12" s="598" t="e">
        <f>'3. CoolingHeating Centers'!U105</f>
        <v>#VALUE!</v>
      </c>
      <c r="CK12" s="598" t="e">
        <f>'3. CoolingHeating Centers'!V105</f>
        <v>#VALUE!</v>
      </c>
      <c r="CL12" s="598" t="e">
        <f>'3. CoolingHeating Centers'!W105</f>
        <v>#VALUE!</v>
      </c>
      <c r="CM12" s="598" t="e">
        <f>'3. CoolingHeating Centers'!X105</f>
        <v>#VALUE!</v>
      </c>
      <c r="CN12" s="598" t="e">
        <f>'3. CoolingHeating Centers'!Y105</f>
        <v>#VALUE!</v>
      </c>
      <c r="CO12" s="598" t="e">
        <f>'3. CoolingHeating Centers'!Z105</f>
        <v>#VALUE!</v>
      </c>
      <c r="CP12" s="598" t="e">
        <f>'3. CoolingHeating Centers'!AA105</f>
        <v>#VALUE!</v>
      </c>
      <c r="CQ12" s="598" t="e">
        <f>'3. CoolingHeating Centers'!AB105</f>
        <v>#VALUE!</v>
      </c>
      <c r="CR12" s="495" t="e">
        <f>SUM(BR12:BW12)</f>
        <v>#VALUE!</v>
      </c>
      <c r="CS12" s="496" t="e">
        <f>SUM(BR12:CQ12)</f>
        <v>#VALUE!</v>
      </c>
    </row>
    <row r="13" spans="1:112">
      <c r="B13" s="490" t="s">
        <v>163</v>
      </c>
      <c r="C13" s="491" t="s">
        <v>162</v>
      </c>
      <c r="D13" s="598">
        <f>'3. CoolingHeating Centers'!C90</f>
        <v>0</v>
      </c>
      <c r="E13" s="598" t="e">
        <f>'3. CoolingHeating Centers'!D90</f>
        <v>#VALUE!</v>
      </c>
      <c r="F13" s="598" t="e">
        <f>'3. CoolingHeating Centers'!E90</f>
        <v>#VALUE!</v>
      </c>
      <c r="G13" s="598" t="e">
        <f>'3. CoolingHeating Centers'!F90</f>
        <v>#VALUE!</v>
      </c>
      <c r="H13" s="598" t="e">
        <f>'3. CoolingHeating Centers'!G90</f>
        <v>#VALUE!</v>
      </c>
      <c r="I13" s="598" t="e">
        <f>'3. CoolingHeating Centers'!H90</f>
        <v>#VALUE!</v>
      </c>
      <c r="J13" s="598" t="e">
        <f>'3. CoolingHeating Centers'!I90</f>
        <v>#VALUE!</v>
      </c>
      <c r="K13" s="598" t="e">
        <f>'3. CoolingHeating Centers'!J90</f>
        <v>#VALUE!</v>
      </c>
      <c r="L13" s="598" t="e">
        <f>'3. CoolingHeating Centers'!K90</f>
        <v>#VALUE!</v>
      </c>
      <c r="M13" s="598" t="e">
        <f>'3. CoolingHeating Centers'!L90</f>
        <v>#VALUE!</v>
      </c>
      <c r="N13" s="598" t="e">
        <f>'3. CoolingHeating Centers'!M90</f>
        <v>#VALUE!</v>
      </c>
      <c r="O13" s="598" t="e">
        <f>'3. CoolingHeating Centers'!N90</f>
        <v>#VALUE!</v>
      </c>
      <c r="P13" s="598" t="e">
        <f>'3. CoolingHeating Centers'!O90</f>
        <v>#VALUE!</v>
      </c>
      <c r="Q13" s="598" t="e">
        <f>'3. CoolingHeating Centers'!P90</f>
        <v>#VALUE!</v>
      </c>
      <c r="R13" s="598" t="e">
        <f>'3. CoolingHeating Centers'!Q90</f>
        <v>#VALUE!</v>
      </c>
      <c r="S13" s="598" t="e">
        <f>'3. CoolingHeating Centers'!R90</f>
        <v>#VALUE!</v>
      </c>
      <c r="T13" s="598" t="e">
        <f>'3. CoolingHeating Centers'!S90</f>
        <v>#VALUE!</v>
      </c>
      <c r="U13" s="598" t="e">
        <f>'3. CoolingHeating Centers'!T90</f>
        <v>#VALUE!</v>
      </c>
      <c r="V13" s="598" t="e">
        <f>'3. CoolingHeating Centers'!U90</f>
        <v>#VALUE!</v>
      </c>
      <c r="W13" s="598" t="e">
        <f>'3. CoolingHeating Centers'!V90</f>
        <v>#VALUE!</v>
      </c>
      <c r="X13" s="598" t="e">
        <f>'3. CoolingHeating Centers'!W90</f>
        <v>#VALUE!</v>
      </c>
      <c r="Y13" s="598" t="e">
        <f>'3. CoolingHeating Centers'!X90</f>
        <v>#VALUE!</v>
      </c>
      <c r="Z13" s="598" t="e">
        <f>'3. CoolingHeating Centers'!Y90</f>
        <v>#VALUE!</v>
      </c>
      <c r="AA13" s="598" t="e">
        <f>'3. CoolingHeating Centers'!Z90</f>
        <v>#VALUE!</v>
      </c>
      <c r="AB13" s="598" t="e">
        <f>'3. CoolingHeating Centers'!AA90</f>
        <v>#VALUE!</v>
      </c>
      <c r="AC13" s="598" t="e">
        <f>'3. CoolingHeating Centers'!AB90</f>
        <v>#VALUE!</v>
      </c>
      <c r="AD13" s="509" t="e">
        <f t="shared" ref="AD13:AD16" si="145">SUM(D13:I13)</f>
        <v>#VALUE!</v>
      </c>
      <c r="AE13" s="497" t="e">
        <f t="shared" ref="AE13:AE16" si="146">SUM(D13:AC13)</f>
        <v>#VALUE!</v>
      </c>
      <c r="AI13" s="490" t="s">
        <v>163</v>
      </c>
      <c r="AJ13" s="491" t="s">
        <v>162</v>
      </c>
      <c r="AK13" s="598">
        <f>'3. CoolingHeating Centers'!C98</f>
        <v>0</v>
      </c>
      <c r="AL13" s="598" t="e">
        <f>'3. CoolingHeating Centers'!D98</f>
        <v>#VALUE!</v>
      </c>
      <c r="AM13" s="598" t="e">
        <f>'3. CoolingHeating Centers'!E98</f>
        <v>#VALUE!</v>
      </c>
      <c r="AN13" s="598" t="e">
        <f>'3. CoolingHeating Centers'!F98</f>
        <v>#VALUE!</v>
      </c>
      <c r="AO13" s="598" t="e">
        <f>'3. CoolingHeating Centers'!G98</f>
        <v>#VALUE!</v>
      </c>
      <c r="AP13" s="598" t="e">
        <f>'3. CoolingHeating Centers'!H98</f>
        <v>#VALUE!</v>
      </c>
      <c r="AQ13" s="598" t="e">
        <f>'3. CoolingHeating Centers'!I98</f>
        <v>#VALUE!</v>
      </c>
      <c r="AR13" s="598" t="e">
        <f>'3. CoolingHeating Centers'!J98</f>
        <v>#VALUE!</v>
      </c>
      <c r="AS13" s="598" t="e">
        <f>'3. CoolingHeating Centers'!K98</f>
        <v>#VALUE!</v>
      </c>
      <c r="AT13" s="598" t="e">
        <f>'3. CoolingHeating Centers'!L98</f>
        <v>#VALUE!</v>
      </c>
      <c r="AU13" s="598" t="e">
        <f>'3. CoolingHeating Centers'!M98</f>
        <v>#VALUE!</v>
      </c>
      <c r="AV13" s="598" t="e">
        <f>'3. CoolingHeating Centers'!N98</f>
        <v>#VALUE!</v>
      </c>
      <c r="AW13" s="598" t="e">
        <f>'3. CoolingHeating Centers'!O98</f>
        <v>#VALUE!</v>
      </c>
      <c r="AX13" s="598" t="e">
        <f>'3. CoolingHeating Centers'!P98</f>
        <v>#VALUE!</v>
      </c>
      <c r="AY13" s="598" t="e">
        <f>'3. CoolingHeating Centers'!Q98</f>
        <v>#VALUE!</v>
      </c>
      <c r="AZ13" s="598" t="e">
        <f>'3. CoolingHeating Centers'!R98</f>
        <v>#VALUE!</v>
      </c>
      <c r="BA13" s="598" t="e">
        <f>'3. CoolingHeating Centers'!S98</f>
        <v>#VALUE!</v>
      </c>
      <c r="BB13" s="598" t="e">
        <f>'3. CoolingHeating Centers'!T98</f>
        <v>#VALUE!</v>
      </c>
      <c r="BC13" s="598" t="e">
        <f>'3. CoolingHeating Centers'!U98</f>
        <v>#VALUE!</v>
      </c>
      <c r="BD13" s="598" t="e">
        <f>'3. CoolingHeating Centers'!V98</f>
        <v>#VALUE!</v>
      </c>
      <c r="BE13" s="598" t="e">
        <f>'3. CoolingHeating Centers'!W98</f>
        <v>#VALUE!</v>
      </c>
      <c r="BF13" s="598" t="e">
        <f>'3. CoolingHeating Centers'!X98</f>
        <v>#VALUE!</v>
      </c>
      <c r="BG13" s="598" t="e">
        <f>'3. CoolingHeating Centers'!Y98</f>
        <v>#VALUE!</v>
      </c>
      <c r="BH13" s="598" t="e">
        <f>'3. CoolingHeating Centers'!Z98</f>
        <v>#VALUE!</v>
      </c>
      <c r="BI13" s="598" t="e">
        <f>'3. CoolingHeating Centers'!AA98</f>
        <v>#VALUE!</v>
      </c>
      <c r="BJ13" s="598" t="e">
        <f>'3. CoolingHeating Centers'!AB98</f>
        <v>#VALUE!</v>
      </c>
      <c r="BK13" s="509" t="e">
        <f t="shared" ref="BK13:BK16" si="147">SUM(AK13:AP13)</f>
        <v>#VALUE!</v>
      </c>
      <c r="BL13" s="497" t="e">
        <f t="shared" ref="BL13:BL16" si="148">SUM(AK13:BJ13)</f>
        <v>#VALUE!</v>
      </c>
      <c r="BP13" s="490" t="s">
        <v>163</v>
      </c>
      <c r="BQ13" s="491" t="s">
        <v>162</v>
      </c>
      <c r="BR13" s="598">
        <f>'3. CoolingHeating Centers'!C106</f>
        <v>0</v>
      </c>
      <c r="BS13" s="598" t="e">
        <f>'3. CoolingHeating Centers'!D106</f>
        <v>#VALUE!</v>
      </c>
      <c r="BT13" s="598" t="e">
        <f>'3. CoolingHeating Centers'!E106</f>
        <v>#VALUE!</v>
      </c>
      <c r="BU13" s="598" t="e">
        <f>'3. CoolingHeating Centers'!F106</f>
        <v>#VALUE!</v>
      </c>
      <c r="BV13" s="598" t="e">
        <f>'3. CoolingHeating Centers'!G106</f>
        <v>#VALUE!</v>
      </c>
      <c r="BW13" s="598" t="e">
        <f>'3. CoolingHeating Centers'!H106</f>
        <v>#VALUE!</v>
      </c>
      <c r="BX13" s="598" t="e">
        <f>'3. CoolingHeating Centers'!I106</f>
        <v>#VALUE!</v>
      </c>
      <c r="BY13" s="598" t="e">
        <f>'3. CoolingHeating Centers'!J106</f>
        <v>#VALUE!</v>
      </c>
      <c r="BZ13" s="598" t="e">
        <f>'3. CoolingHeating Centers'!K106</f>
        <v>#VALUE!</v>
      </c>
      <c r="CA13" s="598" t="e">
        <f>'3. CoolingHeating Centers'!L106</f>
        <v>#VALUE!</v>
      </c>
      <c r="CB13" s="598" t="e">
        <f>'3. CoolingHeating Centers'!M106</f>
        <v>#VALUE!</v>
      </c>
      <c r="CC13" s="598" t="e">
        <f>'3. CoolingHeating Centers'!N106</f>
        <v>#VALUE!</v>
      </c>
      <c r="CD13" s="598" t="e">
        <f>'3. CoolingHeating Centers'!O106</f>
        <v>#VALUE!</v>
      </c>
      <c r="CE13" s="598" t="e">
        <f>'3. CoolingHeating Centers'!P106</f>
        <v>#VALUE!</v>
      </c>
      <c r="CF13" s="598" t="e">
        <f>'3. CoolingHeating Centers'!Q106</f>
        <v>#VALUE!</v>
      </c>
      <c r="CG13" s="598" t="e">
        <f>'3. CoolingHeating Centers'!R106</f>
        <v>#VALUE!</v>
      </c>
      <c r="CH13" s="598" t="e">
        <f>'3. CoolingHeating Centers'!S106</f>
        <v>#VALUE!</v>
      </c>
      <c r="CI13" s="598" t="e">
        <f>'3. CoolingHeating Centers'!T106</f>
        <v>#VALUE!</v>
      </c>
      <c r="CJ13" s="598" t="e">
        <f>'3. CoolingHeating Centers'!U106</f>
        <v>#VALUE!</v>
      </c>
      <c r="CK13" s="598" t="e">
        <f>'3. CoolingHeating Centers'!V106</f>
        <v>#VALUE!</v>
      </c>
      <c r="CL13" s="598" t="e">
        <f>'3. CoolingHeating Centers'!W106</f>
        <v>#VALUE!</v>
      </c>
      <c r="CM13" s="598" t="e">
        <f>'3. CoolingHeating Centers'!X106</f>
        <v>#VALUE!</v>
      </c>
      <c r="CN13" s="598" t="e">
        <f>'3. CoolingHeating Centers'!Y106</f>
        <v>#VALUE!</v>
      </c>
      <c r="CO13" s="598" t="e">
        <f>'3. CoolingHeating Centers'!Z106</f>
        <v>#VALUE!</v>
      </c>
      <c r="CP13" s="598" t="e">
        <f>'3. CoolingHeating Centers'!AA106</f>
        <v>#VALUE!</v>
      </c>
      <c r="CQ13" s="598" t="e">
        <f>'3. CoolingHeating Centers'!AB106</f>
        <v>#VALUE!</v>
      </c>
      <c r="CR13" s="509" t="e">
        <f t="shared" ref="CR13:CR16" si="149">SUM(BR13:BW13)</f>
        <v>#VALUE!</v>
      </c>
      <c r="CS13" s="497" t="e">
        <f t="shared" ref="CS13:CS16" si="150">SUM(BR13:CQ13)</f>
        <v>#VALUE!</v>
      </c>
    </row>
    <row r="14" spans="1:112">
      <c r="B14" s="490" t="s">
        <v>164</v>
      </c>
      <c r="C14" s="491" t="s">
        <v>162</v>
      </c>
      <c r="D14" s="598">
        <f>'3. CoolingHeating Centers'!C91</f>
        <v>0</v>
      </c>
      <c r="E14" s="598" t="e">
        <f>'3. CoolingHeating Centers'!D91</f>
        <v>#VALUE!</v>
      </c>
      <c r="F14" s="598" t="e">
        <f>'3. CoolingHeating Centers'!E91</f>
        <v>#VALUE!</v>
      </c>
      <c r="G14" s="598" t="e">
        <f>'3. CoolingHeating Centers'!F91</f>
        <v>#VALUE!</v>
      </c>
      <c r="H14" s="598" t="e">
        <f>'3. CoolingHeating Centers'!G91</f>
        <v>#VALUE!</v>
      </c>
      <c r="I14" s="598" t="e">
        <f>'3. CoolingHeating Centers'!H91</f>
        <v>#VALUE!</v>
      </c>
      <c r="J14" s="598" t="e">
        <f>'3. CoolingHeating Centers'!I91</f>
        <v>#VALUE!</v>
      </c>
      <c r="K14" s="598" t="e">
        <f>'3. CoolingHeating Centers'!J91</f>
        <v>#VALUE!</v>
      </c>
      <c r="L14" s="598" t="e">
        <f>'3. CoolingHeating Centers'!K91</f>
        <v>#VALUE!</v>
      </c>
      <c r="M14" s="598" t="e">
        <f>'3. CoolingHeating Centers'!L91</f>
        <v>#VALUE!</v>
      </c>
      <c r="N14" s="598" t="e">
        <f>'3. CoolingHeating Centers'!M91</f>
        <v>#VALUE!</v>
      </c>
      <c r="O14" s="598" t="e">
        <f>'3. CoolingHeating Centers'!N91</f>
        <v>#VALUE!</v>
      </c>
      <c r="P14" s="598" t="e">
        <f>'3. CoolingHeating Centers'!O91</f>
        <v>#VALUE!</v>
      </c>
      <c r="Q14" s="598" t="e">
        <f>'3. CoolingHeating Centers'!P91</f>
        <v>#VALUE!</v>
      </c>
      <c r="R14" s="598" t="e">
        <f>'3. CoolingHeating Centers'!Q91</f>
        <v>#VALUE!</v>
      </c>
      <c r="S14" s="598" t="e">
        <f>'3. CoolingHeating Centers'!R91</f>
        <v>#VALUE!</v>
      </c>
      <c r="T14" s="598" t="e">
        <f>'3. CoolingHeating Centers'!S91</f>
        <v>#VALUE!</v>
      </c>
      <c r="U14" s="598" t="e">
        <f>'3. CoolingHeating Centers'!T91</f>
        <v>#VALUE!</v>
      </c>
      <c r="V14" s="598" t="e">
        <f>'3. CoolingHeating Centers'!U91</f>
        <v>#VALUE!</v>
      </c>
      <c r="W14" s="598" t="e">
        <f>'3. CoolingHeating Centers'!V91</f>
        <v>#VALUE!</v>
      </c>
      <c r="X14" s="598" t="e">
        <f>'3. CoolingHeating Centers'!W91</f>
        <v>#VALUE!</v>
      </c>
      <c r="Y14" s="598" t="e">
        <f>'3. CoolingHeating Centers'!X91</f>
        <v>#VALUE!</v>
      </c>
      <c r="Z14" s="598" t="e">
        <f>'3. CoolingHeating Centers'!Y91</f>
        <v>#VALUE!</v>
      </c>
      <c r="AA14" s="598" t="e">
        <f>'3. CoolingHeating Centers'!Z91</f>
        <v>#VALUE!</v>
      </c>
      <c r="AB14" s="598" t="e">
        <f>'3. CoolingHeating Centers'!AA91</f>
        <v>#VALUE!</v>
      </c>
      <c r="AC14" s="598" t="e">
        <f>'3. CoolingHeating Centers'!AB91</f>
        <v>#VALUE!</v>
      </c>
      <c r="AD14" s="509" t="e">
        <f t="shared" si="145"/>
        <v>#VALUE!</v>
      </c>
      <c r="AE14" s="497" t="e">
        <f t="shared" si="146"/>
        <v>#VALUE!</v>
      </c>
      <c r="AI14" s="490" t="s">
        <v>164</v>
      </c>
      <c r="AJ14" s="491" t="s">
        <v>162</v>
      </c>
      <c r="AK14" s="598">
        <f>'3. CoolingHeating Centers'!C99</f>
        <v>0</v>
      </c>
      <c r="AL14" s="598" t="e">
        <f>'3. CoolingHeating Centers'!D99</f>
        <v>#VALUE!</v>
      </c>
      <c r="AM14" s="598" t="e">
        <f>'3. CoolingHeating Centers'!E99</f>
        <v>#VALUE!</v>
      </c>
      <c r="AN14" s="598" t="e">
        <f>'3. CoolingHeating Centers'!F99</f>
        <v>#VALUE!</v>
      </c>
      <c r="AO14" s="598" t="e">
        <f>'3. CoolingHeating Centers'!G99</f>
        <v>#VALUE!</v>
      </c>
      <c r="AP14" s="598" t="e">
        <f>'3. CoolingHeating Centers'!H99</f>
        <v>#VALUE!</v>
      </c>
      <c r="AQ14" s="598" t="e">
        <f>'3. CoolingHeating Centers'!I99</f>
        <v>#VALUE!</v>
      </c>
      <c r="AR14" s="598" t="e">
        <f>'3. CoolingHeating Centers'!J99</f>
        <v>#VALUE!</v>
      </c>
      <c r="AS14" s="598" t="e">
        <f>'3. CoolingHeating Centers'!K99</f>
        <v>#VALUE!</v>
      </c>
      <c r="AT14" s="598" t="e">
        <f>'3. CoolingHeating Centers'!L99</f>
        <v>#VALUE!</v>
      </c>
      <c r="AU14" s="598" t="e">
        <f>'3. CoolingHeating Centers'!M99</f>
        <v>#VALUE!</v>
      </c>
      <c r="AV14" s="598" t="e">
        <f>'3. CoolingHeating Centers'!N99</f>
        <v>#VALUE!</v>
      </c>
      <c r="AW14" s="598" t="e">
        <f>'3. CoolingHeating Centers'!O99</f>
        <v>#VALUE!</v>
      </c>
      <c r="AX14" s="598" t="e">
        <f>'3. CoolingHeating Centers'!P99</f>
        <v>#VALUE!</v>
      </c>
      <c r="AY14" s="598" t="e">
        <f>'3. CoolingHeating Centers'!Q99</f>
        <v>#VALUE!</v>
      </c>
      <c r="AZ14" s="598" t="e">
        <f>'3. CoolingHeating Centers'!R99</f>
        <v>#VALUE!</v>
      </c>
      <c r="BA14" s="598" t="e">
        <f>'3. CoolingHeating Centers'!S99</f>
        <v>#VALUE!</v>
      </c>
      <c r="BB14" s="598" t="e">
        <f>'3. CoolingHeating Centers'!T99</f>
        <v>#VALUE!</v>
      </c>
      <c r="BC14" s="598" t="e">
        <f>'3. CoolingHeating Centers'!U99</f>
        <v>#VALUE!</v>
      </c>
      <c r="BD14" s="598" t="e">
        <f>'3. CoolingHeating Centers'!V99</f>
        <v>#VALUE!</v>
      </c>
      <c r="BE14" s="598" t="e">
        <f>'3. CoolingHeating Centers'!W99</f>
        <v>#VALUE!</v>
      </c>
      <c r="BF14" s="598" t="e">
        <f>'3. CoolingHeating Centers'!X99</f>
        <v>#VALUE!</v>
      </c>
      <c r="BG14" s="598" t="e">
        <f>'3. CoolingHeating Centers'!Y99</f>
        <v>#VALUE!</v>
      </c>
      <c r="BH14" s="598" t="e">
        <f>'3. CoolingHeating Centers'!Z99</f>
        <v>#VALUE!</v>
      </c>
      <c r="BI14" s="598" t="e">
        <f>'3. CoolingHeating Centers'!AA99</f>
        <v>#VALUE!</v>
      </c>
      <c r="BJ14" s="598" t="e">
        <f>'3. CoolingHeating Centers'!AB99</f>
        <v>#VALUE!</v>
      </c>
      <c r="BK14" s="509" t="e">
        <f t="shared" si="147"/>
        <v>#VALUE!</v>
      </c>
      <c r="BL14" s="497" t="e">
        <f t="shared" si="148"/>
        <v>#VALUE!</v>
      </c>
      <c r="BP14" s="490" t="s">
        <v>164</v>
      </c>
      <c r="BQ14" s="491" t="s">
        <v>162</v>
      </c>
      <c r="BR14" s="598">
        <f>'3. CoolingHeating Centers'!C107</f>
        <v>0</v>
      </c>
      <c r="BS14" s="598" t="e">
        <f>'3. CoolingHeating Centers'!D107</f>
        <v>#VALUE!</v>
      </c>
      <c r="BT14" s="598" t="e">
        <f>'3. CoolingHeating Centers'!E107</f>
        <v>#VALUE!</v>
      </c>
      <c r="BU14" s="598" t="e">
        <f>'3. CoolingHeating Centers'!F107</f>
        <v>#VALUE!</v>
      </c>
      <c r="BV14" s="598" t="e">
        <f>'3. CoolingHeating Centers'!G107</f>
        <v>#VALUE!</v>
      </c>
      <c r="BW14" s="598" t="e">
        <f>'3. CoolingHeating Centers'!H107</f>
        <v>#VALUE!</v>
      </c>
      <c r="BX14" s="598" t="e">
        <f>'3. CoolingHeating Centers'!I107</f>
        <v>#VALUE!</v>
      </c>
      <c r="BY14" s="598" t="e">
        <f>'3. CoolingHeating Centers'!J107</f>
        <v>#VALUE!</v>
      </c>
      <c r="BZ14" s="598" t="e">
        <f>'3. CoolingHeating Centers'!K107</f>
        <v>#VALUE!</v>
      </c>
      <c r="CA14" s="598" t="e">
        <f>'3. CoolingHeating Centers'!L107</f>
        <v>#VALUE!</v>
      </c>
      <c r="CB14" s="598" t="e">
        <f>'3. CoolingHeating Centers'!M107</f>
        <v>#VALUE!</v>
      </c>
      <c r="CC14" s="598" t="e">
        <f>'3. CoolingHeating Centers'!N107</f>
        <v>#VALUE!</v>
      </c>
      <c r="CD14" s="598" t="e">
        <f>'3. CoolingHeating Centers'!O107</f>
        <v>#VALUE!</v>
      </c>
      <c r="CE14" s="598" t="e">
        <f>'3. CoolingHeating Centers'!P107</f>
        <v>#VALUE!</v>
      </c>
      <c r="CF14" s="598" t="e">
        <f>'3. CoolingHeating Centers'!Q107</f>
        <v>#VALUE!</v>
      </c>
      <c r="CG14" s="598" t="e">
        <f>'3. CoolingHeating Centers'!R107</f>
        <v>#VALUE!</v>
      </c>
      <c r="CH14" s="598" t="e">
        <f>'3. CoolingHeating Centers'!S107</f>
        <v>#VALUE!</v>
      </c>
      <c r="CI14" s="598" t="e">
        <f>'3. CoolingHeating Centers'!T107</f>
        <v>#VALUE!</v>
      </c>
      <c r="CJ14" s="598" t="e">
        <f>'3. CoolingHeating Centers'!U107</f>
        <v>#VALUE!</v>
      </c>
      <c r="CK14" s="598" t="e">
        <f>'3. CoolingHeating Centers'!V107</f>
        <v>#VALUE!</v>
      </c>
      <c r="CL14" s="598" t="e">
        <f>'3. CoolingHeating Centers'!W107</f>
        <v>#VALUE!</v>
      </c>
      <c r="CM14" s="598" t="e">
        <f>'3. CoolingHeating Centers'!X107</f>
        <v>#VALUE!</v>
      </c>
      <c r="CN14" s="598" t="e">
        <f>'3. CoolingHeating Centers'!Y107</f>
        <v>#VALUE!</v>
      </c>
      <c r="CO14" s="598" t="e">
        <f>'3. CoolingHeating Centers'!Z107</f>
        <v>#VALUE!</v>
      </c>
      <c r="CP14" s="598" t="e">
        <f>'3. CoolingHeating Centers'!AA107</f>
        <v>#VALUE!</v>
      </c>
      <c r="CQ14" s="598" t="e">
        <f>'3. CoolingHeating Centers'!AB107</f>
        <v>#VALUE!</v>
      </c>
      <c r="CR14" s="509" t="e">
        <f t="shared" si="149"/>
        <v>#VALUE!</v>
      </c>
      <c r="CS14" s="497" t="e">
        <f t="shared" si="150"/>
        <v>#VALUE!</v>
      </c>
    </row>
    <row r="15" spans="1:112">
      <c r="B15" s="490" t="s">
        <v>165</v>
      </c>
      <c r="C15" s="491" t="s">
        <v>162</v>
      </c>
      <c r="D15" s="598">
        <f>'3. CoolingHeating Centers'!C92</f>
        <v>0</v>
      </c>
      <c r="E15" s="598" t="e">
        <f>'3. CoolingHeating Centers'!D92</f>
        <v>#VALUE!</v>
      </c>
      <c r="F15" s="598" t="e">
        <f>'3. CoolingHeating Centers'!E92</f>
        <v>#VALUE!</v>
      </c>
      <c r="G15" s="598" t="e">
        <f>'3. CoolingHeating Centers'!F92</f>
        <v>#VALUE!</v>
      </c>
      <c r="H15" s="598" t="e">
        <f>'3. CoolingHeating Centers'!G92</f>
        <v>#VALUE!</v>
      </c>
      <c r="I15" s="598" t="e">
        <f>'3. CoolingHeating Centers'!H92</f>
        <v>#VALUE!</v>
      </c>
      <c r="J15" s="598" t="e">
        <f>'3. CoolingHeating Centers'!I92</f>
        <v>#VALUE!</v>
      </c>
      <c r="K15" s="598" t="e">
        <f>'3. CoolingHeating Centers'!J92</f>
        <v>#VALUE!</v>
      </c>
      <c r="L15" s="598" t="e">
        <f>'3. CoolingHeating Centers'!K92</f>
        <v>#VALUE!</v>
      </c>
      <c r="M15" s="598" t="e">
        <f>'3. CoolingHeating Centers'!L92</f>
        <v>#VALUE!</v>
      </c>
      <c r="N15" s="598" t="e">
        <f>'3. CoolingHeating Centers'!M92</f>
        <v>#VALUE!</v>
      </c>
      <c r="O15" s="598" t="e">
        <f>'3. CoolingHeating Centers'!N92</f>
        <v>#VALUE!</v>
      </c>
      <c r="P15" s="598" t="e">
        <f>'3. CoolingHeating Centers'!O92</f>
        <v>#VALUE!</v>
      </c>
      <c r="Q15" s="598" t="e">
        <f>'3. CoolingHeating Centers'!P92</f>
        <v>#VALUE!</v>
      </c>
      <c r="R15" s="598" t="e">
        <f>'3. CoolingHeating Centers'!Q92</f>
        <v>#VALUE!</v>
      </c>
      <c r="S15" s="598" t="e">
        <f>'3. CoolingHeating Centers'!R92</f>
        <v>#VALUE!</v>
      </c>
      <c r="T15" s="598" t="e">
        <f>'3. CoolingHeating Centers'!S92</f>
        <v>#VALUE!</v>
      </c>
      <c r="U15" s="598" t="e">
        <f>'3. CoolingHeating Centers'!T92</f>
        <v>#VALUE!</v>
      </c>
      <c r="V15" s="598" t="e">
        <f>'3. CoolingHeating Centers'!U92</f>
        <v>#VALUE!</v>
      </c>
      <c r="W15" s="598" t="e">
        <f>'3. CoolingHeating Centers'!V92</f>
        <v>#VALUE!</v>
      </c>
      <c r="X15" s="598" t="e">
        <f>'3. CoolingHeating Centers'!W92</f>
        <v>#VALUE!</v>
      </c>
      <c r="Y15" s="598" t="e">
        <f>'3. CoolingHeating Centers'!X92</f>
        <v>#VALUE!</v>
      </c>
      <c r="Z15" s="598" t="e">
        <f>'3. CoolingHeating Centers'!Y92</f>
        <v>#VALUE!</v>
      </c>
      <c r="AA15" s="598" t="e">
        <f>'3. CoolingHeating Centers'!Z92</f>
        <v>#VALUE!</v>
      </c>
      <c r="AB15" s="598" t="e">
        <f>'3. CoolingHeating Centers'!AA92</f>
        <v>#VALUE!</v>
      </c>
      <c r="AC15" s="598" t="e">
        <f>'3. CoolingHeating Centers'!AB92</f>
        <v>#VALUE!</v>
      </c>
      <c r="AD15" s="509" t="e">
        <f t="shared" si="145"/>
        <v>#VALUE!</v>
      </c>
      <c r="AE15" s="497" t="e">
        <f t="shared" si="146"/>
        <v>#VALUE!</v>
      </c>
      <c r="AI15" s="490" t="s">
        <v>165</v>
      </c>
      <c r="AJ15" s="491" t="s">
        <v>162</v>
      </c>
      <c r="AK15" s="598">
        <f>'3. CoolingHeating Centers'!C100</f>
        <v>0</v>
      </c>
      <c r="AL15" s="598" t="e">
        <f>'3. CoolingHeating Centers'!D100</f>
        <v>#VALUE!</v>
      </c>
      <c r="AM15" s="598" t="e">
        <f>'3. CoolingHeating Centers'!E100</f>
        <v>#VALUE!</v>
      </c>
      <c r="AN15" s="598" t="e">
        <f>'3. CoolingHeating Centers'!F100</f>
        <v>#VALUE!</v>
      </c>
      <c r="AO15" s="598" t="e">
        <f>'3. CoolingHeating Centers'!G100</f>
        <v>#VALUE!</v>
      </c>
      <c r="AP15" s="598" t="e">
        <f>'3. CoolingHeating Centers'!H100</f>
        <v>#VALUE!</v>
      </c>
      <c r="AQ15" s="598" t="e">
        <f>'3. CoolingHeating Centers'!I100</f>
        <v>#VALUE!</v>
      </c>
      <c r="AR15" s="598" t="e">
        <f>'3. CoolingHeating Centers'!J100</f>
        <v>#VALUE!</v>
      </c>
      <c r="AS15" s="598" t="e">
        <f>'3. CoolingHeating Centers'!K100</f>
        <v>#VALUE!</v>
      </c>
      <c r="AT15" s="598" t="e">
        <f>'3. CoolingHeating Centers'!L100</f>
        <v>#VALUE!</v>
      </c>
      <c r="AU15" s="598" t="e">
        <f>'3. CoolingHeating Centers'!M100</f>
        <v>#VALUE!</v>
      </c>
      <c r="AV15" s="598" t="e">
        <f>'3. CoolingHeating Centers'!N100</f>
        <v>#VALUE!</v>
      </c>
      <c r="AW15" s="598" t="e">
        <f>'3. CoolingHeating Centers'!O100</f>
        <v>#VALUE!</v>
      </c>
      <c r="AX15" s="598" t="e">
        <f>'3. CoolingHeating Centers'!P100</f>
        <v>#VALUE!</v>
      </c>
      <c r="AY15" s="598" t="e">
        <f>'3. CoolingHeating Centers'!Q100</f>
        <v>#VALUE!</v>
      </c>
      <c r="AZ15" s="598" t="e">
        <f>'3. CoolingHeating Centers'!R100</f>
        <v>#VALUE!</v>
      </c>
      <c r="BA15" s="598" t="e">
        <f>'3. CoolingHeating Centers'!S100</f>
        <v>#VALUE!</v>
      </c>
      <c r="BB15" s="598" t="e">
        <f>'3. CoolingHeating Centers'!T100</f>
        <v>#VALUE!</v>
      </c>
      <c r="BC15" s="598" t="e">
        <f>'3. CoolingHeating Centers'!U100</f>
        <v>#VALUE!</v>
      </c>
      <c r="BD15" s="598" t="e">
        <f>'3. CoolingHeating Centers'!V100</f>
        <v>#VALUE!</v>
      </c>
      <c r="BE15" s="598" t="e">
        <f>'3. CoolingHeating Centers'!W100</f>
        <v>#VALUE!</v>
      </c>
      <c r="BF15" s="598" t="e">
        <f>'3. CoolingHeating Centers'!X100</f>
        <v>#VALUE!</v>
      </c>
      <c r="BG15" s="598" t="e">
        <f>'3. CoolingHeating Centers'!Y100</f>
        <v>#VALUE!</v>
      </c>
      <c r="BH15" s="598" t="e">
        <f>'3. CoolingHeating Centers'!Z100</f>
        <v>#VALUE!</v>
      </c>
      <c r="BI15" s="598" t="e">
        <f>'3. CoolingHeating Centers'!AA100</f>
        <v>#VALUE!</v>
      </c>
      <c r="BJ15" s="598" t="e">
        <f>'3. CoolingHeating Centers'!AB100</f>
        <v>#VALUE!</v>
      </c>
      <c r="BK15" s="509" t="e">
        <f t="shared" si="147"/>
        <v>#VALUE!</v>
      </c>
      <c r="BL15" s="497" t="e">
        <f t="shared" si="148"/>
        <v>#VALUE!</v>
      </c>
      <c r="BP15" s="490" t="s">
        <v>165</v>
      </c>
      <c r="BQ15" s="491" t="s">
        <v>162</v>
      </c>
      <c r="BR15" s="598">
        <f>'3. CoolingHeating Centers'!C108</f>
        <v>0</v>
      </c>
      <c r="BS15" s="598" t="e">
        <f>'3. CoolingHeating Centers'!D108</f>
        <v>#VALUE!</v>
      </c>
      <c r="BT15" s="598" t="e">
        <f>'3. CoolingHeating Centers'!E108</f>
        <v>#VALUE!</v>
      </c>
      <c r="BU15" s="598" t="e">
        <f>'3. CoolingHeating Centers'!F108</f>
        <v>#VALUE!</v>
      </c>
      <c r="BV15" s="598" t="e">
        <f>'3. CoolingHeating Centers'!G108</f>
        <v>#VALUE!</v>
      </c>
      <c r="BW15" s="598" t="e">
        <f>'3. CoolingHeating Centers'!H108</f>
        <v>#VALUE!</v>
      </c>
      <c r="BX15" s="598" t="e">
        <f>'3. CoolingHeating Centers'!I108</f>
        <v>#VALUE!</v>
      </c>
      <c r="BY15" s="598" t="e">
        <f>'3. CoolingHeating Centers'!J108</f>
        <v>#VALUE!</v>
      </c>
      <c r="BZ15" s="598" t="e">
        <f>'3. CoolingHeating Centers'!K108</f>
        <v>#VALUE!</v>
      </c>
      <c r="CA15" s="598" t="e">
        <f>'3. CoolingHeating Centers'!L108</f>
        <v>#VALUE!</v>
      </c>
      <c r="CB15" s="598" t="e">
        <f>'3. CoolingHeating Centers'!M108</f>
        <v>#VALUE!</v>
      </c>
      <c r="CC15" s="598" t="e">
        <f>'3. CoolingHeating Centers'!N108</f>
        <v>#VALUE!</v>
      </c>
      <c r="CD15" s="598" t="e">
        <f>'3. CoolingHeating Centers'!O108</f>
        <v>#VALUE!</v>
      </c>
      <c r="CE15" s="598" t="e">
        <f>'3. CoolingHeating Centers'!P108</f>
        <v>#VALUE!</v>
      </c>
      <c r="CF15" s="598" t="e">
        <f>'3. CoolingHeating Centers'!Q108</f>
        <v>#VALUE!</v>
      </c>
      <c r="CG15" s="598" t="e">
        <f>'3. CoolingHeating Centers'!R108</f>
        <v>#VALUE!</v>
      </c>
      <c r="CH15" s="598" t="e">
        <f>'3. CoolingHeating Centers'!S108</f>
        <v>#VALUE!</v>
      </c>
      <c r="CI15" s="598" t="e">
        <f>'3. CoolingHeating Centers'!T108</f>
        <v>#VALUE!</v>
      </c>
      <c r="CJ15" s="598" t="e">
        <f>'3. CoolingHeating Centers'!U108</f>
        <v>#VALUE!</v>
      </c>
      <c r="CK15" s="598" t="e">
        <f>'3. CoolingHeating Centers'!V108</f>
        <v>#VALUE!</v>
      </c>
      <c r="CL15" s="598" t="e">
        <f>'3. CoolingHeating Centers'!W108</f>
        <v>#VALUE!</v>
      </c>
      <c r="CM15" s="598" t="e">
        <f>'3. CoolingHeating Centers'!X108</f>
        <v>#VALUE!</v>
      </c>
      <c r="CN15" s="598" t="e">
        <f>'3. CoolingHeating Centers'!Y108</f>
        <v>#VALUE!</v>
      </c>
      <c r="CO15" s="598" t="e">
        <f>'3. CoolingHeating Centers'!Z108</f>
        <v>#VALUE!</v>
      </c>
      <c r="CP15" s="598" t="e">
        <f>'3. CoolingHeating Centers'!AA108</f>
        <v>#VALUE!</v>
      </c>
      <c r="CQ15" s="598" t="e">
        <f>'3. CoolingHeating Centers'!AB108</f>
        <v>#VALUE!</v>
      </c>
      <c r="CR15" s="509" t="e">
        <f t="shared" si="149"/>
        <v>#VALUE!</v>
      </c>
      <c r="CS15" s="497" t="e">
        <f t="shared" si="150"/>
        <v>#VALUE!</v>
      </c>
    </row>
    <row r="16" spans="1:112" ht="15.75" thickTop="1" thickBot="1">
      <c r="B16" s="490" t="s">
        <v>166</v>
      </c>
      <c r="C16" s="491" t="s">
        <v>162</v>
      </c>
      <c r="D16" s="598">
        <f>'3. CoolingHeating Centers'!C93</f>
        <v>0</v>
      </c>
      <c r="E16" s="598" t="e">
        <f>'3. CoolingHeating Centers'!D93</f>
        <v>#VALUE!</v>
      </c>
      <c r="F16" s="598" t="e">
        <f>'3. CoolingHeating Centers'!E93</f>
        <v>#VALUE!</v>
      </c>
      <c r="G16" s="598" t="e">
        <f>'3. CoolingHeating Centers'!F93</f>
        <v>#VALUE!</v>
      </c>
      <c r="H16" s="598" t="e">
        <f>'3. CoolingHeating Centers'!G93</f>
        <v>#VALUE!</v>
      </c>
      <c r="I16" s="598" t="e">
        <f>'3. CoolingHeating Centers'!H93</f>
        <v>#VALUE!</v>
      </c>
      <c r="J16" s="598" t="e">
        <f>'3. CoolingHeating Centers'!I93</f>
        <v>#VALUE!</v>
      </c>
      <c r="K16" s="598" t="e">
        <f>'3. CoolingHeating Centers'!J93</f>
        <v>#VALUE!</v>
      </c>
      <c r="L16" s="598" t="e">
        <f>'3. CoolingHeating Centers'!K93</f>
        <v>#VALUE!</v>
      </c>
      <c r="M16" s="598" t="e">
        <f>'3. CoolingHeating Centers'!L93</f>
        <v>#VALUE!</v>
      </c>
      <c r="N16" s="598" t="e">
        <f>'3. CoolingHeating Centers'!M93</f>
        <v>#VALUE!</v>
      </c>
      <c r="O16" s="598" t="e">
        <f>'3. CoolingHeating Centers'!N93</f>
        <v>#VALUE!</v>
      </c>
      <c r="P16" s="598" t="e">
        <f>'3. CoolingHeating Centers'!O93</f>
        <v>#VALUE!</v>
      </c>
      <c r="Q16" s="598" t="e">
        <f>'3. CoolingHeating Centers'!P93</f>
        <v>#VALUE!</v>
      </c>
      <c r="R16" s="598" t="e">
        <f>'3. CoolingHeating Centers'!Q93</f>
        <v>#VALUE!</v>
      </c>
      <c r="S16" s="598" t="e">
        <f>'3. CoolingHeating Centers'!R93</f>
        <v>#VALUE!</v>
      </c>
      <c r="T16" s="598" t="e">
        <f>'3. CoolingHeating Centers'!S93</f>
        <v>#VALUE!</v>
      </c>
      <c r="U16" s="598" t="e">
        <f>'3. CoolingHeating Centers'!T93</f>
        <v>#VALUE!</v>
      </c>
      <c r="V16" s="598" t="e">
        <f>'3. CoolingHeating Centers'!U93</f>
        <v>#VALUE!</v>
      </c>
      <c r="W16" s="598" t="e">
        <f>'3. CoolingHeating Centers'!V93</f>
        <v>#VALUE!</v>
      </c>
      <c r="X16" s="598" t="e">
        <f>'3. CoolingHeating Centers'!W93</f>
        <v>#VALUE!</v>
      </c>
      <c r="Y16" s="598" t="e">
        <f>'3. CoolingHeating Centers'!X93</f>
        <v>#VALUE!</v>
      </c>
      <c r="Z16" s="598" t="e">
        <f>'3. CoolingHeating Centers'!Y93</f>
        <v>#VALUE!</v>
      </c>
      <c r="AA16" s="598" t="e">
        <f>'3. CoolingHeating Centers'!Z93</f>
        <v>#VALUE!</v>
      </c>
      <c r="AB16" s="598" t="e">
        <f>'3. CoolingHeating Centers'!AA93</f>
        <v>#VALUE!</v>
      </c>
      <c r="AC16" s="598" t="e">
        <f>'3. CoolingHeating Centers'!AB93</f>
        <v>#VALUE!</v>
      </c>
      <c r="AD16" s="498" t="e">
        <f t="shared" si="145"/>
        <v>#VALUE!</v>
      </c>
      <c r="AE16" s="499" t="e">
        <f t="shared" si="146"/>
        <v>#VALUE!</v>
      </c>
      <c r="AI16" s="490" t="s">
        <v>166</v>
      </c>
      <c r="AJ16" s="491" t="s">
        <v>162</v>
      </c>
      <c r="AK16" s="598">
        <f>'3. CoolingHeating Centers'!C101</f>
        <v>0</v>
      </c>
      <c r="AL16" s="598" t="e">
        <f>'3. CoolingHeating Centers'!D101</f>
        <v>#VALUE!</v>
      </c>
      <c r="AM16" s="598" t="e">
        <f>'3. CoolingHeating Centers'!E101</f>
        <v>#VALUE!</v>
      </c>
      <c r="AN16" s="598" t="e">
        <f>'3. CoolingHeating Centers'!F101</f>
        <v>#VALUE!</v>
      </c>
      <c r="AO16" s="598" t="e">
        <f>'3. CoolingHeating Centers'!G101</f>
        <v>#VALUE!</v>
      </c>
      <c r="AP16" s="598" t="e">
        <f>'3. CoolingHeating Centers'!H101</f>
        <v>#VALUE!</v>
      </c>
      <c r="AQ16" s="598" t="e">
        <f>'3. CoolingHeating Centers'!I101</f>
        <v>#VALUE!</v>
      </c>
      <c r="AR16" s="598" t="e">
        <f>'3. CoolingHeating Centers'!J101</f>
        <v>#VALUE!</v>
      </c>
      <c r="AS16" s="598" t="e">
        <f>'3. CoolingHeating Centers'!K101</f>
        <v>#VALUE!</v>
      </c>
      <c r="AT16" s="598" t="e">
        <f>'3. CoolingHeating Centers'!L101</f>
        <v>#VALUE!</v>
      </c>
      <c r="AU16" s="598" t="e">
        <f>'3. CoolingHeating Centers'!M101</f>
        <v>#VALUE!</v>
      </c>
      <c r="AV16" s="598" t="e">
        <f>'3. CoolingHeating Centers'!N101</f>
        <v>#VALUE!</v>
      </c>
      <c r="AW16" s="598" t="e">
        <f>'3. CoolingHeating Centers'!O101</f>
        <v>#VALUE!</v>
      </c>
      <c r="AX16" s="598" t="e">
        <f>'3. CoolingHeating Centers'!P101</f>
        <v>#VALUE!</v>
      </c>
      <c r="AY16" s="598" t="e">
        <f>'3. CoolingHeating Centers'!Q101</f>
        <v>#VALUE!</v>
      </c>
      <c r="AZ16" s="598" t="e">
        <f>'3. CoolingHeating Centers'!R101</f>
        <v>#VALUE!</v>
      </c>
      <c r="BA16" s="598" t="e">
        <f>'3. CoolingHeating Centers'!S101</f>
        <v>#VALUE!</v>
      </c>
      <c r="BB16" s="598" t="e">
        <f>'3. CoolingHeating Centers'!T101</f>
        <v>#VALUE!</v>
      </c>
      <c r="BC16" s="598" t="e">
        <f>'3. CoolingHeating Centers'!U101</f>
        <v>#VALUE!</v>
      </c>
      <c r="BD16" s="598" t="e">
        <f>'3. CoolingHeating Centers'!V101</f>
        <v>#VALUE!</v>
      </c>
      <c r="BE16" s="598" t="e">
        <f>'3. CoolingHeating Centers'!W101</f>
        <v>#VALUE!</v>
      </c>
      <c r="BF16" s="598" t="e">
        <f>'3. CoolingHeating Centers'!X101</f>
        <v>#VALUE!</v>
      </c>
      <c r="BG16" s="598" t="e">
        <f>'3. CoolingHeating Centers'!Y101</f>
        <v>#VALUE!</v>
      </c>
      <c r="BH16" s="598" t="e">
        <f>'3. CoolingHeating Centers'!Z101</f>
        <v>#VALUE!</v>
      </c>
      <c r="BI16" s="598" t="e">
        <f>'3. CoolingHeating Centers'!AA101</f>
        <v>#VALUE!</v>
      </c>
      <c r="BJ16" s="598" t="e">
        <f>'3. CoolingHeating Centers'!AB101</f>
        <v>#VALUE!</v>
      </c>
      <c r="BK16" s="498" t="e">
        <f t="shared" si="147"/>
        <v>#VALUE!</v>
      </c>
      <c r="BL16" s="499" t="e">
        <f t="shared" si="148"/>
        <v>#VALUE!</v>
      </c>
      <c r="BP16" s="490" t="s">
        <v>166</v>
      </c>
      <c r="BQ16" s="491" t="s">
        <v>162</v>
      </c>
      <c r="BR16" s="598">
        <f>'3. CoolingHeating Centers'!C109</f>
        <v>0</v>
      </c>
      <c r="BS16" s="598" t="e">
        <f>'3. CoolingHeating Centers'!D109</f>
        <v>#VALUE!</v>
      </c>
      <c r="BT16" s="598" t="e">
        <f>'3. CoolingHeating Centers'!E109</f>
        <v>#VALUE!</v>
      </c>
      <c r="BU16" s="598" t="e">
        <f>'3. CoolingHeating Centers'!F109</f>
        <v>#VALUE!</v>
      </c>
      <c r="BV16" s="598" t="e">
        <f>'3. CoolingHeating Centers'!G109</f>
        <v>#VALUE!</v>
      </c>
      <c r="BW16" s="598" t="e">
        <f>'3. CoolingHeating Centers'!H109</f>
        <v>#VALUE!</v>
      </c>
      <c r="BX16" s="598" t="e">
        <f>'3. CoolingHeating Centers'!I109</f>
        <v>#VALUE!</v>
      </c>
      <c r="BY16" s="598" t="e">
        <f>'3. CoolingHeating Centers'!J109</f>
        <v>#VALUE!</v>
      </c>
      <c r="BZ16" s="598" t="e">
        <f>'3. CoolingHeating Centers'!K109</f>
        <v>#VALUE!</v>
      </c>
      <c r="CA16" s="598" t="e">
        <f>'3. CoolingHeating Centers'!L109</f>
        <v>#VALUE!</v>
      </c>
      <c r="CB16" s="598" t="e">
        <f>'3. CoolingHeating Centers'!M109</f>
        <v>#VALUE!</v>
      </c>
      <c r="CC16" s="598" t="e">
        <f>'3. CoolingHeating Centers'!N109</f>
        <v>#VALUE!</v>
      </c>
      <c r="CD16" s="598" t="e">
        <f>'3. CoolingHeating Centers'!O109</f>
        <v>#VALUE!</v>
      </c>
      <c r="CE16" s="598" t="e">
        <f>'3. CoolingHeating Centers'!P109</f>
        <v>#VALUE!</v>
      </c>
      <c r="CF16" s="598" t="e">
        <f>'3. CoolingHeating Centers'!Q109</f>
        <v>#VALUE!</v>
      </c>
      <c r="CG16" s="598" t="e">
        <f>'3. CoolingHeating Centers'!R109</f>
        <v>#VALUE!</v>
      </c>
      <c r="CH16" s="598" t="e">
        <f>'3. CoolingHeating Centers'!S109</f>
        <v>#VALUE!</v>
      </c>
      <c r="CI16" s="598" t="e">
        <f>'3. CoolingHeating Centers'!T109</f>
        <v>#VALUE!</v>
      </c>
      <c r="CJ16" s="598" t="e">
        <f>'3. CoolingHeating Centers'!U109</f>
        <v>#VALUE!</v>
      </c>
      <c r="CK16" s="598" t="e">
        <f>'3. CoolingHeating Centers'!V109</f>
        <v>#VALUE!</v>
      </c>
      <c r="CL16" s="598" t="e">
        <f>'3. CoolingHeating Centers'!W109</f>
        <v>#VALUE!</v>
      </c>
      <c r="CM16" s="598" t="e">
        <f>'3. CoolingHeating Centers'!X109</f>
        <v>#VALUE!</v>
      </c>
      <c r="CN16" s="598" t="e">
        <f>'3. CoolingHeating Centers'!Y109</f>
        <v>#VALUE!</v>
      </c>
      <c r="CO16" s="598" t="e">
        <f>'3. CoolingHeating Centers'!Z109</f>
        <v>#VALUE!</v>
      </c>
      <c r="CP16" s="598" t="e">
        <f>'3. CoolingHeating Centers'!AA109</f>
        <v>#VALUE!</v>
      </c>
      <c r="CQ16" s="598" t="e">
        <f>'3. CoolingHeating Centers'!AB109</f>
        <v>#VALUE!</v>
      </c>
      <c r="CR16" s="498" t="e">
        <f t="shared" si="149"/>
        <v>#VALUE!</v>
      </c>
      <c r="CS16" s="499" t="e">
        <f t="shared" si="150"/>
        <v>#VALUE!</v>
      </c>
    </row>
    <row r="17" spans="2:97" ht="15" thickBot="1"/>
    <row r="18" spans="2:97" ht="17.25" thickTop="1" thickBot="1">
      <c r="B18" s="782" t="s">
        <v>144</v>
      </c>
      <c r="C18" s="783"/>
      <c r="D18" s="777"/>
      <c r="E18" s="778"/>
      <c r="F18" s="778"/>
      <c r="G18" s="778"/>
      <c r="H18" s="778"/>
      <c r="I18" s="778"/>
      <c r="J18" s="778"/>
      <c r="K18" s="778"/>
      <c r="L18" s="778"/>
      <c r="M18" s="778"/>
      <c r="N18" s="778"/>
      <c r="O18" s="778"/>
      <c r="P18" s="778"/>
      <c r="Q18" s="778"/>
      <c r="R18" s="778"/>
      <c r="S18" s="778"/>
      <c r="T18" s="778"/>
      <c r="U18" s="778"/>
      <c r="V18" s="778"/>
      <c r="W18" s="778"/>
      <c r="X18" s="778"/>
      <c r="Y18" s="778"/>
      <c r="Z18" s="778"/>
      <c r="AA18" s="778"/>
      <c r="AB18" s="778"/>
      <c r="AC18" s="779"/>
      <c r="AD18" s="780" t="s">
        <v>156</v>
      </c>
      <c r="AE18" s="781"/>
      <c r="AI18" s="784" t="s">
        <v>144</v>
      </c>
      <c r="AJ18" s="785"/>
      <c r="AK18" s="777"/>
      <c r="AL18" s="778"/>
      <c r="AM18" s="778"/>
      <c r="AN18" s="778"/>
      <c r="AO18" s="778"/>
      <c r="AP18" s="778"/>
      <c r="AQ18" s="778"/>
      <c r="AR18" s="778"/>
      <c r="AS18" s="778"/>
      <c r="AT18" s="778"/>
      <c r="AU18" s="778"/>
      <c r="AV18" s="778"/>
      <c r="AW18" s="778"/>
      <c r="AX18" s="778"/>
      <c r="AY18" s="778"/>
      <c r="AZ18" s="778"/>
      <c r="BA18" s="778"/>
      <c r="BB18" s="778"/>
      <c r="BC18" s="778"/>
      <c r="BD18" s="778"/>
      <c r="BE18" s="778"/>
      <c r="BF18" s="778"/>
      <c r="BG18" s="778"/>
      <c r="BH18" s="778"/>
      <c r="BI18" s="778"/>
      <c r="BJ18" s="779"/>
      <c r="BK18" s="780" t="s">
        <v>156</v>
      </c>
      <c r="BL18" s="781"/>
      <c r="BP18" s="784" t="s">
        <v>144</v>
      </c>
      <c r="BQ18" s="785"/>
      <c r="BR18" s="777"/>
      <c r="BS18" s="778"/>
      <c r="BT18" s="778"/>
      <c r="BU18" s="778"/>
      <c r="BV18" s="778"/>
      <c r="BW18" s="778"/>
      <c r="BX18" s="778"/>
      <c r="BY18" s="778"/>
      <c r="BZ18" s="778"/>
      <c r="CA18" s="778"/>
      <c r="CB18" s="778"/>
      <c r="CC18" s="778"/>
      <c r="CD18" s="778"/>
      <c r="CE18" s="778"/>
      <c r="CF18" s="778"/>
      <c r="CG18" s="778"/>
      <c r="CH18" s="778"/>
      <c r="CI18" s="778"/>
      <c r="CJ18" s="778"/>
      <c r="CK18" s="778"/>
      <c r="CL18" s="778"/>
      <c r="CM18" s="778"/>
      <c r="CN18" s="778"/>
      <c r="CO18" s="778"/>
      <c r="CP18" s="778"/>
      <c r="CQ18" s="779"/>
      <c r="CR18" s="780" t="s">
        <v>156</v>
      </c>
      <c r="CS18" s="781"/>
    </row>
    <row r="19" spans="2:97" ht="15" thickBot="1">
      <c r="B19" s="267" t="s">
        <v>157</v>
      </c>
      <c r="C19" s="268" t="s">
        <v>158</v>
      </c>
      <c r="D19" s="277">
        <v>2025</v>
      </c>
      <c r="E19" s="278">
        <f>D19+1</f>
        <v>2026</v>
      </c>
      <c r="F19" s="278">
        <f t="shared" ref="F19" si="151">E19+1</f>
        <v>2027</v>
      </c>
      <c r="G19" s="278">
        <f t="shared" ref="G19" si="152">F19+1</f>
        <v>2028</v>
      </c>
      <c r="H19" s="278">
        <f t="shared" ref="H19" si="153">G19+1</f>
        <v>2029</v>
      </c>
      <c r="I19" s="278">
        <f t="shared" ref="I19" si="154">H19+1</f>
        <v>2030</v>
      </c>
      <c r="J19" s="278">
        <f t="shared" ref="J19" si="155">I19+1</f>
        <v>2031</v>
      </c>
      <c r="K19" s="278">
        <f t="shared" ref="K19" si="156">J19+1</f>
        <v>2032</v>
      </c>
      <c r="L19" s="278">
        <f t="shared" ref="L19" si="157">K19+1</f>
        <v>2033</v>
      </c>
      <c r="M19" s="278">
        <f t="shared" ref="M19" si="158">L19+1</f>
        <v>2034</v>
      </c>
      <c r="N19" s="278">
        <f t="shared" ref="N19" si="159">M19+1</f>
        <v>2035</v>
      </c>
      <c r="O19" s="278">
        <f t="shared" ref="O19" si="160">N19+1</f>
        <v>2036</v>
      </c>
      <c r="P19" s="278">
        <f t="shared" ref="P19" si="161">O19+1</f>
        <v>2037</v>
      </c>
      <c r="Q19" s="278">
        <f t="shared" ref="Q19" si="162">P19+1</f>
        <v>2038</v>
      </c>
      <c r="R19" s="278">
        <f t="shared" ref="R19" si="163">Q19+1</f>
        <v>2039</v>
      </c>
      <c r="S19" s="278">
        <f t="shared" ref="S19" si="164">R19+1</f>
        <v>2040</v>
      </c>
      <c r="T19" s="278">
        <f t="shared" ref="T19" si="165">S19+1</f>
        <v>2041</v>
      </c>
      <c r="U19" s="278">
        <f t="shared" ref="U19" si="166">T19+1</f>
        <v>2042</v>
      </c>
      <c r="V19" s="278">
        <f t="shared" ref="V19" si="167">U19+1</f>
        <v>2043</v>
      </c>
      <c r="W19" s="278">
        <f t="shared" ref="W19" si="168">V19+1</f>
        <v>2044</v>
      </c>
      <c r="X19" s="278">
        <f t="shared" ref="X19" si="169">W19+1</f>
        <v>2045</v>
      </c>
      <c r="Y19" s="278">
        <f t="shared" ref="Y19" si="170">X19+1</f>
        <v>2046</v>
      </c>
      <c r="Z19" s="278">
        <f t="shared" ref="Z19" si="171">Y19+1</f>
        <v>2047</v>
      </c>
      <c r="AA19" s="278">
        <f t="shared" ref="AA19" si="172">Z19+1</f>
        <v>2048</v>
      </c>
      <c r="AB19" s="278">
        <f t="shared" ref="AB19" si="173">AA19+1</f>
        <v>2049</v>
      </c>
      <c r="AC19" s="279">
        <f t="shared" ref="AC19" si="174">AB19+1</f>
        <v>2050</v>
      </c>
      <c r="AD19" s="493" t="s">
        <v>159</v>
      </c>
      <c r="AE19" s="494" t="s">
        <v>160</v>
      </c>
      <c r="AI19" s="267" t="s">
        <v>157</v>
      </c>
      <c r="AJ19" s="268" t="s">
        <v>158</v>
      </c>
      <c r="AK19" s="277">
        <v>2025</v>
      </c>
      <c r="AL19" s="278">
        <f>AK19+1</f>
        <v>2026</v>
      </c>
      <c r="AM19" s="278">
        <f t="shared" ref="AM19" si="175">AL19+1</f>
        <v>2027</v>
      </c>
      <c r="AN19" s="278">
        <f t="shared" ref="AN19" si="176">AM19+1</f>
        <v>2028</v>
      </c>
      <c r="AO19" s="278">
        <f t="shared" ref="AO19" si="177">AN19+1</f>
        <v>2029</v>
      </c>
      <c r="AP19" s="278">
        <f t="shared" ref="AP19" si="178">AO19+1</f>
        <v>2030</v>
      </c>
      <c r="AQ19" s="278">
        <f t="shared" ref="AQ19" si="179">AP19+1</f>
        <v>2031</v>
      </c>
      <c r="AR19" s="278">
        <f t="shared" ref="AR19" si="180">AQ19+1</f>
        <v>2032</v>
      </c>
      <c r="AS19" s="278">
        <f t="shared" ref="AS19" si="181">AR19+1</f>
        <v>2033</v>
      </c>
      <c r="AT19" s="278">
        <f t="shared" ref="AT19" si="182">AS19+1</f>
        <v>2034</v>
      </c>
      <c r="AU19" s="278">
        <f t="shared" ref="AU19" si="183">AT19+1</f>
        <v>2035</v>
      </c>
      <c r="AV19" s="278">
        <f t="shared" ref="AV19" si="184">AU19+1</f>
        <v>2036</v>
      </c>
      <c r="AW19" s="278">
        <f t="shared" ref="AW19" si="185">AV19+1</f>
        <v>2037</v>
      </c>
      <c r="AX19" s="278">
        <f t="shared" ref="AX19" si="186">AW19+1</f>
        <v>2038</v>
      </c>
      <c r="AY19" s="278">
        <f t="shared" ref="AY19" si="187">AX19+1</f>
        <v>2039</v>
      </c>
      <c r="AZ19" s="278">
        <f t="shared" ref="AZ19" si="188">AY19+1</f>
        <v>2040</v>
      </c>
      <c r="BA19" s="278">
        <f t="shared" ref="BA19" si="189">AZ19+1</f>
        <v>2041</v>
      </c>
      <c r="BB19" s="278">
        <f t="shared" ref="BB19" si="190">BA19+1</f>
        <v>2042</v>
      </c>
      <c r="BC19" s="278">
        <f t="shared" ref="BC19" si="191">BB19+1</f>
        <v>2043</v>
      </c>
      <c r="BD19" s="278">
        <f t="shared" ref="BD19" si="192">BC19+1</f>
        <v>2044</v>
      </c>
      <c r="BE19" s="278">
        <f t="shared" ref="BE19" si="193">BD19+1</f>
        <v>2045</v>
      </c>
      <c r="BF19" s="278">
        <f t="shared" ref="BF19" si="194">BE19+1</f>
        <v>2046</v>
      </c>
      <c r="BG19" s="278">
        <f t="shared" ref="BG19" si="195">BF19+1</f>
        <v>2047</v>
      </c>
      <c r="BH19" s="278">
        <f t="shared" ref="BH19" si="196">BG19+1</f>
        <v>2048</v>
      </c>
      <c r="BI19" s="278">
        <f t="shared" ref="BI19" si="197">BH19+1</f>
        <v>2049</v>
      </c>
      <c r="BJ19" s="279">
        <f t="shared" ref="BJ19" si="198">BI19+1</f>
        <v>2050</v>
      </c>
      <c r="BK19" s="493" t="s">
        <v>159</v>
      </c>
      <c r="BL19" s="494" t="s">
        <v>160</v>
      </c>
      <c r="BP19" s="267" t="s">
        <v>157</v>
      </c>
      <c r="BQ19" s="268" t="s">
        <v>158</v>
      </c>
      <c r="BR19" s="277">
        <v>2025</v>
      </c>
      <c r="BS19" s="278">
        <f>BR19+1</f>
        <v>2026</v>
      </c>
      <c r="BT19" s="278">
        <f t="shared" ref="BT19" si="199">BS19+1</f>
        <v>2027</v>
      </c>
      <c r="BU19" s="278">
        <f t="shared" ref="BU19" si="200">BT19+1</f>
        <v>2028</v>
      </c>
      <c r="BV19" s="278">
        <f t="shared" ref="BV19" si="201">BU19+1</f>
        <v>2029</v>
      </c>
      <c r="BW19" s="278">
        <f t="shared" ref="BW19" si="202">BV19+1</f>
        <v>2030</v>
      </c>
      <c r="BX19" s="278">
        <f t="shared" ref="BX19" si="203">BW19+1</f>
        <v>2031</v>
      </c>
      <c r="BY19" s="278">
        <f t="shared" ref="BY19" si="204">BX19+1</f>
        <v>2032</v>
      </c>
      <c r="BZ19" s="278">
        <f t="shared" ref="BZ19" si="205">BY19+1</f>
        <v>2033</v>
      </c>
      <c r="CA19" s="278">
        <f t="shared" ref="CA19" si="206">BZ19+1</f>
        <v>2034</v>
      </c>
      <c r="CB19" s="278">
        <f t="shared" ref="CB19" si="207">CA19+1</f>
        <v>2035</v>
      </c>
      <c r="CC19" s="278">
        <f t="shared" ref="CC19" si="208">CB19+1</f>
        <v>2036</v>
      </c>
      <c r="CD19" s="278">
        <f t="shared" ref="CD19" si="209">CC19+1</f>
        <v>2037</v>
      </c>
      <c r="CE19" s="278">
        <f t="shared" ref="CE19" si="210">CD19+1</f>
        <v>2038</v>
      </c>
      <c r="CF19" s="278">
        <f t="shared" ref="CF19" si="211">CE19+1</f>
        <v>2039</v>
      </c>
      <c r="CG19" s="278">
        <f t="shared" ref="CG19" si="212">CF19+1</f>
        <v>2040</v>
      </c>
      <c r="CH19" s="278">
        <f t="shared" ref="CH19" si="213">CG19+1</f>
        <v>2041</v>
      </c>
      <c r="CI19" s="278">
        <f t="shared" ref="CI19" si="214">CH19+1</f>
        <v>2042</v>
      </c>
      <c r="CJ19" s="278">
        <f t="shared" ref="CJ19" si="215">CI19+1</f>
        <v>2043</v>
      </c>
      <c r="CK19" s="278">
        <f t="shared" ref="CK19" si="216">CJ19+1</f>
        <v>2044</v>
      </c>
      <c r="CL19" s="278">
        <f t="shared" ref="CL19" si="217">CK19+1</f>
        <v>2045</v>
      </c>
      <c r="CM19" s="278">
        <f t="shared" ref="CM19" si="218">CL19+1</f>
        <v>2046</v>
      </c>
      <c r="CN19" s="278">
        <f t="shared" ref="CN19" si="219">CM19+1</f>
        <v>2047</v>
      </c>
      <c r="CO19" s="278">
        <f t="shared" ref="CO19" si="220">CN19+1</f>
        <v>2048</v>
      </c>
      <c r="CP19" s="278">
        <f t="shared" ref="CP19" si="221">CO19+1</f>
        <v>2049</v>
      </c>
      <c r="CQ19" s="279">
        <f t="shared" ref="CQ19" si="222">CP19+1</f>
        <v>2050</v>
      </c>
      <c r="CR19" s="493" t="s">
        <v>159</v>
      </c>
      <c r="CS19" s="494" t="s">
        <v>160</v>
      </c>
    </row>
    <row r="20" spans="2:97">
      <c r="B20" s="490" t="s">
        <v>161</v>
      </c>
      <c r="C20" s="491" t="s">
        <v>162</v>
      </c>
      <c r="D20" s="598">
        <f>'4. Advanced EPCs'!C138</f>
        <v>0</v>
      </c>
      <c r="E20" s="598">
        <f>'4. Advanced EPCs'!D138</f>
        <v>0</v>
      </c>
      <c r="F20" s="598">
        <f>'4. Advanced EPCs'!E138</f>
        <v>0</v>
      </c>
      <c r="G20" s="598">
        <f>'4. Advanced EPCs'!F138</f>
        <v>0</v>
      </c>
      <c r="H20" s="598">
        <f>'4. Advanced EPCs'!G138</f>
        <v>0</v>
      </c>
      <c r="I20" s="598">
        <f>'4. Advanced EPCs'!H138</f>
        <v>0</v>
      </c>
      <c r="J20" s="598">
        <f>'4. Advanced EPCs'!I138</f>
        <v>0</v>
      </c>
      <c r="K20" s="598">
        <f>'4. Advanced EPCs'!J138</f>
        <v>0</v>
      </c>
      <c r="L20" s="598">
        <f>'4. Advanced EPCs'!K138</f>
        <v>0</v>
      </c>
      <c r="M20" s="598">
        <f>'4. Advanced EPCs'!L138</f>
        <v>0</v>
      </c>
      <c r="N20" s="598">
        <f>'4. Advanced EPCs'!M138</f>
        <v>0</v>
      </c>
      <c r="O20" s="598">
        <f>'4. Advanced EPCs'!N138</f>
        <v>0</v>
      </c>
      <c r="P20" s="598">
        <f>'4. Advanced EPCs'!O138</f>
        <v>0</v>
      </c>
      <c r="Q20" s="598">
        <f>'4. Advanced EPCs'!P138</f>
        <v>0</v>
      </c>
      <c r="R20" s="598">
        <f>'4. Advanced EPCs'!Q138</f>
        <v>0</v>
      </c>
      <c r="S20" s="598">
        <f>'4. Advanced EPCs'!R138</f>
        <v>0</v>
      </c>
      <c r="T20" s="598">
        <f>'4. Advanced EPCs'!S138</f>
        <v>0</v>
      </c>
      <c r="U20" s="598">
        <f>'4. Advanced EPCs'!T138</f>
        <v>0</v>
      </c>
      <c r="V20" s="598">
        <f>'4. Advanced EPCs'!U138</f>
        <v>0</v>
      </c>
      <c r="W20" s="598">
        <f>'4. Advanced EPCs'!V138</f>
        <v>0</v>
      </c>
      <c r="X20" s="598">
        <f>'4. Advanced EPCs'!W138</f>
        <v>0</v>
      </c>
      <c r="Y20" s="598">
        <f>'4. Advanced EPCs'!X138</f>
        <v>0</v>
      </c>
      <c r="Z20" s="598">
        <f>'4. Advanced EPCs'!Y138</f>
        <v>0</v>
      </c>
      <c r="AA20" s="598">
        <f>'4. Advanced EPCs'!Z138</f>
        <v>0</v>
      </c>
      <c r="AB20" s="598">
        <f>'4. Advanced EPCs'!AA138</f>
        <v>0</v>
      </c>
      <c r="AC20" s="598">
        <f>'4. Advanced EPCs'!AB138</f>
        <v>0</v>
      </c>
      <c r="AD20" s="495">
        <f>SUM(D20:I20)</f>
        <v>0</v>
      </c>
      <c r="AE20" s="496">
        <f>SUM(D20:AC20)</f>
        <v>0</v>
      </c>
      <c r="AI20" s="490" t="s">
        <v>161</v>
      </c>
      <c r="AJ20" s="491" t="s">
        <v>162</v>
      </c>
      <c r="AK20" s="598">
        <f>'4. Advanced EPCs'!C146</f>
        <v>0</v>
      </c>
      <c r="AL20" s="598">
        <f>'4. Advanced EPCs'!D146</f>
        <v>0</v>
      </c>
      <c r="AM20" s="598">
        <f>'4. Advanced EPCs'!E146</f>
        <v>0</v>
      </c>
      <c r="AN20" s="598">
        <f>'4. Advanced EPCs'!F146</f>
        <v>0</v>
      </c>
      <c r="AO20" s="598">
        <f>'4. Advanced EPCs'!G146</f>
        <v>0</v>
      </c>
      <c r="AP20" s="598">
        <f>'4. Advanced EPCs'!H146</f>
        <v>0</v>
      </c>
      <c r="AQ20" s="598">
        <f>'4. Advanced EPCs'!I146</f>
        <v>0</v>
      </c>
      <c r="AR20" s="598">
        <f>'4. Advanced EPCs'!J146</f>
        <v>0</v>
      </c>
      <c r="AS20" s="598">
        <f>'4. Advanced EPCs'!K146</f>
        <v>0</v>
      </c>
      <c r="AT20" s="598">
        <f>'4. Advanced EPCs'!L146</f>
        <v>0</v>
      </c>
      <c r="AU20" s="598">
        <f>'4. Advanced EPCs'!M146</f>
        <v>0</v>
      </c>
      <c r="AV20" s="598">
        <f>'4. Advanced EPCs'!N146</f>
        <v>0</v>
      </c>
      <c r="AW20" s="598">
        <f>'4. Advanced EPCs'!O146</f>
        <v>0</v>
      </c>
      <c r="AX20" s="598">
        <f>'4. Advanced EPCs'!P146</f>
        <v>0</v>
      </c>
      <c r="AY20" s="598">
        <f>'4. Advanced EPCs'!Q146</f>
        <v>0</v>
      </c>
      <c r="AZ20" s="598">
        <f>'4. Advanced EPCs'!R146</f>
        <v>0</v>
      </c>
      <c r="BA20" s="598">
        <f>'4. Advanced EPCs'!S146</f>
        <v>0</v>
      </c>
      <c r="BB20" s="598">
        <f>'4. Advanced EPCs'!T146</f>
        <v>0</v>
      </c>
      <c r="BC20" s="598">
        <f>'4. Advanced EPCs'!U146</f>
        <v>0</v>
      </c>
      <c r="BD20" s="598">
        <f>'4. Advanced EPCs'!V146</f>
        <v>0</v>
      </c>
      <c r="BE20" s="598">
        <f>'4. Advanced EPCs'!W146</f>
        <v>0</v>
      </c>
      <c r="BF20" s="598">
        <f>'4. Advanced EPCs'!X146</f>
        <v>0</v>
      </c>
      <c r="BG20" s="598">
        <f>'4. Advanced EPCs'!Y146</f>
        <v>0</v>
      </c>
      <c r="BH20" s="598">
        <f>'4. Advanced EPCs'!Z146</f>
        <v>0</v>
      </c>
      <c r="BI20" s="598">
        <f>'4. Advanced EPCs'!AA146</f>
        <v>0</v>
      </c>
      <c r="BJ20" s="598">
        <f>'4. Advanced EPCs'!AB146</f>
        <v>0</v>
      </c>
      <c r="BK20" s="495">
        <f>SUM(AK20:AP20)</f>
        <v>0</v>
      </c>
      <c r="BL20" s="496">
        <f>SUM(AK20:BJ20)</f>
        <v>0</v>
      </c>
      <c r="BP20" s="490" t="s">
        <v>161</v>
      </c>
      <c r="BQ20" s="491" t="s">
        <v>162</v>
      </c>
      <c r="BR20" s="598">
        <f>'4. Advanced EPCs'!C154</f>
        <v>0</v>
      </c>
      <c r="BS20" s="598">
        <f>'4. Advanced EPCs'!D154</f>
        <v>0</v>
      </c>
      <c r="BT20" s="598">
        <f>'4. Advanced EPCs'!E154</f>
        <v>0</v>
      </c>
      <c r="BU20" s="598">
        <f>'4. Advanced EPCs'!F154</f>
        <v>0</v>
      </c>
      <c r="BV20" s="598">
        <f>'4. Advanced EPCs'!G154</f>
        <v>0</v>
      </c>
      <c r="BW20" s="598">
        <f>'4. Advanced EPCs'!H154</f>
        <v>0</v>
      </c>
      <c r="BX20" s="598">
        <f>'4. Advanced EPCs'!I154</f>
        <v>0</v>
      </c>
      <c r="BY20" s="598">
        <f>'4. Advanced EPCs'!J154</f>
        <v>0</v>
      </c>
      <c r="BZ20" s="598">
        <f>'4. Advanced EPCs'!K154</f>
        <v>0</v>
      </c>
      <c r="CA20" s="598">
        <f>'4. Advanced EPCs'!L154</f>
        <v>0</v>
      </c>
      <c r="CB20" s="598">
        <f>'4. Advanced EPCs'!M154</f>
        <v>0</v>
      </c>
      <c r="CC20" s="598">
        <f>'4. Advanced EPCs'!N154</f>
        <v>0</v>
      </c>
      <c r="CD20" s="598">
        <f>'4. Advanced EPCs'!O154</f>
        <v>0</v>
      </c>
      <c r="CE20" s="598">
        <f>'4. Advanced EPCs'!P154</f>
        <v>0</v>
      </c>
      <c r="CF20" s="598">
        <f>'4. Advanced EPCs'!Q154</f>
        <v>0</v>
      </c>
      <c r="CG20" s="598">
        <f>'4. Advanced EPCs'!R154</f>
        <v>0</v>
      </c>
      <c r="CH20" s="598">
        <f>'4. Advanced EPCs'!S154</f>
        <v>0</v>
      </c>
      <c r="CI20" s="598">
        <f>'4. Advanced EPCs'!T154</f>
        <v>0</v>
      </c>
      <c r="CJ20" s="598">
        <f>'4. Advanced EPCs'!U154</f>
        <v>0</v>
      </c>
      <c r="CK20" s="598">
        <f>'4. Advanced EPCs'!V154</f>
        <v>0</v>
      </c>
      <c r="CL20" s="598">
        <f>'4. Advanced EPCs'!W154</f>
        <v>0</v>
      </c>
      <c r="CM20" s="598">
        <f>'4. Advanced EPCs'!X154</f>
        <v>0</v>
      </c>
      <c r="CN20" s="598">
        <f>'4. Advanced EPCs'!Y154</f>
        <v>0</v>
      </c>
      <c r="CO20" s="598">
        <f>'4. Advanced EPCs'!Z154</f>
        <v>0</v>
      </c>
      <c r="CP20" s="598">
        <f>'4. Advanced EPCs'!AA154</f>
        <v>0</v>
      </c>
      <c r="CQ20" s="598">
        <f>'4. Advanced EPCs'!AB154</f>
        <v>0</v>
      </c>
      <c r="CR20" s="495">
        <f>SUM(BR20:BW20)</f>
        <v>0</v>
      </c>
      <c r="CS20" s="496">
        <f>SUM(BR20:CQ20)</f>
        <v>0</v>
      </c>
    </row>
    <row r="21" spans="2:97">
      <c r="B21" s="490" t="s">
        <v>163</v>
      </c>
      <c r="C21" s="491" t="s">
        <v>162</v>
      </c>
      <c r="D21" s="598">
        <f>'4. Advanced EPCs'!C139</f>
        <v>0</v>
      </c>
      <c r="E21" s="598">
        <f>'4. Advanced EPCs'!D139</f>
        <v>0</v>
      </c>
      <c r="F21" s="598">
        <f>'4. Advanced EPCs'!E139</f>
        <v>0</v>
      </c>
      <c r="G21" s="598">
        <f>'4. Advanced EPCs'!F139</f>
        <v>0</v>
      </c>
      <c r="H21" s="598">
        <f>'4. Advanced EPCs'!G139</f>
        <v>0</v>
      </c>
      <c r="I21" s="598">
        <f>'4. Advanced EPCs'!H139</f>
        <v>0</v>
      </c>
      <c r="J21" s="598">
        <f>'4. Advanced EPCs'!I139</f>
        <v>0</v>
      </c>
      <c r="K21" s="598">
        <f>'4. Advanced EPCs'!J139</f>
        <v>0</v>
      </c>
      <c r="L21" s="598">
        <f>'4. Advanced EPCs'!K139</f>
        <v>0</v>
      </c>
      <c r="M21" s="598">
        <f>'4. Advanced EPCs'!L139</f>
        <v>0</v>
      </c>
      <c r="N21" s="598">
        <f>'4. Advanced EPCs'!M139</f>
        <v>0</v>
      </c>
      <c r="O21" s="598">
        <f>'4. Advanced EPCs'!N139</f>
        <v>0</v>
      </c>
      <c r="P21" s="598">
        <f>'4. Advanced EPCs'!O139</f>
        <v>0</v>
      </c>
      <c r="Q21" s="598">
        <f>'4. Advanced EPCs'!P139</f>
        <v>0</v>
      </c>
      <c r="R21" s="598">
        <f>'4. Advanced EPCs'!Q139</f>
        <v>0</v>
      </c>
      <c r="S21" s="598">
        <f>'4. Advanced EPCs'!R139</f>
        <v>0</v>
      </c>
      <c r="T21" s="598">
        <f>'4. Advanced EPCs'!S139</f>
        <v>0</v>
      </c>
      <c r="U21" s="598">
        <f>'4. Advanced EPCs'!T139</f>
        <v>0</v>
      </c>
      <c r="V21" s="598">
        <f>'4. Advanced EPCs'!U139</f>
        <v>0</v>
      </c>
      <c r="W21" s="598">
        <f>'4. Advanced EPCs'!V139</f>
        <v>0</v>
      </c>
      <c r="X21" s="598">
        <f>'4. Advanced EPCs'!W139</f>
        <v>0</v>
      </c>
      <c r="Y21" s="598">
        <f>'4. Advanced EPCs'!X139</f>
        <v>0</v>
      </c>
      <c r="Z21" s="598">
        <f>'4. Advanced EPCs'!Y139</f>
        <v>0</v>
      </c>
      <c r="AA21" s="598">
        <f>'4. Advanced EPCs'!Z139</f>
        <v>0</v>
      </c>
      <c r="AB21" s="598">
        <f>'4. Advanced EPCs'!AA139</f>
        <v>0</v>
      </c>
      <c r="AC21" s="598">
        <f>'4. Advanced EPCs'!AB139</f>
        <v>0</v>
      </c>
      <c r="AD21" s="509">
        <f t="shared" ref="AD21:AD24" si="223">SUM(D21:I21)</f>
        <v>0</v>
      </c>
      <c r="AE21" s="497">
        <f t="shared" ref="AE21:AE24" si="224">SUM(D21:AC21)</f>
        <v>0</v>
      </c>
      <c r="AI21" s="490" t="s">
        <v>163</v>
      </c>
      <c r="AJ21" s="491" t="s">
        <v>162</v>
      </c>
      <c r="AK21" s="598">
        <f>'4. Advanced EPCs'!C147</f>
        <v>0</v>
      </c>
      <c r="AL21" s="598">
        <f>'4. Advanced EPCs'!D147</f>
        <v>0</v>
      </c>
      <c r="AM21" s="598">
        <f>'4. Advanced EPCs'!E147</f>
        <v>0</v>
      </c>
      <c r="AN21" s="598">
        <f>'4. Advanced EPCs'!F147</f>
        <v>0</v>
      </c>
      <c r="AO21" s="598">
        <f>'4. Advanced EPCs'!G147</f>
        <v>0</v>
      </c>
      <c r="AP21" s="598">
        <f>'4. Advanced EPCs'!H147</f>
        <v>0</v>
      </c>
      <c r="AQ21" s="598">
        <f>'4. Advanced EPCs'!I147</f>
        <v>0</v>
      </c>
      <c r="AR21" s="598">
        <f>'4. Advanced EPCs'!J147</f>
        <v>0</v>
      </c>
      <c r="AS21" s="598">
        <f>'4. Advanced EPCs'!K147</f>
        <v>0</v>
      </c>
      <c r="AT21" s="598">
        <f>'4. Advanced EPCs'!L147</f>
        <v>0</v>
      </c>
      <c r="AU21" s="598">
        <f>'4. Advanced EPCs'!M147</f>
        <v>0</v>
      </c>
      <c r="AV21" s="598">
        <f>'4. Advanced EPCs'!N147</f>
        <v>0</v>
      </c>
      <c r="AW21" s="598">
        <f>'4. Advanced EPCs'!O147</f>
        <v>0</v>
      </c>
      <c r="AX21" s="598">
        <f>'4. Advanced EPCs'!P147</f>
        <v>0</v>
      </c>
      <c r="AY21" s="598">
        <f>'4. Advanced EPCs'!Q147</f>
        <v>0</v>
      </c>
      <c r="AZ21" s="598">
        <f>'4. Advanced EPCs'!R147</f>
        <v>0</v>
      </c>
      <c r="BA21" s="598">
        <f>'4. Advanced EPCs'!S147</f>
        <v>0</v>
      </c>
      <c r="BB21" s="598">
        <f>'4. Advanced EPCs'!T147</f>
        <v>0</v>
      </c>
      <c r="BC21" s="598">
        <f>'4. Advanced EPCs'!U147</f>
        <v>0</v>
      </c>
      <c r="BD21" s="598">
        <f>'4. Advanced EPCs'!V147</f>
        <v>0</v>
      </c>
      <c r="BE21" s="598">
        <f>'4. Advanced EPCs'!W147</f>
        <v>0</v>
      </c>
      <c r="BF21" s="598">
        <f>'4. Advanced EPCs'!X147</f>
        <v>0</v>
      </c>
      <c r="BG21" s="598">
        <f>'4. Advanced EPCs'!Y147</f>
        <v>0</v>
      </c>
      <c r="BH21" s="598">
        <f>'4. Advanced EPCs'!Z147</f>
        <v>0</v>
      </c>
      <c r="BI21" s="598">
        <f>'4. Advanced EPCs'!AA147</f>
        <v>0</v>
      </c>
      <c r="BJ21" s="598">
        <f>'4. Advanced EPCs'!AB147</f>
        <v>0</v>
      </c>
      <c r="BK21" s="509">
        <f t="shared" ref="BK21:BK24" si="225">SUM(AK21:AP21)</f>
        <v>0</v>
      </c>
      <c r="BL21" s="497">
        <f t="shared" ref="BL21:BL24" si="226">SUM(AK21:BJ21)</f>
        <v>0</v>
      </c>
      <c r="BP21" s="490" t="s">
        <v>163</v>
      </c>
      <c r="BQ21" s="491" t="s">
        <v>162</v>
      </c>
      <c r="BR21" s="598">
        <f>'4. Advanced EPCs'!C155</f>
        <v>0</v>
      </c>
      <c r="BS21" s="598">
        <f>'4. Advanced EPCs'!D155</f>
        <v>0</v>
      </c>
      <c r="BT21" s="598">
        <f>'4. Advanced EPCs'!E155</f>
        <v>0</v>
      </c>
      <c r="BU21" s="598">
        <f>'4. Advanced EPCs'!F155</f>
        <v>0</v>
      </c>
      <c r="BV21" s="598">
        <f>'4. Advanced EPCs'!G155</f>
        <v>0</v>
      </c>
      <c r="BW21" s="598">
        <f>'4. Advanced EPCs'!H155</f>
        <v>0</v>
      </c>
      <c r="BX21" s="598">
        <f>'4. Advanced EPCs'!I155</f>
        <v>0</v>
      </c>
      <c r="BY21" s="598">
        <f>'4. Advanced EPCs'!J155</f>
        <v>0</v>
      </c>
      <c r="BZ21" s="598">
        <f>'4. Advanced EPCs'!K155</f>
        <v>0</v>
      </c>
      <c r="CA21" s="598">
        <f>'4. Advanced EPCs'!L155</f>
        <v>0</v>
      </c>
      <c r="CB21" s="598">
        <f>'4. Advanced EPCs'!M155</f>
        <v>0</v>
      </c>
      <c r="CC21" s="598">
        <f>'4. Advanced EPCs'!N155</f>
        <v>0</v>
      </c>
      <c r="CD21" s="598">
        <f>'4. Advanced EPCs'!O155</f>
        <v>0</v>
      </c>
      <c r="CE21" s="598">
        <f>'4. Advanced EPCs'!P155</f>
        <v>0</v>
      </c>
      <c r="CF21" s="598">
        <f>'4. Advanced EPCs'!Q155</f>
        <v>0</v>
      </c>
      <c r="CG21" s="598">
        <f>'4. Advanced EPCs'!R155</f>
        <v>0</v>
      </c>
      <c r="CH21" s="598">
        <f>'4. Advanced EPCs'!S155</f>
        <v>0</v>
      </c>
      <c r="CI21" s="598">
        <f>'4. Advanced EPCs'!T155</f>
        <v>0</v>
      </c>
      <c r="CJ21" s="598">
        <f>'4. Advanced EPCs'!U155</f>
        <v>0</v>
      </c>
      <c r="CK21" s="598">
        <f>'4. Advanced EPCs'!V155</f>
        <v>0</v>
      </c>
      <c r="CL21" s="598">
        <f>'4. Advanced EPCs'!W155</f>
        <v>0</v>
      </c>
      <c r="CM21" s="598">
        <f>'4. Advanced EPCs'!X155</f>
        <v>0</v>
      </c>
      <c r="CN21" s="598">
        <f>'4. Advanced EPCs'!Y155</f>
        <v>0</v>
      </c>
      <c r="CO21" s="598">
        <f>'4. Advanced EPCs'!Z155</f>
        <v>0</v>
      </c>
      <c r="CP21" s="598">
        <f>'4. Advanced EPCs'!AA155</f>
        <v>0</v>
      </c>
      <c r="CQ21" s="598">
        <f>'4. Advanced EPCs'!AB155</f>
        <v>0</v>
      </c>
      <c r="CR21" s="509">
        <f t="shared" ref="CR21:CR24" si="227">SUM(BR21:BW21)</f>
        <v>0</v>
      </c>
      <c r="CS21" s="497">
        <f t="shared" ref="CS21:CS24" si="228">SUM(BR21:CQ21)</f>
        <v>0</v>
      </c>
    </row>
    <row r="22" spans="2:97">
      <c r="B22" s="490" t="s">
        <v>164</v>
      </c>
      <c r="C22" s="491" t="s">
        <v>162</v>
      </c>
      <c r="D22" s="598">
        <f>'4. Advanced EPCs'!C140</f>
        <v>0</v>
      </c>
      <c r="E22" s="598">
        <f>'4. Advanced EPCs'!D140</f>
        <v>0</v>
      </c>
      <c r="F22" s="598">
        <f>'4. Advanced EPCs'!E140</f>
        <v>0</v>
      </c>
      <c r="G22" s="598">
        <f>'4. Advanced EPCs'!F140</f>
        <v>0</v>
      </c>
      <c r="H22" s="598">
        <f>'4. Advanced EPCs'!G140</f>
        <v>0</v>
      </c>
      <c r="I22" s="598">
        <f>'4. Advanced EPCs'!H140</f>
        <v>0</v>
      </c>
      <c r="J22" s="598">
        <f>'4. Advanced EPCs'!I140</f>
        <v>0</v>
      </c>
      <c r="K22" s="598">
        <f>'4. Advanced EPCs'!J140</f>
        <v>0</v>
      </c>
      <c r="L22" s="598">
        <f>'4. Advanced EPCs'!K140</f>
        <v>0</v>
      </c>
      <c r="M22" s="598">
        <f>'4. Advanced EPCs'!L140</f>
        <v>0</v>
      </c>
      <c r="N22" s="598">
        <f>'4. Advanced EPCs'!M140</f>
        <v>0</v>
      </c>
      <c r="O22" s="598">
        <f>'4. Advanced EPCs'!N140</f>
        <v>0</v>
      </c>
      <c r="P22" s="598">
        <f>'4. Advanced EPCs'!O140</f>
        <v>0</v>
      </c>
      <c r="Q22" s="598">
        <f>'4. Advanced EPCs'!P140</f>
        <v>0</v>
      </c>
      <c r="R22" s="598">
        <f>'4. Advanced EPCs'!Q140</f>
        <v>0</v>
      </c>
      <c r="S22" s="598">
        <f>'4. Advanced EPCs'!R140</f>
        <v>0</v>
      </c>
      <c r="T22" s="598">
        <f>'4. Advanced EPCs'!S140</f>
        <v>0</v>
      </c>
      <c r="U22" s="598">
        <f>'4. Advanced EPCs'!T140</f>
        <v>0</v>
      </c>
      <c r="V22" s="598">
        <f>'4. Advanced EPCs'!U140</f>
        <v>0</v>
      </c>
      <c r="W22" s="598">
        <f>'4. Advanced EPCs'!V140</f>
        <v>0</v>
      </c>
      <c r="X22" s="598">
        <f>'4. Advanced EPCs'!W140</f>
        <v>0</v>
      </c>
      <c r="Y22" s="598">
        <f>'4. Advanced EPCs'!X140</f>
        <v>0</v>
      </c>
      <c r="Z22" s="598">
        <f>'4. Advanced EPCs'!Y140</f>
        <v>0</v>
      </c>
      <c r="AA22" s="598">
        <f>'4. Advanced EPCs'!Z140</f>
        <v>0</v>
      </c>
      <c r="AB22" s="598">
        <f>'4. Advanced EPCs'!AA140</f>
        <v>0</v>
      </c>
      <c r="AC22" s="598">
        <f>'4. Advanced EPCs'!AB140</f>
        <v>0</v>
      </c>
      <c r="AD22" s="509">
        <f t="shared" si="223"/>
        <v>0</v>
      </c>
      <c r="AE22" s="497">
        <f t="shared" si="224"/>
        <v>0</v>
      </c>
      <c r="AI22" s="490" t="s">
        <v>164</v>
      </c>
      <c r="AJ22" s="491" t="s">
        <v>162</v>
      </c>
      <c r="AK22" s="598">
        <f>'4. Advanced EPCs'!C148</f>
        <v>0</v>
      </c>
      <c r="AL22" s="598">
        <f>'4. Advanced EPCs'!D148</f>
        <v>0</v>
      </c>
      <c r="AM22" s="598">
        <f>'4. Advanced EPCs'!E148</f>
        <v>0</v>
      </c>
      <c r="AN22" s="598">
        <f>'4. Advanced EPCs'!F148</f>
        <v>0</v>
      </c>
      <c r="AO22" s="598">
        <f>'4. Advanced EPCs'!G148</f>
        <v>0</v>
      </c>
      <c r="AP22" s="598">
        <f>'4. Advanced EPCs'!H148</f>
        <v>0</v>
      </c>
      <c r="AQ22" s="598">
        <f>'4. Advanced EPCs'!I148</f>
        <v>0</v>
      </c>
      <c r="AR22" s="598">
        <f>'4. Advanced EPCs'!J148</f>
        <v>0</v>
      </c>
      <c r="AS22" s="598">
        <f>'4. Advanced EPCs'!K148</f>
        <v>0</v>
      </c>
      <c r="AT22" s="598">
        <f>'4. Advanced EPCs'!L148</f>
        <v>0</v>
      </c>
      <c r="AU22" s="598">
        <f>'4. Advanced EPCs'!M148</f>
        <v>0</v>
      </c>
      <c r="AV22" s="598">
        <f>'4. Advanced EPCs'!N148</f>
        <v>0</v>
      </c>
      <c r="AW22" s="598">
        <f>'4. Advanced EPCs'!O148</f>
        <v>0</v>
      </c>
      <c r="AX22" s="598">
        <f>'4. Advanced EPCs'!P148</f>
        <v>0</v>
      </c>
      <c r="AY22" s="598">
        <f>'4. Advanced EPCs'!Q148</f>
        <v>0</v>
      </c>
      <c r="AZ22" s="598">
        <f>'4. Advanced EPCs'!R148</f>
        <v>0</v>
      </c>
      <c r="BA22" s="598">
        <f>'4. Advanced EPCs'!S148</f>
        <v>0</v>
      </c>
      <c r="BB22" s="598">
        <f>'4. Advanced EPCs'!T148</f>
        <v>0</v>
      </c>
      <c r="BC22" s="598">
        <f>'4. Advanced EPCs'!U148</f>
        <v>0</v>
      </c>
      <c r="BD22" s="598">
        <f>'4. Advanced EPCs'!V148</f>
        <v>0</v>
      </c>
      <c r="BE22" s="598">
        <f>'4. Advanced EPCs'!W148</f>
        <v>0</v>
      </c>
      <c r="BF22" s="598">
        <f>'4. Advanced EPCs'!X148</f>
        <v>0</v>
      </c>
      <c r="BG22" s="598">
        <f>'4. Advanced EPCs'!Y148</f>
        <v>0</v>
      </c>
      <c r="BH22" s="598">
        <f>'4. Advanced EPCs'!Z148</f>
        <v>0</v>
      </c>
      <c r="BI22" s="598">
        <f>'4. Advanced EPCs'!AA148</f>
        <v>0</v>
      </c>
      <c r="BJ22" s="598">
        <f>'4. Advanced EPCs'!AB148</f>
        <v>0</v>
      </c>
      <c r="BK22" s="509">
        <f t="shared" si="225"/>
        <v>0</v>
      </c>
      <c r="BL22" s="497">
        <f t="shared" si="226"/>
        <v>0</v>
      </c>
      <c r="BP22" s="490" t="s">
        <v>164</v>
      </c>
      <c r="BQ22" s="491" t="s">
        <v>162</v>
      </c>
      <c r="BR22" s="598">
        <f>'4. Advanced EPCs'!C156</f>
        <v>0</v>
      </c>
      <c r="BS22" s="598">
        <f>'4. Advanced EPCs'!D156</f>
        <v>0</v>
      </c>
      <c r="BT22" s="598">
        <f>'4. Advanced EPCs'!E156</f>
        <v>0</v>
      </c>
      <c r="BU22" s="598">
        <f>'4. Advanced EPCs'!F156</f>
        <v>0</v>
      </c>
      <c r="BV22" s="598">
        <f>'4. Advanced EPCs'!G156</f>
        <v>0</v>
      </c>
      <c r="BW22" s="598">
        <f>'4. Advanced EPCs'!H156</f>
        <v>0</v>
      </c>
      <c r="BX22" s="598">
        <f>'4. Advanced EPCs'!I156</f>
        <v>0</v>
      </c>
      <c r="BY22" s="598">
        <f>'4. Advanced EPCs'!J156</f>
        <v>0</v>
      </c>
      <c r="BZ22" s="598">
        <f>'4. Advanced EPCs'!K156</f>
        <v>0</v>
      </c>
      <c r="CA22" s="598">
        <f>'4. Advanced EPCs'!L156</f>
        <v>0</v>
      </c>
      <c r="CB22" s="598">
        <f>'4. Advanced EPCs'!M156</f>
        <v>0</v>
      </c>
      <c r="CC22" s="598">
        <f>'4. Advanced EPCs'!N156</f>
        <v>0</v>
      </c>
      <c r="CD22" s="598">
        <f>'4. Advanced EPCs'!O156</f>
        <v>0</v>
      </c>
      <c r="CE22" s="598">
        <f>'4. Advanced EPCs'!P156</f>
        <v>0</v>
      </c>
      <c r="CF22" s="598">
        <f>'4. Advanced EPCs'!Q156</f>
        <v>0</v>
      </c>
      <c r="CG22" s="598">
        <f>'4. Advanced EPCs'!R156</f>
        <v>0</v>
      </c>
      <c r="CH22" s="598">
        <f>'4. Advanced EPCs'!S156</f>
        <v>0</v>
      </c>
      <c r="CI22" s="598">
        <f>'4. Advanced EPCs'!T156</f>
        <v>0</v>
      </c>
      <c r="CJ22" s="598">
        <f>'4. Advanced EPCs'!U156</f>
        <v>0</v>
      </c>
      <c r="CK22" s="598">
        <f>'4. Advanced EPCs'!V156</f>
        <v>0</v>
      </c>
      <c r="CL22" s="598">
        <f>'4. Advanced EPCs'!W156</f>
        <v>0</v>
      </c>
      <c r="CM22" s="598">
        <f>'4. Advanced EPCs'!X156</f>
        <v>0</v>
      </c>
      <c r="CN22" s="598">
        <f>'4. Advanced EPCs'!Y156</f>
        <v>0</v>
      </c>
      <c r="CO22" s="598">
        <f>'4. Advanced EPCs'!Z156</f>
        <v>0</v>
      </c>
      <c r="CP22" s="598">
        <f>'4. Advanced EPCs'!AA156</f>
        <v>0</v>
      </c>
      <c r="CQ22" s="598">
        <f>'4. Advanced EPCs'!AB156</f>
        <v>0</v>
      </c>
      <c r="CR22" s="509">
        <f t="shared" si="227"/>
        <v>0</v>
      </c>
      <c r="CS22" s="497">
        <f t="shared" si="228"/>
        <v>0</v>
      </c>
    </row>
    <row r="23" spans="2:97">
      <c r="B23" s="490" t="s">
        <v>165</v>
      </c>
      <c r="C23" s="491" t="s">
        <v>162</v>
      </c>
      <c r="D23" s="598">
        <f>'4. Advanced EPCs'!C141</f>
        <v>0</v>
      </c>
      <c r="E23" s="598">
        <f>'4. Advanced EPCs'!D141</f>
        <v>0</v>
      </c>
      <c r="F23" s="598">
        <f>'4. Advanced EPCs'!E141</f>
        <v>0</v>
      </c>
      <c r="G23" s="598">
        <f>'4. Advanced EPCs'!F141</f>
        <v>0</v>
      </c>
      <c r="H23" s="598">
        <f>'4. Advanced EPCs'!G141</f>
        <v>0</v>
      </c>
      <c r="I23" s="598">
        <f>'4. Advanced EPCs'!H141</f>
        <v>0</v>
      </c>
      <c r="J23" s="598">
        <f>'4. Advanced EPCs'!I141</f>
        <v>0</v>
      </c>
      <c r="K23" s="598">
        <f>'4. Advanced EPCs'!J141</f>
        <v>0</v>
      </c>
      <c r="L23" s="598">
        <f>'4. Advanced EPCs'!K141</f>
        <v>0</v>
      </c>
      <c r="M23" s="598">
        <f>'4. Advanced EPCs'!L141</f>
        <v>0</v>
      </c>
      <c r="N23" s="598">
        <f>'4. Advanced EPCs'!M141</f>
        <v>0</v>
      </c>
      <c r="O23" s="598">
        <f>'4. Advanced EPCs'!N141</f>
        <v>0</v>
      </c>
      <c r="P23" s="598">
        <f>'4. Advanced EPCs'!O141</f>
        <v>0</v>
      </c>
      <c r="Q23" s="598">
        <f>'4. Advanced EPCs'!P141</f>
        <v>0</v>
      </c>
      <c r="R23" s="598">
        <f>'4. Advanced EPCs'!Q141</f>
        <v>0</v>
      </c>
      <c r="S23" s="598">
        <f>'4. Advanced EPCs'!R141</f>
        <v>0</v>
      </c>
      <c r="T23" s="598">
        <f>'4. Advanced EPCs'!S141</f>
        <v>0</v>
      </c>
      <c r="U23" s="598">
        <f>'4. Advanced EPCs'!T141</f>
        <v>0</v>
      </c>
      <c r="V23" s="598">
        <f>'4. Advanced EPCs'!U141</f>
        <v>0</v>
      </c>
      <c r="W23" s="598">
        <f>'4. Advanced EPCs'!V141</f>
        <v>0</v>
      </c>
      <c r="X23" s="598">
        <f>'4. Advanced EPCs'!W141</f>
        <v>0</v>
      </c>
      <c r="Y23" s="598">
        <f>'4. Advanced EPCs'!X141</f>
        <v>0</v>
      </c>
      <c r="Z23" s="598">
        <f>'4. Advanced EPCs'!Y141</f>
        <v>0</v>
      </c>
      <c r="AA23" s="598">
        <f>'4. Advanced EPCs'!Z141</f>
        <v>0</v>
      </c>
      <c r="AB23" s="598">
        <f>'4. Advanced EPCs'!AA141</f>
        <v>0</v>
      </c>
      <c r="AC23" s="598">
        <f>'4. Advanced EPCs'!AB141</f>
        <v>0</v>
      </c>
      <c r="AD23" s="509">
        <f t="shared" si="223"/>
        <v>0</v>
      </c>
      <c r="AE23" s="497">
        <f t="shared" si="224"/>
        <v>0</v>
      </c>
      <c r="AI23" s="490" t="s">
        <v>165</v>
      </c>
      <c r="AJ23" s="491" t="s">
        <v>162</v>
      </c>
      <c r="AK23" s="598">
        <f>'4. Advanced EPCs'!C149</f>
        <v>0</v>
      </c>
      <c r="AL23" s="598">
        <f>'4. Advanced EPCs'!D149</f>
        <v>0</v>
      </c>
      <c r="AM23" s="598">
        <f>'4. Advanced EPCs'!E149</f>
        <v>0</v>
      </c>
      <c r="AN23" s="598">
        <f>'4. Advanced EPCs'!F149</f>
        <v>0</v>
      </c>
      <c r="AO23" s="598">
        <f>'4. Advanced EPCs'!G149</f>
        <v>0</v>
      </c>
      <c r="AP23" s="598">
        <f>'4. Advanced EPCs'!H149</f>
        <v>0</v>
      </c>
      <c r="AQ23" s="598">
        <f>'4. Advanced EPCs'!I149</f>
        <v>0</v>
      </c>
      <c r="AR23" s="598">
        <f>'4. Advanced EPCs'!J149</f>
        <v>0</v>
      </c>
      <c r="AS23" s="598">
        <f>'4. Advanced EPCs'!K149</f>
        <v>0</v>
      </c>
      <c r="AT23" s="598">
        <f>'4. Advanced EPCs'!L149</f>
        <v>0</v>
      </c>
      <c r="AU23" s="598">
        <f>'4. Advanced EPCs'!M149</f>
        <v>0</v>
      </c>
      <c r="AV23" s="598">
        <f>'4. Advanced EPCs'!N149</f>
        <v>0</v>
      </c>
      <c r="AW23" s="598">
        <f>'4. Advanced EPCs'!O149</f>
        <v>0</v>
      </c>
      <c r="AX23" s="598">
        <f>'4. Advanced EPCs'!P149</f>
        <v>0</v>
      </c>
      <c r="AY23" s="598">
        <f>'4. Advanced EPCs'!Q149</f>
        <v>0</v>
      </c>
      <c r="AZ23" s="598">
        <f>'4. Advanced EPCs'!R149</f>
        <v>0</v>
      </c>
      <c r="BA23" s="598">
        <f>'4. Advanced EPCs'!S149</f>
        <v>0</v>
      </c>
      <c r="BB23" s="598">
        <f>'4. Advanced EPCs'!T149</f>
        <v>0</v>
      </c>
      <c r="BC23" s="598">
        <f>'4. Advanced EPCs'!U149</f>
        <v>0</v>
      </c>
      <c r="BD23" s="598">
        <f>'4. Advanced EPCs'!V149</f>
        <v>0</v>
      </c>
      <c r="BE23" s="598">
        <f>'4. Advanced EPCs'!W149</f>
        <v>0</v>
      </c>
      <c r="BF23" s="598">
        <f>'4. Advanced EPCs'!X149</f>
        <v>0</v>
      </c>
      <c r="BG23" s="598">
        <f>'4. Advanced EPCs'!Y149</f>
        <v>0</v>
      </c>
      <c r="BH23" s="598">
        <f>'4. Advanced EPCs'!Z149</f>
        <v>0</v>
      </c>
      <c r="BI23" s="598">
        <f>'4. Advanced EPCs'!AA149</f>
        <v>0</v>
      </c>
      <c r="BJ23" s="598">
        <f>'4. Advanced EPCs'!AB149</f>
        <v>0</v>
      </c>
      <c r="BK23" s="509">
        <f t="shared" si="225"/>
        <v>0</v>
      </c>
      <c r="BL23" s="497">
        <f t="shared" si="226"/>
        <v>0</v>
      </c>
      <c r="BP23" s="490" t="s">
        <v>165</v>
      </c>
      <c r="BQ23" s="491" t="s">
        <v>162</v>
      </c>
      <c r="BR23" s="598">
        <f>'4. Advanced EPCs'!C157</f>
        <v>0</v>
      </c>
      <c r="BS23" s="598">
        <f>'4. Advanced EPCs'!D157</f>
        <v>0</v>
      </c>
      <c r="BT23" s="598">
        <f>'4. Advanced EPCs'!E157</f>
        <v>0</v>
      </c>
      <c r="BU23" s="598">
        <f>'4. Advanced EPCs'!F157</f>
        <v>0</v>
      </c>
      <c r="BV23" s="598">
        <f>'4. Advanced EPCs'!G157</f>
        <v>0</v>
      </c>
      <c r="BW23" s="598">
        <f>'4. Advanced EPCs'!H157</f>
        <v>0</v>
      </c>
      <c r="BX23" s="598">
        <f>'4. Advanced EPCs'!I157</f>
        <v>0</v>
      </c>
      <c r="BY23" s="598">
        <f>'4. Advanced EPCs'!J157</f>
        <v>0</v>
      </c>
      <c r="BZ23" s="598">
        <f>'4. Advanced EPCs'!K157</f>
        <v>0</v>
      </c>
      <c r="CA23" s="598">
        <f>'4. Advanced EPCs'!L157</f>
        <v>0</v>
      </c>
      <c r="CB23" s="598">
        <f>'4. Advanced EPCs'!M157</f>
        <v>0</v>
      </c>
      <c r="CC23" s="598">
        <f>'4. Advanced EPCs'!N157</f>
        <v>0</v>
      </c>
      <c r="CD23" s="598">
        <f>'4. Advanced EPCs'!O157</f>
        <v>0</v>
      </c>
      <c r="CE23" s="598">
        <f>'4. Advanced EPCs'!P157</f>
        <v>0</v>
      </c>
      <c r="CF23" s="598">
        <f>'4. Advanced EPCs'!Q157</f>
        <v>0</v>
      </c>
      <c r="CG23" s="598">
        <f>'4. Advanced EPCs'!R157</f>
        <v>0</v>
      </c>
      <c r="CH23" s="598">
        <f>'4. Advanced EPCs'!S157</f>
        <v>0</v>
      </c>
      <c r="CI23" s="598">
        <f>'4. Advanced EPCs'!T157</f>
        <v>0</v>
      </c>
      <c r="CJ23" s="598">
        <f>'4. Advanced EPCs'!U157</f>
        <v>0</v>
      </c>
      <c r="CK23" s="598">
        <f>'4. Advanced EPCs'!V157</f>
        <v>0</v>
      </c>
      <c r="CL23" s="598">
        <f>'4. Advanced EPCs'!W157</f>
        <v>0</v>
      </c>
      <c r="CM23" s="598">
        <f>'4. Advanced EPCs'!X157</f>
        <v>0</v>
      </c>
      <c r="CN23" s="598">
        <f>'4. Advanced EPCs'!Y157</f>
        <v>0</v>
      </c>
      <c r="CO23" s="598">
        <f>'4. Advanced EPCs'!Z157</f>
        <v>0</v>
      </c>
      <c r="CP23" s="598">
        <f>'4. Advanced EPCs'!AA157</f>
        <v>0</v>
      </c>
      <c r="CQ23" s="598">
        <f>'4. Advanced EPCs'!AB157</f>
        <v>0</v>
      </c>
      <c r="CR23" s="509">
        <f t="shared" si="227"/>
        <v>0</v>
      </c>
      <c r="CS23" s="497">
        <f t="shared" si="228"/>
        <v>0</v>
      </c>
    </row>
    <row r="24" spans="2:97" ht="15" thickBot="1">
      <c r="B24" s="490" t="s">
        <v>166</v>
      </c>
      <c r="C24" s="491" t="s">
        <v>162</v>
      </c>
      <c r="D24" s="598">
        <f>'4. Advanced EPCs'!C142</f>
        <v>0</v>
      </c>
      <c r="E24" s="598">
        <f>'4. Advanced EPCs'!D142</f>
        <v>0</v>
      </c>
      <c r="F24" s="598">
        <f>'4. Advanced EPCs'!E142</f>
        <v>0</v>
      </c>
      <c r="G24" s="598">
        <f>'4. Advanced EPCs'!F142</f>
        <v>0</v>
      </c>
      <c r="H24" s="598">
        <f>'4. Advanced EPCs'!G142</f>
        <v>0</v>
      </c>
      <c r="I24" s="598">
        <f>'4. Advanced EPCs'!H142</f>
        <v>0</v>
      </c>
      <c r="J24" s="598">
        <f>'4. Advanced EPCs'!I142</f>
        <v>0</v>
      </c>
      <c r="K24" s="598">
        <f>'4. Advanced EPCs'!J142</f>
        <v>0</v>
      </c>
      <c r="L24" s="598">
        <f>'4. Advanced EPCs'!K142</f>
        <v>0</v>
      </c>
      <c r="M24" s="598">
        <f>'4. Advanced EPCs'!L142</f>
        <v>0</v>
      </c>
      <c r="N24" s="598">
        <f>'4. Advanced EPCs'!M142</f>
        <v>0</v>
      </c>
      <c r="O24" s="598">
        <f>'4. Advanced EPCs'!N142</f>
        <v>0</v>
      </c>
      <c r="P24" s="598">
        <f>'4. Advanced EPCs'!O142</f>
        <v>0</v>
      </c>
      <c r="Q24" s="598">
        <f>'4. Advanced EPCs'!P142</f>
        <v>0</v>
      </c>
      <c r="R24" s="598">
        <f>'4. Advanced EPCs'!Q142</f>
        <v>0</v>
      </c>
      <c r="S24" s="598">
        <f>'4. Advanced EPCs'!R142</f>
        <v>0</v>
      </c>
      <c r="T24" s="598">
        <f>'4. Advanced EPCs'!S142</f>
        <v>0</v>
      </c>
      <c r="U24" s="598">
        <f>'4. Advanced EPCs'!T142</f>
        <v>0</v>
      </c>
      <c r="V24" s="598">
        <f>'4. Advanced EPCs'!U142</f>
        <v>0</v>
      </c>
      <c r="W24" s="598">
        <f>'4. Advanced EPCs'!V142</f>
        <v>0</v>
      </c>
      <c r="X24" s="598">
        <f>'4. Advanced EPCs'!W142</f>
        <v>0</v>
      </c>
      <c r="Y24" s="598">
        <f>'4. Advanced EPCs'!X142</f>
        <v>0</v>
      </c>
      <c r="Z24" s="598">
        <f>'4. Advanced EPCs'!Y142</f>
        <v>0</v>
      </c>
      <c r="AA24" s="598">
        <f>'4. Advanced EPCs'!Z142</f>
        <v>0</v>
      </c>
      <c r="AB24" s="598">
        <f>'4. Advanced EPCs'!AA142</f>
        <v>0</v>
      </c>
      <c r="AC24" s="598">
        <f>'4. Advanced EPCs'!AB142</f>
        <v>0</v>
      </c>
      <c r="AD24" s="498">
        <f t="shared" si="223"/>
        <v>0</v>
      </c>
      <c r="AE24" s="499">
        <f t="shared" si="224"/>
        <v>0</v>
      </c>
      <c r="AI24" s="490" t="s">
        <v>166</v>
      </c>
      <c r="AJ24" s="491" t="s">
        <v>162</v>
      </c>
      <c r="AK24" s="598">
        <f>'4. Advanced EPCs'!C150</f>
        <v>0</v>
      </c>
      <c r="AL24" s="598">
        <f>'4. Advanced EPCs'!D150</f>
        <v>0</v>
      </c>
      <c r="AM24" s="598">
        <f>'4. Advanced EPCs'!E150</f>
        <v>0</v>
      </c>
      <c r="AN24" s="598">
        <f>'4. Advanced EPCs'!F150</f>
        <v>0</v>
      </c>
      <c r="AO24" s="598">
        <f>'4. Advanced EPCs'!G150</f>
        <v>0</v>
      </c>
      <c r="AP24" s="598">
        <f>'4. Advanced EPCs'!H150</f>
        <v>0</v>
      </c>
      <c r="AQ24" s="598">
        <f>'4. Advanced EPCs'!I150</f>
        <v>0</v>
      </c>
      <c r="AR24" s="598">
        <f>'4. Advanced EPCs'!J150</f>
        <v>0</v>
      </c>
      <c r="AS24" s="598">
        <f>'4. Advanced EPCs'!K150</f>
        <v>0</v>
      </c>
      <c r="AT24" s="598">
        <f>'4. Advanced EPCs'!L150</f>
        <v>0</v>
      </c>
      <c r="AU24" s="598">
        <f>'4. Advanced EPCs'!M150</f>
        <v>0</v>
      </c>
      <c r="AV24" s="598">
        <f>'4. Advanced EPCs'!N150</f>
        <v>0</v>
      </c>
      <c r="AW24" s="598">
        <f>'4. Advanced EPCs'!O150</f>
        <v>0</v>
      </c>
      <c r="AX24" s="598">
        <f>'4. Advanced EPCs'!P150</f>
        <v>0</v>
      </c>
      <c r="AY24" s="598">
        <f>'4. Advanced EPCs'!Q150</f>
        <v>0</v>
      </c>
      <c r="AZ24" s="598">
        <f>'4. Advanced EPCs'!R150</f>
        <v>0</v>
      </c>
      <c r="BA24" s="598">
        <f>'4. Advanced EPCs'!S150</f>
        <v>0</v>
      </c>
      <c r="BB24" s="598">
        <f>'4. Advanced EPCs'!T150</f>
        <v>0</v>
      </c>
      <c r="BC24" s="598">
        <f>'4. Advanced EPCs'!U150</f>
        <v>0</v>
      </c>
      <c r="BD24" s="598">
        <f>'4. Advanced EPCs'!V150</f>
        <v>0</v>
      </c>
      <c r="BE24" s="598">
        <f>'4. Advanced EPCs'!W150</f>
        <v>0</v>
      </c>
      <c r="BF24" s="598">
        <f>'4. Advanced EPCs'!X150</f>
        <v>0</v>
      </c>
      <c r="BG24" s="598">
        <f>'4. Advanced EPCs'!Y150</f>
        <v>0</v>
      </c>
      <c r="BH24" s="598">
        <f>'4. Advanced EPCs'!Z150</f>
        <v>0</v>
      </c>
      <c r="BI24" s="598">
        <f>'4. Advanced EPCs'!AA150</f>
        <v>0</v>
      </c>
      <c r="BJ24" s="598">
        <f>'4. Advanced EPCs'!AB150</f>
        <v>0</v>
      </c>
      <c r="BK24" s="498">
        <f t="shared" si="225"/>
        <v>0</v>
      </c>
      <c r="BL24" s="499">
        <f t="shared" si="226"/>
        <v>0</v>
      </c>
      <c r="BP24" s="490" t="s">
        <v>166</v>
      </c>
      <c r="BQ24" s="491" t="s">
        <v>162</v>
      </c>
      <c r="BR24" s="598">
        <f>'4. Advanced EPCs'!C158</f>
        <v>0</v>
      </c>
      <c r="BS24" s="598">
        <f>'4. Advanced EPCs'!D158</f>
        <v>0</v>
      </c>
      <c r="BT24" s="598">
        <f>'4. Advanced EPCs'!E158</f>
        <v>0</v>
      </c>
      <c r="BU24" s="598">
        <f>'4. Advanced EPCs'!F158</f>
        <v>0</v>
      </c>
      <c r="BV24" s="598">
        <f>'4. Advanced EPCs'!G158</f>
        <v>0</v>
      </c>
      <c r="BW24" s="598">
        <f>'4. Advanced EPCs'!H158</f>
        <v>0</v>
      </c>
      <c r="BX24" s="598">
        <f>'4. Advanced EPCs'!I158</f>
        <v>0</v>
      </c>
      <c r="BY24" s="598">
        <f>'4. Advanced EPCs'!J158</f>
        <v>0</v>
      </c>
      <c r="BZ24" s="598">
        <f>'4. Advanced EPCs'!K158</f>
        <v>0</v>
      </c>
      <c r="CA24" s="598">
        <f>'4. Advanced EPCs'!L158</f>
        <v>0</v>
      </c>
      <c r="CB24" s="598">
        <f>'4. Advanced EPCs'!M158</f>
        <v>0</v>
      </c>
      <c r="CC24" s="598">
        <f>'4. Advanced EPCs'!N158</f>
        <v>0</v>
      </c>
      <c r="CD24" s="598">
        <f>'4. Advanced EPCs'!O158</f>
        <v>0</v>
      </c>
      <c r="CE24" s="598">
        <f>'4. Advanced EPCs'!P158</f>
        <v>0</v>
      </c>
      <c r="CF24" s="598">
        <f>'4. Advanced EPCs'!Q158</f>
        <v>0</v>
      </c>
      <c r="CG24" s="598">
        <f>'4. Advanced EPCs'!R158</f>
        <v>0</v>
      </c>
      <c r="CH24" s="598">
        <f>'4. Advanced EPCs'!S158</f>
        <v>0</v>
      </c>
      <c r="CI24" s="598">
        <f>'4. Advanced EPCs'!T158</f>
        <v>0</v>
      </c>
      <c r="CJ24" s="598">
        <f>'4. Advanced EPCs'!U158</f>
        <v>0</v>
      </c>
      <c r="CK24" s="598">
        <f>'4. Advanced EPCs'!V158</f>
        <v>0</v>
      </c>
      <c r="CL24" s="598">
        <f>'4. Advanced EPCs'!W158</f>
        <v>0</v>
      </c>
      <c r="CM24" s="598">
        <f>'4. Advanced EPCs'!X158</f>
        <v>0</v>
      </c>
      <c r="CN24" s="598">
        <f>'4. Advanced EPCs'!Y158</f>
        <v>0</v>
      </c>
      <c r="CO24" s="598">
        <f>'4. Advanced EPCs'!Z158</f>
        <v>0</v>
      </c>
      <c r="CP24" s="598">
        <f>'4. Advanced EPCs'!AA158</f>
        <v>0</v>
      </c>
      <c r="CQ24" s="598">
        <f>'4. Advanced EPCs'!AB158</f>
        <v>0</v>
      </c>
      <c r="CR24" s="498">
        <f t="shared" si="227"/>
        <v>0</v>
      </c>
      <c r="CS24" s="499">
        <f t="shared" si="228"/>
        <v>0</v>
      </c>
    </row>
  </sheetData>
  <mergeCells count="27">
    <mergeCell ref="BP2:BQ2"/>
    <mergeCell ref="BR2:CQ2"/>
    <mergeCell ref="CR2:CS2"/>
    <mergeCell ref="AI18:AJ18"/>
    <mergeCell ref="AK18:BJ18"/>
    <mergeCell ref="BK18:BL18"/>
    <mergeCell ref="BP10:BQ10"/>
    <mergeCell ref="BR10:CQ10"/>
    <mergeCell ref="CR10:CS10"/>
    <mergeCell ref="BP18:BQ18"/>
    <mergeCell ref="BR18:CQ18"/>
    <mergeCell ref="CR18:CS18"/>
    <mergeCell ref="AI2:AJ2"/>
    <mergeCell ref="AK2:BJ2"/>
    <mergeCell ref="BK2:BL2"/>
    <mergeCell ref="AI10:AJ10"/>
    <mergeCell ref="AK10:BJ10"/>
    <mergeCell ref="BK10:BL10"/>
    <mergeCell ref="B2:C2"/>
    <mergeCell ref="AD2:AE2"/>
    <mergeCell ref="AD10:AE10"/>
    <mergeCell ref="D2:AC2"/>
    <mergeCell ref="AD18:AE18"/>
    <mergeCell ref="B10:C10"/>
    <mergeCell ref="D10:AC10"/>
    <mergeCell ref="B18:C18"/>
    <mergeCell ref="D18:AC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BF25E-4EA4-40AE-A9EC-FDF871CDDF88}">
  <sheetPr>
    <tabColor theme="7" tint="0.79998168889431442"/>
  </sheetPr>
  <dimension ref="B1:G35"/>
  <sheetViews>
    <sheetView topLeftCell="E1" workbookViewId="0">
      <selection activeCell="E30" sqref="E30"/>
    </sheetView>
  </sheetViews>
  <sheetFormatPr defaultColWidth="8.85546875" defaultRowHeight="15"/>
  <cols>
    <col min="1" max="1" width="4.42578125" style="7" customWidth="1"/>
    <col min="2" max="2" width="50.42578125" style="7" customWidth="1"/>
    <col min="3" max="3" width="30" style="7" customWidth="1"/>
    <col min="4" max="4" width="54.42578125" style="7" bestFit="1" customWidth="1"/>
    <col min="5" max="5" width="90.85546875" style="7" customWidth="1"/>
    <col min="6" max="6" width="27.140625" style="7" bestFit="1" customWidth="1"/>
    <col min="7" max="7" width="126.5703125" style="7" bestFit="1" customWidth="1"/>
    <col min="8" max="16384" width="8.85546875" style="7"/>
  </cols>
  <sheetData>
    <row r="1" spans="2:7" ht="20.100000000000001" customHeight="1"/>
    <row r="2" spans="2:7" ht="20.25" thickBot="1">
      <c r="B2" s="247" t="s">
        <v>3</v>
      </c>
      <c r="C2" s="247"/>
      <c r="D2" s="247"/>
      <c r="E2" s="247"/>
      <c r="F2" s="247"/>
      <c r="G2" s="247"/>
    </row>
    <row r="3" spans="2:7" ht="20.100000000000001" customHeight="1" thickTop="1">
      <c r="B3" s="15" t="s">
        <v>40</v>
      </c>
      <c r="C3" s="15" t="s">
        <v>41</v>
      </c>
      <c r="D3" s="15" t="s">
        <v>42</v>
      </c>
      <c r="E3" s="15" t="s">
        <v>43</v>
      </c>
      <c r="F3" s="15" t="s">
        <v>44</v>
      </c>
      <c r="G3" s="15" t="s">
        <v>45</v>
      </c>
    </row>
    <row r="4" spans="2:7">
      <c r="B4" s="304" t="s">
        <v>46</v>
      </c>
      <c r="C4" s="303" t="s">
        <v>47</v>
      </c>
      <c r="D4" s="303" t="s">
        <v>48</v>
      </c>
      <c r="E4" s="303" t="s">
        <v>49</v>
      </c>
      <c r="F4" s="306">
        <f>'EPA Emission Factors Hub'!W39</f>
        <v>7.5157600000000005E-2</v>
      </c>
      <c r="G4" s="303" t="s">
        <v>50</v>
      </c>
    </row>
    <row r="5" spans="2:7">
      <c r="B5" s="304" t="s">
        <v>46</v>
      </c>
      <c r="C5" s="303" t="s">
        <v>51</v>
      </c>
      <c r="D5" s="303" t="s">
        <v>52</v>
      </c>
      <c r="E5" s="303" t="s">
        <v>53</v>
      </c>
      <c r="F5" s="302">
        <f>'NYS Upstream Emission Factors'!E5</f>
        <v>12206</v>
      </c>
      <c r="G5" s="303" t="s">
        <v>54</v>
      </c>
    </row>
    <row r="6" spans="2:7">
      <c r="B6" s="304" t="s">
        <v>46</v>
      </c>
      <c r="C6" s="303" t="s">
        <v>55</v>
      </c>
      <c r="D6" s="303" t="s">
        <v>48</v>
      </c>
      <c r="E6" s="303" t="s">
        <v>56</v>
      </c>
      <c r="F6" s="306">
        <f>'CLCPA Emission Factors Hub'!G14</f>
        <v>9.5500000000000002E-2</v>
      </c>
      <c r="G6" s="303" t="s">
        <v>57</v>
      </c>
    </row>
    <row r="7" spans="2:7">
      <c r="B7" s="304" t="s">
        <v>46</v>
      </c>
      <c r="C7" s="303" t="s">
        <v>58</v>
      </c>
      <c r="D7" s="303" t="s">
        <v>59</v>
      </c>
      <c r="E7" s="303" t="s">
        <v>60</v>
      </c>
      <c r="F7" s="300">
        <f>'EPA Emission Factors Hub'!D9</f>
        <v>28</v>
      </c>
      <c r="G7" s="303" t="s">
        <v>61</v>
      </c>
    </row>
    <row r="8" spans="2:7">
      <c r="B8" s="304" t="s">
        <v>46</v>
      </c>
      <c r="C8" s="303" t="s">
        <v>62</v>
      </c>
      <c r="D8" s="303" t="s">
        <v>63</v>
      </c>
      <c r="E8" s="303" t="s">
        <v>64</v>
      </c>
      <c r="F8" s="300">
        <f>'CLCPA Emission Factors Hub'!E9</f>
        <v>84</v>
      </c>
      <c r="G8" s="303" t="s">
        <v>57</v>
      </c>
    </row>
    <row r="9" spans="2:7">
      <c r="B9" s="304" t="s">
        <v>46</v>
      </c>
      <c r="C9" s="303" t="s">
        <v>65</v>
      </c>
      <c r="D9" s="303" t="s">
        <v>66</v>
      </c>
      <c r="E9" s="303" t="s">
        <v>987</v>
      </c>
      <c r="F9" s="308">
        <f>'EPA Grid Emission Factors'!H4</f>
        <v>2.3449999999999998E-4</v>
      </c>
      <c r="G9" s="303" t="s">
        <v>67</v>
      </c>
    </row>
    <row r="10" spans="2:7">
      <c r="B10" s="304" t="s">
        <v>46</v>
      </c>
      <c r="C10" s="303" t="s">
        <v>68</v>
      </c>
      <c r="D10" s="303" t="s">
        <v>66</v>
      </c>
      <c r="E10" s="303" t="s">
        <v>987</v>
      </c>
      <c r="F10" s="308">
        <f>'CLCPA Grid Emission Factors '!H4</f>
        <v>2.9610000000000004E-4</v>
      </c>
      <c r="G10" s="303" t="s">
        <v>69</v>
      </c>
    </row>
    <row r="11" spans="2:7">
      <c r="B11" s="304" t="s">
        <v>46</v>
      </c>
      <c r="C11" s="303" t="s">
        <v>70</v>
      </c>
      <c r="D11" s="303" t="s">
        <v>71</v>
      </c>
      <c r="E11" s="303" t="s">
        <v>72</v>
      </c>
      <c r="F11" s="197" t="s">
        <v>930</v>
      </c>
      <c r="G11" s="303" t="s">
        <v>73</v>
      </c>
    </row>
    <row r="12" spans="2:7">
      <c r="B12" s="304" t="s">
        <v>149</v>
      </c>
      <c r="C12" s="303" t="s">
        <v>75</v>
      </c>
      <c r="D12" s="303" t="s">
        <v>83</v>
      </c>
      <c r="E12" s="303" t="s">
        <v>965</v>
      </c>
      <c r="F12" s="300">
        <f>'1. Organics Recycling'!C20</f>
        <v>20</v>
      </c>
      <c r="G12" s="303" t="s">
        <v>78</v>
      </c>
    </row>
    <row r="13" spans="2:7">
      <c r="B13" s="304" t="s">
        <v>149</v>
      </c>
      <c r="C13" s="303" t="s">
        <v>75</v>
      </c>
      <c r="D13" s="303" t="s">
        <v>84</v>
      </c>
      <c r="E13" s="303" t="s">
        <v>966</v>
      </c>
      <c r="F13" s="300">
        <f>'1. Organics Recycling'!C21</f>
        <v>20</v>
      </c>
      <c r="G13" s="303" t="s">
        <v>78</v>
      </c>
    </row>
    <row r="14" spans="2:7">
      <c r="B14" s="304" t="s">
        <v>149</v>
      </c>
      <c r="C14" s="303" t="s">
        <v>74</v>
      </c>
      <c r="D14" s="303" t="s">
        <v>85</v>
      </c>
      <c r="E14" s="303" t="s">
        <v>86</v>
      </c>
      <c r="F14" s="301">
        <f>'1. Organics Recycling'!C32</f>
        <v>500000</v>
      </c>
      <c r="G14" s="303" t="s">
        <v>78</v>
      </c>
    </row>
    <row r="15" spans="2:7">
      <c r="B15" s="304" t="s">
        <v>149</v>
      </c>
      <c r="C15" s="303" t="s">
        <v>74</v>
      </c>
      <c r="D15" s="303" t="s">
        <v>87</v>
      </c>
      <c r="E15" s="303" t="s">
        <v>88</v>
      </c>
      <c r="F15" s="301">
        <f>'1. Organics Recycling'!C33</f>
        <v>500000</v>
      </c>
      <c r="G15" s="303" t="s">
        <v>78</v>
      </c>
    </row>
    <row r="16" spans="2:7">
      <c r="B16" s="304" t="s">
        <v>149</v>
      </c>
      <c r="C16" s="303" t="s">
        <v>89</v>
      </c>
      <c r="D16" s="303" t="s">
        <v>991</v>
      </c>
      <c r="E16" s="303" t="s">
        <v>992</v>
      </c>
      <c r="F16" s="300">
        <f>'1. Organics Recycling'!D76</f>
        <v>50</v>
      </c>
      <c r="G16" s="303" t="s">
        <v>78</v>
      </c>
    </row>
    <row r="17" spans="2:7">
      <c r="B17" s="304" t="s">
        <v>149</v>
      </c>
      <c r="C17" s="303" t="s">
        <v>90</v>
      </c>
      <c r="D17" s="303" t="s">
        <v>91</v>
      </c>
      <c r="E17" s="303" t="s">
        <v>92</v>
      </c>
      <c r="F17" s="300">
        <f>'1. Organics Recycling'!D83</f>
        <v>10</v>
      </c>
      <c r="G17" s="303" t="s">
        <v>993</v>
      </c>
    </row>
    <row r="18" spans="2:7">
      <c r="B18" s="304" t="s">
        <v>149</v>
      </c>
      <c r="C18" s="303" t="s">
        <v>89</v>
      </c>
      <c r="D18" s="303" t="s">
        <v>93</v>
      </c>
      <c r="E18" s="303" t="s">
        <v>94</v>
      </c>
      <c r="F18" s="300">
        <f>'1. Organics Recycling'!D65</f>
        <v>-0.29000000000000004</v>
      </c>
      <c r="G18" s="303" t="s">
        <v>95</v>
      </c>
    </row>
    <row r="19" spans="2:7">
      <c r="B19" s="304" t="s">
        <v>146</v>
      </c>
      <c r="C19" s="303" t="s">
        <v>75</v>
      </c>
      <c r="D19" s="303" t="s">
        <v>96</v>
      </c>
      <c r="E19" s="303" t="s">
        <v>97</v>
      </c>
      <c r="F19" s="305">
        <f>SUM('2. Natural Refrigerants'!C20:C21)</f>
        <v>100</v>
      </c>
      <c r="G19" s="303" t="s">
        <v>78</v>
      </c>
    </row>
    <row r="20" spans="2:7">
      <c r="B20" s="304" t="s">
        <v>146</v>
      </c>
      <c r="C20" s="303" t="s">
        <v>74</v>
      </c>
      <c r="D20" s="303" t="s">
        <v>98</v>
      </c>
      <c r="E20" s="303" t="s">
        <v>967</v>
      </c>
      <c r="F20" s="301">
        <f>'2. Natural Refrigerants'!C24</f>
        <v>500000</v>
      </c>
      <c r="G20" s="303" t="s">
        <v>78</v>
      </c>
    </row>
    <row r="21" spans="2:7">
      <c r="B21" s="304" t="s">
        <v>146</v>
      </c>
      <c r="C21" s="303" t="s">
        <v>99</v>
      </c>
      <c r="D21" s="303" t="s">
        <v>982</v>
      </c>
      <c r="E21" s="303" t="s">
        <v>100</v>
      </c>
      <c r="F21" s="302">
        <f>'2. Natural Refrigerants'!D50</f>
        <v>3985</v>
      </c>
      <c r="G21" s="303" t="s">
        <v>332</v>
      </c>
    </row>
    <row r="22" spans="2:7">
      <c r="B22" s="304" t="s">
        <v>146</v>
      </c>
      <c r="C22" s="303" t="s">
        <v>99</v>
      </c>
      <c r="D22" s="303" t="s">
        <v>983</v>
      </c>
      <c r="E22" s="303" t="s">
        <v>102</v>
      </c>
      <c r="F22" s="300">
        <f>'2. Natural Refrigerants'!F50</f>
        <v>1</v>
      </c>
      <c r="G22" s="303" t="s">
        <v>332</v>
      </c>
    </row>
    <row r="23" spans="2:7">
      <c r="B23" s="304" t="s">
        <v>146</v>
      </c>
      <c r="C23" s="303" t="s">
        <v>99</v>
      </c>
      <c r="D23" s="303" t="s">
        <v>984</v>
      </c>
      <c r="E23" s="303" t="s">
        <v>103</v>
      </c>
      <c r="F23" s="302">
        <f>'2. Natural Refrigerants'!E50</f>
        <v>7345</v>
      </c>
      <c r="G23" s="303" t="s">
        <v>78</v>
      </c>
    </row>
    <row r="24" spans="2:7">
      <c r="B24" s="304" t="s">
        <v>146</v>
      </c>
      <c r="C24" s="303" t="s">
        <v>99</v>
      </c>
      <c r="D24" s="303" t="s">
        <v>985</v>
      </c>
      <c r="E24" s="303" t="s">
        <v>104</v>
      </c>
      <c r="F24" s="300">
        <f>'2. Natural Refrigerants'!F50</f>
        <v>1</v>
      </c>
      <c r="G24" s="303" t="s">
        <v>78</v>
      </c>
    </row>
    <row r="25" spans="2:7">
      <c r="B25" s="304" t="s">
        <v>146</v>
      </c>
      <c r="C25" s="303" t="s">
        <v>99</v>
      </c>
      <c r="D25" s="303" t="s">
        <v>105</v>
      </c>
      <c r="E25" s="303" t="s">
        <v>106</v>
      </c>
      <c r="F25" s="713">
        <f>'2. Natural Refrigerants'!H52</f>
        <v>1020.595</v>
      </c>
      <c r="G25" s="303" t="s">
        <v>78</v>
      </c>
    </row>
    <row r="26" spans="2:7">
      <c r="B26" s="304" t="s">
        <v>146</v>
      </c>
      <c r="C26" s="303" t="s">
        <v>99</v>
      </c>
      <c r="D26" s="303" t="s">
        <v>108</v>
      </c>
      <c r="E26" s="303" t="s">
        <v>109</v>
      </c>
      <c r="F26" s="714">
        <f>'2. Natural Refrigerants'!K50</f>
        <v>0.24199999999999999</v>
      </c>
      <c r="G26" s="303" t="s">
        <v>101</v>
      </c>
    </row>
    <row r="27" spans="2:7">
      <c r="B27" s="304" t="s">
        <v>146</v>
      </c>
      <c r="C27" s="303" t="s">
        <v>90</v>
      </c>
      <c r="D27" s="303" t="s">
        <v>110</v>
      </c>
      <c r="E27" s="303" t="s">
        <v>91</v>
      </c>
      <c r="F27" s="300">
        <f>'2. Natural Refrigerants'!D64</f>
        <v>15</v>
      </c>
      <c r="G27" s="303" t="s">
        <v>101</v>
      </c>
    </row>
    <row r="28" spans="2:7">
      <c r="B28" s="304" t="s">
        <v>146</v>
      </c>
      <c r="C28" s="303" t="s">
        <v>111</v>
      </c>
      <c r="D28" s="303" t="s">
        <v>112</v>
      </c>
      <c r="E28" s="303" t="s">
        <v>986</v>
      </c>
      <c r="F28" s="301">
        <f>'2. Natural Refrigerants'!C24</f>
        <v>500000</v>
      </c>
      <c r="G28" s="303" t="s">
        <v>101</v>
      </c>
    </row>
    <row r="29" spans="2:7">
      <c r="B29" s="304" t="s">
        <v>141</v>
      </c>
      <c r="C29" s="303" t="s">
        <v>75</v>
      </c>
      <c r="D29" s="303" t="s">
        <v>113</v>
      </c>
      <c r="E29" s="303" t="s">
        <v>968</v>
      </c>
      <c r="F29" s="300">
        <f>'3. CoolingHeating Centers'!C19</f>
        <v>10</v>
      </c>
      <c r="G29" s="303" t="s">
        <v>78</v>
      </c>
    </row>
    <row r="30" spans="2:7">
      <c r="B30" s="304" t="s">
        <v>141</v>
      </c>
      <c r="C30" s="303" t="s">
        <v>121</v>
      </c>
      <c r="D30" s="303" t="s">
        <v>910</v>
      </c>
      <c r="E30" s="303" t="s">
        <v>994</v>
      </c>
      <c r="F30" s="301">
        <v>3000000</v>
      </c>
      <c r="G30" s="303" t="s">
        <v>78</v>
      </c>
    </row>
    <row r="31" spans="2:7">
      <c r="B31" s="304" t="s">
        <v>988</v>
      </c>
      <c r="C31" s="303" t="s">
        <v>114</v>
      </c>
      <c r="D31" s="303" t="s">
        <v>115</v>
      </c>
      <c r="E31" s="303" t="s">
        <v>116</v>
      </c>
      <c r="F31" s="307">
        <f>PATHWAYS_Health_EF_Buildings!I6</f>
        <v>3.1111111111111114E-3</v>
      </c>
      <c r="G31" s="303" t="s">
        <v>82</v>
      </c>
    </row>
    <row r="32" spans="2:7">
      <c r="B32" s="304" t="s">
        <v>988</v>
      </c>
      <c r="C32" s="303" t="s">
        <v>117</v>
      </c>
      <c r="D32" s="303" t="s">
        <v>118</v>
      </c>
      <c r="E32" s="303" t="s">
        <v>119</v>
      </c>
      <c r="F32" s="305" t="str">
        <f>'3. CoolingHeating Centers'!H64</f>
        <v/>
      </c>
      <c r="G32" s="303" t="s">
        <v>120</v>
      </c>
    </row>
    <row r="33" spans="2:7">
      <c r="B33" s="304" t="s">
        <v>988</v>
      </c>
      <c r="C33" s="303" t="s">
        <v>90</v>
      </c>
      <c r="D33" s="303" t="s">
        <v>110</v>
      </c>
      <c r="E33" s="303" t="s">
        <v>123</v>
      </c>
      <c r="F33" s="305">
        <v>16</v>
      </c>
      <c r="G33" s="303" t="s">
        <v>122</v>
      </c>
    </row>
    <row r="34" spans="2:7">
      <c r="B34" s="304" t="s">
        <v>144</v>
      </c>
      <c r="C34" s="303" t="s">
        <v>75</v>
      </c>
      <c r="D34" s="303" t="s">
        <v>76</v>
      </c>
      <c r="E34" s="303" t="s">
        <v>77</v>
      </c>
      <c r="F34" s="300">
        <f>'4. Advanced EPCs'!C22</f>
        <v>50</v>
      </c>
      <c r="G34" s="303" t="s">
        <v>78</v>
      </c>
    </row>
    <row r="35" spans="2:7">
      <c r="B35" s="304" t="s">
        <v>144</v>
      </c>
      <c r="C35" s="303" t="s">
        <v>75</v>
      </c>
      <c r="D35" s="303" t="s">
        <v>79</v>
      </c>
      <c r="E35" s="303" t="s">
        <v>80</v>
      </c>
      <c r="F35" s="300">
        <f>'4. Advanced EPCs'!C23</f>
        <v>6</v>
      </c>
      <c r="G35" s="303" t="s">
        <v>78</v>
      </c>
    </row>
  </sheetData>
  <autoFilter ref="B3:G3" xr:uid="{011BF25E-4EA4-40AE-A9EC-FDF871CDDF88}">
    <sortState xmlns:xlrd2="http://schemas.microsoft.com/office/spreadsheetml/2017/richdata2" ref="B4:G69">
      <sortCondition ref="B3"/>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099EB-1B6B-8940-AE17-10C55BD5B774}">
  <sheetPr>
    <tabColor theme="3"/>
  </sheetPr>
  <dimension ref="A1"/>
  <sheetViews>
    <sheetView topLeftCell="Z21" workbookViewId="0"/>
  </sheetViews>
  <sheetFormatPr defaultColWidth="10.85546875" defaultRowHeight="15"/>
  <cols>
    <col min="1" max="16384" width="10.85546875" style="7"/>
  </cols>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FD9CE-876D-417A-8970-5EE7073DD33C}">
  <sheetPr>
    <tabColor theme="3" tint="0.79998168889431442"/>
  </sheetPr>
  <dimension ref="A1:AB102"/>
  <sheetViews>
    <sheetView workbookViewId="0">
      <selection activeCell="B22" sqref="B22"/>
    </sheetView>
  </sheetViews>
  <sheetFormatPr defaultColWidth="8.42578125" defaultRowHeight="15"/>
  <cols>
    <col min="1" max="1" width="13.42578125" customWidth="1"/>
    <col min="2" max="2" width="35.42578125" customWidth="1"/>
    <col min="3" max="3" width="38.42578125" customWidth="1"/>
    <col min="4" max="4" width="38.140625" customWidth="1"/>
    <col min="5" max="5" width="32.140625" customWidth="1"/>
    <col min="6" max="6" width="26.140625" customWidth="1"/>
    <col min="7" max="7" width="28.42578125" customWidth="1"/>
    <col min="8" max="8" width="47.42578125" bestFit="1" customWidth="1"/>
    <col min="9" max="9" width="17.140625" bestFit="1" customWidth="1"/>
    <col min="10" max="15" width="11" bestFit="1" customWidth="1"/>
    <col min="16" max="17" width="10" bestFit="1" customWidth="1"/>
  </cols>
  <sheetData>
    <row r="1" spans="1:6" ht="23.25">
      <c r="A1" s="1" t="s">
        <v>350</v>
      </c>
      <c r="F1" s="214" t="s">
        <v>351</v>
      </c>
    </row>
    <row r="2" spans="1:6" ht="15.75">
      <c r="A2" s="8" t="s">
        <v>969</v>
      </c>
      <c r="B2" s="155"/>
    </row>
    <row r="4" spans="1:6">
      <c r="B4" s="4" t="s">
        <v>352</v>
      </c>
      <c r="E4" s="6"/>
    </row>
    <row r="5" spans="1:6">
      <c r="A5" s="4"/>
      <c r="B5" t="s">
        <v>971</v>
      </c>
    </row>
    <row r="6" spans="1:6">
      <c r="A6" s="4"/>
      <c r="B6" t="s">
        <v>353</v>
      </c>
      <c r="D6" s="23"/>
    </row>
    <row r="7" spans="1:6" ht="16.350000000000001" customHeight="1">
      <c r="A7" s="4"/>
      <c r="B7" t="s">
        <v>912</v>
      </c>
      <c r="E7" s="21"/>
    </row>
    <row r="8" spans="1:6" ht="16.350000000000001" customHeight="1">
      <c r="A8" s="4"/>
      <c r="B8" t="s">
        <v>171</v>
      </c>
      <c r="E8" s="21"/>
    </row>
    <row r="9" spans="1:6" ht="16.350000000000001" customHeight="1">
      <c r="A9" s="4"/>
      <c r="E9" s="21"/>
    </row>
    <row r="10" spans="1:6" ht="16.350000000000001" customHeight="1">
      <c r="A10" s="4"/>
      <c r="E10" s="21"/>
    </row>
    <row r="11" spans="1:6" ht="16.350000000000001" customHeight="1">
      <c r="A11" s="4"/>
      <c r="E11" s="21"/>
    </row>
    <row r="12" spans="1:6" ht="16.350000000000001" customHeight="1">
      <c r="A12" s="4"/>
      <c r="E12" s="21"/>
    </row>
    <row r="13" spans="1:6" ht="16.350000000000001" customHeight="1">
      <c r="A13" s="4"/>
      <c r="E13" s="21"/>
    </row>
    <row r="14" spans="1:6" ht="16.350000000000001" customHeight="1">
      <c r="A14" s="4"/>
      <c r="E14" s="21"/>
    </row>
    <row r="15" spans="1:6" ht="16.350000000000001" customHeight="1">
      <c r="A15" s="4"/>
      <c r="E15" s="21"/>
    </row>
    <row r="16" spans="1:6" ht="16.350000000000001" customHeight="1">
      <c r="A16" s="4"/>
      <c r="E16" s="21"/>
    </row>
    <row r="17" spans="1:9" ht="15.75" thickBot="1">
      <c r="A17" s="4"/>
    </row>
    <row r="18" spans="1:9" s="3" customFormat="1" ht="18.75">
      <c r="A18" s="9" t="s">
        <v>172</v>
      </c>
      <c r="G18" s="2"/>
    </row>
    <row r="19" spans="1:9">
      <c r="B19" s="218" t="s">
        <v>173</v>
      </c>
      <c r="C19" s="218"/>
      <c r="E19" s="162"/>
      <c r="F19" s="162"/>
      <c r="G19" s="162"/>
    </row>
    <row r="20" spans="1:9">
      <c r="A20" s="4"/>
      <c r="B20" s="599" t="s">
        <v>972</v>
      </c>
      <c r="C20" s="612">
        <v>20</v>
      </c>
      <c r="F20" s="164"/>
      <c r="G20" s="164"/>
    </row>
    <row r="21" spans="1:9" ht="14.1" customHeight="1">
      <c r="A21" s="4"/>
      <c r="B21" s="599" t="s">
        <v>973</v>
      </c>
      <c r="C21" s="612">
        <v>20</v>
      </c>
      <c r="E21" s="167"/>
      <c r="F21" s="164"/>
      <c r="G21" s="164"/>
    </row>
    <row r="22" spans="1:9" ht="14.1" customHeight="1">
      <c r="B22" s="599" t="s">
        <v>354</v>
      </c>
      <c r="C22" s="627">
        <f>SUM(C20:C21)</f>
        <v>40</v>
      </c>
      <c r="E22" s="17"/>
      <c r="F22" s="24"/>
      <c r="H22" s="24"/>
      <c r="I22" s="36"/>
    </row>
    <row r="23" spans="1:9" ht="14.1" customHeight="1">
      <c r="B23" s="17"/>
      <c r="C23" s="17"/>
      <c r="D23" s="17"/>
      <c r="E23" s="17"/>
      <c r="F23" s="24"/>
      <c r="G23" s="24"/>
      <c r="H23" s="24"/>
      <c r="I23" s="36"/>
    </row>
    <row r="24" spans="1:9" ht="14.1" customHeight="1">
      <c r="B24" s="218" t="s">
        <v>934</v>
      </c>
      <c r="C24" s="218"/>
      <c r="D24" s="17"/>
      <c r="E24" s="17"/>
      <c r="F24" s="24"/>
      <c r="G24" s="24"/>
      <c r="H24" s="24"/>
      <c r="I24" s="36"/>
    </row>
    <row r="25" spans="1:9" ht="14.1" customHeight="1">
      <c r="B25" s="599" t="s">
        <v>911</v>
      </c>
      <c r="C25" s="628">
        <f>C34+C29</f>
        <v>26666666.666666664</v>
      </c>
      <c r="D25" s="17"/>
      <c r="E25" s="17"/>
      <c r="F25" s="24"/>
      <c r="G25" s="24"/>
      <c r="H25" s="24"/>
      <c r="I25" s="36"/>
    </row>
    <row r="26" spans="1:9" ht="14.1" customHeight="1">
      <c r="C26" s="17"/>
      <c r="D26" s="17"/>
      <c r="E26" s="17"/>
      <c r="F26" s="24"/>
      <c r="G26" s="24"/>
      <c r="H26" s="24"/>
      <c r="I26" s="36"/>
    </row>
    <row r="27" spans="1:9" ht="14.1" customHeight="1">
      <c r="B27" s="599" t="s">
        <v>348</v>
      </c>
      <c r="C27" s="626">
        <v>0.25</v>
      </c>
      <c r="D27" s="17"/>
      <c r="E27" s="17"/>
      <c r="F27" s="24"/>
      <c r="G27" s="24"/>
      <c r="H27" s="24"/>
      <c r="I27" s="36"/>
    </row>
    <row r="28" spans="1:9" ht="14.1" customHeight="1">
      <c r="B28" s="599" t="s">
        <v>355</v>
      </c>
      <c r="C28" s="628">
        <f>C32/(1-C27)*C27</f>
        <v>166666.66666666666</v>
      </c>
      <c r="D28" s="17"/>
      <c r="E28" s="420"/>
      <c r="F28" s="24"/>
      <c r="G28" s="24"/>
      <c r="H28" s="24"/>
      <c r="I28" s="36"/>
    </row>
    <row r="29" spans="1:9" ht="14.1" customHeight="1">
      <c r="B29" s="599" t="s">
        <v>356</v>
      </c>
      <c r="C29" s="628">
        <f>C28*C22</f>
        <v>6666666.666666666</v>
      </c>
      <c r="D29" s="17"/>
      <c r="E29" s="17"/>
      <c r="F29" s="24"/>
      <c r="G29" s="24"/>
      <c r="H29" s="24"/>
      <c r="I29" s="36"/>
    </row>
    <row r="30" spans="1:9" ht="14.1" customHeight="1">
      <c r="B30" s="599" t="s">
        <v>206</v>
      </c>
      <c r="C30" s="613">
        <v>0</v>
      </c>
      <c r="D30" s="17"/>
      <c r="E30" s="17"/>
      <c r="F30" s="24"/>
      <c r="G30" s="24"/>
      <c r="H30" s="24"/>
      <c r="I30" s="36"/>
    </row>
    <row r="31" spans="1:9" ht="14.1" customHeight="1">
      <c r="C31" s="455"/>
      <c r="D31" s="17"/>
      <c r="E31" s="17"/>
      <c r="F31" s="24"/>
      <c r="G31" s="24"/>
      <c r="H31" s="24"/>
      <c r="I31" s="36"/>
    </row>
    <row r="32" spans="1:9" ht="14.1" customHeight="1">
      <c r="B32" s="599" t="s">
        <v>357</v>
      </c>
      <c r="C32" s="629">
        <v>500000</v>
      </c>
      <c r="D32" s="17"/>
      <c r="E32" s="17"/>
      <c r="F32" s="24"/>
      <c r="G32" s="24"/>
      <c r="H32" s="24"/>
      <c r="I32" s="36"/>
    </row>
    <row r="33" spans="1:9" ht="14.1" customHeight="1">
      <c r="B33" s="599" t="s">
        <v>358</v>
      </c>
      <c r="C33" s="629">
        <v>500000</v>
      </c>
      <c r="D33" s="17"/>
      <c r="E33" s="17"/>
      <c r="F33" s="24"/>
      <c r="G33" s="24"/>
      <c r="H33" s="24"/>
      <c r="I33" s="36"/>
    </row>
    <row r="34" spans="1:9" ht="14.1" customHeight="1">
      <c r="B34" s="456" t="s">
        <v>913</v>
      </c>
      <c r="C34" s="630">
        <f>C32*C20+C33*C21</f>
        <v>20000000</v>
      </c>
      <c r="D34" s="17"/>
      <c r="E34" s="17"/>
      <c r="F34" s="24"/>
      <c r="G34" s="24"/>
      <c r="H34" s="24"/>
      <c r="I34" s="36"/>
    </row>
    <row r="35" spans="1:9" ht="14.1" customHeight="1">
      <c r="C35" s="17"/>
      <c r="D35" s="17"/>
      <c r="E35" s="17"/>
      <c r="F35" s="24"/>
      <c r="G35" s="24"/>
      <c r="H35" s="24"/>
      <c r="I35" s="36"/>
    </row>
    <row r="36" spans="1:9" ht="14.1" customHeight="1">
      <c r="B36" s="193" t="s">
        <v>207</v>
      </c>
      <c r="C36" s="631">
        <v>1</v>
      </c>
      <c r="D36" s="17"/>
      <c r="E36" s="17"/>
      <c r="F36" s="24"/>
      <c r="G36" s="24"/>
      <c r="H36" s="24"/>
      <c r="I36" s="36"/>
    </row>
    <row r="37" spans="1:9" ht="14.1" customHeight="1">
      <c r="B37" s="17"/>
      <c r="C37" s="17"/>
      <c r="D37" s="17"/>
      <c r="E37" s="17"/>
      <c r="F37" s="24"/>
      <c r="G37" s="24"/>
    </row>
    <row r="38" spans="1:9" ht="14.1" customHeight="1">
      <c r="B38" s="157" t="s">
        <v>219</v>
      </c>
      <c r="C38" s="178"/>
      <c r="D38" s="178"/>
      <c r="E38" s="179"/>
      <c r="F38" s="179"/>
      <c r="G38" s="179"/>
      <c r="H38" s="180"/>
    </row>
    <row r="39" spans="1:9" ht="14.1" customHeight="1">
      <c r="B39" s="197" t="s">
        <v>175</v>
      </c>
      <c r="C39" s="290">
        <v>2025</v>
      </c>
      <c r="D39" s="290">
        <v>2026</v>
      </c>
      <c r="E39" s="290">
        <v>2027</v>
      </c>
      <c r="F39" s="290">
        <v>2028</v>
      </c>
      <c r="G39" s="290">
        <v>2029</v>
      </c>
      <c r="H39" s="290">
        <v>2030</v>
      </c>
    </row>
    <row r="40" spans="1:9" ht="14.1" customHeight="1">
      <c r="B40" s="160" t="s">
        <v>359</v>
      </c>
      <c r="C40" s="26">
        <v>0</v>
      </c>
      <c r="D40" s="26">
        <v>0</v>
      </c>
      <c r="E40" s="26">
        <v>0.33</v>
      </c>
      <c r="F40" s="26">
        <v>0.66600000000000004</v>
      </c>
      <c r="G40" s="26">
        <v>1</v>
      </c>
      <c r="H40" s="26">
        <v>1</v>
      </c>
    </row>
    <row r="41" spans="1:9" ht="14.1" customHeight="1">
      <c r="B41" s="160" t="s">
        <v>360</v>
      </c>
      <c r="C41" s="26">
        <v>0</v>
      </c>
      <c r="D41" s="26">
        <v>0</v>
      </c>
      <c r="E41" s="26">
        <v>0</v>
      </c>
      <c r="F41" s="26">
        <v>0.33</v>
      </c>
      <c r="G41" s="26">
        <v>1</v>
      </c>
      <c r="H41" s="26">
        <v>1</v>
      </c>
    </row>
    <row r="42" spans="1:9" ht="14.1" customHeight="1">
      <c r="B42" s="160" t="s">
        <v>361</v>
      </c>
      <c r="C42" s="163">
        <f>$C$20*C40+$C$21*C41</f>
        <v>0</v>
      </c>
      <c r="D42" s="163">
        <f t="shared" ref="D42:G42" si="0">$C$20*D40+$C$21*D41</f>
        <v>0</v>
      </c>
      <c r="E42" s="163">
        <f t="shared" si="0"/>
        <v>6.6000000000000005</v>
      </c>
      <c r="F42" s="163">
        <f t="shared" si="0"/>
        <v>19.920000000000002</v>
      </c>
      <c r="G42" s="163">
        <f t="shared" si="0"/>
        <v>40</v>
      </c>
      <c r="H42" s="163">
        <f>$C$20*H40+$C$21*H41</f>
        <v>40</v>
      </c>
    </row>
    <row r="43" spans="1:9" ht="14.1" customHeight="1">
      <c r="B43" s="17"/>
      <c r="C43" s="17"/>
      <c r="D43" s="17"/>
      <c r="E43" s="17"/>
      <c r="F43" s="24"/>
      <c r="G43" s="24"/>
    </row>
    <row r="44" spans="1:9" ht="14.1" customHeight="1">
      <c r="B44" s="28"/>
      <c r="C44" s="17"/>
      <c r="D44" s="34"/>
      <c r="E44" s="28"/>
      <c r="F44" s="24"/>
      <c r="G44" s="24"/>
    </row>
    <row r="45" spans="1:9" ht="15.75" thickBot="1">
      <c r="A45" s="4"/>
      <c r="B45" s="28"/>
      <c r="E45" s="32"/>
    </row>
    <row r="46" spans="1:9" s="3" customFormat="1" ht="18.75">
      <c r="A46" s="9" t="s">
        <v>177</v>
      </c>
      <c r="G46" s="2"/>
    </row>
    <row r="47" spans="1:9">
      <c r="E47" s="29"/>
    </row>
    <row r="48" spans="1:9">
      <c r="B48" s="4" t="s">
        <v>222</v>
      </c>
      <c r="D48" s="786" t="s">
        <v>178</v>
      </c>
      <c r="E48" s="787"/>
      <c r="F48" s="786" t="s">
        <v>179</v>
      </c>
      <c r="G48" s="787"/>
    </row>
    <row r="49" spans="1:11">
      <c r="B49" s="5" t="s">
        <v>180</v>
      </c>
      <c r="C49" s="5" t="s">
        <v>158</v>
      </c>
      <c r="D49" s="5" t="s">
        <v>181</v>
      </c>
      <c r="E49" s="5" t="s">
        <v>182</v>
      </c>
      <c r="F49" s="5" t="s">
        <v>181</v>
      </c>
      <c r="G49" s="5" t="s">
        <v>182</v>
      </c>
    </row>
    <row r="50" spans="1:11" s="4" customFormat="1">
      <c r="B50" s="194" t="s">
        <v>183</v>
      </c>
      <c r="C50" s="194" t="s">
        <v>162</v>
      </c>
      <c r="D50" s="374">
        <f>SUM(C98:H98)*$C$36</f>
        <v>2534.0952380952381</v>
      </c>
      <c r="E50" s="374">
        <f>SUM(C98:AB98)*$C$36</f>
        <v>15238.095238095235</v>
      </c>
      <c r="F50" s="444"/>
      <c r="G50" s="444"/>
    </row>
    <row r="51" spans="1:11" s="4" customFormat="1" ht="15.75" thickBot="1">
      <c r="B51" s="445" t="s">
        <v>185</v>
      </c>
      <c r="C51" s="445" t="s">
        <v>162</v>
      </c>
      <c r="D51" s="446">
        <f>SUM(C99:H99)*$C$36</f>
        <v>186256</v>
      </c>
      <c r="E51" s="446">
        <f>SUM(C99:AB99)*$C$36</f>
        <v>1120000</v>
      </c>
      <c r="F51" s="447"/>
      <c r="G51" s="447"/>
    </row>
    <row r="52" spans="1:11">
      <c r="B52" s="334" t="s">
        <v>186</v>
      </c>
      <c r="C52" s="334" t="s">
        <v>162</v>
      </c>
      <c r="D52" s="335">
        <f>SUM(C100:H100)*$C$36</f>
        <v>257210.66666666669</v>
      </c>
      <c r="E52" s="335">
        <f>SUM(C100:AB100)*$C$36</f>
        <v>1546666.6666666667</v>
      </c>
      <c r="F52" s="335">
        <f>SUM(C101:H101)*C36</f>
        <v>399120</v>
      </c>
      <c r="G52" s="335">
        <f>SUM(C101:AB101)*C36</f>
        <v>2400000</v>
      </c>
    </row>
    <row r="54" spans="1:11">
      <c r="C54" s="11"/>
      <c r="D54" s="11"/>
      <c r="E54" s="11"/>
    </row>
    <row r="55" spans="1:11" ht="15.75" thickBot="1"/>
    <row r="56" spans="1:11" s="3" customFormat="1" ht="18.75">
      <c r="A56" s="9" t="s">
        <v>191</v>
      </c>
      <c r="D56" s="38"/>
    </row>
    <row r="57" spans="1:11">
      <c r="K57" s="10"/>
    </row>
    <row r="58" spans="1:11">
      <c r="B58" s="5" t="s">
        <v>362</v>
      </c>
      <c r="C58" s="159"/>
      <c r="D58" s="159"/>
      <c r="E58" s="5"/>
      <c r="F58" s="4" t="s">
        <v>339</v>
      </c>
    </row>
    <row r="59" spans="1:11">
      <c r="B59" s="292" t="s">
        <v>363</v>
      </c>
      <c r="C59" s="292" t="s">
        <v>158</v>
      </c>
      <c r="D59" s="292" t="s">
        <v>178</v>
      </c>
      <c r="E59" s="292" t="s">
        <v>179</v>
      </c>
    </row>
    <row r="60" spans="1:11">
      <c r="B60" s="360" t="s">
        <v>364</v>
      </c>
      <c r="C60" s="360" t="s">
        <v>365</v>
      </c>
      <c r="D60" s="364">
        <v>0.16</v>
      </c>
      <c r="E60" s="363">
        <f>E61*'CLCPA Emission Factors Hub'!E9+E62</f>
        <v>0.32</v>
      </c>
      <c r="F60" s="369" t="s">
        <v>366</v>
      </c>
    </row>
    <row r="61" spans="1:11">
      <c r="B61" s="360" t="s">
        <v>364</v>
      </c>
      <c r="C61" s="360" t="s">
        <v>367</v>
      </c>
      <c r="D61" s="425">
        <f>D60/'EPA Emission Factors Hub'!D9*C69</f>
        <v>2.8571428571428571E-3</v>
      </c>
      <c r="E61" s="363">
        <f>D61</f>
        <v>2.8571428571428571E-3</v>
      </c>
    </row>
    <row r="62" spans="1:11">
      <c r="B62" s="360" t="s">
        <v>364</v>
      </c>
      <c r="C62" s="360" t="s">
        <v>368</v>
      </c>
      <c r="D62" s="333">
        <f>D60*C70</f>
        <v>0.08</v>
      </c>
      <c r="E62" s="363">
        <f>D62</f>
        <v>0.08</v>
      </c>
    </row>
    <row r="63" spans="1:11">
      <c r="B63" s="360" t="s">
        <v>369</v>
      </c>
      <c r="C63" s="360" t="s">
        <v>365</v>
      </c>
      <c r="D63" s="364">
        <v>-0.13</v>
      </c>
      <c r="E63" s="363">
        <f>E64</f>
        <v>-0.13</v>
      </c>
      <c r="F63" s="369" t="s">
        <v>366</v>
      </c>
    </row>
    <row r="64" spans="1:11">
      <c r="B64" s="360" t="s">
        <v>369</v>
      </c>
      <c r="C64" s="360" t="s">
        <v>370</v>
      </c>
      <c r="D64" s="426">
        <f>D63</f>
        <v>-0.13</v>
      </c>
      <c r="E64" s="363">
        <f>D64</f>
        <v>-0.13</v>
      </c>
      <c r="F64" s="32"/>
    </row>
    <row r="65" spans="2:7">
      <c r="B65" s="360" t="s">
        <v>371</v>
      </c>
      <c r="C65" s="360" t="s">
        <v>365</v>
      </c>
      <c r="D65" s="364">
        <f>-D60+D63</f>
        <v>-0.29000000000000004</v>
      </c>
      <c r="E65" s="427">
        <f>-E60+E63</f>
        <v>-0.45</v>
      </c>
      <c r="F65" s="369" t="s">
        <v>366</v>
      </c>
    </row>
    <row r="66" spans="2:7">
      <c r="B66" s="17"/>
      <c r="C66" s="17"/>
      <c r="E66" s="18"/>
    </row>
    <row r="67" spans="2:7">
      <c r="B67" s="5" t="s">
        <v>372</v>
      </c>
      <c r="C67" s="159"/>
      <c r="D67" s="4"/>
      <c r="E67" s="4"/>
      <c r="F67" s="4"/>
      <c r="G67" s="323"/>
    </row>
    <row r="68" spans="2:7">
      <c r="B68" s="292" t="s">
        <v>373</v>
      </c>
      <c r="C68" s="292"/>
      <c r="D68" s="4"/>
      <c r="E68" s="4"/>
      <c r="F68" s="4"/>
      <c r="G68" s="323"/>
    </row>
    <row r="69" spans="2:7">
      <c r="B69" s="360" t="s">
        <v>183</v>
      </c>
      <c r="C69" s="413">
        <v>0.5</v>
      </c>
      <c r="D69" s="369" t="s">
        <v>374</v>
      </c>
      <c r="E69" s="4"/>
      <c r="F69" s="4"/>
      <c r="G69" s="323"/>
    </row>
    <row r="70" spans="2:7">
      <c r="B70" s="360" t="s">
        <v>185</v>
      </c>
      <c r="C70" s="413">
        <v>0.5</v>
      </c>
      <c r="D70" s="369" t="s">
        <v>374</v>
      </c>
      <c r="E70" s="4"/>
      <c r="F70" s="4"/>
      <c r="G70" s="323"/>
    </row>
    <row r="71" spans="2:7">
      <c r="B71" s="4"/>
      <c r="D71" s="424"/>
      <c r="E71" s="4"/>
      <c r="F71" s="4"/>
      <c r="G71" s="323"/>
    </row>
    <row r="72" spans="2:7">
      <c r="B72" s="4"/>
      <c r="D72" s="4"/>
      <c r="E72" s="4"/>
      <c r="F72" s="4"/>
      <c r="G72" s="323"/>
    </row>
    <row r="73" spans="2:7">
      <c r="B73" s="5" t="s">
        <v>375</v>
      </c>
      <c r="C73" s="159"/>
      <c r="D73" s="159"/>
      <c r="E73" s="25"/>
      <c r="F73" s="4"/>
      <c r="G73" s="323"/>
    </row>
    <row r="74" spans="2:7">
      <c r="B74" s="339" t="s">
        <v>376</v>
      </c>
      <c r="C74" s="339" t="s">
        <v>158</v>
      </c>
      <c r="D74" s="339" t="s">
        <v>337</v>
      </c>
      <c r="E74" s="4" t="s">
        <v>195</v>
      </c>
      <c r="F74" s="4"/>
      <c r="G74" s="4"/>
    </row>
    <row r="75" spans="2:7">
      <c r="B75" s="340" t="s">
        <v>377</v>
      </c>
      <c r="C75" s="340" t="s">
        <v>378</v>
      </c>
      <c r="D75" s="370">
        <f>SUM(C28,C32)</f>
        <v>666666.66666666663</v>
      </c>
      <c r="E75" s="25"/>
      <c r="F75" s="4"/>
      <c r="G75" s="4"/>
    </row>
    <row r="76" spans="2:7">
      <c r="B76" s="340" t="s">
        <v>379</v>
      </c>
      <c r="C76" s="340"/>
      <c r="D76" s="371">
        <v>50</v>
      </c>
      <c r="E76" s="369" t="s">
        <v>380</v>
      </c>
      <c r="F76" s="4"/>
      <c r="G76" s="4"/>
    </row>
    <row r="77" spans="2:7">
      <c r="B77" s="340" t="s">
        <v>381</v>
      </c>
      <c r="C77" s="340" t="s">
        <v>382</v>
      </c>
      <c r="D77" s="345">
        <f>D75/D76</f>
        <v>13333.333333333332</v>
      </c>
      <c r="E77" s="25"/>
      <c r="F77" s="4"/>
      <c r="G77" s="4"/>
    </row>
    <row r="78" spans="2:7">
      <c r="B78" s="17"/>
      <c r="C78" s="17"/>
      <c r="D78" s="187"/>
      <c r="E78" s="25"/>
      <c r="F78" s="4"/>
      <c r="G78" s="4"/>
    </row>
    <row r="79" spans="2:7">
      <c r="B79" s="340" t="s">
        <v>383</v>
      </c>
      <c r="C79" s="340" t="s">
        <v>382</v>
      </c>
      <c r="D79" s="345">
        <f>D77*H42</f>
        <v>533333.33333333326</v>
      </c>
      <c r="E79" s="25"/>
      <c r="F79" s="4"/>
      <c r="G79" s="4"/>
    </row>
    <row r="80" spans="2:7">
      <c r="B80" s="372"/>
      <c r="C80" s="372"/>
      <c r="D80" s="187"/>
      <c r="E80" s="25"/>
      <c r="F80" s="4"/>
      <c r="G80" s="4"/>
    </row>
    <row r="81" spans="1:28">
      <c r="B81" s="5" t="s">
        <v>384</v>
      </c>
      <c r="C81" s="159"/>
      <c r="D81" s="159"/>
      <c r="E81" s="4"/>
      <c r="F81" s="4"/>
    </row>
    <row r="82" spans="1:28">
      <c r="B82" s="339"/>
      <c r="C82" s="339" t="s">
        <v>158</v>
      </c>
      <c r="D82" s="339" t="s">
        <v>337</v>
      </c>
      <c r="E82" s="4"/>
      <c r="F82" s="4"/>
    </row>
    <row r="83" spans="1:28">
      <c r="B83" s="340" t="s">
        <v>81</v>
      </c>
      <c r="C83" s="340" t="s">
        <v>91</v>
      </c>
      <c r="D83" s="697">
        <v>10</v>
      </c>
      <c r="E83" s="369" t="s">
        <v>385</v>
      </c>
      <c r="F83" s="4"/>
    </row>
    <row r="84" spans="1:28">
      <c r="B84" s="188"/>
      <c r="C84" s="188"/>
      <c r="D84" s="189"/>
      <c r="E84" s="4"/>
      <c r="F84" s="4"/>
    </row>
    <row r="85" spans="1:28">
      <c r="B85" s="4"/>
      <c r="C85" s="188"/>
      <c r="E85" s="4"/>
      <c r="F85" s="4"/>
    </row>
    <row r="86" spans="1:28" ht="15.75" thickBot="1"/>
    <row r="87" spans="1:28" s="3" customFormat="1" ht="18.75">
      <c r="A87" s="9" t="s">
        <v>196</v>
      </c>
    </row>
    <row r="88" spans="1:28" ht="18.75">
      <c r="A88" s="19"/>
    </row>
    <row r="89" spans="1:28">
      <c r="B89" s="216" t="s">
        <v>386</v>
      </c>
      <c r="C89" s="216"/>
      <c r="D89" s="216"/>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row>
    <row r="90" spans="1:28">
      <c r="B90" s="362" t="s">
        <v>190</v>
      </c>
      <c r="C90" s="362">
        <v>2025</v>
      </c>
      <c r="D90" s="362">
        <f>C90+1</f>
        <v>2026</v>
      </c>
      <c r="E90" s="362">
        <f t="shared" ref="E90:AB90" si="1">D90+1</f>
        <v>2027</v>
      </c>
      <c r="F90" s="362">
        <f t="shared" si="1"/>
        <v>2028</v>
      </c>
      <c r="G90" s="362">
        <f t="shared" si="1"/>
        <v>2029</v>
      </c>
      <c r="H90" s="362">
        <f t="shared" si="1"/>
        <v>2030</v>
      </c>
      <c r="I90" s="362">
        <f t="shared" si="1"/>
        <v>2031</v>
      </c>
      <c r="J90" s="362">
        <f t="shared" si="1"/>
        <v>2032</v>
      </c>
      <c r="K90" s="362">
        <f t="shared" si="1"/>
        <v>2033</v>
      </c>
      <c r="L90" s="362">
        <f t="shared" si="1"/>
        <v>2034</v>
      </c>
      <c r="M90" s="362">
        <f t="shared" si="1"/>
        <v>2035</v>
      </c>
      <c r="N90" s="362">
        <f t="shared" si="1"/>
        <v>2036</v>
      </c>
      <c r="O90" s="362">
        <f t="shared" si="1"/>
        <v>2037</v>
      </c>
      <c r="P90" s="362">
        <f t="shared" si="1"/>
        <v>2038</v>
      </c>
      <c r="Q90" s="362">
        <f t="shared" si="1"/>
        <v>2039</v>
      </c>
      <c r="R90" s="362">
        <f t="shared" si="1"/>
        <v>2040</v>
      </c>
      <c r="S90" s="362">
        <f t="shared" si="1"/>
        <v>2041</v>
      </c>
      <c r="T90" s="362">
        <f t="shared" si="1"/>
        <v>2042</v>
      </c>
      <c r="U90" s="362">
        <f t="shared" si="1"/>
        <v>2043</v>
      </c>
      <c r="V90" s="362">
        <f t="shared" si="1"/>
        <v>2044</v>
      </c>
      <c r="W90" s="362">
        <f t="shared" si="1"/>
        <v>2045</v>
      </c>
      <c r="X90" s="362">
        <f t="shared" si="1"/>
        <v>2046</v>
      </c>
      <c r="Y90" s="362">
        <f t="shared" si="1"/>
        <v>2047</v>
      </c>
      <c r="Z90" s="362">
        <f t="shared" si="1"/>
        <v>2048</v>
      </c>
      <c r="AA90" s="362">
        <f t="shared" si="1"/>
        <v>2049</v>
      </c>
      <c r="AB90" s="362">
        <f t="shared" si="1"/>
        <v>2050</v>
      </c>
    </row>
    <row r="91" spans="1:28">
      <c r="B91" s="365" t="s">
        <v>387</v>
      </c>
      <c r="C91" s="366"/>
      <c r="D91" s="367">
        <f>C94</f>
        <v>0</v>
      </c>
      <c r="E91" s="367">
        <f t="shared" ref="E91:AB91" si="2">D94</f>
        <v>0</v>
      </c>
      <c r="F91" s="367">
        <f t="shared" si="2"/>
        <v>6.6000000000000005</v>
      </c>
      <c r="G91" s="367">
        <f t="shared" si="2"/>
        <v>19.920000000000002</v>
      </c>
      <c r="H91" s="367">
        <f t="shared" si="2"/>
        <v>40</v>
      </c>
      <c r="I91" s="367">
        <f t="shared" si="2"/>
        <v>40</v>
      </c>
      <c r="J91" s="367">
        <f t="shared" si="2"/>
        <v>40</v>
      </c>
      <c r="K91" s="367">
        <f t="shared" si="2"/>
        <v>40</v>
      </c>
      <c r="L91" s="367">
        <f t="shared" si="2"/>
        <v>40</v>
      </c>
      <c r="M91" s="367">
        <f t="shared" si="2"/>
        <v>40</v>
      </c>
      <c r="N91" s="367">
        <f t="shared" si="2"/>
        <v>40</v>
      </c>
      <c r="O91" s="367">
        <f t="shared" si="2"/>
        <v>40</v>
      </c>
      <c r="P91" s="367">
        <f t="shared" si="2"/>
        <v>33.4</v>
      </c>
      <c r="Q91" s="367">
        <f t="shared" si="2"/>
        <v>20.079999999999998</v>
      </c>
      <c r="R91" s="367">
        <f t="shared" si="2"/>
        <v>0</v>
      </c>
      <c r="S91" s="367">
        <f t="shared" si="2"/>
        <v>0</v>
      </c>
      <c r="T91" s="367">
        <f t="shared" si="2"/>
        <v>0</v>
      </c>
      <c r="U91" s="367">
        <f t="shared" si="2"/>
        <v>0</v>
      </c>
      <c r="V91" s="367">
        <f t="shared" si="2"/>
        <v>0</v>
      </c>
      <c r="W91" s="367">
        <f t="shared" si="2"/>
        <v>0</v>
      </c>
      <c r="X91" s="367">
        <f t="shared" si="2"/>
        <v>0</v>
      </c>
      <c r="Y91" s="367">
        <f t="shared" si="2"/>
        <v>0</v>
      </c>
      <c r="Z91" s="367">
        <f t="shared" si="2"/>
        <v>0</v>
      </c>
      <c r="AA91" s="367">
        <f t="shared" si="2"/>
        <v>0</v>
      </c>
      <c r="AB91" s="367">
        <f t="shared" si="2"/>
        <v>0</v>
      </c>
    </row>
    <row r="92" spans="1:28">
      <c r="B92" s="365" t="s">
        <v>388</v>
      </c>
      <c r="C92" s="366"/>
      <c r="D92" s="367">
        <f>D42-C42</f>
        <v>0</v>
      </c>
      <c r="E92" s="367">
        <f>E42-D42</f>
        <v>6.6000000000000005</v>
      </c>
      <c r="F92" s="367">
        <f>F42-E42</f>
        <v>13.32</v>
      </c>
      <c r="G92" s="367">
        <f>G42-F42</f>
        <v>20.079999999999998</v>
      </c>
      <c r="H92" s="367">
        <f>H42-G42</f>
        <v>0</v>
      </c>
      <c r="I92" s="367"/>
      <c r="J92" s="367"/>
      <c r="K92" s="367"/>
      <c r="L92" s="367"/>
      <c r="M92" s="367"/>
      <c r="N92" s="367"/>
      <c r="O92" s="367"/>
      <c r="P92" s="367"/>
      <c r="Q92" s="367"/>
      <c r="R92" s="367"/>
      <c r="S92" s="367"/>
      <c r="T92" s="367"/>
      <c r="U92" s="367"/>
      <c r="V92" s="367"/>
      <c r="W92" s="367"/>
      <c r="X92" s="367"/>
      <c r="Y92" s="367"/>
      <c r="Z92" s="367"/>
      <c r="AA92" s="367"/>
      <c r="AB92" s="367"/>
    </row>
    <row r="93" spans="1:28">
      <c r="B93" s="365" t="s">
        <v>389</v>
      </c>
      <c r="C93" s="367">
        <f>-IFERROR(INDEX($C$92:$AB$92,MATCH(C90-$D$83,$C$90:$AB$90,0)),0)</f>
        <v>0</v>
      </c>
      <c r="D93" s="367">
        <f>-IFERROR(INDEX($C$92:$AB$92,MATCH(D90-$D$83,$C$90:$AB$90,0)),0)</f>
        <v>0</v>
      </c>
      <c r="E93" s="367">
        <f t="shared" ref="E93:AB93" si="3">-IFERROR(INDEX($C$92:$AB$92,MATCH(E90-$D$83,$C$90:$AB$90,0)),0)</f>
        <v>0</v>
      </c>
      <c r="F93" s="367">
        <f t="shared" si="3"/>
        <v>0</v>
      </c>
      <c r="G93" s="367">
        <f t="shared" si="3"/>
        <v>0</v>
      </c>
      <c r="H93" s="367">
        <f t="shared" si="3"/>
        <v>0</v>
      </c>
      <c r="I93" s="367">
        <f t="shared" si="3"/>
        <v>0</v>
      </c>
      <c r="J93" s="367">
        <f t="shared" si="3"/>
        <v>0</v>
      </c>
      <c r="K93" s="367">
        <f t="shared" si="3"/>
        <v>0</v>
      </c>
      <c r="L93" s="367">
        <f>-IFERROR(INDEX($C$92:$AB$92,MATCH(L90-$D$83,$C$90:$AB$90,0)),0)</f>
        <v>0</v>
      </c>
      <c r="M93" s="367">
        <f t="shared" si="3"/>
        <v>0</v>
      </c>
      <c r="N93" s="367">
        <f t="shared" si="3"/>
        <v>0</v>
      </c>
      <c r="O93" s="367">
        <f t="shared" si="3"/>
        <v>-6.6000000000000005</v>
      </c>
      <c r="P93" s="367">
        <f t="shared" si="3"/>
        <v>-13.32</v>
      </c>
      <c r="Q93" s="367">
        <f t="shared" si="3"/>
        <v>-20.079999999999998</v>
      </c>
      <c r="R93" s="367">
        <f t="shared" si="3"/>
        <v>0</v>
      </c>
      <c r="S93" s="367">
        <f t="shared" si="3"/>
        <v>0</v>
      </c>
      <c r="T93" s="367">
        <f t="shared" si="3"/>
        <v>0</v>
      </c>
      <c r="U93" s="367">
        <f t="shared" si="3"/>
        <v>0</v>
      </c>
      <c r="V93" s="367">
        <f t="shared" si="3"/>
        <v>0</v>
      </c>
      <c r="W93" s="367">
        <f t="shared" si="3"/>
        <v>0</v>
      </c>
      <c r="X93" s="367">
        <f t="shared" si="3"/>
        <v>0</v>
      </c>
      <c r="Y93" s="367">
        <f t="shared" si="3"/>
        <v>0</v>
      </c>
      <c r="Z93" s="367">
        <f t="shared" si="3"/>
        <v>0</v>
      </c>
      <c r="AA93" s="367">
        <f t="shared" si="3"/>
        <v>0</v>
      </c>
      <c r="AB93" s="367">
        <f t="shared" si="3"/>
        <v>0</v>
      </c>
    </row>
    <row r="94" spans="1:28">
      <c r="B94" s="365" t="s">
        <v>390</v>
      </c>
      <c r="C94" s="368">
        <f>SUM(C91:C93)</f>
        <v>0</v>
      </c>
      <c r="D94" s="368">
        <f t="shared" ref="D94:AB94" si="4">SUM(D91:D93)</f>
        <v>0</v>
      </c>
      <c r="E94" s="368">
        <f t="shared" si="4"/>
        <v>6.6000000000000005</v>
      </c>
      <c r="F94" s="368">
        <f t="shared" si="4"/>
        <v>19.920000000000002</v>
      </c>
      <c r="G94" s="368">
        <f t="shared" si="4"/>
        <v>40</v>
      </c>
      <c r="H94" s="368">
        <f t="shared" si="4"/>
        <v>40</v>
      </c>
      <c r="I94" s="368">
        <f t="shared" si="4"/>
        <v>40</v>
      </c>
      <c r="J94" s="368">
        <f t="shared" si="4"/>
        <v>40</v>
      </c>
      <c r="K94" s="368">
        <f t="shared" si="4"/>
        <v>40</v>
      </c>
      <c r="L94" s="368">
        <f t="shared" si="4"/>
        <v>40</v>
      </c>
      <c r="M94" s="368">
        <f t="shared" si="4"/>
        <v>40</v>
      </c>
      <c r="N94" s="368">
        <f t="shared" si="4"/>
        <v>40</v>
      </c>
      <c r="O94" s="368">
        <f t="shared" si="4"/>
        <v>33.4</v>
      </c>
      <c r="P94" s="368">
        <f t="shared" si="4"/>
        <v>20.079999999999998</v>
      </c>
      <c r="Q94" s="368">
        <f t="shared" si="4"/>
        <v>0</v>
      </c>
      <c r="R94" s="368">
        <f t="shared" si="4"/>
        <v>0</v>
      </c>
      <c r="S94" s="368">
        <f t="shared" si="4"/>
        <v>0</v>
      </c>
      <c r="T94" s="368">
        <f t="shared" si="4"/>
        <v>0</v>
      </c>
      <c r="U94" s="368">
        <f t="shared" si="4"/>
        <v>0</v>
      </c>
      <c r="V94" s="368">
        <f t="shared" si="4"/>
        <v>0</v>
      </c>
      <c r="W94" s="368">
        <f t="shared" si="4"/>
        <v>0</v>
      </c>
      <c r="X94" s="368">
        <f t="shared" si="4"/>
        <v>0</v>
      </c>
      <c r="Y94" s="368">
        <f t="shared" si="4"/>
        <v>0</v>
      </c>
      <c r="Z94" s="368">
        <f t="shared" si="4"/>
        <v>0</v>
      </c>
      <c r="AA94" s="368">
        <f t="shared" si="4"/>
        <v>0</v>
      </c>
      <c r="AB94" s="368">
        <f t="shared" si="4"/>
        <v>0</v>
      </c>
    </row>
    <row r="95" spans="1:28">
      <c r="B95" s="188"/>
      <c r="C95" s="188"/>
      <c r="D95" s="189"/>
      <c r="E95" s="31"/>
      <c r="F95" s="4"/>
      <c r="G95" s="4"/>
    </row>
    <row r="96" spans="1:28">
      <c r="B96" s="216" t="s">
        <v>197</v>
      </c>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row>
    <row r="97" spans="2:28">
      <c r="B97" s="362" t="s">
        <v>180</v>
      </c>
      <c r="C97" s="362">
        <v>2025</v>
      </c>
      <c r="D97" s="362">
        <f>C97+1</f>
        <v>2026</v>
      </c>
      <c r="E97" s="362">
        <f t="shared" ref="E97:AB97" si="5">D97+1</f>
        <v>2027</v>
      </c>
      <c r="F97" s="362">
        <f t="shared" si="5"/>
        <v>2028</v>
      </c>
      <c r="G97" s="362">
        <f t="shared" si="5"/>
        <v>2029</v>
      </c>
      <c r="H97" s="362">
        <f t="shared" si="5"/>
        <v>2030</v>
      </c>
      <c r="I97" s="362">
        <f t="shared" si="5"/>
        <v>2031</v>
      </c>
      <c r="J97" s="362">
        <f t="shared" si="5"/>
        <v>2032</v>
      </c>
      <c r="K97" s="362">
        <f t="shared" si="5"/>
        <v>2033</v>
      </c>
      <c r="L97" s="362">
        <f t="shared" si="5"/>
        <v>2034</v>
      </c>
      <c r="M97" s="362">
        <f t="shared" si="5"/>
        <v>2035</v>
      </c>
      <c r="N97" s="362">
        <f t="shared" si="5"/>
        <v>2036</v>
      </c>
      <c r="O97" s="362">
        <f t="shared" si="5"/>
        <v>2037</v>
      </c>
      <c r="P97" s="362">
        <f t="shared" si="5"/>
        <v>2038</v>
      </c>
      <c r="Q97" s="362">
        <f t="shared" si="5"/>
        <v>2039</v>
      </c>
      <c r="R97" s="362">
        <f t="shared" si="5"/>
        <v>2040</v>
      </c>
      <c r="S97" s="362">
        <f t="shared" si="5"/>
        <v>2041</v>
      </c>
      <c r="T97" s="362">
        <f t="shared" si="5"/>
        <v>2042</v>
      </c>
      <c r="U97" s="362">
        <f t="shared" si="5"/>
        <v>2043</v>
      </c>
      <c r="V97" s="362">
        <f t="shared" si="5"/>
        <v>2044</v>
      </c>
      <c r="W97" s="362">
        <f t="shared" si="5"/>
        <v>2045</v>
      </c>
      <c r="X97" s="362">
        <f t="shared" si="5"/>
        <v>2046</v>
      </c>
      <c r="Y97" s="362">
        <f t="shared" si="5"/>
        <v>2047</v>
      </c>
      <c r="Z97" s="362">
        <f t="shared" si="5"/>
        <v>2048</v>
      </c>
      <c r="AA97" s="362">
        <f t="shared" si="5"/>
        <v>2049</v>
      </c>
      <c r="AB97" s="362">
        <f t="shared" si="5"/>
        <v>2050</v>
      </c>
    </row>
    <row r="98" spans="2:28">
      <c r="B98" s="423" t="s">
        <v>391</v>
      </c>
      <c r="C98" s="428">
        <f>C91*$D$77*$D$61</f>
        <v>0</v>
      </c>
      <c r="D98" s="428">
        <f t="shared" ref="D98:AB98" si="6">D91*$D$77*$D$61</f>
        <v>0</v>
      </c>
      <c r="E98" s="428">
        <f t="shared" si="6"/>
        <v>0</v>
      </c>
      <c r="F98" s="428">
        <f t="shared" si="6"/>
        <v>251.42857142857142</v>
      </c>
      <c r="G98" s="428">
        <f t="shared" si="6"/>
        <v>758.85714285714289</v>
      </c>
      <c r="H98" s="428">
        <f t="shared" si="6"/>
        <v>1523.8095238095236</v>
      </c>
      <c r="I98" s="428">
        <f t="shared" si="6"/>
        <v>1523.8095238095236</v>
      </c>
      <c r="J98" s="428">
        <f t="shared" si="6"/>
        <v>1523.8095238095236</v>
      </c>
      <c r="K98" s="428">
        <f t="shared" si="6"/>
        <v>1523.8095238095236</v>
      </c>
      <c r="L98" s="428">
        <f t="shared" si="6"/>
        <v>1523.8095238095236</v>
      </c>
      <c r="M98" s="428">
        <f t="shared" si="6"/>
        <v>1523.8095238095236</v>
      </c>
      <c r="N98" s="428">
        <f t="shared" si="6"/>
        <v>1523.8095238095236</v>
      </c>
      <c r="O98" s="428">
        <f t="shared" si="6"/>
        <v>1523.8095238095236</v>
      </c>
      <c r="P98" s="428">
        <f t="shared" si="6"/>
        <v>1272.3809523809521</v>
      </c>
      <c r="Q98" s="428">
        <f t="shared" si="6"/>
        <v>764.95238095238085</v>
      </c>
      <c r="R98" s="428">
        <f t="shared" si="6"/>
        <v>0</v>
      </c>
      <c r="S98" s="428">
        <f t="shared" si="6"/>
        <v>0</v>
      </c>
      <c r="T98" s="428">
        <f t="shared" si="6"/>
        <v>0</v>
      </c>
      <c r="U98" s="428">
        <f t="shared" si="6"/>
        <v>0</v>
      </c>
      <c r="V98" s="428">
        <f t="shared" si="6"/>
        <v>0</v>
      </c>
      <c r="W98" s="428">
        <f t="shared" si="6"/>
        <v>0</v>
      </c>
      <c r="X98" s="428">
        <f t="shared" si="6"/>
        <v>0</v>
      </c>
      <c r="Y98" s="428">
        <f t="shared" si="6"/>
        <v>0</v>
      </c>
      <c r="Z98" s="428">
        <f t="shared" si="6"/>
        <v>0</v>
      </c>
      <c r="AA98" s="428">
        <f t="shared" si="6"/>
        <v>0</v>
      </c>
      <c r="AB98" s="428">
        <f t="shared" si="6"/>
        <v>0</v>
      </c>
    </row>
    <row r="99" spans="2:28">
      <c r="B99" s="423" t="s">
        <v>392</v>
      </c>
      <c r="C99" s="428">
        <f t="shared" ref="C99:AB99" si="7">C91*$D$77*($D$62-$D$64)</f>
        <v>0</v>
      </c>
      <c r="D99" s="428">
        <f t="shared" si="7"/>
        <v>0</v>
      </c>
      <c r="E99" s="428">
        <f t="shared" si="7"/>
        <v>0</v>
      </c>
      <c r="F99" s="428">
        <f t="shared" si="7"/>
        <v>18480</v>
      </c>
      <c r="G99" s="428">
        <f t="shared" si="7"/>
        <v>55776.000000000007</v>
      </c>
      <c r="H99" s="428">
        <f t="shared" si="7"/>
        <v>112000</v>
      </c>
      <c r="I99" s="428">
        <f t="shared" si="7"/>
        <v>112000</v>
      </c>
      <c r="J99" s="428">
        <f t="shared" si="7"/>
        <v>112000</v>
      </c>
      <c r="K99" s="428">
        <f t="shared" si="7"/>
        <v>112000</v>
      </c>
      <c r="L99" s="428">
        <f t="shared" si="7"/>
        <v>112000</v>
      </c>
      <c r="M99" s="428">
        <f t="shared" si="7"/>
        <v>112000</v>
      </c>
      <c r="N99" s="428">
        <f t="shared" si="7"/>
        <v>112000</v>
      </c>
      <c r="O99" s="428">
        <f t="shared" si="7"/>
        <v>112000</v>
      </c>
      <c r="P99" s="428">
        <f t="shared" si="7"/>
        <v>93519.999999999985</v>
      </c>
      <c r="Q99" s="428">
        <f t="shared" si="7"/>
        <v>56224</v>
      </c>
      <c r="R99" s="428">
        <f t="shared" si="7"/>
        <v>0</v>
      </c>
      <c r="S99" s="428">
        <f t="shared" si="7"/>
        <v>0</v>
      </c>
      <c r="T99" s="428">
        <f t="shared" si="7"/>
        <v>0</v>
      </c>
      <c r="U99" s="428">
        <f t="shared" si="7"/>
        <v>0</v>
      </c>
      <c r="V99" s="428">
        <f t="shared" si="7"/>
        <v>0</v>
      </c>
      <c r="W99" s="428">
        <f t="shared" si="7"/>
        <v>0</v>
      </c>
      <c r="X99" s="428">
        <f t="shared" si="7"/>
        <v>0</v>
      </c>
      <c r="Y99" s="428">
        <f t="shared" si="7"/>
        <v>0</v>
      </c>
      <c r="Z99" s="428">
        <f t="shared" si="7"/>
        <v>0</v>
      </c>
      <c r="AA99" s="428">
        <f t="shared" si="7"/>
        <v>0</v>
      </c>
      <c r="AB99" s="428">
        <f t="shared" si="7"/>
        <v>0</v>
      </c>
    </row>
    <row r="100" spans="2:28" s="4" customFormat="1">
      <c r="B100" s="375" t="s">
        <v>250</v>
      </c>
      <c r="C100" s="422">
        <f t="shared" ref="C100:AB100" si="8">C91*$D$77*-$D$65</f>
        <v>0</v>
      </c>
      <c r="D100" s="422">
        <f t="shared" si="8"/>
        <v>0</v>
      </c>
      <c r="E100" s="422">
        <f t="shared" si="8"/>
        <v>0</v>
      </c>
      <c r="F100" s="422">
        <f t="shared" si="8"/>
        <v>25520.000000000004</v>
      </c>
      <c r="G100" s="422">
        <f t="shared" si="8"/>
        <v>77024.000000000015</v>
      </c>
      <c r="H100" s="422">
        <f t="shared" si="8"/>
        <v>154666.66666666666</v>
      </c>
      <c r="I100" s="422">
        <f t="shared" si="8"/>
        <v>154666.66666666666</v>
      </c>
      <c r="J100" s="422">
        <f t="shared" si="8"/>
        <v>154666.66666666666</v>
      </c>
      <c r="K100" s="422">
        <f t="shared" si="8"/>
        <v>154666.66666666666</v>
      </c>
      <c r="L100" s="422">
        <f t="shared" si="8"/>
        <v>154666.66666666666</v>
      </c>
      <c r="M100" s="422">
        <f t="shared" si="8"/>
        <v>154666.66666666666</v>
      </c>
      <c r="N100" s="422">
        <f t="shared" si="8"/>
        <v>154666.66666666666</v>
      </c>
      <c r="O100" s="422">
        <f t="shared" si="8"/>
        <v>154666.66666666666</v>
      </c>
      <c r="P100" s="422">
        <f t="shared" si="8"/>
        <v>129146.66666666666</v>
      </c>
      <c r="Q100" s="422">
        <f t="shared" si="8"/>
        <v>77642.666666666672</v>
      </c>
      <c r="R100" s="422">
        <f t="shared" si="8"/>
        <v>0</v>
      </c>
      <c r="S100" s="422">
        <f t="shared" si="8"/>
        <v>0</v>
      </c>
      <c r="T100" s="422">
        <f t="shared" si="8"/>
        <v>0</v>
      </c>
      <c r="U100" s="422">
        <f t="shared" si="8"/>
        <v>0</v>
      </c>
      <c r="V100" s="422">
        <f t="shared" si="8"/>
        <v>0</v>
      </c>
      <c r="W100" s="422">
        <f t="shared" si="8"/>
        <v>0</v>
      </c>
      <c r="X100" s="422">
        <f t="shared" si="8"/>
        <v>0</v>
      </c>
      <c r="Y100" s="422">
        <f t="shared" si="8"/>
        <v>0</v>
      </c>
      <c r="Z100" s="422">
        <f t="shared" si="8"/>
        <v>0</v>
      </c>
      <c r="AA100" s="422">
        <f t="shared" si="8"/>
        <v>0</v>
      </c>
      <c r="AB100" s="422">
        <f t="shared" si="8"/>
        <v>0</v>
      </c>
    </row>
    <row r="101" spans="2:28" s="4" customFormat="1">
      <c r="B101" s="375" t="s">
        <v>251</v>
      </c>
      <c r="C101" s="422">
        <f t="shared" ref="C101:AB101" si="9">C91*$D$77*-$E$65</f>
        <v>0</v>
      </c>
      <c r="D101" s="422">
        <f t="shared" si="9"/>
        <v>0</v>
      </c>
      <c r="E101" s="422">
        <f t="shared" si="9"/>
        <v>0</v>
      </c>
      <c r="F101" s="422">
        <f t="shared" si="9"/>
        <v>39600</v>
      </c>
      <c r="G101" s="422">
        <f t="shared" si="9"/>
        <v>119520</v>
      </c>
      <c r="H101" s="422">
        <f t="shared" si="9"/>
        <v>239999.99999999997</v>
      </c>
      <c r="I101" s="422">
        <f t="shared" si="9"/>
        <v>239999.99999999997</v>
      </c>
      <c r="J101" s="422">
        <f t="shared" si="9"/>
        <v>239999.99999999997</v>
      </c>
      <c r="K101" s="422">
        <f t="shared" si="9"/>
        <v>239999.99999999997</v>
      </c>
      <c r="L101" s="422">
        <f t="shared" si="9"/>
        <v>239999.99999999997</v>
      </c>
      <c r="M101" s="422">
        <f t="shared" si="9"/>
        <v>239999.99999999997</v>
      </c>
      <c r="N101" s="422">
        <f t="shared" si="9"/>
        <v>239999.99999999997</v>
      </c>
      <c r="O101" s="422">
        <f t="shared" si="9"/>
        <v>239999.99999999997</v>
      </c>
      <c r="P101" s="422">
        <f t="shared" si="9"/>
        <v>200399.99999999997</v>
      </c>
      <c r="Q101" s="422">
        <f t="shared" si="9"/>
        <v>120480</v>
      </c>
      <c r="R101" s="422">
        <f t="shared" si="9"/>
        <v>0</v>
      </c>
      <c r="S101" s="422">
        <f t="shared" si="9"/>
        <v>0</v>
      </c>
      <c r="T101" s="422">
        <f t="shared" si="9"/>
        <v>0</v>
      </c>
      <c r="U101" s="422">
        <f t="shared" si="9"/>
        <v>0</v>
      </c>
      <c r="V101" s="422">
        <f t="shared" si="9"/>
        <v>0</v>
      </c>
      <c r="W101" s="422">
        <f t="shared" si="9"/>
        <v>0</v>
      </c>
      <c r="X101" s="422">
        <f t="shared" si="9"/>
        <v>0</v>
      </c>
      <c r="Y101" s="422">
        <f t="shared" si="9"/>
        <v>0</v>
      </c>
      <c r="Z101" s="422">
        <f t="shared" si="9"/>
        <v>0</v>
      </c>
      <c r="AA101" s="422">
        <f t="shared" si="9"/>
        <v>0</v>
      </c>
      <c r="AB101" s="422">
        <f t="shared" si="9"/>
        <v>0</v>
      </c>
    </row>
    <row r="102" spans="2:28">
      <c r="C102" s="429" t="b">
        <f>IF(C98*'EPA Emission Factors Hub'!$D$9+C99=C100,TRUE,FALSE)</f>
        <v>1</v>
      </c>
      <c r="D102" s="429" t="b">
        <f>IF(D98*'EPA Emission Factors Hub'!$D$9+D99=D100,TRUE,FALSE)</f>
        <v>1</v>
      </c>
      <c r="E102" s="429" t="b">
        <f>IF(E98*'EPA Emission Factors Hub'!$D$9+E99=E100,TRUE,FALSE)</f>
        <v>1</v>
      </c>
      <c r="F102" s="429" t="b">
        <f>IF(F98*'EPA Emission Factors Hub'!$D$9+F99=F100,TRUE,FALSE)</f>
        <v>1</v>
      </c>
      <c r="G102" s="429" t="b">
        <f>IF(G98*'EPA Emission Factors Hub'!$D$9+G99=G100,TRUE,FALSE)</f>
        <v>1</v>
      </c>
      <c r="H102" s="429" t="b">
        <f>IF(H98*'EPA Emission Factors Hub'!$D$9+H99=H100,TRUE,FALSE)</f>
        <v>1</v>
      </c>
      <c r="I102" s="429" t="b">
        <f>IF(I98*'EPA Emission Factors Hub'!$D$9+I99=I100,TRUE,FALSE)</f>
        <v>1</v>
      </c>
      <c r="J102" s="429" t="b">
        <f>IF(J98*'EPA Emission Factors Hub'!$D$9+J99=J100,TRUE,FALSE)</f>
        <v>1</v>
      </c>
      <c r="K102" s="429" t="b">
        <f>IF(K98*'EPA Emission Factors Hub'!$D$9+K99=K100,TRUE,FALSE)</f>
        <v>1</v>
      </c>
      <c r="L102" s="429" t="b">
        <f>IF(L98*'EPA Emission Factors Hub'!$D$9+L99=L100,TRUE,FALSE)</f>
        <v>1</v>
      </c>
      <c r="M102" s="429" t="b">
        <f>IF(M98*'EPA Emission Factors Hub'!$D$9+M99=M100,TRUE,FALSE)</f>
        <v>1</v>
      </c>
      <c r="N102" s="429" t="b">
        <f>IF(N98*'EPA Emission Factors Hub'!$D$9+N99=N100,TRUE,FALSE)</f>
        <v>1</v>
      </c>
      <c r="O102" s="429" t="b">
        <f>IF(O98*'EPA Emission Factors Hub'!$D$9+O99=O100,TRUE,FALSE)</f>
        <v>1</v>
      </c>
      <c r="P102" s="429" t="b">
        <f>IF(P98*'EPA Emission Factors Hub'!$D$9+P99=P100,TRUE,FALSE)</f>
        <v>1</v>
      </c>
      <c r="Q102" s="429" t="b">
        <f>IF(Q98*'EPA Emission Factors Hub'!$D$9+Q99=Q100,TRUE,FALSE)</f>
        <v>1</v>
      </c>
      <c r="R102" s="429" t="b">
        <f>IF(R98*'EPA Emission Factors Hub'!$D$9+R99=R100,TRUE,FALSE)</f>
        <v>1</v>
      </c>
      <c r="S102" s="429" t="b">
        <f>IF(S98*'EPA Emission Factors Hub'!$D$9+S99=S100,TRUE,FALSE)</f>
        <v>1</v>
      </c>
      <c r="T102" s="429" t="b">
        <f>IF(T98*'EPA Emission Factors Hub'!$D$9+T99=T100,TRUE,FALSE)</f>
        <v>1</v>
      </c>
      <c r="U102" s="429" t="b">
        <f>IF(U98*'EPA Emission Factors Hub'!$D$9+U99=U100,TRUE,FALSE)</f>
        <v>1</v>
      </c>
      <c r="V102" s="429" t="b">
        <f>IF(V98*'EPA Emission Factors Hub'!$D$9+V99=V100,TRUE,FALSE)</f>
        <v>1</v>
      </c>
      <c r="W102" s="429" t="b">
        <f>IF(W98*'EPA Emission Factors Hub'!$D$9+W99=W100,TRUE,FALSE)</f>
        <v>1</v>
      </c>
      <c r="X102" s="429" t="b">
        <f>IF(X98*'EPA Emission Factors Hub'!$D$9+X99=X100,TRUE,FALSE)</f>
        <v>1</v>
      </c>
      <c r="Y102" s="429" t="b">
        <f>IF(Y98*'EPA Emission Factors Hub'!$D$9+Y99=Y100,TRUE,FALSE)</f>
        <v>1</v>
      </c>
      <c r="Z102" s="429" t="b">
        <f>IF(Z98*'EPA Emission Factors Hub'!$D$9+Z99=Z100,TRUE,FALSE)</f>
        <v>1</v>
      </c>
      <c r="AA102" s="429" t="b">
        <f>IF(AA98*'EPA Emission Factors Hub'!$D$9+AA99=AA100,TRUE,FALSE)</f>
        <v>1</v>
      </c>
      <c r="AB102" s="429" t="b">
        <f>IF(AB98*'EPA Emission Factors Hub'!$D$9+AB99=AB100,TRUE,FALSE)</f>
        <v>1</v>
      </c>
    </row>
  </sheetData>
  <mergeCells count="2">
    <mergeCell ref="D48:E48"/>
    <mergeCell ref="F48:G48"/>
  </mergeCells>
  <hyperlinks>
    <hyperlink ref="F60" r:id="rId1" location="v16" display="EPA WARM documentation Section 4-2 " xr:uid="{C6B6B9B1-79BD-4476-8F40-C802597DF83B}"/>
    <hyperlink ref="D69" r:id="rId2" xr:uid="{14FB0247-A04E-4428-A1EC-277BA4A952D8}"/>
    <hyperlink ref="D70" r:id="rId3" xr:uid="{635F6242-64CD-4637-AEAC-D7EEFB1BBBE6}"/>
    <hyperlink ref="F63" r:id="rId4" location="v16" display="EPA WARM documentation Section 4-2 " xr:uid="{18153FED-DF9D-42AF-B9AA-6B2F07275A41}"/>
    <hyperlink ref="F65" r:id="rId5" location="v16" display="EPA WARM documentation Section 4-2 " xr:uid="{0BD9352E-9222-45B1-98FB-181775A680E4}"/>
    <hyperlink ref="E83" r:id="rId6" xr:uid="{DE3747FF-22AA-4994-B281-5614AFF28046}"/>
  </hyperlinks>
  <pageMargins left="0.7" right="0.7" top="0.75" bottom="0.75" header="0.3" footer="0.3"/>
  <pageSetup orientation="portrait" r:id="rId7"/>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79998168889431442"/>
  </sheetPr>
  <dimension ref="A1:AB87"/>
  <sheetViews>
    <sheetView topLeftCell="A30" workbookViewId="0">
      <selection activeCell="I49" sqref="I49"/>
    </sheetView>
  </sheetViews>
  <sheetFormatPr defaultColWidth="8.42578125" defaultRowHeight="15"/>
  <cols>
    <col min="1" max="1" width="13.42578125" customWidth="1"/>
    <col min="2" max="2" width="29.85546875" customWidth="1"/>
    <col min="3" max="3" width="29.140625" customWidth="1"/>
    <col min="4" max="4" width="23.5703125" customWidth="1"/>
    <col min="5" max="5" width="25.42578125" customWidth="1"/>
    <col min="6" max="7" width="26.140625" customWidth="1"/>
    <col min="8" max="8" width="23.5703125" customWidth="1"/>
    <col min="9" max="9" width="19.5703125" customWidth="1"/>
    <col min="10" max="10" width="23.5703125" customWidth="1"/>
    <col min="11" max="12" width="16.42578125" customWidth="1"/>
    <col min="13" max="13" width="13.140625" customWidth="1"/>
    <col min="14" max="14" width="14.42578125" customWidth="1"/>
    <col min="15" max="15" width="8.42578125" customWidth="1"/>
    <col min="16" max="21" width="10.42578125" bestFit="1" customWidth="1"/>
    <col min="22" max="22" width="10" customWidth="1"/>
    <col min="23" max="28" width="8.5703125" bestFit="1" customWidth="1"/>
  </cols>
  <sheetData>
    <row r="1" spans="1:10" ht="23.25">
      <c r="A1" s="1" t="s">
        <v>312</v>
      </c>
      <c r="F1" s="214" t="s">
        <v>313</v>
      </c>
    </row>
    <row r="2" spans="1:10" ht="15.75">
      <c r="A2" s="8" t="s">
        <v>970</v>
      </c>
    </row>
    <row r="4" spans="1:10">
      <c r="B4" s="4" t="s">
        <v>314</v>
      </c>
    </row>
    <row r="5" spans="1:10">
      <c r="A5" s="4"/>
      <c r="B5" t="s">
        <v>974</v>
      </c>
    </row>
    <row r="6" spans="1:10">
      <c r="A6" s="4"/>
      <c r="B6" t="s">
        <v>315</v>
      </c>
      <c r="H6" s="17"/>
      <c r="I6" s="17"/>
      <c r="J6" s="17"/>
    </row>
    <row r="7" spans="1:10">
      <c r="A7" s="4"/>
      <c r="B7" t="s">
        <v>975</v>
      </c>
    </row>
    <row r="8" spans="1:10">
      <c r="B8" t="s">
        <v>316</v>
      </c>
    </row>
    <row r="9" spans="1:10">
      <c r="A9" s="4"/>
      <c r="B9" t="s">
        <v>317</v>
      </c>
    </row>
    <row r="10" spans="1:10">
      <c r="A10" s="4"/>
    </row>
    <row r="11" spans="1:10">
      <c r="A11" s="4"/>
    </row>
    <row r="12" spans="1:10">
      <c r="A12" s="4"/>
    </row>
    <row r="13" spans="1:10">
      <c r="A13" s="4"/>
    </row>
    <row r="14" spans="1:10">
      <c r="A14" s="4"/>
    </row>
    <row r="15" spans="1:10">
      <c r="A15" s="4"/>
    </row>
    <row r="16" spans="1:10">
      <c r="A16" s="4"/>
    </row>
    <row r="17" spans="1:9" ht="15.75" thickBot="1">
      <c r="A17" s="4"/>
    </row>
    <row r="18" spans="1:9" s="3" customFormat="1" ht="18.75">
      <c r="A18" s="9" t="s">
        <v>172</v>
      </c>
      <c r="G18" s="2"/>
    </row>
    <row r="19" spans="1:9">
      <c r="B19" s="414" t="s">
        <v>173</v>
      </c>
      <c r="C19" s="414"/>
      <c r="E19" s="162"/>
    </row>
    <row r="20" spans="1:9">
      <c r="A20" s="4"/>
      <c r="B20" s="599" t="s">
        <v>318</v>
      </c>
      <c r="C20" s="612">
        <v>50</v>
      </c>
    </row>
    <row r="21" spans="1:9">
      <c r="A21" s="4"/>
      <c r="B21" s="599" t="s">
        <v>319</v>
      </c>
      <c r="C21" s="612">
        <v>50</v>
      </c>
    </row>
    <row r="22" spans="1:9">
      <c r="A22" s="4"/>
      <c r="B22" s="735" t="s">
        <v>942</v>
      </c>
      <c r="C22" s="736">
        <v>750000</v>
      </c>
    </row>
    <row r="23" spans="1:9">
      <c r="A23" s="4"/>
      <c r="B23" s="735" t="s">
        <v>943</v>
      </c>
      <c r="C23" s="736">
        <v>250000</v>
      </c>
    </row>
    <row r="24" spans="1:9">
      <c r="A24" s="4"/>
      <c r="B24" s="735" t="s">
        <v>944</v>
      </c>
      <c r="C24" s="736">
        <f>(C21*C22+C23*C20)/SUM(C20:C21)</f>
        <v>500000</v>
      </c>
      <c r="D24" s="737" t="s">
        <v>945</v>
      </c>
    </row>
    <row r="25" spans="1:9">
      <c r="B25" s="30"/>
      <c r="C25" s="30"/>
      <c r="D25" s="164"/>
      <c r="E25" s="167"/>
      <c r="F25" s="164"/>
      <c r="G25" s="164"/>
      <c r="H25" s="164"/>
      <c r="I25" s="186"/>
    </row>
    <row r="26" spans="1:9">
      <c r="B26" s="415" t="s">
        <v>934</v>
      </c>
      <c r="C26" s="414"/>
      <c r="D26" s="164"/>
      <c r="E26" s="167"/>
      <c r="F26" s="164"/>
      <c r="G26" s="164"/>
      <c r="H26" s="164"/>
      <c r="I26" s="186"/>
    </row>
    <row r="27" spans="1:9" ht="14.1" customHeight="1">
      <c r="B27" s="614" t="s">
        <v>207</v>
      </c>
      <c r="C27" s="615">
        <v>1</v>
      </c>
      <c r="D27" s="164"/>
      <c r="E27" s="167"/>
      <c r="F27" s="164"/>
      <c r="G27" s="164"/>
      <c r="H27" s="164"/>
      <c r="I27" s="186"/>
    </row>
    <row r="28" spans="1:9" ht="14.1" customHeight="1">
      <c r="C28" s="164"/>
      <c r="D28" s="164"/>
      <c r="E28" s="167"/>
      <c r="F28" s="164"/>
      <c r="G28" s="164"/>
      <c r="H28" s="164"/>
      <c r="I28" s="186"/>
    </row>
    <row r="29" spans="1:9" ht="14.1" customHeight="1">
      <c r="B29" s="17"/>
      <c r="C29" s="17"/>
      <c r="D29" s="17"/>
      <c r="E29" s="17"/>
      <c r="F29" s="24"/>
      <c r="G29" s="24"/>
    </row>
    <row r="30" spans="1:9" ht="14.1" customHeight="1">
      <c r="B30" s="183" t="s">
        <v>219</v>
      </c>
      <c r="C30" s="184"/>
      <c r="D30" s="184"/>
      <c r="E30" s="185"/>
      <c r="F30" s="185"/>
      <c r="G30" s="185"/>
      <c r="H30" s="185"/>
    </row>
    <row r="31" spans="1:9" ht="14.1" customHeight="1">
      <c r="B31" s="197" t="s">
        <v>175</v>
      </c>
      <c r="C31" s="290">
        <v>2025</v>
      </c>
      <c r="D31" s="290">
        <v>2026</v>
      </c>
      <c r="E31" s="290">
        <v>2027</v>
      </c>
      <c r="F31" s="290">
        <v>2028</v>
      </c>
      <c r="G31" s="290">
        <v>2029</v>
      </c>
      <c r="H31" s="290">
        <v>2030</v>
      </c>
    </row>
    <row r="32" spans="1:9" ht="14.1" customHeight="1">
      <c r="B32" s="195" t="s">
        <v>176</v>
      </c>
      <c r="C32" s="26">
        <v>0.2</v>
      </c>
      <c r="D32" s="26">
        <v>0.4</v>
      </c>
      <c r="E32" s="26">
        <v>0.6</v>
      </c>
      <c r="F32" s="26">
        <v>0.8</v>
      </c>
      <c r="G32" s="26">
        <v>1</v>
      </c>
      <c r="H32" s="26">
        <v>1</v>
      </c>
    </row>
    <row r="33" spans="1:11" ht="14.1" customHeight="1">
      <c r="B33" s="195" t="s">
        <v>320</v>
      </c>
      <c r="C33" s="163">
        <f>SUM($C$20:$C$21)*C32</f>
        <v>20</v>
      </c>
      <c r="D33" s="163">
        <f t="shared" ref="D33:H33" si="0">SUM($C$20:$C$21)*D32</f>
        <v>40</v>
      </c>
      <c r="E33" s="163">
        <f t="shared" si="0"/>
        <v>60</v>
      </c>
      <c r="F33" s="163">
        <f t="shared" si="0"/>
        <v>80</v>
      </c>
      <c r="G33" s="163">
        <f t="shared" si="0"/>
        <v>100</v>
      </c>
      <c r="H33" s="163">
        <f t="shared" si="0"/>
        <v>100</v>
      </c>
    </row>
    <row r="34" spans="1:11" ht="14.1" customHeight="1">
      <c r="B34" s="17"/>
      <c r="C34" s="17"/>
      <c r="D34" s="17"/>
      <c r="E34" s="17"/>
      <c r="F34" s="24"/>
      <c r="G34" s="24"/>
    </row>
    <row r="35" spans="1:11" ht="14.1" customHeight="1" thickBot="1">
      <c r="A35" s="4"/>
    </row>
    <row r="36" spans="1:11" s="3" customFormat="1" ht="14.1" customHeight="1">
      <c r="A36" s="9" t="s">
        <v>177</v>
      </c>
      <c r="G36" s="2"/>
    </row>
    <row r="38" spans="1:11" ht="14.1" customHeight="1">
      <c r="B38" s="4" t="s">
        <v>222</v>
      </c>
      <c r="D38" s="786" t="s">
        <v>178</v>
      </c>
      <c r="E38" s="787"/>
      <c r="F38" s="786" t="s">
        <v>179</v>
      </c>
      <c r="G38" s="787"/>
    </row>
    <row r="39" spans="1:11" ht="14.1" customHeight="1">
      <c r="B39" s="177" t="s">
        <v>180</v>
      </c>
      <c r="C39" s="177" t="s">
        <v>158</v>
      </c>
      <c r="D39" s="177" t="s">
        <v>181</v>
      </c>
      <c r="E39" s="177" t="s">
        <v>182</v>
      </c>
      <c r="F39" s="177" t="s">
        <v>181</v>
      </c>
      <c r="G39" s="177" t="s">
        <v>182</v>
      </c>
    </row>
    <row r="40" spans="1:11" ht="14.1" customHeight="1">
      <c r="B40" s="599" t="s">
        <v>321</v>
      </c>
      <c r="C40" s="599" t="s">
        <v>162</v>
      </c>
      <c r="D40" s="452">
        <f>SUM(C80:H80)*$C$27</f>
        <v>74.095196999999985</v>
      </c>
      <c r="E40" s="452">
        <f>SUM(C80:AB80)*$C$27</f>
        <v>370.47598499999992</v>
      </c>
      <c r="F40" s="616"/>
      <c r="G40" s="617"/>
    </row>
    <row r="41" spans="1:11" ht="14.1" customHeight="1" thickBot="1">
      <c r="B41" s="511" t="s">
        <v>322</v>
      </c>
      <c r="C41" s="511" t="s">
        <v>162</v>
      </c>
      <c r="D41" s="453">
        <f>SUM(C81:H81)*$C$27</f>
        <v>-41.163837000000001</v>
      </c>
      <c r="E41" s="454">
        <f>SUM(C81:AB81)*$C$27</f>
        <v>-205.819185</v>
      </c>
      <c r="F41" s="514"/>
      <c r="G41" s="515"/>
    </row>
    <row r="42" spans="1:11">
      <c r="B42" s="334" t="s">
        <v>186</v>
      </c>
      <c r="C42" s="334" t="s">
        <v>162</v>
      </c>
      <c r="D42" s="419">
        <f>SUM(C82:H82)*$C$27</f>
        <v>295228.19620799995</v>
      </c>
      <c r="E42" s="419">
        <f>SUM(C82:AB82)*$C$27</f>
        <v>1476140.9810399998</v>
      </c>
      <c r="F42" s="419">
        <f>SUM(C73:H73)*-E60*C27</f>
        <v>544188.058128</v>
      </c>
      <c r="G42" s="419">
        <f>SUM(C73:AB73)*-E60*C27</f>
        <v>2720940.2906400003</v>
      </c>
    </row>
    <row r="43" spans="1:11">
      <c r="D43" s="32"/>
    </row>
    <row r="44" spans="1:11">
      <c r="D44" s="32"/>
    </row>
    <row r="45" spans="1:11">
      <c r="F45" s="20"/>
    </row>
    <row r="46" spans="1:11" ht="15.75" thickBot="1"/>
    <row r="47" spans="1:11" s="3" customFormat="1" ht="18.75">
      <c r="A47" s="9" t="s">
        <v>191</v>
      </c>
    </row>
    <row r="48" spans="1:11" ht="18.75">
      <c r="A48" s="19"/>
      <c r="B48" s="618" t="s">
        <v>323</v>
      </c>
      <c r="C48" s="619"/>
      <c r="D48" s="619"/>
      <c r="E48" s="619"/>
      <c r="F48" s="619"/>
      <c r="G48" s="619"/>
      <c r="H48" s="619"/>
      <c r="I48" s="619"/>
      <c r="J48" s="619"/>
      <c r="K48" s="619"/>
    </row>
    <row r="49" spans="2:11">
      <c r="B49" t="s">
        <v>324</v>
      </c>
      <c r="C49" s="339" t="s">
        <v>325</v>
      </c>
      <c r="D49" s="339" t="s">
        <v>950</v>
      </c>
      <c r="E49" s="339" t="s">
        <v>951</v>
      </c>
      <c r="F49" s="339" t="s">
        <v>952</v>
      </c>
      <c r="G49" s="339" t="s">
        <v>995</v>
      </c>
      <c r="H49" s="339" t="s">
        <v>326</v>
      </c>
      <c r="I49" s="339" t="s">
        <v>996</v>
      </c>
      <c r="J49" s="339" t="s">
        <v>327</v>
      </c>
      <c r="K49" s="339" t="s">
        <v>328</v>
      </c>
    </row>
    <row r="50" spans="2:11">
      <c r="B50" t="s">
        <v>329</v>
      </c>
      <c r="C50" s="360" t="s">
        <v>321</v>
      </c>
      <c r="D50" s="360">
        <v>3985</v>
      </c>
      <c r="E50" s="360">
        <v>7345</v>
      </c>
      <c r="F50" s="360">
        <v>1</v>
      </c>
      <c r="G50" s="342">
        <v>3000</v>
      </c>
      <c r="H50" s="361">
        <v>1360.79</v>
      </c>
      <c r="I50" s="361">
        <v>2000</v>
      </c>
      <c r="J50" s="361">
        <v>907.19</v>
      </c>
      <c r="K50" s="413">
        <v>0.24199999999999999</v>
      </c>
    </row>
    <row r="51" spans="2:11">
      <c r="B51" t="s">
        <v>330</v>
      </c>
      <c r="C51" s="360" t="s">
        <v>321</v>
      </c>
      <c r="D51" s="360">
        <v>3985</v>
      </c>
      <c r="E51" s="360">
        <v>7345</v>
      </c>
      <c r="F51" s="360">
        <v>1</v>
      </c>
      <c r="G51" s="342">
        <v>1500</v>
      </c>
      <c r="H51" s="361">
        <v>680.4</v>
      </c>
      <c r="I51" s="361">
        <v>500</v>
      </c>
      <c r="J51" s="361">
        <v>226.8</v>
      </c>
      <c r="K51" s="413">
        <v>0.24199999999999999</v>
      </c>
    </row>
    <row r="52" spans="2:11">
      <c r="B52" t="s">
        <v>331</v>
      </c>
      <c r="C52" s="360" t="s">
        <v>321</v>
      </c>
      <c r="D52" s="360">
        <v>3985</v>
      </c>
      <c r="E52" s="360">
        <v>7345</v>
      </c>
      <c r="F52" s="360">
        <v>1</v>
      </c>
      <c r="G52" s="344">
        <f>SUMPRODUCT($C$20:$C$21,G50:G51)/SUM($C$20:$C$21)</f>
        <v>2250</v>
      </c>
      <c r="H52" s="344">
        <f>SUMPRODUCT($C$20:$C$21,H50:H51)/SUM($C$20:$C$21)</f>
        <v>1020.595</v>
      </c>
      <c r="I52" s="344">
        <f>SUMPRODUCT($C$20:$C$21,I50:I51)/SUM($C$20:$C$21)</f>
        <v>1250</v>
      </c>
      <c r="J52" s="344">
        <f>SUMPRODUCT($C$20:$C$21,J50:J51)/SUM($C$20:$C$21)</f>
        <v>566.995</v>
      </c>
      <c r="K52" s="394">
        <f>SUMPRODUCT($C$20:$C$21,K50:K51)/SUM($C$20:$C$21)</f>
        <v>0.24199999999999999</v>
      </c>
    </row>
    <row r="53" spans="2:11" hidden="1"/>
    <row r="54" spans="2:11">
      <c r="B54" s="310" t="s">
        <v>195</v>
      </c>
      <c r="C54" s="311"/>
      <c r="D54" s="311" t="s">
        <v>332</v>
      </c>
      <c r="E54" s="311" t="s">
        <v>332</v>
      </c>
      <c r="F54" s="311" t="s">
        <v>332</v>
      </c>
      <c r="G54" s="311" t="s">
        <v>107</v>
      </c>
      <c r="H54" s="311" t="s">
        <v>107</v>
      </c>
      <c r="I54" s="311" t="s">
        <v>107</v>
      </c>
      <c r="J54" s="311" t="s">
        <v>107</v>
      </c>
      <c r="K54" s="311" t="s">
        <v>333</v>
      </c>
    </row>
    <row r="55" spans="2:11">
      <c r="B55" s="17"/>
      <c r="C55" s="17"/>
      <c r="D55" s="18"/>
      <c r="E55" s="22"/>
    </row>
    <row r="56" spans="2:11">
      <c r="B56" s="618" t="s">
        <v>197</v>
      </c>
      <c r="C56" s="620"/>
      <c r="D56" s="621"/>
      <c r="E56" s="622"/>
    </row>
    <row r="57" spans="2:11">
      <c r="B57" s="339" t="s">
        <v>334</v>
      </c>
      <c r="C57" s="339" t="s">
        <v>158</v>
      </c>
      <c r="D57" s="339" t="s">
        <v>178</v>
      </c>
      <c r="E57" s="339" t="s">
        <v>179</v>
      </c>
    </row>
    <row r="58" spans="2:11">
      <c r="B58" s="340" t="s">
        <v>321</v>
      </c>
      <c r="C58" s="340" t="s">
        <v>335</v>
      </c>
      <c r="D58" s="333">
        <f>-($H$52/10^3)*K52</f>
        <v>-0.24698398999999999</v>
      </c>
      <c r="E58" s="333">
        <f>-($H$52/10^3)*K52</f>
        <v>-0.24698398999999999</v>
      </c>
      <c r="G58" s="32"/>
      <c r="H58" s="32"/>
    </row>
    <row r="59" spans="2:11">
      <c r="B59" s="340" t="s">
        <v>322</v>
      </c>
      <c r="C59" s="340" t="s">
        <v>335</v>
      </c>
      <c r="D59" s="333">
        <f>($J$52/10^3)*K52</f>
        <v>0.13721279</v>
      </c>
      <c r="E59" s="333">
        <f>($J$52/10^3)*K52</f>
        <v>0.13721279</v>
      </c>
      <c r="G59" s="32"/>
      <c r="H59" s="32"/>
    </row>
    <row r="60" spans="2:11">
      <c r="B60" s="340" t="s">
        <v>186</v>
      </c>
      <c r="C60" s="340" t="s">
        <v>335</v>
      </c>
      <c r="D60" s="359">
        <f>D58*D52+D59*F52</f>
        <v>-984.09398735999991</v>
      </c>
      <c r="E60" s="359">
        <f>E58*$E$52+E59*$F$52</f>
        <v>-1813.96019376</v>
      </c>
      <c r="G60" s="32"/>
      <c r="H60" s="32"/>
    </row>
    <row r="61" spans="2:11">
      <c r="B61" s="4"/>
      <c r="D61" s="424"/>
      <c r="E61" s="424"/>
      <c r="F61" s="4"/>
      <c r="G61" s="182"/>
      <c r="H61" s="32"/>
    </row>
    <row r="62" spans="2:11">
      <c r="B62" s="618" t="s">
        <v>81</v>
      </c>
      <c r="C62" s="620"/>
      <c r="D62" s="621"/>
      <c r="E62" s="310"/>
      <c r="F62" s="4"/>
      <c r="G62" s="4"/>
    </row>
    <row r="63" spans="2:11">
      <c r="B63" s="339" t="s">
        <v>336</v>
      </c>
      <c r="C63" s="339" t="s">
        <v>158</v>
      </c>
      <c r="D63" s="339" t="s">
        <v>337</v>
      </c>
      <c r="F63" s="4"/>
      <c r="G63" s="4"/>
    </row>
    <row r="64" spans="2:11">
      <c r="B64" s="340" t="s">
        <v>338</v>
      </c>
      <c r="C64" s="340" t="s">
        <v>91</v>
      </c>
      <c r="D64" s="360">
        <v>15</v>
      </c>
      <c r="E64" s="22"/>
      <c r="F64" s="4"/>
      <c r="G64" s="4"/>
    </row>
    <row r="65" spans="1:28" hidden="1">
      <c r="B65" s="188"/>
      <c r="C65" s="188"/>
      <c r="E65" s="22"/>
      <c r="F65" s="4"/>
      <c r="G65" s="4"/>
    </row>
    <row r="66" spans="1:28">
      <c r="B66" s="310" t="s">
        <v>339</v>
      </c>
      <c r="C66" s="188"/>
      <c r="D66" s="311" t="s">
        <v>340</v>
      </c>
      <c r="E66" s="22"/>
      <c r="F66" s="4"/>
      <c r="G66" s="4"/>
    </row>
    <row r="67" spans="1:28">
      <c r="D67" s="23"/>
      <c r="E67" s="23"/>
    </row>
    <row r="68" spans="1:28" ht="15.75" thickBot="1"/>
    <row r="69" spans="1:28" s="3" customFormat="1" ht="18.75">
      <c r="A69" s="9" t="s">
        <v>196</v>
      </c>
    </row>
    <row r="70" spans="1:28" ht="18.75">
      <c r="A70" s="19"/>
    </row>
    <row r="71" spans="1:28">
      <c r="B71" s="211" t="s">
        <v>341</v>
      </c>
      <c r="C71" s="211"/>
      <c r="D71" s="211"/>
      <c r="E71" s="211"/>
      <c r="F71" s="211"/>
      <c r="G71" s="211"/>
      <c r="H71" s="211"/>
      <c r="I71" s="211"/>
      <c r="J71" s="211"/>
      <c r="K71" s="211"/>
      <c r="L71" s="211"/>
      <c r="M71" s="211"/>
      <c r="N71" s="211"/>
      <c r="O71" s="211"/>
      <c r="P71" s="211"/>
      <c r="Q71" s="211"/>
      <c r="R71" s="211"/>
      <c r="S71" s="211"/>
      <c r="T71" s="211"/>
      <c r="U71" s="211"/>
      <c r="V71" s="211"/>
      <c r="W71" s="211"/>
      <c r="X71" s="211"/>
      <c r="Y71" s="211"/>
      <c r="Z71" s="211"/>
      <c r="AA71" s="211"/>
      <c r="AB71" s="211"/>
    </row>
    <row r="72" spans="1:28" s="181" customFormat="1">
      <c r="B72" s="292" t="s">
        <v>190</v>
      </c>
      <c r="C72" s="292">
        <v>2025</v>
      </c>
      <c r="D72" s="292">
        <f>C72+1</f>
        <v>2026</v>
      </c>
      <c r="E72" s="292">
        <f t="shared" ref="E72:AB72" si="1">D72+1</f>
        <v>2027</v>
      </c>
      <c r="F72" s="292">
        <f t="shared" si="1"/>
        <v>2028</v>
      </c>
      <c r="G72" s="292">
        <f t="shared" si="1"/>
        <v>2029</v>
      </c>
      <c r="H72" s="292">
        <f t="shared" si="1"/>
        <v>2030</v>
      </c>
      <c r="I72" s="292">
        <f t="shared" si="1"/>
        <v>2031</v>
      </c>
      <c r="J72" s="292">
        <f t="shared" si="1"/>
        <v>2032</v>
      </c>
      <c r="K72" s="292">
        <f t="shared" si="1"/>
        <v>2033</v>
      </c>
      <c r="L72" s="292">
        <f t="shared" si="1"/>
        <v>2034</v>
      </c>
      <c r="M72" s="292">
        <f>L72+1</f>
        <v>2035</v>
      </c>
      <c r="N72" s="292">
        <f>M72+1</f>
        <v>2036</v>
      </c>
      <c r="O72" s="292">
        <f t="shared" si="1"/>
        <v>2037</v>
      </c>
      <c r="P72" s="292">
        <f t="shared" si="1"/>
        <v>2038</v>
      </c>
      <c r="Q72" s="292">
        <f t="shared" si="1"/>
        <v>2039</v>
      </c>
      <c r="R72" s="292">
        <f t="shared" si="1"/>
        <v>2040</v>
      </c>
      <c r="S72" s="292">
        <f t="shared" si="1"/>
        <v>2041</v>
      </c>
      <c r="T72" s="292">
        <f t="shared" si="1"/>
        <v>2042</v>
      </c>
      <c r="U72" s="292">
        <f t="shared" si="1"/>
        <v>2043</v>
      </c>
      <c r="V72" s="292">
        <f t="shared" si="1"/>
        <v>2044</v>
      </c>
      <c r="W72" s="292">
        <f t="shared" si="1"/>
        <v>2045</v>
      </c>
      <c r="X72" s="292">
        <f t="shared" si="1"/>
        <v>2046</v>
      </c>
      <c r="Y72" s="292">
        <f t="shared" si="1"/>
        <v>2047</v>
      </c>
      <c r="Z72" s="292">
        <f t="shared" si="1"/>
        <v>2048</v>
      </c>
      <c r="AA72" s="292">
        <f t="shared" si="1"/>
        <v>2049</v>
      </c>
      <c r="AB72" s="292">
        <f t="shared" si="1"/>
        <v>2050</v>
      </c>
    </row>
    <row r="73" spans="1:28">
      <c r="B73" s="190" t="s">
        <v>342</v>
      </c>
      <c r="C73" s="192">
        <v>0</v>
      </c>
      <c r="D73" s="191">
        <f>C76</f>
        <v>20</v>
      </c>
      <c r="E73" s="191">
        <f t="shared" ref="E73:AB73" si="2">D76</f>
        <v>40</v>
      </c>
      <c r="F73" s="191">
        <f t="shared" si="2"/>
        <v>60</v>
      </c>
      <c r="G73" s="191">
        <f t="shared" si="2"/>
        <v>80</v>
      </c>
      <c r="H73" s="191">
        <f t="shared" si="2"/>
        <v>100</v>
      </c>
      <c r="I73" s="191">
        <f t="shared" si="2"/>
        <v>100</v>
      </c>
      <c r="J73" s="191">
        <f t="shared" si="2"/>
        <v>100</v>
      </c>
      <c r="K73" s="191">
        <f t="shared" si="2"/>
        <v>100</v>
      </c>
      <c r="L73" s="191">
        <f t="shared" si="2"/>
        <v>100</v>
      </c>
      <c r="M73" s="191">
        <f>L76</f>
        <v>100</v>
      </c>
      <c r="N73" s="191">
        <f>M76</f>
        <v>100</v>
      </c>
      <c r="O73" s="191">
        <f t="shared" si="2"/>
        <v>100</v>
      </c>
      <c r="P73" s="191">
        <f t="shared" si="2"/>
        <v>100</v>
      </c>
      <c r="Q73" s="191">
        <f t="shared" si="2"/>
        <v>100</v>
      </c>
      <c r="R73" s="191">
        <f t="shared" si="2"/>
        <v>100</v>
      </c>
      <c r="S73" s="191">
        <f t="shared" si="2"/>
        <v>80</v>
      </c>
      <c r="T73" s="191">
        <f t="shared" si="2"/>
        <v>60</v>
      </c>
      <c r="U73" s="191">
        <f t="shared" si="2"/>
        <v>40</v>
      </c>
      <c r="V73" s="191">
        <f t="shared" si="2"/>
        <v>20</v>
      </c>
      <c r="W73" s="191">
        <f t="shared" si="2"/>
        <v>0</v>
      </c>
      <c r="X73" s="191">
        <f t="shared" si="2"/>
        <v>0</v>
      </c>
      <c r="Y73" s="191">
        <f t="shared" si="2"/>
        <v>0</v>
      </c>
      <c r="Z73" s="191">
        <f t="shared" si="2"/>
        <v>0</v>
      </c>
      <c r="AA73" s="191">
        <f t="shared" si="2"/>
        <v>0</v>
      </c>
      <c r="AB73" s="191">
        <f t="shared" si="2"/>
        <v>0</v>
      </c>
    </row>
    <row r="74" spans="1:28">
      <c r="B74" s="190" t="s">
        <v>343</v>
      </c>
      <c r="C74" s="192">
        <f>C33</f>
        <v>20</v>
      </c>
      <c r="D74" s="191">
        <f>D33-C33</f>
        <v>20</v>
      </c>
      <c r="E74" s="191">
        <f>E33-D33</f>
        <v>20</v>
      </c>
      <c r="F74" s="191">
        <f>F33-E33</f>
        <v>20</v>
      </c>
      <c r="G74" s="191">
        <f>G33-F33</f>
        <v>20</v>
      </c>
      <c r="H74" s="191">
        <f>H33-G33</f>
        <v>0</v>
      </c>
      <c r="I74" s="191"/>
      <c r="J74" s="191"/>
      <c r="K74" s="191"/>
      <c r="L74" s="191"/>
      <c r="M74" s="191"/>
      <c r="N74" s="191"/>
      <c r="O74" s="191"/>
      <c r="P74" s="191"/>
      <c r="Q74" s="191"/>
      <c r="R74" s="191"/>
      <c r="S74" s="191"/>
      <c r="T74" s="191"/>
      <c r="U74" s="191"/>
      <c r="V74" s="191"/>
      <c r="W74" s="191"/>
      <c r="X74" s="191"/>
      <c r="Y74" s="191"/>
      <c r="Z74" s="191"/>
      <c r="AA74" s="191"/>
      <c r="AB74" s="191"/>
    </row>
    <row r="75" spans="1:28">
      <c r="B75" s="190" t="s">
        <v>344</v>
      </c>
      <c r="C75" s="297">
        <f t="shared" ref="C75:AB75" si="3">-IFERROR(INDEX($C$74:$AB$74,MATCH(C72-$D$64,$C$72:$AB$72,0)),0)</f>
        <v>0</v>
      </c>
      <c r="D75" s="297">
        <f t="shared" si="3"/>
        <v>0</v>
      </c>
      <c r="E75" s="297">
        <f t="shared" si="3"/>
        <v>0</v>
      </c>
      <c r="F75" s="297">
        <f t="shared" si="3"/>
        <v>0</v>
      </c>
      <c r="G75" s="297">
        <f t="shared" si="3"/>
        <v>0</v>
      </c>
      <c r="H75" s="297">
        <f t="shared" si="3"/>
        <v>0</v>
      </c>
      <c r="I75" s="297">
        <f t="shared" si="3"/>
        <v>0</v>
      </c>
      <c r="J75" s="297">
        <f t="shared" si="3"/>
        <v>0</v>
      </c>
      <c r="K75" s="297">
        <f t="shared" si="3"/>
        <v>0</v>
      </c>
      <c r="L75" s="297">
        <f t="shared" si="3"/>
        <v>0</v>
      </c>
      <c r="M75" s="297">
        <f t="shared" si="3"/>
        <v>0</v>
      </c>
      <c r="N75" s="297">
        <f t="shared" si="3"/>
        <v>0</v>
      </c>
      <c r="O75" s="297">
        <f t="shared" si="3"/>
        <v>0</v>
      </c>
      <c r="P75" s="297">
        <f t="shared" si="3"/>
        <v>0</v>
      </c>
      <c r="Q75" s="297">
        <f t="shared" si="3"/>
        <v>0</v>
      </c>
      <c r="R75" s="297">
        <f t="shared" si="3"/>
        <v>-20</v>
      </c>
      <c r="S75" s="297">
        <f t="shared" si="3"/>
        <v>-20</v>
      </c>
      <c r="T75" s="297">
        <f t="shared" si="3"/>
        <v>-20</v>
      </c>
      <c r="U75" s="297">
        <f t="shared" si="3"/>
        <v>-20</v>
      </c>
      <c r="V75" s="297">
        <f t="shared" si="3"/>
        <v>-20</v>
      </c>
      <c r="W75" s="297">
        <f t="shared" si="3"/>
        <v>0</v>
      </c>
      <c r="X75" s="297">
        <f t="shared" si="3"/>
        <v>0</v>
      </c>
      <c r="Y75" s="297">
        <f t="shared" si="3"/>
        <v>0</v>
      </c>
      <c r="Z75" s="297">
        <f t="shared" si="3"/>
        <v>0</v>
      </c>
      <c r="AA75" s="297">
        <f t="shared" si="3"/>
        <v>0</v>
      </c>
      <c r="AB75" s="297">
        <f t="shared" si="3"/>
        <v>0</v>
      </c>
    </row>
    <row r="76" spans="1:28">
      <c r="B76" s="190" t="s">
        <v>345</v>
      </c>
      <c r="C76" s="215">
        <f>SUM(C73:C75)</f>
        <v>20</v>
      </c>
      <c r="D76" s="215">
        <f>SUM(D73:D75)</f>
        <v>40</v>
      </c>
      <c r="E76" s="215">
        <f t="shared" ref="E76:AB76" si="4">SUM(E73:E75)</f>
        <v>60</v>
      </c>
      <c r="F76" s="215">
        <f t="shared" si="4"/>
        <v>80</v>
      </c>
      <c r="G76" s="215">
        <f t="shared" si="4"/>
        <v>100</v>
      </c>
      <c r="H76" s="215">
        <f t="shared" si="4"/>
        <v>100</v>
      </c>
      <c r="I76" s="215">
        <f t="shared" si="4"/>
        <v>100</v>
      </c>
      <c r="J76" s="215">
        <f t="shared" si="4"/>
        <v>100</v>
      </c>
      <c r="K76" s="215">
        <f t="shared" si="4"/>
        <v>100</v>
      </c>
      <c r="L76" s="215">
        <f t="shared" si="4"/>
        <v>100</v>
      </c>
      <c r="M76" s="215">
        <f t="shared" si="4"/>
        <v>100</v>
      </c>
      <c r="N76" s="215">
        <f t="shared" si="4"/>
        <v>100</v>
      </c>
      <c r="O76" s="215">
        <f t="shared" si="4"/>
        <v>100</v>
      </c>
      <c r="P76" s="215">
        <f t="shared" si="4"/>
        <v>100</v>
      </c>
      <c r="Q76" s="215">
        <f t="shared" si="4"/>
        <v>100</v>
      </c>
      <c r="R76" s="215">
        <f t="shared" si="4"/>
        <v>80</v>
      </c>
      <c r="S76" s="215">
        <f t="shared" si="4"/>
        <v>60</v>
      </c>
      <c r="T76" s="215">
        <f t="shared" si="4"/>
        <v>40</v>
      </c>
      <c r="U76" s="215">
        <f t="shared" si="4"/>
        <v>20</v>
      </c>
      <c r="V76" s="215">
        <f t="shared" si="4"/>
        <v>0</v>
      </c>
      <c r="W76" s="215">
        <f t="shared" si="4"/>
        <v>0</v>
      </c>
      <c r="X76" s="215">
        <f t="shared" si="4"/>
        <v>0</v>
      </c>
      <c r="Y76" s="215">
        <f t="shared" si="4"/>
        <v>0</v>
      </c>
      <c r="Z76" s="215">
        <f t="shared" si="4"/>
        <v>0</v>
      </c>
      <c r="AA76" s="215">
        <f t="shared" si="4"/>
        <v>0</v>
      </c>
      <c r="AB76" s="215">
        <f t="shared" si="4"/>
        <v>0</v>
      </c>
    </row>
    <row r="77" spans="1:28">
      <c r="B77" s="188"/>
      <c r="C77" s="188"/>
      <c r="D77" s="189"/>
      <c r="E77" s="31"/>
      <c r="F77" s="4"/>
      <c r="G77" s="4"/>
    </row>
    <row r="78" spans="1:28">
      <c r="B78" s="216" t="s">
        <v>197</v>
      </c>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row>
    <row r="79" spans="1:28">
      <c r="B79" s="362" t="s">
        <v>180</v>
      </c>
      <c r="C79" s="362">
        <v>2025</v>
      </c>
      <c r="D79" s="362">
        <f>C79+1</f>
        <v>2026</v>
      </c>
      <c r="E79" s="362">
        <f t="shared" ref="E79:AB79" si="5">D79+1</f>
        <v>2027</v>
      </c>
      <c r="F79" s="362">
        <f t="shared" si="5"/>
        <v>2028</v>
      </c>
      <c r="G79" s="362">
        <f t="shared" si="5"/>
        <v>2029</v>
      </c>
      <c r="H79" s="362">
        <f t="shared" si="5"/>
        <v>2030</v>
      </c>
      <c r="I79" s="362">
        <f t="shared" si="5"/>
        <v>2031</v>
      </c>
      <c r="J79" s="362">
        <f t="shared" si="5"/>
        <v>2032</v>
      </c>
      <c r="K79" s="362">
        <f t="shared" si="5"/>
        <v>2033</v>
      </c>
      <c r="L79" s="362">
        <f t="shared" si="5"/>
        <v>2034</v>
      </c>
      <c r="M79" s="362">
        <f t="shared" si="5"/>
        <v>2035</v>
      </c>
      <c r="N79" s="362">
        <f t="shared" si="5"/>
        <v>2036</v>
      </c>
      <c r="O79" s="362">
        <f t="shared" si="5"/>
        <v>2037</v>
      </c>
      <c r="P79" s="362">
        <f t="shared" si="5"/>
        <v>2038</v>
      </c>
      <c r="Q79" s="362">
        <f t="shared" si="5"/>
        <v>2039</v>
      </c>
      <c r="R79" s="362">
        <f t="shared" si="5"/>
        <v>2040</v>
      </c>
      <c r="S79" s="362">
        <f t="shared" si="5"/>
        <v>2041</v>
      </c>
      <c r="T79" s="362">
        <f t="shared" si="5"/>
        <v>2042</v>
      </c>
      <c r="U79" s="362">
        <f t="shared" si="5"/>
        <v>2043</v>
      </c>
      <c r="V79" s="362">
        <f t="shared" si="5"/>
        <v>2044</v>
      </c>
      <c r="W79" s="362">
        <f t="shared" si="5"/>
        <v>2045</v>
      </c>
      <c r="X79" s="362">
        <f t="shared" si="5"/>
        <v>2046</v>
      </c>
      <c r="Y79" s="362">
        <f t="shared" si="5"/>
        <v>2047</v>
      </c>
      <c r="Z79" s="362">
        <f t="shared" si="5"/>
        <v>2048</v>
      </c>
      <c r="AA79" s="362">
        <f t="shared" si="5"/>
        <v>2049</v>
      </c>
      <c r="AB79" s="362">
        <f t="shared" si="5"/>
        <v>2050</v>
      </c>
    </row>
    <row r="80" spans="1:28">
      <c r="B80" s="623" t="s">
        <v>346</v>
      </c>
      <c r="C80" s="624">
        <f t="shared" ref="C80:AB80" si="6">C$73*-$D58</f>
        <v>0</v>
      </c>
      <c r="D80" s="624">
        <f t="shared" si="6"/>
        <v>4.9396797999999995</v>
      </c>
      <c r="E80" s="624">
        <f t="shared" si="6"/>
        <v>9.879359599999999</v>
      </c>
      <c r="F80" s="624">
        <f t="shared" si="6"/>
        <v>14.819039399999999</v>
      </c>
      <c r="G80" s="624">
        <f t="shared" si="6"/>
        <v>19.758719199999998</v>
      </c>
      <c r="H80" s="624">
        <f t="shared" si="6"/>
        <v>24.698398999999998</v>
      </c>
      <c r="I80" s="624">
        <f t="shared" si="6"/>
        <v>24.698398999999998</v>
      </c>
      <c r="J80" s="624">
        <f t="shared" si="6"/>
        <v>24.698398999999998</v>
      </c>
      <c r="K80" s="624">
        <f t="shared" si="6"/>
        <v>24.698398999999998</v>
      </c>
      <c r="L80" s="624">
        <f t="shared" si="6"/>
        <v>24.698398999999998</v>
      </c>
      <c r="M80" s="624">
        <f t="shared" si="6"/>
        <v>24.698398999999998</v>
      </c>
      <c r="N80" s="624">
        <f t="shared" si="6"/>
        <v>24.698398999999998</v>
      </c>
      <c r="O80" s="624">
        <f t="shared" si="6"/>
        <v>24.698398999999998</v>
      </c>
      <c r="P80" s="624">
        <f t="shared" si="6"/>
        <v>24.698398999999998</v>
      </c>
      <c r="Q80" s="624">
        <f t="shared" si="6"/>
        <v>24.698398999999998</v>
      </c>
      <c r="R80" s="624">
        <f t="shared" si="6"/>
        <v>24.698398999999998</v>
      </c>
      <c r="S80" s="624">
        <f t="shared" si="6"/>
        <v>19.758719199999998</v>
      </c>
      <c r="T80" s="624">
        <f t="shared" si="6"/>
        <v>14.819039399999999</v>
      </c>
      <c r="U80" s="624">
        <f t="shared" si="6"/>
        <v>9.879359599999999</v>
      </c>
      <c r="V80" s="624">
        <f t="shared" si="6"/>
        <v>4.9396797999999995</v>
      </c>
      <c r="W80" s="624">
        <f t="shared" si="6"/>
        <v>0</v>
      </c>
      <c r="X80" s="624">
        <f t="shared" si="6"/>
        <v>0</v>
      </c>
      <c r="Y80" s="624">
        <f t="shared" si="6"/>
        <v>0</v>
      </c>
      <c r="Z80" s="624">
        <f t="shared" si="6"/>
        <v>0</v>
      </c>
      <c r="AA80" s="624">
        <f t="shared" si="6"/>
        <v>0</v>
      </c>
      <c r="AB80" s="624">
        <f t="shared" si="6"/>
        <v>0</v>
      </c>
    </row>
    <row r="81" spans="1:28">
      <c r="B81" s="623" t="s">
        <v>347</v>
      </c>
      <c r="C81" s="624">
        <f t="shared" ref="C81:AB81" si="7">C$73*-$D59</f>
        <v>0</v>
      </c>
      <c r="D81" s="624">
        <f t="shared" si="7"/>
        <v>-2.7442557999999999</v>
      </c>
      <c r="E81" s="624">
        <f t="shared" si="7"/>
        <v>-5.4885115999999998</v>
      </c>
      <c r="F81" s="624">
        <f t="shared" si="7"/>
        <v>-8.2327674000000002</v>
      </c>
      <c r="G81" s="624">
        <f t="shared" si="7"/>
        <v>-10.9770232</v>
      </c>
      <c r="H81" s="624">
        <f t="shared" si="7"/>
        <v>-13.721279000000001</v>
      </c>
      <c r="I81" s="624">
        <f t="shared" si="7"/>
        <v>-13.721279000000001</v>
      </c>
      <c r="J81" s="624">
        <f t="shared" si="7"/>
        <v>-13.721279000000001</v>
      </c>
      <c r="K81" s="624">
        <f t="shared" si="7"/>
        <v>-13.721279000000001</v>
      </c>
      <c r="L81" s="624">
        <f t="shared" si="7"/>
        <v>-13.721279000000001</v>
      </c>
      <c r="M81" s="624">
        <f t="shared" si="7"/>
        <v>-13.721279000000001</v>
      </c>
      <c r="N81" s="624">
        <f t="shared" si="7"/>
        <v>-13.721279000000001</v>
      </c>
      <c r="O81" s="624">
        <f t="shared" si="7"/>
        <v>-13.721279000000001</v>
      </c>
      <c r="P81" s="624">
        <f t="shared" si="7"/>
        <v>-13.721279000000001</v>
      </c>
      <c r="Q81" s="624">
        <f t="shared" si="7"/>
        <v>-13.721279000000001</v>
      </c>
      <c r="R81" s="624">
        <f t="shared" si="7"/>
        <v>-13.721279000000001</v>
      </c>
      <c r="S81" s="624">
        <f t="shared" si="7"/>
        <v>-10.9770232</v>
      </c>
      <c r="T81" s="624">
        <f t="shared" si="7"/>
        <v>-8.2327674000000002</v>
      </c>
      <c r="U81" s="624">
        <f t="shared" si="7"/>
        <v>-5.4885115999999998</v>
      </c>
      <c r="V81" s="624">
        <f t="shared" si="7"/>
        <v>-2.7442557999999999</v>
      </c>
      <c r="W81" s="624">
        <f t="shared" si="7"/>
        <v>0</v>
      </c>
      <c r="X81" s="624">
        <f t="shared" si="7"/>
        <v>0</v>
      </c>
      <c r="Y81" s="624">
        <f t="shared" si="7"/>
        <v>0</v>
      </c>
      <c r="Z81" s="624">
        <f t="shared" si="7"/>
        <v>0</v>
      </c>
      <c r="AA81" s="624">
        <f t="shared" si="7"/>
        <v>0</v>
      </c>
      <c r="AB81" s="624">
        <f t="shared" si="7"/>
        <v>0</v>
      </c>
    </row>
    <row r="82" spans="1:28" s="4" customFormat="1">
      <c r="B82" s="609" t="s">
        <v>250</v>
      </c>
      <c r="C82" s="625">
        <f t="shared" ref="C82:AB82" si="8">C$73*-$D60</f>
        <v>0</v>
      </c>
      <c r="D82" s="625">
        <f t="shared" si="8"/>
        <v>19681.879747199997</v>
      </c>
      <c r="E82" s="625">
        <f t="shared" si="8"/>
        <v>39363.759494399994</v>
      </c>
      <c r="F82" s="625">
        <f t="shared" si="8"/>
        <v>59045.639241599994</v>
      </c>
      <c r="G82" s="625">
        <f t="shared" si="8"/>
        <v>78727.518988799988</v>
      </c>
      <c r="H82" s="625">
        <f t="shared" si="8"/>
        <v>98409.398735999988</v>
      </c>
      <c r="I82" s="625">
        <f t="shared" si="8"/>
        <v>98409.398735999988</v>
      </c>
      <c r="J82" s="625">
        <f t="shared" si="8"/>
        <v>98409.398735999988</v>
      </c>
      <c r="K82" s="625">
        <f t="shared" si="8"/>
        <v>98409.398735999988</v>
      </c>
      <c r="L82" s="625">
        <f t="shared" si="8"/>
        <v>98409.398735999988</v>
      </c>
      <c r="M82" s="625">
        <f t="shared" si="8"/>
        <v>98409.398735999988</v>
      </c>
      <c r="N82" s="625">
        <f t="shared" si="8"/>
        <v>98409.398735999988</v>
      </c>
      <c r="O82" s="625">
        <f t="shared" si="8"/>
        <v>98409.398735999988</v>
      </c>
      <c r="P82" s="625">
        <f t="shared" si="8"/>
        <v>98409.398735999988</v>
      </c>
      <c r="Q82" s="625">
        <f t="shared" si="8"/>
        <v>98409.398735999988</v>
      </c>
      <c r="R82" s="625">
        <f t="shared" si="8"/>
        <v>98409.398735999988</v>
      </c>
      <c r="S82" s="625">
        <f t="shared" si="8"/>
        <v>78727.518988799988</v>
      </c>
      <c r="T82" s="625">
        <f t="shared" si="8"/>
        <v>59045.639241599994</v>
      </c>
      <c r="U82" s="625">
        <f t="shared" si="8"/>
        <v>39363.759494399994</v>
      </c>
      <c r="V82" s="625">
        <f t="shared" si="8"/>
        <v>19681.879747199997</v>
      </c>
      <c r="W82" s="625">
        <f t="shared" si="8"/>
        <v>0</v>
      </c>
      <c r="X82" s="625">
        <f t="shared" si="8"/>
        <v>0</v>
      </c>
      <c r="Y82" s="625">
        <f t="shared" si="8"/>
        <v>0</v>
      </c>
      <c r="Z82" s="625">
        <f t="shared" si="8"/>
        <v>0</v>
      </c>
      <c r="AA82" s="625">
        <f t="shared" si="8"/>
        <v>0</v>
      </c>
      <c r="AB82" s="625">
        <f t="shared" si="8"/>
        <v>0</v>
      </c>
    </row>
    <row r="84" spans="1:28" ht="18.75">
      <c r="A84" s="19"/>
    </row>
    <row r="85" spans="1:28" ht="18.75">
      <c r="A85" s="19"/>
    </row>
    <row r="86" spans="1:28" s="12" customFormat="1">
      <c r="B86"/>
      <c r="C86"/>
    </row>
    <row r="87" spans="1:28" s="12" customFormat="1">
      <c r="B87"/>
      <c r="C87"/>
      <c r="D87"/>
    </row>
  </sheetData>
  <mergeCells count="2">
    <mergeCell ref="D38:E38"/>
    <mergeCell ref="F38:G38"/>
  </mergeCells>
  <hyperlinks>
    <hyperlink ref="D66" r:id="rId1" display="Source: CARB F-gas Reduction Incentive Program User Guide" xr:uid="{25206E4D-6CC8-413B-95F7-FA4B23BBEA8A}"/>
    <hyperlink ref="K54" r:id="rId2" xr:uid="{F1B8BE94-8846-4A6C-A6BD-923EFEC4238A}"/>
    <hyperlink ref="D24" r:id="rId3" display="Source: CARB F-gas Reduction Incentive Program User Guide" xr:uid="{50FD19BD-6219-4398-A700-54EE2D68DE95}"/>
    <hyperlink ref="D54" r:id="rId4" xr:uid="{08AFC38D-E210-4E89-9BBB-6F1F05D45BAD}"/>
    <hyperlink ref="E54" r:id="rId5" xr:uid="{63E18731-159D-4048-986A-932E6D8D0621}"/>
    <hyperlink ref="F54" r:id="rId6" xr:uid="{5853C5B9-5822-463A-B286-23F0FCF6227C}"/>
  </hyperlinks>
  <pageMargins left="0.7" right="0.7" top="0.75" bottom="0.75" header="0.3" footer="0.3"/>
  <pageSetup orientation="portrait" r:id="rId7"/>
  <drawing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E3583-BF52-430C-A2CA-37527ED5EF9B}">
  <sheetPr>
    <tabColor theme="3" tint="0.79998168889431442"/>
  </sheetPr>
  <dimension ref="A1:AB109"/>
  <sheetViews>
    <sheetView topLeftCell="A46" workbookViewId="0">
      <selection activeCell="D65" sqref="D65"/>
    </sheetView>
  </sheetViews>
  <sheetFormatPr defaultColWidth="8.42578125" defaultRowHeight="15"/>
  <cols>
    <col min="1" max="1" width="13.42578125" customWidth="1"/>
    <col min="2" max="2" width="33.5703125" customWidth="1"/>
    <col min="3" max="3" width="29" customWidth="1"/>
    <col min="4" max="4" width="23.42578125" customWidth="1"/>
    <col min="5" max="5" width="18.42578125" customWidth="1"/>
    <col min="6" max="6" width="22" customWidth="1"/>
    <col min="7" max="10" width="18.42578125" customWidth="1"/>
    <col min="11" max="15" width="20" customWidth="1"/>
    <col min="16" max="17" width="24.5703125" customWidth="1"/>
    <col min="18" max="18" width="23.42578125" customWidth="1"/>
    <col min="19" max="21" width="19.5703125" customWidth="1"/>
    <col min="22" max="22" width="9" bestFit="1" customWidth="1"/>
  </cols>
  <sheetData>
    <row r="1" spans="1:6" ht="23.25">
      <c r="A1" s="1" t="s">
        <v>208</v>
      </c>
      <c r="F1" s="214" t="s">
        <v>209</v>
      </c>
    </row>
    <row r="2" spans="1:6" ht="15.75">
      <c r="A2" s="8" t="s">
        <v>210</v>
      </c>
      <c r="B2" s="155"/>
      <c r="F2" s="213"/>
    </row>
    <row r="3" spans="1:6">
      <c r="F3" s="213"/>
    </row>
    <row r="4" spans="1:6">
      <c r="B4" s="4" t="s">
        <v>211</v>
      </c>
      <c r="F4" s="213"/>
    </row>
    <row r="5" spans="1:6">
      <c r="A5" s="4"/>
      <c r="B5" s="317" t="s">
        <v>212</v>
      </c>
      <c r="F5" s="213"/>
    </row>
    <row r="6" spans="1:6">
      <c r="A6" s="4"/>
      <c r="B6" s="317" t="s">
        <v>213</v>
      </c>
      <c r="F6" s="213"/>
    </row>
    <row r="7" spans="1:6">
      <c r="A7" s="4"/>
      <c r="B7" s="317" t="s">
        <v>214</v>
      </c>
      <c r="F7" s="213"/>
    </row>
    <row r="8" spans="1:6">
      <c r="A8" s="4"/>
      <c r="B8" s="317"/>
      <c r="F8" s="213"/>
    </row>
    <row r="9" spans="1:6">
      <c r="A9" s="4"/>
      <c r="F9" s="213"/>
    </row>
    <row r="10" spans="1:6">
      <c r="A10" s="4"/>
      <c r="F10" s="213"/>
    </row>
    <row r="11" spans="1:6">
      <c r="A11" s="4"/>
      <c r="F11" s="213"/>
    </row>
    <row r="12" spans="1:6">
      <c r="A12" s="4"/>
      <c r="F12" s="213"/>
    </row>
    <row r="13" spans="1:6">
      <c r="A13" s="4"/>
      <c r="F13" s="213"/>
    </row>
    <row r="14" spans="1:6">
      <c r="A14" s="4"/>
      <c r="F14" s="213"/>
    </row>
    <row r="15" spans="1:6">
      <c r="A15" s="4"/>
    </row>
    <row r="16" spans="1:6" ht="15.75" thickBot="1">
      <c r="A16" s="4"/>
    </row>
    <row r="17" spans="1:10" s="3" customFormat="1" ht="18.75">
      <c r="A17" s="9" t="s">
        <v>172</v>
      </c>
      <c r="G17" s="2"/>
    </row>
    <row r="18" spans="1:10">
      <c r="B18" s="15" t="s">
        <v>215</v>
      </c>
      <c r="C18" s="15"/>
      <c r="D18" s="162"/>
      <c r="E18" s="162"/>
      <c r="F18" s="162"/>
      <c r="G18" s="162"/>
      <c r="H18" s="162"/>
      <c r="I18" s="162"/>
      <c r="J18" s="162"/>
    </row>
    <row r="19" spans="1:10">
      <c r="B19" s="327" t="s">
        <v>216</v>
      </c>
      <c r="C19" s="328">
        <v>10</v>
      </c>
    </row>
    <row r="20" spans="1:10">
      <c r="B20" s="327" t="s">
        <v>217</v>
      </c>
      <c r="C20" s="329">
        <f>'Buildings Inputs'!C4</f>
        <v>0.8</v>
      </c>
      <c r="D20" s="164"/>
      <c r="E20" s="165"/>
      <c r="F20" s="165"/>
      <c r="G20" s="165"/>
      <c r="H20" s="166"/>
      <c r="I20" s="167"/>
      <c r="J20" s="166"/>
    </row>
    <row r="21" spans="1:10">
      <c r="B21" s="327" t="s">
        <v>218</v>
      </c>
      <c r="C21" s="329">
        <f>'Buildings Inputs'!C5</f>
        <v>0.2</v>
      </c>
      <c r="D21" s="164"/>
      <c r="E21" s="165"/>
      <c r="F21" s="294"/>
      <c r="G21" s="294"/>
      <c r="H21" s="295"/>
      <c r="I21" s="167"/>
      <c r="J21" s="166"/>
    </row>
    <row r="22" spans="1:10">
      <c r="C22" s="168"/>
      <c r="D22" s="164"/>
      <c r="E22" s="165"/>
      <c r="F22" s="294"/>
      <c r="G22" s="165"/>
      <c r="H22" s="166"/>
      <c r="I22" s="167"/>
      <c r="J22" s="166"/>
    </row>
    <row r="23" spans="1:10">
      <c r="B23" s="170" t="s">
        <v>934</v>
      </c>
      <c r="C23" s="171"/>
      <c r="D23" s="164"/>
      <c r="E23" s="165"/>
      <c r="F23" s="165"/>
      <c r="G23" s="165"/>
      <c r="H23" s="166"/>
      <c r="I23" s="167"/>
      <c r="J23" s="166"/>
    </row>
    <row r="24" spans="1:10" s="4" customFormat="1">
      <c r="B24" s="193" t="s">
        <v>207</v>
      </c>
      <c r="C24" s="329">
        <v>0.97333333300000002</v>
      </c>
      <c r="D24" s="293"/>
      <c r="E24" s="294"/>
      <c r="F24" s="294"/>
      <c r="G24" s="294"/>
      <c r="H24" s="295"/>
      <c r="I24" s="296"/>
      <c r="J24" s="295"/>
    </row>
    <row r="25" spans="1:10">
      <c r="A25" s="4"/>
      <c r="B25" s="30"/>
      <c r="C25" s="30"/>
    </row>
    <row r="26" spans="1:10" ht="14.1" customHeight="1">
      <c r="B26" s="156" t="s">
        <v>219</v>
      </c>
      <c r="C26" s="157"/>
      <c r="D26" s="157"/>
      <c r="E26" s="158"/>
      <c r="F26" s="158"/>
      <c r="G26" s="158"/>
      <c r="H26" s="158"/>
    </row>
    <row r="27" spans="1:10">
      <c r="A27" s="4"/>
      <c r="B27" s="327" t="s">
        <v>175</v>
      </c>
      <c r="C27" s="332">
        <v>2025</v>
      </c>
      <c r="D27" s="332">
        <v>2026</v>
      </c>
      <c r="E27" s="332">
        <v>2027</v>
      </c>
      <c r="F27" s="332">
        <v>2028</v>
      </c>
      <c r="G27" s="332">
        <v>2029</v>
      </c>
      <c r="H27" s="332">
        <v>2030</v>
      </c>
    </row>
    <row r="28" spans="1:10">
      <c r="A28" s="4"/>
      <c r="B28" s="506" t="s">
        <v>220</v>
      </c>
      <c r="C28" s="507">
        <v>0</v>
      </c>
      <c r="D28" s="507">
        <v>0</v>
      </c>
      <c r="E28" s="507">
        <v>0.5</v>
      </c>
      <c r="F28" s="507">
        <f>1</f>
        <v>1</v>
      </c>
      <c r="G28" s="507">
        <f>1</f>
        <v>1</v>
      </c>
      <c r="H28" s="507">
        <f>1</f>
        <v>1</v>
      </c>
    </row>
    <row r="29" spans="1:10">
      <c r="A29" s="4"/>
      <c r="B29" s="603" t="s">
        <v>221</v>
      </c>
      <c r="C29" s="604">
        <f t="shared" ref="C29:H29" si="0">C28*$C$19</f>
        <v>0</v>
      </c>
      <c r="D29" s="604">
        <f t="shared" si="0"/>
        <v>0</v>
      </c>
      <c r="E29" s="600">
        <f t="shared" si="0"/>
        <v>5</v>
      </c>
      <c r="F29" s="600">
        <f t="shared" si="0"/>
        <v>10</v>
      </c>
      <c r="G29" s="600">
        <f t="shared" si="0"/>
        <v>10</v>
      </c>
      <c r="H29" s="600">
        <f t="shared" si="0"/>
        <v>10</v>
      </c>
    </row>
    <row r="30" spans="1:10" ht="15.75" thickBot="1"/>
    <row r="31" spans="1:10" s="3" customFormat="1" ht="18.75">
      <c r="A31" s="9" t="s">
        <v>177</v>
      </c>
      <c r="G31" s="2"/>
    </row>
    <row r="33" spans="1:13">
      <c r="B33" s="4" t="s">
        <v>222</v>
      </c>
      <c r="D33" s="788" t="s">
        <v>178</v>
      </c>
      <c r="E33" s="789"/>
      <c r="F33" s="788" t="s">
        <v>179</v>
      </c>
      <c r="G33" s="789"/>
    </row>
    <row r="34" spans="1:13" s="12" customFormat="1" ht="30" customHeight="1">
      <c r="B34" s="5" t="s">
        <v>180</v>
      </c>
      <c r="C34" s="5" t="s">
        <v>158</v>
      </c>
      <c r="D34" s="309" t="s">
        <v>181</v>
      </c>
      <c r="E34" s="309" t="s">
        <v>223</v>
      </c>
      <c r="F34" s="309" t="s">
        <v>181</v>
      </c>
      <c r="G34" s="309" t="s">
        <v>223</v>
      </c>
    </row>
    <row r="35" spans="1:13">
      <c r="B35" s="194" t="s">
        <v>183</v>
      </c>
      <c r="C35" s="194" t="s">
        <v>162</v>
      </c>
      <c r="D35" s="443" t="e">
        <f>SUM($C80:$H80)*$C$24</f>
        <v>#VALUE!</v>
      </c>
      <c r="E35" s="443" t="e">
        <f>SUM($C80:$AB80)*$C$24</f>
        <v>#VALUE!</v>
      </c>
      <c r="F35" s="442"/>
      <c r="G35" s="442"/>
    </row>
    <row r="36" spans="1:13">
      <c r="B36" s="194" t="s">
        <v>163</v>
      </c>
      <c r="C36" s="194" t="s">
        <v>162</v>
      </c>
      <c r="D36" s="443" t="e">
        <f>SUM($C81:$H81)*$C$24</f>
        <v>#VALUE!</v>
      </c>
      <c r="E36" s="443" t="e">
        <f>SUM($C81:$AB81)*$C$24</f>
        <v>#VALUE!</v>
      </c>
      <c r="F36" s="442"/>
      <c r="G36" s="442"/>
    </row>
    <row r="37" spans="1:13" ht="15.75" thickBot="1">
      <c r="B37" s="445" t="s">
        <v>185</v>
      </c>
      <c r="C37" s="445" t="s">
        <v>162</v>
      </c>
      <c r="D37" s="448" t="e">
        <f>SUM($C82:$H82)*$C$24</f>
        <v>#VALUE!</v>
      </c>
      <c r="E37" s="448" t="e">
        <f>SUM($C82:$AB82)*$C$24</f>
        <v>#VALUE!</v>
      </c>
      <c r="F37" s="451"/>
      <c r="G37" s="451"/>
    </row>
    <row r="38" spans="1:13">
      <c r="B38" s="334" t="s">
        <v>186</v>
      </c>
      <c r="C38" s="334" t="s">
        <v>162</v>
      </c>
      <c r="D38" s="335" t="e">
        <f>SUM($C83:$H83)*$C$24</f>
        <v>#VALUE!</v>
      </c>
      <c r="E38" s="335" t="e">
        <f>SUM($C83:$AB83)*$C$24</f>
        <v>#VALUE!</v>
      </c>
      <c r="F38" s="335" t="e">
        <f>SUM($C85:$H85)*$C$24</f>
        <v>#VALUE!</v>
      </c>
      <c r="G38" s="335" t="e">
        <f>SUM($C85:$AB85)*$C$24</f>
        <v>#VALUE!</v>
      </c>
    </row>
    <row r="39" spans="1:13">
      <c r="D39" s="32"/>
      <c r="E39" s="318"/>
      <c r="F39" s="40"/>
    </row>
    <row r="40" spans="1:13">
      <c r="D40" s="40"/>
      <c r="E40" s="40"/>
    </row>
    <row r="41" spans="1:13">
      <c r="B41" s="4" t="s">
        <v>187</v>
      </c>
      <c r="F41" s="4" t="s">
        <v>224</v>
      </c>
      <c r="J41" s="4" t="s">
        <v>225</v>
      </c>
    </row>
    <row r="42" spans="1:13" s="12" customFormat="1" ht="30">
      <c r="B42" s="309" t="s">
        <v>157</v>
      </c>
      <c r="C42" s="309" t="s">
        <v>158</v>
      </c>
      <c r="D42" s="309" t="s">
        <v>188</v>
      </c>
      <c r="F42" s="605" t="s">
        <v>157</v>
      </c>
      <c r="G42" s="605" t="s">
        <v>158</v>
      </c>
      <c r="H42" s="605" t="s">
        <v>188</v>
      </c>
      <c r="J42" s="605" t="s">
        <v>157</v>
      </c>
      <c r="K42" s="605" t="s">
        <v>158</v>
      </c>
      <c r="L42" s="605" t="s">
        <v>188</v>
      </c>
    </row>
    <row r="43" spans="1:13">
      <c r="A43" s="40"/>
      <c r="B43" s="194" t="s">
        <v>161</v>
      </c>
      <c r="C43" s="337" t="s">
        <v>162</v>
      </c>
      <c r="D43" s="338" t="e">
        <f>SUM(C89:AB89)</f>
        <v>#VALUE!</v>
      </c>
      <c r="E43" s="314" t="e">
        <f>ROUND(D43,2)&amp;" tonnes "&amp;B43&amp;", "</f>
        <v>#VALUE!</v>
      </c>
      <c r="F43" s="194" t="s">
        <v>161</v>
      </c>
      <c r="G43" s="337" t="s">
        <v>162</v>
      </c>
      <c r="H43" s="338" t="e">
        <f>D43*$C$24</f>
        <v>#VALUE!</v>
      </c>
      <c r="I43" s="314" t="e">
        <f>ROUND(H43,2)&amp;" tonnes "&amp;F43&amp;", "</f>
        <v>#VALUE!</v>
      </c>
      <c r="J43" s="194" t="s">
        <v>161</v>
      </c>
      <c r="K43" s="337" t="s">
        <v>162</v>
      </c>
      <c r="L43" s="338" t="e">
        <f>H43*'LIDAC Analysis'!$D$10</f>
        <v>#VALUE!</v>
      </c>
      <c r="M43" s="314" t="e">
        <f>ROUND(L43,2)&amp;" tonnes "&amp;J43&amp;", "</f>
        <v>#VALUE!</v>
      </c>
    </row>
    <row r="44" spans="1:13">
      <c r="A44" s="40"/>
      <c r="B44" s="194" t="s">
        <v>204</v>
      </c>
      <c r="C44" s="337" t="s">
        <v>162</v>
      </c>
      <c r="D44" s="338" t="e">
        <f>SUM(C90:AB90)</f>
        <v>#VALUE!</v>
      </c>
      <c r="E44" s="314" t="e">
        <f t="shared" ref="E44:E46" si="1">ROUND(D44,2)&amp;" tonnes "&amp;B44&amp;", "</f>
        <v>#VALUE!</v>
      </c>
      <c r="F44" s="194" t="s">
        <v>204</v>
      </c>
      <c r="G44" s="337" t="s">
        <v>162</v>
      </c>
      <c r="H44" s="338" t="e">
        <f t="shared" ref="H44:H47" si="2">D44*$C$24</f>
        <v>#VALUE!</v>
      </c>
      <c r="I44" s="314" t="e">
        <f t="shared" ref="I44:I46" si="3">ROUND(H44,2)&amp;" tonnes "&amp;F44&amp;", "</f>
        <v>#VALUE!</v>
      </c>
      <c r="J44" s="194" t="s">
        <v>204</v>
      </c>
      <c r="K44" s="337" t="s">
        <v>162</v>
      </c>
      <c r="L44" s="338" t="e">
        <f>H44*'LIDAC Analysis'!$D$10</f>
        <v>#VALUE!</v>
      </c>
      <c r="M44" s="314" t="e">
        <f t="shared" ref="M44:M46" si="4">ROUND(L44,2)&amp;" tonnes "&amp;J44&amp;", "</f>
        <v>#VALUE!</v>
      </c>
    </row>
    <row r="45" spans="1:13">
      <c r="A45" s="40"/>
      <c r="B45" s="194" t="s">
        <v>164</v>
      </c>
      <c r="C45" s="337" t="s">
        <v>162</v>
      </c>
      <c r="D45" s="338" t="e">
        <f>SUM(C91:AB91)</f>
        <v>#VALUE!</v>
      </c>
      <c r="E45" s="314" t="e">
        <f t="shared" si="1"/>
        <v>#VALUE!</v>
      </c>
      <c r="F45" s="194" t="s">
        <v>164</v>
      </c>
      <c r="G45" s="337" t="s">
        <v>162</v>
      </c>
      <c r="H45" s="338" t="e">
        <f t="shared" si="2"/>
        <v>#VALUE!</v>
      </c>
      <c r="I45" s="314" t="e">
        <f t="shared" si="3"/>
        <v>#VALUE!</v>
      </c>
      <c r="J45" s="194" t="s">
        <v>164</v>
      </c>
      <c r="K45" s="337" t="s">
        <v>162</v>
      </c>
      <c r="L45" s="338" t="e">
        <f>H45*'LIDAC Analysis'!$D$10</f>
        <v>#VALUE!</v>
      </c>
      <c r="M45" s="314" t="e">
        <f t="shared" si="4"/>
        <v>#VALUE!</v>
      </c>
    </row>
    <row r="46" spans="1:13">
      <c r="A46" s="40"/>
      <c r="B46" s="194" t="s">
        <v>165</v>
      </c>
      <c r="C46" s="337" t="s">
        <v>162</v>
      </c>
      <c r="D46" s="338" t="e">
        <f>SUM(C92:AB92)</f>
        <v>#VALUE!</v>
      </c>
      <c r="E46" s="314" t="e">
        <f t="shared" si="1"/>
        <v>#VALUE!</v>
      </c>
      <c r="F46" s="194" t="s">
        <v>165</v>
      </c>
      <c r="G46" s="337" t="s">
        <v>162</v>
      </c>
      <c r="H46" s="338" t="e">
        <f t="shared" si="2"/>
        <v>#VALUE!</v>
      </c>
      <c r="I46" s="314" t="e">
        <f t="shared" si="3"/>
        <v>#VALUE!</v>
      </c>
      <c r="J46" s="194" t="s">
        <v>165</v>
      </c>
      <c r="K46" s="337" t="s">
        <v>162</v>
      </c>
      <c r="L46" s="338" t="e">
        <f>H46*'LIDAC Analysis'!$D$10</f>
        <v>#VALUE!</v>
      </c>
      <c r="M46" s="314" t="e">
        <f t="shared" si="4"/>
        <v>#VALUE!</v>
      </c>
    </row>
    <row r="47" spans="1:13">
      <c r="A47" s="40"/>
      <c r="B47" s="194" t="s">
        <v>166</v>
      </c>
      <c r="C47" s="337" t="s">
        <v>162</v>
      </c>
      <c r="D47" s="338" t="e">
        <f>SUM(C93:AB93)</f>
        <v>#VALUE!</v>
      </c>
      <c r="E47" s="314" t="e">
        <f>ROUND(D47,2)&amp;" tonnes "&amp;B47</f>
        <v>#VALUE!</v>
      </c>
      <c r="F47" s="194" t="s">
        <v>166</v>
      </c>
      <c r="G47" s="337" t="s">
        <v>162</v>
      </c>
      <c r="H47" s="338" t="e">
        <f t="shared" si="2"/>
        <v>#VALUE!</v>
      </c>
      <c r="I47" s="314" t="e">
        <f>ROUND(H47,2)&amp;" tonnes "&amp;F47</f>
        <v>#VALUE!</v>
      </c>
      <c r="J47" s="194" t="s">
        <v>166</v>
      </c>
      <c r="K47" s="337" t="s">
        <v>162</v>
      </c>
      <c r="L47" s="338" t="e">
        <f>H47*'LIDAC Analysis'!$D$10</f>
        <v>#VALUE!</v>
      </c>
      <c r="M47" s="314" t="e">
        <f>ROUND(L47,2)&amp;" tonnes "&amp;J47</f>
        <v>#VALUE!</v>
      </c>
    </row>
    <row r="48" spans="1:13">
      <c r="D48" s="33"/>
      <c r="E48" s="314"/>
    </row>
    <row r="49" spans="1:13">
      <c r="B49" s="4" t="s">
        <v>189</v>
      </c>
      <c r="D49" s="33"/>
      <c r="E49" s="314"/>
      <c r="F49" s="4" t="s">
        <v>226</v>
      </c>
      <c r="J49" s="4" t="s">
        <v>227</v>
      </c>
    </row>
    <row r="50" spans="1:13" s="12" customFormat="1" ht="30">
      <c r="B50" s="605" t="s">
        <v>157</v>
      </c>
      <c r="C50" s="605" t="s">
        <v>158</v>
      </c>
      <c r="D50" s="605" t="s">
        <v>188</v>
      </c>
      <c r="F50" s="605" t="s">
        <v>157</v>
      </c>
      <c r="G50" s="605" t="s">
        <v>158</v>
      </c>
      <c r="H50" s="605" t="s">
        <v>188</v>
      </c>
      <c r="J50" s="605" t="s">
        <v>157</v>
      </c>
      <c r="K50" s="605" t="s">
        <v>158</v>
      </c>
      <c r="L50" s="605" t="s">
        <v>188</v>
      </c>
    </row>
    <row r="51" spans="1:13">
      <c r="B51" s="194" t="s">
        <v>161</v>
      </c>
      <c r="C51" s="337" t="s">
        <v>162</v>
      </c>
      <c r="D51" s="338" t="e">
        <f>H89</f>
        <v>#VALUE!</v>
      </c>
      <c r="E51" s="314" t="e">
        <f>ROUND(D51,2)&amp;" tonnes "&amp;B51&amp;", "</f>
        <v>#VALUE!</v>
      </c>
      <c r="F51" s="194" t="s">
        <v>161</v>
      </c>
      <c r="G51" s="337" t="s">
        <v>162</v>
      </c>
      <c r="H51" s="338" t="e">
        <f>D51*$C$24</f>
        <v>#VALUE!</v>
      </c>
      <c r="I51" s="314" t="e">
        <f>ROUND(H51,2)&amp;" tonnes "&amp;F51&amp;", "</f>
        <v>#VALUE!</v>
      </c>
      <c r="J51" s="194" t="s">
        <v>161</v>
      </c>
      <c r="K51" s="337" t="s">
        <v>162</v>
      </c>
      <c r="L51" s="338" t="e">
        <f>H51*'LIDAC Analysis'!$D$10</f>
        <v>#VALUE!</v>
      </c>
      <c r="M51" s="314" t="e">
        <f>ROUND(L51,2)&amp;" tonnes "&amp;J51&amp;", "</f>
        <v>#VALUE!</v>
      </c>
    </row>
    <row r="52" spans="1:13">
      <c r="B52" s="194" t="s">
        <v>204</v>
      </c>
      <c r="C52" s="337" t="s">
        <v>162</v>
      </c>
      <c r="D52" s="338" t="e">
        <f t="shared" ref="D52:D55" si="5">H90</f>
        <v>#VALUE!</v>
      </c>
      <c r="E52" s="314" t="e">
        <f t="shared" ref="E52:E54" si="6">ROUND(D52,2)&amp;" tonnes "&amp;B52&amp;", "</f>
        <v>#VALUE!</v>
      </c>
      <c r="F52" s="194" t="s">
        <v>204</v>
      </c>
      <c r="G52" s="337" t="s">
        <v>162</v>
      </c>
      <c r="H52" s="338" t="e">
        <f t="shared" ref="H52:H55" si="7">D52*$C$24</f>
        <v>#VALUE!</v>
      </c>
      <c r="I52" s="314" t="e">
        <f t="shared" ref="I52:I54" si="8">ROUND(H52,2)&amp;" tonnes "&amp;F52&amp;", "</f>
        <v>#VALUE!</v>
      </c>
      <c r="J52" s="194" t="s">
        <v>204</v>
      </c>
      <c r="K52" s="337" t="s">
        <v>162</v>
      </c>
      <c r="L52" s="338" t="e">
        <f>H52*'LIDAC Analysis'!$D$10</f>
        <v>#VALUE!</v>
      </c>
      <c r="M52" s="314" t="e">
        <f t="shared" ref="M52:M54" si="9">ROUND(L52,2)&amp;" tonnes "&amp;J52&amp;", "</f>
        <v>#VALUE!</v>
      </c>
    </row>
    <row r="53" spans="1:13">
      <c r="B53" s="194" t="s">
        <v>164</v>
      </c>
      <c r="C53" s="337" t="s">
        <v>162</v>
      </c>
      <c r="D53" s="338" t="e">
        <f t="shared" si="5"/>
        <v>#VALUE!</v>
      </c>
      <c r="E53" s="314" t="e">
        <f t="shared" si="6"/>
        <v>#VALUE!</v>
      </c>
      <c r="F53" s="194" t="s">
        <v>164</v>
      </c>
      <c r="G53" s="337" t="s">
        <v>162</v>
      </c>
      <c r="H53" s="338" t="e">
        <f t="shared" si="7"/>
        <v>#VALUE!</v>
      </c>
      <c r="I53" s="314" t="e">
        <f t="shared" si="8"/>
        <v>#VALUE!</v>
      </c>
      <c r="J53" s="194" t="s">
        <v>164</v>
      </c>
      <c r="K53" s="337" t="s">
        <v>162</v>
      </c>
      <c r="L53" s="338" t="e">
        <f>H53*'LIDAC Analysis'!$D$10</f>
        <v>#VALUE!</v>
      </c>
      <c r="M53" s="314" t="e">
        <f t="shared" si="9"/>
        <v>#VALUE!</v>
      </c>
    </row>
    <row r="54" spans="1:13">
      <c r="B54" s="194" t="s">
        <v>165</v>
      </c>
      <c r="C54" s="337" t="s">
        <v>162</v>
      </c>
      <c r="D54" s="338" t="e">
        <f t="shared" si="5"/>
        <v>#VALUE!</v>
      </c>
      <c r="E54" s="314" t="e">
        <f t="shared" si="6"/>
        <v>#VALUE!</v>
      </c>
      <c r="F54" s="194" t="s">
        <v>165</v>
      </c>
      <c r="G54" s="337" t="s">
        <v>162</v>
      </c>
      <c r="H54" s="338" t="e">
        <f t="shared" si="7"/>
        <v>#VALUE!</v>
      </c>
      <c r="I54" s="314" t="e">
        <f t="shared" si="8"/>
        <v>#VALUE!</v>
      </c>
      <c r="J54" s="194" t="s">
        <v>165</v>
      </c>
      <c r="K54" s="337" t="s">
        <v>162</v>
      </c>
      <c r="L54" s="338" t="e">
        <f>H54*'LIDAC Analysis'!$D$10</f>
        <v>#VALUE!</v>
      </c>
      <c r="M54" s="314" t="e">
        <f t="shared" si="9"/>
        <v>#VALUE!</v>
      </c>
    </row>
    <row r="55" spans="1:13">
      <c r="B55" s="194" t="s">
        <v>166</v>
      </c>
      <c r="C55" s="337" t="s">
        <v>162</v>
      </c>
      <c r="D55" s="338" t="e">
        <f t="shared" si="5"/>
        <v>#VALUE!</v>
      </c>
      <c r="E55" s="314" t="e">
        <f>ROUND(D55,2)&amp;" tonnes "&amp;B55</f>
        <v>#VALUE!</v>
      </c>
      <c r="F55" s="194" t="s">
        <v>166</v>
      </c>
      <c r="G55" s="337" t="s">
        <v>162</v>
      </c>
      <c r="H55" s="338" t="e">
        <f t="shared" si="7"/>
        <v>#VALUE!</v>
      </c>
      <c r="I55" s="314" t="e">
        <f>ROUND(H55,2)&amp;" tonnes "&amp;F55</f>
        <v>#VALUE!</v>
      </c>
      <c r="J55" s="194" t="s">
        <v>166</v>
      </c>
      <c r="K55" s="337" t="s">
        <v>162</v>
      </c>
      <c r="L55" s="338" t="e">
        <f>H55*'LIDAC Analysis'!$D$10</f>
        <v>#VALUE!</v>
      </c>
      <c r="M55" s="314" t="e">
        <f>ROUND(L55,2)&amp;" tonnes "&amp;J55</f>
        <v>#VALUE!</v>
      </c>
    </row>
    <row r="59" spans="1:13" ht="15.75" thickBot="1"/>
    <row r="60" spans="1:13" s="3" customFormat="1" ht="18.75">
      <c r="A60" s="9" t="s">
        <v>191</v>
      </c>
      <c r="D60" s="161"/>
    </row>
    <row r="61" spans="1:13">
      <c r="G61" s="32"/>
      <c r="K61" s="10"/>
      <c r="L61" s="39"/>
    </row>
    <row r="62" spans="1:13">
      <c r="B62" s="601" t="s">
        <v>228</v>
      </c>
      <c r="C62" s="606"/>
      <c r="D62" s="606"/>
      <c r="E62" s="606"/>
      <c r="F62" s="607"/>
      <c r="G62" s="602"/>
      <c r="H62" s="602"/>
      <c r="I62" s="602"/>
      <c r="J62" s="602"/>
    </row>
    <row r="63" spans="1:13" s="12" customFormat="1">
      <c r="B63" s="339" t="s">
        <v>229</v>
      </c>
      <c r="C63" s="339" t="s">
        <v>230</v>
      </c>
      <c r="D63" s="339" t="s">
        <v>231</v>
      </c>
      <c r="E63" s="339" t="s">
        <v>232</v>
      </c>
      <c r="F63" s="339" t="s">
        <v>931</v>
      </c>
      <c r="G63" s="339" t="s">
        <v>234</v>
      </c>
      <c r="H63" s="339" t="s">
        <v>236</v>
      </c>
      <c r="I63" s="339" t="s">
        <v>237</v>
      </c>
      <c r="J63" s="339" t="s">
        <v>238</v>
      </c>
    </row>
    <row r="64" spans="1:13">
      <c r="B64" s="340" t="s">
        <v>239</v>
      </c>
      <c r="C64" s="341" t="s">
        <v>920</v>
      </c>
      <c r="D64" s="341" t="s">
        <v>997</v>
      </c>
      <c r="E64" s="341" t="s">
        <v>277</v>
      </c>
      <c r="F64" s="325">
        <v>16000</v>
      </c>
      <c r="G64" s="342">
        <v>16</v>
      </c>
      <c r="H64" s="344" t="str">
        <f>IF($D64="naturalgas",SUMIFS('Buildings Inputs'!$K$11:$K$41,'Buildings Inputs'!$A$11:$A$41,$C64,'Buildings Inputs'!$D$11:$D$41,$D64,'Buildings Inputs'!$E$11:$E$41,$E64)*$F64,"")</f>
        <v/>
      </c>
      <c r="I64" s="344" t="str">
        <f>IF($D64="fueloil",SUMIFS('Buildings Inputs'!$K$11:$K$41,'Buildings Inputs'!$A$11:$A$41,$C64,'Buildings Inputs'!$D$11:$D$41,$D64,'Buildings Inputs'!$E$11:$E$41,$E64)*$F64,"")</f>
        <v/>
      </c>
      <c r="J64" s="344">
        <f>SUMIFS('Buildings Inputs'!$I$11:$I$41,'Buildings Inputs'!$A$11:$A$41,$C64,'Buildings Inputs'!$D$11:$D$41,$D64,'Buildings Inputs'!$E$11:$E$41,$E64)*$F64</f>
        <v>0</v>
      </c>
      <c r="K64" s="29"/>
      <c r="M64" s="32"/>
    </row>
    <row r="65" spans="1:28">
      <c r="B65" s="340" t="s">
        <v>241</v>
      </c>
      <c r="C65" s="341" t="s">
        <v>920</v>
      </c>
      <c r="D65" s="341" t="s">
        <v>998</v>
      </c>
      <c r="E65" s="341" t="s">
        <v>277</v>
      </c>
      <c r="F65" s="325">
        <v>16000</v>
      </c>
      <c r="G65" s="342">
        <v>16</v>
      </c>
      <c r="H65" s="344" t="str">
        <f>IF($D65="naturalgas",SUMIFS('Buildings Inputs'!$K$11:$K$41,'Buildings Inputs'!$A$11:$A$41,$C65,'Buildings Inputs'!$D$11:$D$41,$D65,'Buildings Inputs'!$E$11:$E$41,$E65)*$F65,"")</f>
        <v/>
      </c>
      <c r="I65" s="344" t="str">
        <f>IF($D65="fueloil",SUMIFS('Buildings Inputs'!$K$11:$K$41,'Buildings Inputs'!$A$11:$A$41,$C65,'Buildings Inputs'!$D$11:$D$41,$D65,'Buildings Inputs'!$E$11:$E$41,$E65)*$F65,"")</f>
        <v/>
      </c>
      <c r="J65" s="344">
        <f>SUMIFS('Buildings Inputs'!$I$11:$I$41,'Buildings Inputs'!$A$11:$A$41,$C65,'Buildings Inputs'!$D$11:$D$41,$D65,'Buildings Inputs'!$E$11:$E$41,$E65)*$F65</f>
        <v>0</v>
      </c>
      <c r="K65" s="29"/>
      <c r="M65" s="32"/>
    </row>
    <row r="66" spans="1:28">
      <c r="C66" s="32"/>
      <c r="F66" s="39"/>
      <c r="G66" s="32"/>
      <c r="H66" s="32"/>
    </row>
    <row r="67" spans="1:28" ht="15.75" thickBot="1"/>
    <row r="68" spans="1:28" s="3" customFormat="1" ht="18.75">
      <c r="A68" s="9" t="s">
        <v>196</v>
      </c>
      <c r="D68" s="161"/>
    </row>
    <row r="70" spans="1:28">
      <c r="B70" s="601" t="s">
        <v>242</v>
      </c>
      <c r="C70" s="602"/>
      <c r="D70" s="602"/>
      <c r="E70" s="602"/>
      <c r="F70" s="602"/>
      <c r="G70" s="602"/>
      <c r="H70" s="602"/>
      <c r="I70" s="602"/>
      <c r="J70" s="602"/>
      <c r="K70" s="602"/>
      <c r="L70" s="602"/>
      <c r="M70" s="602"/>
      <c r="N70" s="602"/>
      <c r="O70" s="602"/>
      <c r="P70" s="602"/>
      <c r="Q70" s="602"/>
      <c r="R70" s="602"/>
      <c r="S70" s="602"/>
      <c r="T70" s="602"/>
      <c r="U70" s="602"/>
      <c r="V70" s="602"/>
      <c r="W70" s="602"/>
      <c r="X70" s="602"/>
      <c r="Y70" s="602"/>
      <c r="Z70" s="602"/>
      <c r="AA70" s="602"/>
      <c r="AB70" s="602"/>
    </row>
    <row r="71" spans="1:28" s="4" customFormat="1">
      <c r="B71" s="290"/>
      <c r="C71" s="290">
        <v>2025</v>
      </c>
      <c r="D71" s="290">
        <f t="shared" ref="D71" si="10">C71+1</f>
        <v>2026</v>
      </c>
      <c r="E71" s="290">
        <f t="shared" ref="E71" si="11">D71+1</f>
        <v>2027</v>
      </c>
      <c r="F71" s="290">
        <f t="shared" ref="F71" si="12">E71+1</f>
        <v>2028</v>
      </c>
      <c r="G71" s="290">
        <f t="shared" ref="G71" si="13">F71+1</f>
        <v>2029</v>
      </c>
      <c r="H71" s="290">
        <f t="shared" ref="H71" si="14">G71+1</f>
        <v>2030</v>
      </c>
      <c r="I71" s="290">
        <f t="shared" ref="I71" si="15">H71+1</f>
        <v>2031</v>
      </c>
      <c r="J71" s="290">
        <f t="shared" ref="J71" si="16">I71+1</f>
        <v>2032</v>
      </c>
      <c r="K71" s="290">
        <f t="shared" ref="K71" si="17">J71+1</f>
        <v>2033</v>
      </c>
      <c r="L71" s="290">
        <f t="shared" ref="L71" si="18">K71+1</f>
        <v>2034</v>
      </c>
      <c r="M71" s="290">
        <f t="shared" ref="M71" si="19">L71+1</f>
        <v>2035</v>
      </c>
      <c r="N71" s="290">
        <f t="shared" ref="N71" si="20">M71+1</f>
        <v>2036</v>
      </c>
      <c r="O71" s="290">
        <f t="shared" ref="O71" si="21">N71+1</f>
        <v>2037</v>
      </c>
      <c r="P71" s="290">
        <f>O71+1</f>
        <v>2038</v>
      </c>
      <c r="Q71" s="290">
        <f>P71+1</f>
        <v>2039</v>
      </c>
      <c r="R71" s="290">
        <f t="shared" ref="R71" si="22">Q71+1</f>
        <v>2040</v>
      </c>
      <c r="S71" s="290">
        <f t="shared" ref="S71" si="23">R71+1</f>
        <v>2041</v>
      </c>
      <c r="T71" s="290">
        <f t="shared" ref="T71" si="24">S71+1</f>
        <v>2042</v>
      </c>
      <c r="U71" s="290">
        <f t="shared" ref="U71" si="25">T71+1</f>
        <v>2043</v>
      </c>
      <c r="V71" s="290">
        <f t="shared" ref="V71" si="26">U71+1</f>
        <v>2044</v>
      </c>
      <c r="W71" s="290">
        <f t="shared" ref="W71" si="27">V71+1</f>
        <v>2045</v>
      </c>
      <c r="X71" s="290">
        <f t="shared" ref="X71" si="28">W71+1</f>
        <v>2046</v>
      </c>
      <c r="Y71" s="290">
        <f t="shared" ref="Y71" si="29">X71+1</f>
        <v>2047</v>
      </c>
      <c r="Z71" s="290">
        <f t="shared" ref="Z71" si="30">Y71+1</f>
        <v>2048</v>
      </c>
      <c r="AA71" s="290">
        <f t="shared" ref="AA71" si="31">Z71+1</f>
        <v>2049</v>
      </c>
      <c r="AB71" s="290">
        <f t="shared" ref="AB71" si="32">AA71+1</f>
        <v>2050</v>
      </c>
    </row>
    <row r="72" spans="1:28">
      <c r="B72" s="194" t="s">
        <v>243</v>
      </c>
      <c r="C72" s="347"/>
      <c r="D72" s="348">
        <f>C75</f>
        <v>0</v>
      </c>
      <c r="E72" s="348">
        <f t="shared" ref="E72:AB72" si="33">D75</f>
        <v>0</v>
      </c>
      <c r="F72" s="348">
        <f t="shared" si="33"/>
        <v>5</v>
      </c>
      <c r="G72" s="348">
        <f t="shared" si="33"/>
        <v>10</v>
      </c>
      <c r="H72" s="348">
        <f t="shared" si="33"/>
        <v>10</v>
      </c>
      <c r="I72" s="348">
        <f t="shared" si="33"/>
        <v>10</v>
      </c>
      <c r="J72" s="348">
        <f t="shared" si="33"/>
        <v>10</v>
      </c>
      <c r="K72" s="348">
        <f t="shared" si="33"/>
        <v>10</v>
      </c>
      <c r="L72" s="348">
        <f t="shared" si="33"/>
        <v>10</v>
      </c>
      <c r="M72" s="348">
        <f t="shared" si="33"/>
        <v>10</v>
      </c>
      <c r="N72" s="348">
        <f t="shared" si="33"/>
        <v>10</v>
      </c>
      <c r="O72" s="348">
        <f t="shared" si="33"/>
        <v>10</v>
      </c>
      <c r="P72" s="348">
        <f t="shared" si="33"/>
        <v>10</v>
      </c>
      <c r="Q72" s="348">
        <f t="shared" si="33"/>
        <v>10</v>
      </c>
      <c r="R72" s="348">
        <f t="shared" si="33"/>
        <v>10</v>
      </c>
      <c r="S72" s="348">
        <f t="shared" si="33"/>
        <v>10</v>
      </c>
      <c r="T72" s="348">
        <f t="shared" si="33"/>
        <v>10</v>
      </c>
      <c r="U72" s="348">
        <f t="shared" si="33"/>
        <v>10</v>
      </c>
      <c r="V72" s="348">
        <f t="shared" si="33"/>
        <v>5</v>
      </c>
      <c r="W72" s="348">
        <f t="shared" si="33"/>
        <v>0</v>
      </c>
      <c r="X72" s="348">
        <f t="shared" si="33"/>
        <v>0</v>
      </c>
      <c r="Y72" s="348">
        <f t="shared" si="33"/>
        <v>0</v>
      </c>
      <c r="Z72" s="348">
        <f t="shared" si="33"/>
        <v>0</v>
      </c>
      <c r="AA72" s="348">
        <f t="shared" si="33"/>
        <v>0</v>
      </c>
      <c r="AB72" s="348">
        <f t="shared" si="33"/>
        <v>0</v>
      </c>
    </row>
    <row r="73" spans="1:28">
      <c r="B73" s="194" t="s">
        <v>244</v>
      </c>
      <c r="C73" s="347"/>
      <c r="D73" s="348">
        <f>(D28-C28)*$C$19</f>
        <v>0</v>
      </c>
      <c r="E73" s="348">
        <f>(E28-D28)*$C$19</f>
        <v>5</v>
      </c>
      <c r="F73" s="348">
        <f>(F28-E28)*$C$19</f>
        <v>5</v>
      </c>
      <c r="G73" s="348">
        <f>(G28-F28)*$C$19</f>
        <v>0</v>
      </c>
      <c r="H73" s="348">
        <f>(H28-G28)*$C$19</f>
        <v>0</v>
      </c>
      <c r="I73" s="430"/>
      <c r="J73" s="430"/>
      <c r="K73" s="430"/>
      <c r="L73" s="430"/>
      <c r="M73" s="430"/>
      <c r="N73" s="430"/>
      <c r="O73" s="430"/>
      <c r="P73" s="430"/>
      <c r="Q73" s="430"/>
      <c r="R73" s="430"/>
      <c r="S73" s="430"/>
      <c r="T73" s="430"/>
      <c r="U73" s="430"/>
      <c r="V73" s="430"/>
      <c r="W73" s="430"/>
      <c r="X73" s="430"/>
      <c r="Y73" s="430"/>
      <c r="Z73" s="430"/>
      <c r="AA73" s="430"/>
      <c r="AB73" s="430"/>
    </row>
    <row r="74" spans="1:28">
      <c r="B74" s="194" t="s">
        <v>245</v>
      </c>
      <c r="C74" s="347"/>
      <c r="D74" s="348">
        <f t="shared" ref="D74:AB74" si="34">-IFERROR(INDEX($C73:$AB73,MATCH(D71-$G$64,$C$71:$AB$71,0)),0)</f>
        <v>0</v>
      </c>
      <c r="E74" s="348">
        <f t="shared" si="34"/>
        <v>0</v>
      </c>
      <c r="F74" s="348">
        <f t="shared" si="34"/>
        <v>0</v>
      </c>
      <c r="G74" s="348">
        <f t="shared" si="34"/>
        <v>0</v>
      </c>
      <c r="H74" s="348">
        <f t="shared" si="34"/>
        <v>0</v>
      </c>
      <c r="I74" s="348">
        <f t="shared" si="34"/>
        <v>0</v>
      </c>
      <c r="J74" s="348">
        <f t="shared" si="34"/>
        <v>0</v>
      </c>
      <c r="K74" s="348">
        <f t="shared" si="34"/>
        <v>0</v>
      </c>
      <c r="L74" s="348">
        <f t="shared" si="34"/>
        <v>0</v>
      </c>
      <c r="M74" s="348">
        <f t="shared" si="34"/>
        <v>0</v>
      </c>
      <c r="N74" s="348">
        <f t="shared" si="34"/>
        <v>0</v>
      </c>
      <c r="O74" s="348">
        <f t="shared" si="34"/>
        <v>0</v>
      </c>
      <c r="P74" s="348">
        <f t="shared" si="34"/>
        <v>0</v>
      </c>
      <c r="Q74" s="348">
        <f t="shared" si="34"/>
        <v>0</v>
      </c>
      <c r="R74" s="348">
        <f t="shared" si="34"/>
        <v>0</v>
      </c>
      <c r="S74" s="348">
        <f t="shared" si="34"/>
        <v>0</v>
      </c>
      <c r="T74" s="348">
        <f t="shared" si="34"/>
        <v>0</v>
      </c>
      <c r="U74" s="348">
        <f t="shared" si="34"/>
        <v>-5</v>
      </c>
      <c r="V74" s="348">
        <f t="shared" si="34"/>
        <v>-5</v>
      </c>
      <c r="W74" s="348">
        <f t="shared" si="34"/>
        <v>0</v>
      </c>
      <c r="X74" s="348">
        <f t="shared" si="34"/>
        <v>0</v>
      </c>
      <c r="Y74" s="348">
        <f t="shared" si="34"/>
        <v>0</v>
      </c>
      <c r="Z74" s="348">
        <f t="shared" si="34"/>
        <v>0</v>
      </c>
      <c r="AA74" s="348">
        <f t="shared" si="34"/>
        <v>0</v>
      </c>
      <c r="AB74" s="348">
        <f t="shared" si="34"/>
        <v>0</v>
      </c>
    </row>
    <row r="75" spans="1:28">
      <c r="B75" s="194" t="s">
        <v>246</v>
      </c>
      <c r="C75" s="347"/>
      <c r="D75" s="348">
        <f t="shared" ref="D75:AB75" si="35">SUM(D72,D73,D74)</f>
        <v>0</v>
      </c>
      <c r="E75" s="348">
        <f t="shared" si="35"/>
        <v>5</v>
      </c>
      <c r="F75" s="348">
        <f t="shared" si="35"/>
        <v>10</v>
      </c>
      <c r="G75" s="348">
        <f t="shared" si="35"/>
        <v>10</v>
      </c>
      <c r="H75" s="348">
        <f t="shared" si="35"/>
        <v>10</v>
      </c>
      <c r="I75" s="348">
        <f t="shared" si="35"/>
        <v>10</v>
      </c>
      <c r="J75" s="348">
        <f t="shared" si="35"/>
        <v>10</v>
      </c>
      <c r="K75" s="348">
        <f t="shared" si="35"/>
        <v>10</v>
      </c>
      <c r="L75" s="348">
        <f t="shared" si="35"/>
        <v>10</v>
      </c>
      <c r="M75" s="348">
        <f t="shared" si="35"/>
        <v>10</v>
      </c>
      <c r="N75" s="348">
        <f t="shared" si="35"/>
        <v>10</v>
      </c>
      <c r="O75" s="348">
        <f t="shared" si="35"/>
        <v>10</v>
      </c>
      <c r="P75" s="348">
        <f t="shared" si="35"/>
        <v>10</v>
      </c>
      <c r="Q75" s="348">
        <f t="shared" si="35"/>
        <v>10</v>
      </c>
      <c r="R75" s="348">
        <f t="shared" si="35"/>
        <v>10</v>
      </c>
      <c r="S75" s="348">
        <f t="shared" si="35"/>
        <v>10</v>
      </c>
      <c r="T75" s="348">
        <f t="shared" si="35"/>
        <v>10</v>
      </c>
      <c r="U75" s="348">
        <f t="shared" si="35"/>
        <v>5</v>
      </c>
      <c r="V75" s="348">
        <f t="shared" si="35"/>
        <v>0</v>
      </c>
      <c r="W75" s="348">
        <f t="shared" si="35"/>
        <v>0</v>
      </c>
      <c r="X75" s="348">
        <f t="shared" si="35"/>
        <v>0</v>
      </c>
      <c r="Y75" s="348">
        <f t="shared" si="35"/>
        <v>0</v>
      </c>
      <c r="Z75" s="348">
        <f t="shared" si="35"/>
        <v>0</v>
      </c>
      <c r="AA75" s="348">
        <f t="shared" si="35"/>
        <v>0</v>
      </c>
      <c r="AB75" s="348">
        <f t="shared" si="35"/>
        <v>0</v>
      </c>
    </row>
    <row r="78" spans="1:28">
      <c r="B78" s="216" t="s">
        <v>197</v>
      </c>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row>
    <row r="79" spans="1:28">
      <c r="B79" s="362" t="s">
        <v>180</v>
      </c>
      <c r="C79" s="362">
        <v>2025</v>
      </c>
      <c r="D79" s="362">
        <f>C79+1</f>
        <v>2026</v>
      </c>
      <c r="E79" s="362">
        <f t="shared" ref="E79:AB79" si="36">D79+1</f>
        <v>2027</v>
      </c>
      <c r="F79" s="362">
        <f t="shared" si="36"/>
        <v>2028</v>
      </c>
      <c r="G79" s="362">
        <f t="shared" si="36"/>
        <v>2029</v>
      </c>
      <c r="H79" s="362">
        <f t="shared" si="36"/>
        <v>2030</v>
      </c>
      <c r="I79" s="362">
        <f t="shared" si="36"/>
        <v>2031</v>
      </c>
      <c r="J79" s="362">
        <f t="shared" si="36"/>
        <v>2032</v>
      </c>
      <c r="K79" s="362">
        <f t="shared" si="36"/>
        <v>2033</v>
      </c>
      <c r="L79" s="362">
        <f t="shared" si="36"/>
        <v>2034</v>
      </c>
      <c r="M79" s="362">
        <f t="shared" si="36"/>
        <v>2035</v>
      </c>
      <c r="N79" s="362">
        <f t="shared" si="36"/>
        <v>2036</v>
      </c>
      <c r="O79" s="362">
        <f t="shared" si="36"/>
        <v>2037</v>
      </c>
      <c r="P79" s="362">
        <f t="shared" si="36"/>
        <v>2038</v>
      </c>
      <c r="Q79" s="362">
        <f t="shared" si="36"/>
        <v>2039</v>
      </c>
      <c r="R79" s="362">
        <f t="shared" si="36"/>
        <v>2040</v>
      </c>
      <c r="S79" s="362">
        <f t="shared" si="36"/>
        <v>2041</v>
      </c>
      <c r="T79" s="362">
        <f t="shared" si="36"/>
        <v>2042</v>
      </c>
      <c r="U79" s="362">
        <f t="shared" si="36"/>
        <v>2043</v>
      </c>
      <c r="V79" s="362">
        <f t="shared" si="36"/>
        <v>2044</v>
      </c>
      <c r="W79" s="362">
        <f t="shared" si="36"/>
        <v>2045</v>
      </c>
      <c r="X79" s="362">
        <f t="shared" si="36"/>
        <v>2046</v>
      </c>
      <c r="Y79" s="362">
        <f t="shared" si="36"/>
        <v>2047</v>
      </c>
      <c r="Z79" s="362">
        <f t="shared" si="36"/>
        <v>2048</v>
      </c>
      <c r="AA79" s="362">
        <f t="shared" si="36"/>
        <v>2049</v>
      </c>
      <c r="AB79" s="362">
        <f t="shared" si="36"/>
        <v>2050</v>
      </c>
    </row>
    <row r="80" spans="1:28">
      <c r="B80" s="608" t="s">
        <v>247</v>
      </c>
      <c r="C80" s="438"/>
      <c r="D80" s="439" t="e">
        <f>(D72+D73*0.5)*(($H$64*'EPA Emission Factors Hub'!$R$39*$C$20+$I$65*'EPA Emission Factors Hub'!$R$56*$C$21)/10^6+($J$64*$C$20+$J$65*$C$21)*'EPA Grid Emission Factors'!K$23/10^3)</f>
        <v>#VALUE!</v>
      </c>
      <c r="E80" s="439" t="e">
        <f>(E72+E73*0.5)*(($H$64*'EPA Emission Factors Hub'!$R$39*$C$20+$I$65*'EPA Emission Factors Hub'!$R$56*$C$21)/10^6+($J$64*$C$20+$J$65*$C$21)*'EPA Grid Emission Factors'!L$23/10^3)</f>
        <v>#VALUE!</v>
      </c>
      <c r="F80" s="439" t="e">
        <f>(F72+F73*0.5)*(($H$64*'EPA Emission Factors Hub'!$R$39*$C$20+$I$65*'EPA Emission Factors Hub'!$R$56*$C$21)/10^6+($J$64*$C$20+$J$65*$C$21)*'EPA Grid Emission Factors'!M$23/10^3)</f>
        <v>#VALUE!</v>
      </c>
      <c r="G80" s="439" t="e">
        <f>(G72+G73*0.5)*(($H$64*'EPA Emission Factors Hub'!$R$39*$C$20+$I$65*'EPA Emission Factors Hub'!$R$56*$C$21)/10^6+($J$64*$C$20+$J$65*$C$21)*'EPA Grid Emission Factors'!N$23/10^3)</f>
        <v>#VALUE!</v>
      </c>
      <c r="H80" s="439" t="e">
        <f>(H72+H73*0.5)*(($H$64*'EPA Emission Factors Hub'!$R$39*$C$20+$I$65*'EPA Emission Factors Hub'!$R$56*$C$21)/10^6+($J$64*$C$20+$J$65*$C$21)*'EPA Grid Emission Factors'!O$23/10^3)</f>
        <v>#VALUE!</v>
      </c>
      <c r="I80" s="439" t="e">
        <f>(I72+I73*0.5)*(($H$64*'EPA Emission Factors Hub'!$R$39*$C$20+$I$65*'EPA Emission Factors Hub'!$R$56*$C$21)/10^6+($J$64*$C$20+$J$65*$C$21)*'EPA Grid Emission Factors'!P$23/10^3)</f>
        <v>#VALUE!</v>
      </c>
      <c r="J80" s="439" t="e">
        <f>(J72+J73*0.5)*(($H$64*'EPA Emission Factors Hub'!$R$39*$C$20+$I$65*'EPA Emission Factors Hub'!$R$56*$C$21)/10^6+($J$64*$C$20+$J$65*$C$21)*'EPA Grid Emission Factors'!Q$23/10^3)</f>
        <v>#VALUE!</v>
      </c>
      <c r="K80" s="439" t="e">
        <f>(K72+K73*0.5)*(($H$64*'EPA Emission Factors Hub'!$R$39*$C$20+$I$65*'EPA Emission Factors Hub'!$R$56*$C$21)/10^6+($J$64*$C$20+$J$65*$C$21)*'EPA Grid Emission Factors'!R$23/10^3)</f>
        <v>#VALUE!</v>
      </c>
      <c r="L80" s="439" t="e">
        <f>(L72+L73*0.5)*(($H$64*'EPA Emission Factors Hub'!$R$39*$C$20+$I$65*'EPA Emission Factors Hub'!$R$56*$C$21)/10^6+($J$64*$C$20+$J$65*$C$21)*'EPA Grid Emission Factors'!S$23/10^3)</f>
        <v>#VALUE!</v>
      </c>
      <c r="M80" s="439" t="e">
        <f>(M72+M73*0.5)*(($H$64*'EPA Emission Factors Hub'!$R$39*$C$20+$I$65*'EPA Emission Factors Hub'!$R$56*$C$21)/10^6+($J$64*$C$20+$J$65*$C$21)*'EPA Grid Emission Factors'!T$23/10^3)</f>
        <v>#VALUE!</v>
      </c>
      <c r="N80" s="439" t="e">
        <f>(N72+N73*0.5)*(($H$64*'EPA Emission Factors Hub'!$R$39*$C$20+$I$65*'EPA Emission Factors Hub'!$R$56*$C$21)/10^6+($J$64*$C$20+$J$65*$C$21)*'EPA Grid Emission Factors'!U$23/10^3)</f>
        <v>#VALUE!</v>
      </c>
      <c r="O80" s="439" t="e">
        <f>(O72+O73*0.5)*(($H$64*'EPA Emission Factors Hub'!$R$39*$C$20+$I$65*'EPA Emission Factors Hub'!$R$56*$C$21)/10^6+($J$64*$C$20+$J$65*$C$21)*'EPA Grid Emission Factors'!V$23/10^3)</f>
        <v>#VALUE!</v>
      </c>
      <c r="P80" s="439" t="e">
        <f>(P72+P73*0.5)*(($H$64*'EPA Emission Factors Hub'!$R$39*$C$20+$I$65*'EPA Emission Factors Hub'!$R$56*$C$21)/10^6+($J$64*$C$20+$J$65*$C$21)*'EPA Grid Emission Factors'!W$23/10^3)</f>
        <v>#VALUE!</v>
      </c>
      <c r="Q80" s="439" t="e">
        <f>(Q72+Q73*0.5)*(($H$64*'EPA Emission Factors Hub'!$R$39*$C$20+$I$65*'EPA Emission Factors Hub'!$R$56*$C$21)/10^6+($J$64*$C$20+$J$65*$C$21)*'EPA Grid Emission Factors'!X$23/10^3)</f>
        <v>#VALUE!</v>
      </c>
      <c r="R80" s="439" t="e">
        <f>(R72+R73*0.5)*(($H$64*'EPA Emission Factors Hub'!$R$39*$C$20+$I$65*'EPA Emission Factors Hub'!$R$56*$C$21)/10^6+($J$64*$C$20+$J$65*$C$21)*'EPA Grid Emission Factors'!Y$23/10^3)</f>
        <v>#VALUE!</v>
      </c>
      <c r="S80" s="439" t="e">
        <f>(S72+S73*0.5)*(($H$64*'EPA Emission Factors Hub'!$R$39*$C$20+$I$65*'EPA Emission Factors Hub'!$R$56*$C$21)/10^6+($J$64*$C$20+$J$65*$C$21)*'EPA Grid Emission Factors'!Z$23/10^3)</f>
        <v>#VALUE!</v>
      </c>
      <c r="T80" s="439" t="e">
        <f>(T72+T73*0.5)*(($H$64*'EPA Emission Factors Hub'!$R$39*$C$20+$I$65*'EPA Emission Factors Hub'!$R$56*$C$21)/10^6+($J$64*$C$20+$J$65*$C$21)*'EPA Grid Emission Factors'!AA$23/10^3)</f>
        <v>#VALUE!</v>
      </c>
      <c r="U80" s="439" t="e">
        <f>(U72+U73*0.5)*(($H$64*'EPA Emission Factors Hub'!$R$39*$C$20+$I$65*'EPA Emission Factors Hub'!$R$56*$C$21)/10^6+($J$64*$C$20+$J$65*$C$21)*'EPA Grid Emission Factors'!AB$23/10^3)</f>
        <v>#VALUE!</v>
      </c>
      <c r="V80" s="439" t="e">
        <f>(V72+V73*0.5)*(($H$64*'EPA Emission Factors Hub'!$R$39*$C$20+$I$65*'EPA Emission Factors Hub'!$R$56*$C$21)/10^6+($J$64*$C$20+$J$65*$C$21)*'EPA Grid Emission Factors'!AC$23/10^3)</f>
        <v>#VALUE!</v>
      </c>
      <c r="W80" s="439" t="e">
        <f>(W72+W73*0.5)*(($H$64*'EPA Emission Factors Hub'!$R$39*$C$20+$I$65*'EPA Emission Factors Hub'!$R$56*$C$21)/10^6+($J$64*$C$20+$J$65*$C$21)*'EPA Grid Emission Factors'!AD$23/10^3)</f>
        <v>#VALUE!</v>
      </c>
      <c r="X80" s="439" t="e">
        <f>(X72+X73*0.5)*(($H$64*'EPA Emission Factors Hub'!$R$39*$C$20+$I$65*'EPA Emission Factors Hub'!$R$56*$C$21)/10^6+($J$64*$C$20+$J$65*$C$21)*'EPA Grid Emission Factors'!AE$23/10^3)</f>
        <v>#VALUE!</v>
      </c>
      <c r="Y80" s="439" t="e">
        <f>(Y72+Y73*0.5)*(($H$64*'EPA Emission Factors Hub'!$R$39*$C$20+$I$65*'EPA Emission Factors Hub'!$R$56*$C$21)/10^6+($J$64*$C$20+$J$65*$C$21)*'EPA Grid Emission Factors'!AF$23/10^3)</f>
        <v>#VALUE!</v>
      </c>
      <c r="Z80" s="439" t="e">
        <f>(Z72+Z73*0.5)*(($H$64*'EPA Emission Factors Hub'!$R$39*$C$20+$I$65*'EPA Emission Factors Hub'!$R$56*$C$21)/10^6+($J$64*$C$20+$J$65*$C$21)*'EPA Grid Emission Factors'!AG$23/10^3)</f>
        <v>#VALUE!</v>
      </c>
      <c r="AA80" s="439" t="e">
        <f>(AA72+AA73*0.5)*(($H$64*'EPA Emission Factors Hub'!$R$39*$C$20+$I$65*'EPA Emission Factors Hub'!$R$56*$C$21)/10^6+($J$64*$C$20+$J$65*$C$21)*'EPA Grid Emission Factors'!AH$23/10^3)</f>
        <v>#VALUE!</v>
      </c>
      <c r="AB80" s="439" t="e">
        <f>(AB72+AB73*0.5)*(($H$64*'EPA Emission Factors Hub'!$R$39*$C$20+$I$65*'EPA Emission Factors Hub'!$R$56*$C$21)/10^6+($J$64*$C$20+$J$65*$C$21)*'EPA Grid Emission Factors'!AI$23/10^3)</f>
        <v>#VALUE!</v>
      </c>
    </row>
    <row r="81" spans="2:28">
      <c r="B81" s="608" t="s">
        <v>248</v>
      </c>
      <c r="C81" s="438"/>
      <c r="D81" s="439" t="e">
        <f>(D72+D73*0.5)*(($H$64*'EPA Emission Factors Hub'!$S$39*$C$20+$I$65*'EPA Emission Factors Hub'!$S$56*$C$21)/10^6+($J$64*$C$20+$J$65*$C$21)*'EPA Grid Emission Factors'!K$31/10^3)</f>
        <v>#VALUE!</v>
      </c>
      <c r="E81" s="439" t="e">
        <f>(E72+E73*0.5)*(($H$64*'EPA Emission Factors Hub'!$S$39*$C$20+$I$65*'EPA Emission Factors Hub'!$S$56*$C$21)/10^6+($J$64*$C$20+$J$65*$C$21)*'EPA Grid Emission Factors'!L$31/10^3)</f>
        <v>#VALUE!</v>
      </c>
      <c r="F81" s="439" t="e">
        <f>(F72+F73*0.5)*(($H$64*'EPA Emission Factors Hub'!$S$39*$C$20+$I$65*'EPA Emission Factors Hub'!$S$56*$C$21)/10^6+($J$64*$C$20+$J$65*$C$21)*'EPA Grid Emission Factors'!M$31/10^3)</f>
        <v>#VALUE!</v>
      </c>
      <c r="G81" s="439" t="e">
        <f>(G72+G73*0.5)*(($H$64*'EPA Emission Factors Hub'!$S$39*$C$20+$I$65*'EPA Emission Factors Hub'!$S$56*$C$21)/10^6+($J$64*$C$20+$J$65*$C$21)*'EPA Grid Emission Factors'!N$31/10^3)</f>
        <v>#VALUE!</v>
      </c>
      <c r="H81" s="439" t="e">
        <f>(H72+H73*0.5)*(($H$64*'EPA Emission Factors Hub'!$S$39*$C$20+$I$65*'EPA Emission Factors Hub'!$S$56*$C$21)/10^6+($J$64*$C$20+$J$65*$C$21)*'EPA Grid Emission Factors'!O$31/10^3)</f>
        <v>#VALUE!</v>
      </c>
      <c r="I81" s="439" t="e">
        <f>(I72+I73*0.5)*(($H$64*'EPA Emission Factors Hub'!$S$39*$C$20+$I$65*'EPA Emission Factors Hub'!$S$56*$C$21)/10^6+($J$64*$C$20+$J$65*$C$21)*'EPA Grid Emission Factors'!P$31/10^3)</f>
        <v>#VALUE!</v>
      </c>
      <c r="J81" s="439" t="e">
        <f>(J72+J73*0.5)*(($H$64*'EPA Emission Factors Hub'!$S$39*$C$20+$I$65*'EPA Emission Factors Hub'!$S$56*$C$21)/10^6+($J$64*$C$20+$J$65*$C$21)*'EPA Grid Emission Factors'!Q$31/10^3)</f>
        <v>#VALUE!</v>
      </c>
      <c r="K81" s="439" t="e">
        <f>(K72+K73*0.5)*(($H$64*'EPA Emission Factors Hub'!$S$39*$C$20+$I$65*'EPA Emission Factors Hub'!$S$56*$C$21)/10^6+($J$64*$C$20+$J$65*$C$21)*'EPA Grid Emission Factors'!R$31/10^3)</f>
        <v>#VALUE!</v>
      </c>
      <c r="L81" s="439" t="e">
        <f>(L72+L73*0.5)*(($H$64*'EPA Emission Factors Hub'!$S$39*$C$20+$I$65*'EPA Emission Factors Hub'!$S$56*$C$21)/10^6+($J$64*$C$20+$J$65*$C$21)*'EPA Grid Emission Factors'!S$31/10^3)</f>
        <v>#VALUE!</v>
      </c>
      <c r="M81" s="439" t="e">
        <f>(M72+M73*0.5)*(($H$64*'EPA Emission Factors Hub'!$S$39*$C$20+$I$65*'EPA Emission Factors Hub'!$S$56*$C$21)/10^6+($J$64*$C$20+$J$65*$C$21)*'EPA Grid Emission Factors'!T$31/10^3)</f>
        <v>#VALUE!</v>
      </c>
      <c r="N81" s="439" t="e">
        <f>(N72+N73*0.5)*(($H$64*'EPA Emission Factors Hub'!$S$39*$C$20+$I$65*'EPA Emission Factors Hub'!$S$56*$C$21)/10^6+($J$64*$C$20+$J$65*$C$21)*'EPA Grid Emission Factors'!U$31/10^3)</f>
        <v>#VALUE!</v>
      </c>
      <c r="O81" s="439" t="e">
        <f>(O72+O73*0.5)*(($H$64*'EPA Emission Factors Hub'!$S$39*$C$20+$I$65*'EPA Emission Factors Hub'!$S$56*$C$21)/10^6+($J$64*$C$20+$J$65*$C$21)*'EPA Grid Emission Factors'!V$31/10^3)</f>
        <v>#VALUE!</v>
      </c>
      <c r="P81" s="439" t="e">
        <f>(P72+P73*0.5)*(($H$64*'EPA Emission Factors Hub'!$S$39*$C$20+$I$65*'EPA Emission Factors Hub'!$S$56*$C$21)/10^6+($J$64*$C$20+$J$65*$C$21)*'EPA Grid Emission Factors'!W$31/10^3)</f>
        <v>#VALUE!</v>
      </c>
      <c r="Q81" s="439" t="e">
        <f>(Q72+Q73*0.5)*(($H$64*'EPA Emission Factors Hub'!$S$39*$C$20+$I$65*'EPA Emission Factors Hub'!$S$56*$C$21)/10^6+($J$64*$C$20+$J$65*$C$21)*'EPA Grid Emission Factors'!X$31/10^3)</f>
        <v>#VALUE!</v>
      </c>
      <c r="R81" s="439" t="e">
        <f>(R72+R73*0.5)*(($H$64*'EPA Emission Factors Hub'!$S$39*$C$20+$I$65*'EPA Emission Factors Hub'!$S$56*$C$21)/10^6+($J$64*$C$20+$J$65*$C$21)*'EPA Grid Emission Factors'!Y$31/10^3)</f>
        <v>#VALUE!</v>
      </c>
      <c r="S81" s="439" t="e">
        <f>(S72+S73*0.5)*(($H$64*'EPA Emission Factors Hub'!$S$39*$C$20+$I$65*'EPA Emission Factors Hub'!$S$56*$C$21)/10^6+($J$64*$C$20+$J$65*$C$21)*'EPA Grid Emission Factors'!Z$31/10^3)</f>
        <v>#VALUE!</v>
      </c>
      <c r="T81" s="439" t="e">
        <f>(T72+T73*0.5)*(($H$64*'EPA Emission Factors Hub'!$S$39*$C$20+$I$65*'EPA Emission Factors Hub'!$S$56*$C$21)/10^6+($J$64*$C$20+$J$65*$C$21)*'EPA Grid Emission Factors'!AA$31/10^3)</f>
        <v>#VALUE!</v>
      </c>
      <c r="U81" s="439" t="e">
        <f>(U72+U73*0.5)*(($H$64*'EPA Emission Factors Hub'!$S$39*$C$20+$I$65*'EPA Emission Factors Hub'!$S$56*$C$21)/10^6+($J$64*$C$20+$J$65*$C$21)*'EPA Grid Emission Factors'!AB$31/10^3)</f>
        <v>#VALUE!</v>
      </c>
      <c r="V81" s="439" t="e">
        <f>(V72+V73*0.5)*(($H$64*'EPA Emission Factors Hub'!$S$39*$C$20+$I$65*'EPA Emission Factors Hub'!$S$56*$C$21)/10^6+($J$64*$C$20+$J$65*$C$21)*'EPA Grid Emission Factors'!AC$31/10^3)</f>
        <v>#VALUE!</v>
      </c>
      <c r="W81" s="439" t="e">
        <f>(W72+W73*0.5)*(($H$64*'EPA Emission Factors Hub'!$S$39*$C$20+$I$65*'EPA Emission Factors Hub'!$S$56*$C$21)/10^6+($J$64*$C$20+$J$65*$C$21)*'EPA Grid Emission Factors'!AD$31/10^3)</f>
        <v>#VALUE!</v>
      </c>
      <c r="X81" s="439" t="e">
        <f>(X72+X73*0.5)*(($H$64*'EPA Emission Factors Hub'!$S$39*$C$20+$I$65*'EPA Emission Factors Hub'!$S$56*$C$21)/10^6+($J$64*$C$20+$J$65*$C$21)*'EPA Grid Emission Factors'!AE$31/10^3)</f>
        <v>#VALUE!</v>
      </c>
      <c r="Y81" s="439" t="e">
        <f>(Y72+Y73*0.5)*(($H$64*'EPA Emission Factors Hub'!$S$39*$C$20+$I$65*'EPA Emission Factors Hub'!$S$56*$C$21)/10^6+($J$64*$C$20+$J$65*$C$21)*'EPA Grid Emission Factors'!AF$31/10^3)</f>
        <v>#VALUE!</v>
      </c>
      <c r="Z81" s="439" t="e">
        <f>(Z72+Z73*0.5)*(($H$64*'EPA Emission Factors Hub'!$S$39*$C$20+$I$65*'EPA Emission Factors Hub'!$S$56*$C$21)/10^6+($J$64*$C$20+$J$65*$C$21)*'EPA Grid Emission Factors'!AG$31/10^3)</f>
        <v>#VALUE!</v>
      </c>
      <c r="AA81" s="439" t="e">
        <f>(AA72+AA73*0.5)*(($H$64*'EPA Emission Factors Hub'!$S$39*$C$20+$I$65*'EPA Emission Factors Hub'!$S$56*$C$21)/10^6+($J$64*$C$20+$J$65*$C$21)*'EPA Grid Emission Factors'!AH$31/10^3)</f>
        <v>#VALUE!</v>
      </c>
      <c r="AB81" s="439" t="e">
        <f>(AB72+AB73*0.5)*(($H$64*'EPA Emission Factors Hub'!$S$39*$C$20+$I$65*'EPA Emission Factors Hub'!$S$56*$C$21)/10^6+($J$64*$C$20+$J$65*$C$21)*'EPA Grid Emission Factors'!AI$31/10^3)</f>
        <v>#VALUE!</v>
      </c>
    </row>
    <row r="82" spans="2:28" ht="15.75" thickBot="1">
      <c r="B82" s="510" t="s">
        <v>249</v>
      </c>
      <c r="C82" s="440"/>
      <c r="D82" s="441" t="e">
        <f>(D72+D73*0.5)*(($H$64*'EPA Emission Factors Hub'!$Q$39*$C$20+$I$65*'EPA Emission Factors Hub'!$Q$56*$C$21)/10^3+($J$64*$C$20+$J$65*$C$21)*'EPA Grid Emission Factors'!K$27/10^3)</f>
        <v>#VALUE!</v>
      </c>
      <c r="E82" s="441" t="e">
        <f>(E72+E73*0.5)*(($H$64*'EPA Emission Factors Hub'!$Q$39*$C$20+$I$65*'EPA Emission Factors Hub'!$Q$56*$C$21)/10^3+($J$64*$C$20+$J$65*$C$21)*'EPA Grid Emission Factors'!L$27/10^3)</f>
        <v>#VALUE!</v>
      </c>
      <c r="F82" s="441" t="e">
        <f>(F72+F73*0.5)*(($H$64*'EPA Emission Factors Hub'!$Q$39*$C$20+$I$65*'EPA Emission Factors Hub'!$Q$56*$C$21)/10^3+($J$64*$C$20+$J$65*$C$21)*'EPA Grid Emission Factors'!M$27/10^3)</f>
        <v>#VALUE!</v>
      </c>
      <c r="G82" s="441" t="e">
        <f>(G72+G73*0.5)*(($H$64*'EPA Emission Factors Hub'!$Q$39*$C$20+$I$65*'EPA Emission Factors Hub'!$Q$56*$C$21)/10^3+($J$64*$C$20+$J$65*$C$21)*'EPA Grid Emission Factors'!N$27/10^3)</f>
        <v>#VALUE!</v>
      </c>
      <c r="H82" s="441" t="e">
        <f>(H72+H73*0.5)*(($H$64*'EPA Emission Factors Hub'!$Q$39*$C$20+$I$65*'EPA Emission Factors Hub'!$Q$56*$C$21)/10^3+($J$64*$C$20+$J$65*$C$21)*'EPA Grid Emission Factors'!O$27/10^3)</f>
        <v>#VALUE!</v>
      </c>
      <c r="I82" s="441" t="e">
        <f>(I72+I73*0.5)*(($H$64*'EPA Emission Factors Hub'!$Q$39*$C$20+$I$65*'EPA Emission Factors Hub'!$Q$56*$C$21)/10^3+($J$64*$C$20+$J$65*$C$21)*'EPA Grid Emission Factors'!P$27/10^3)</f>
        <v>#VALUE!</v>
      </c>
      <c r="J82" s="441" t="e">
        <f>(J72+J73*0.5)*(($H$64*'EPA Emission Factors Hub'!$Q$39*$C$20+$I$65*'EPA Emission Factors Hub'!$Q$56*$C$21)/10^3+($J$64*$C$20+$J$65*$C$21)*'EPA Grid Emission Factors'!Q$27/10^3)</f>
        <v>#VALUE!</v>
      </c>
      <c r="K82" s="441" t="e">
        <f>(K72+K73*0.5)*(($H$64*'EPA Emission Factors Hub'!$Q$39*$C$20+$I$65*'EPA Emission Factors Hub'!$Q$56*$C$21)/10^3+($J$64*$C$20+$J$65*$C$21)*'EPA Grid Emission Factors'!R$27/10^3)</f>
        <v>#VALUE!</v>
      </c>
      <c r="L82" s="441" t="e">
        <f>(L72+L73*0.5)*(($H$64*'EPA Emission Factors Hub'!$Q$39*$C$20+$I$65*'EPA Emission Factors Hub'!$Q$56*$C$21)/10^3+($J$64*$C$20+$J$65*$C$21)*'EPA Grid Emission Factors'!S$27/10^3)</f>
        <v>#VALUE!</v>
      </c>
      <c r="M82" s="441" t="e">
        <f>(M72+M73*0.5)*(($H$64*'EPA Emission Factors Hub'!$Q$39*$C$20+$I$65*'EPA Emission Factors Hub'!$Q$56*$C$21)/10^3+($J$64*$C$20+$J$65*$C$21)*'EPA Grid Emission Factors'!T$27/10^3)</f>
        <v>#VALUE!</v>
      </c>
      <c r="N82" s="441" t="e">
        <f>(N72+N73*0.5)*(($H$64*'EPA Emission Factors Hub'!$Q$39*$C$20+$I$65*'EPA Emission Factors Hub'!$Q$56*$C$21)/10^3+($J$64*$C$20+$J$65*$C$21)*'EPA Grid Emission Factors'!U$27/10^3)</f>
        <v>#VALUE!</v>
      </c>
      <c r="O82" s="441" t="e">
        <f>(O72+O73*0.5)*(($H$64*'EPA Emission Factors Hub'!$Q$39*$C$20+$I$65*'EPA Emission Factors Hub'!$Q$56*$C$21)/10^3+($J$64*$C$20+$J$65*$C$21)*'EPA Grid Emission Factors'!V$27/10^3)</f>
        <v>#VALUE!</v>
      </c>
      <c r="P82" s="441" t="e">
        <f>(P72+P73*0.5)*(($H$64*'EPA Emission Factors Hub'!$Q$39*$C$20+$I$65*'EPA Emission Factors Hub'!$Q$56*$C$21)/10^3+($J$64*$C$20+$J$65*$C$21)*'EPA Grid Emission Factors'!W$27/10^3)</f>
        <v>#VALUE!</v>
      </c>
      <c r="Q82" s="441" t="e">
        <f>(Q72+Q73*0.5)*(($H$64*'EPA Emission Factors Hub'!$Q$39*$C$20+$I$65*'EPA Emission Factors Hub'!$Q$56*$C$21)/10^3+($J$64*$C$20+$J$65*$C$21)*'EPA Grid Emission Factors'!X$27/10^3)</f>
        <v>#VALUE!</v>
      </c>
      <c r="R82" s="441" t="e">
        <f>(R72+R73*0.5)*(($H$64*'EPA Emission Factors Hub'!$Q$39*$C$20+$I$65*'EPA Emission Factors Hub'!$Q$56*$C$21)/10^3+($J$64*$C$20+$J$65*$C$21)*'EPA Grid Emission Factors'!Y$27/10^3)</f>
        <v>#VALUE!</v>
      </c>
      <c r="S82" s="441" t="e">
        <f>(S72+S73*0.5)*(($H$64*'EPA Emission Factors Hub'!$Q$39*$C$20+$I$65*'EPA Emission Factors Hub'!$Q$56*$C$21)/10^3+($J$64*$C$20+$J$65*$C$21)*'EPA Grid Emission Factors'!Z$27/10^3)</f>
        <v>#VALUE!</v>
      </c>
      <c r="T82" s="441" t="e">
        <f>(T72+T73*0.5)*(($H$64*'EPA Emission Factors Hub'!$Q$39*$C$20+$I$65*'EPA Emission Factors Hub'!$Q$56*$C$21)/10^3+($J$64*$C$20+$J$65*$C$21)*'EPA Grid Emission Factors'!AA$27/10^3)</f>
        <v>#VALUE!</v>
      </c>
      <c r="U82" s="441" t="e">
        <f>(U72+U73*0.5)*(($H$64*'EPA Emission Factors Hub'!$Q$39*$C$20+$I$65*'EPA Emission Factors Hub'!$Q$56*$C$21)/10^3+($J$64*$C$20+$J$65*$C$21)*'EPA Grid Emission Factors'!AB$27/10^3)</f>
        <v>#VALUE!</v>
      </c>
      <c r="V82" s="441" t="e">
        <f>(V72+V73*0.5)*(($H$64*'EPA Emission Factors Hub'!$Q$39*$C$20+$I$65*'EPA Emission Factors Hub'!$Q$56*$C$21)/10^3+($J$64*$C$20+$J$65*$C$21)*'EPA Grid Emission Factors'!AC$27/10^3)</f>
        <v>#VALUE!</v>
      </c>
      <c r="W82" s="441" t="e">
        <f>(W72+W73*0.5)*(($H$64*'EPA Emission Factors Hub'!$Q$39*$C$20+$I$65*'EPA Emission Factors Hub'!$Q$56*$C$21)/10^3+($J$64*$C$20+$J$65*$C$21)*'EPA Grid Emission Factors'!AD$27/10^3)</f>
        <v>#VALUE!</v>
      </c>
      <c r="X82" s="441" t="e">
        <f>(X72+X73*0.5)*(($H$64*'EPA Emission Factors Hub'!$Q$39*$C$20+$I$65*'EPA Emission Factors Hub'!$Q$56*$C$21)/10^3+($J$64*$C$20+$J$65*$C$21)*'EPA Grid Emission Factors'!AE$27/10^3)</f>
        <v>#VALUE!</v>
      </c>
      <c r="Y82" s="441" t="e">
        <f>(Y72+Y73*0.5)*(($H$64*'EPA Emission Factors Hub'!$Q$39*$C$20+$I$65*'EPA Emission Factors Hub'!$Q$56*$C$21)/10^3+($J$64*$C$20+$J$65*$C$21)*'EPA Grid Emission Factors'!AF$27/10^3)</f>
        <v>#VALUE!</v>
      </c>
      <c r="Z82" s="441" t="e">
        <f>(Z72+Z73*0.5)*(($H$64*'EPA Emission Factors Hub'!$Q$39*$C$20+$I$65*'EPA Emission Factors Hub'!$Q$56*$C$21)/10^3+($J$64*$C$20+$J$65*$C$21)*'EPA Grid Emission Factors'!AG$27/10^3)</f>
        <v>#VALUE!</v>
      </c>
      <c r="AA82" s="441" t="e">
        <f>(AA72+AA73*0.5)*(($H$64*'EPA Emission Factors Hub'!$Q$39*$C$20+$I$65*'EPA Emission Factors Hub'!$Q$56*$C$21)/10^3+($J$64*$C$20+$J$65*$C$21)*'EPA Grid Emission Factors'!AH$27/10^3)</f>
        <v>#VALUE!</v>
      </c>
      <c r="AB82" s="441" t="e">
        <f>(AB72+AB73*0.5)*(($H$64*'EPA Emission Factors Hub'!$Q$39*$C$20+$I$65*'EPA Emission Factors Hub'!$Q$56*$C$21)/10^3+($J$64*$C$20+$J$65*$C$21)*'EPA Grid Emission Factors'!AI$27/10^3)</f>
        <v>#VALUE!</v>
      </c>
    </row>
    <row r="83" spans="2:28">
      <c r="B83" s="437" t="s">
        <v>250</v>
      </c>
      <c r="C83" s="349"/>
      <c r="D83" s="404" t="e">
        <f>(D72+D73*0.5)*($H$64*'EPA Emission Factors Hub'!$W$39*$C$20+$I$65*'EPA Emission Factors Hub'!$W$56*$C$21+($J$64*$C$20+$J$65*$C$21)*'EPA Grid Emission Factors'!K$4)</f>
        <v>#VALUE!</v>
      </c>
      <c r="E83" s="404" t="e">
        <f>(E72+E73*0.5)*($H$64*'EPA Emission Factors Hub'!$W$39*$C$20+$I$65*'EPA Emission Factors Hub'!$W$56*$C$21+($J$64*$C$20+$J$65*$C$21)*'EPA Grid Emission Factors'!L$4)</f>
        <v>#VALUE!</v>
      </c>
      <c r="F83" s="404" t="e">
        <f>(F72+F73*0.5)*($H$64*'EPA Emission Factors Hub'!$W$39*$C$20+$I$65*'EPA Emission Factors Hub'!$W$56*$C$21+($J$64*$C$20+$J$65*$C$21)*'EPA Grid Emission Factors'!M$4)</f>
        <v>#VALUE!</v>
      </c>
      <c r="G83" s="404" t="e">
        <f>(G72+G73*0.5)*($H$64*'EPA Emission Factors Hub'!$W$39*$C$20+$I$65*'EPA Emission Factors Hub'!$W$56*$C$21+($J$64*$C$20+$J$65*$C$21)*'EPA Grid Emission Factors'!N$4)</f>
        <v>#VALUE!</v>
      </c>
      <c r="H83" s="404" t="e">
        <f>(H72+H73*0.5)*($H$64*'EPA Emission Factors Hub'!$W$39*$C$20+$I$65*'EPA Emission Factors Hub'!$W$56*$C$21+($J$64*$C$20+$J$65*$C$21)*'EPA Grid Emission Factors'!O$4)</f>
        <v>#VALUE!</v>
      </c>
      <c r="I83" s="404" t="e">
        <f>(I72+I73*0.5)*($H$64*'EPA Emission Factors Hub'!$W$39*$C$20+$I$65*'EPA Emission Factors Hub'!$W$56*$C$21+($J$64*$C$20+$J$65*$C$21)*'EPA Grid Emission Factors'!P$4)</f>
        <v>#VALUE!</v>
      </c>
      <c r="J83" s="404" t="e">
        <f>(J72+J73*0.5)*($H$64*'EPA Emission Factors Hub'!$W$39*$C$20+$I$65*'EPA Emission Factors Hub'!$W$56*$C$21+($J$64*$C$20+$J$65*$C$21)*'EPA Grid Emission Factors'!Q$4)</f>
        <v>#VALUE!</v>
      </c>
      <c r="K83" s="404" t="e">
        <f>(K72+K73*0.5)*($H$64*'EPA Emission Factors Hub'!$W$39*$C$20+$I$65*'EPA Emission Factors Hub'!$W$56*$C$21+($J$64*$C$20+$J$65*$C$21)*'EPA Grid Emission Factors'!R$4)</f>
        <v>#VALUE!</v>
      </c>
      <c r="L83" s="404" t="e">
        <f>(L72+L73*0.5)*($H$64*'EPA Emission Factors Hub'!$W$39*$C$20+$I$65*'EPA Emission Factors Hub'!$W$56*$C$21+($J$64*$C$20+$J$65*$C$21)*'EPA Grid Emission Factors'!S$4)</f>
        <v>#VALUE!</v>
      </c>
      <c r="M83" s="404" t="e">
        <f>(M72+M73*0.5)*($H$64*'EPA Emission Factors Hub'!$W$39*$C$20+$I$65*'EPA Emission Factors Hub'!$W$56*$C$21+($J$64*$C$20+$J$65*$C$21)*'EPA Grid Emission Factors'!T$4)</f>
        <v>#VALUE!</v>
      </c>
      <c r="N83" s="404" t="e">
        <f>(N72+N73*0.5)*($H$64*'EPA Emission Factors Hub'!$W$39*$C$20+$I$65*'EPA Emission Factors Hub'!$W$56*$C$21+($J$64*$C$20+$J$65*$C$21)*'EPA Grid Emission Factors'!U$4)</f>
        <v>#VALUE!</v>
      </c>
      <c r="O83" s="404" t="e">
        <f>(O72+O73*0.5)*($H$64*'EPA Emission Factors Hub'!$W$39*$C$20+$I$65*'EPA Emission Factors Hub'!$W$56*$C$21+($J$64*$C$20+$J$65*$C$21)*'EPA Grid Emission Factors'!V$4)</f>
        <v>#VALUE!</v>
      </c>
      <c r="P83" s="404" t="e">
        <f>(P72+P73*0.5)*($H$64*'EPA Emission Factors Hub'!$W$39*$C$20+$I$65*'EPA Emission Factors Hub'!$W$56*$C$21+($J$64*$C$20+$J$65*$C$21)*'EPA Grid Emission Factors'!W$4)</f>
        <v>#VALUE!</v>
      </c>
      <c r="Q83" s="404" t="e">
        <f>(Q72+Q73*0.5)*($H$64*'EPA Emission Factors Hub'!$W$39*$C$20+$I$65*'EPA Emission Factors Hub'!$W$56*$C$21+($J$64*$C$20+$J$65*$C$21)*'EPA Grid Emission Factors'!X$4)</f>
        <v>#VALUE!</v>
      </c>
      <c r="R83" s="404" t="e">
        <f>(R72+R73*0.5)*($H$64*'EPA Emission Factors Hub'!$W$39*$C$20+$I$65*'EPA Emission Factors Hub'!$W$56*$C$21+($J$64*$C$20+$J$65*$C$21)*'EPA Grid Emission Factors'!Y$4)</f>
        <v>#VALUE!</v>
      </c>
      <c r="S83" s="404" t="e">
        <f>(S72+S73*0.5)*($H$64*'EPA Emission Factors Hub'!$W$39*$C$20+$I$65*'EPA Emission Factors Hub'!$W$56*$C$21+($J$64*$C$20+$J$65*$C$21)*'EPA Grid Emission Factors'!Z$4)</f>
        <v>#VALUE!</v>
      </c>
      <c r="T83" s="404" t="e">
        <f>(T72+T73*0.5)*($H$64*'EPA Emission Factors Hub'!$W$39*$C$20+$I$65*'EPA Emission Factors Hub'!$W$56*$C$21+($J$64*$C$20+$J$65*$C$21)*'EPA Grid Emission Factors'!AA$4)</f>
        <v>#VALUE!</v>
      </c>
      <c r="U83" s="404" t="e">
        <f>(U72+U73*0.5)*($H$64*'EPA Emission Factors Hub'!$W$39*$C$20+$I$65*'EPA Emission Factors Hub'!$W$56*$C$21+($J$64*$C$20+$J$65*$C$21)*'EPA Grid Emission Factors'!AB$4)</f>
        <v>#VALUE!</v>
      </c>
      <c r="V83" s="404" t="e">
        <f>(V72+V73*0.5)*($H$64*'EPA Emission Factors Hub'!$W$39*$C$20+$I$65*'EPA Emission Factors Hub'!$W$56*$C$21+($J$64*$C$20+$J$65*$C$21)*'EPA Grid Emission Factors'!AC$4)</f>
        <v>#VALUE!</v>
      </c>
      <c r="W83" s="404" t="e">
        <f>(W72+W73*0.5)*($H$64*'EPA Emission Factors Hub'!$W$39*$C$20+$I$65*'EPA Emission Factors Hub'!$W$56*$C$21+($J$64*$C$20+$J$65*$C$21)*'EPA Grid Emission Factors'!AD$4)</f>
        <v>#VALUE!</v>
      </c>
      <c r="X83" s="404" t="e">
        <f>(X72+X73*0.5)*($H$64*'EPA Emission Factors Hub'!$W$39*$C$20+$I$65*'EPA Emission Factors Hub'!$W$56*$C$21+($J$64*$C$20+$J$65*$C$21)*'EPA Grid Emission Factors'!AE$4)</f>
        <v>#VALUE!</v>
      </c>
      <c r="Y83" s="404" t="e">
        <f>(Y72+Y73*0.5)*($H$64*'EPA Emission Factors Hub'!$W$39*$C$20+$I$65*'EPA Emission Factors Hub'!$W$56*$C$21+($J$64*$C$20+$J$65*$C$21)*'EPA Grid Emission Factors'!AF$4)</f>
        <v>#VALUE!</v>
      </c>
      <c r="Z83" s="404" t="e">
        <f>(Z72+Z73*0.5)*($H$64*'EPA Emission Factors Hub'!$W$39*$C$20+$I$65*'EPA Emission Factors Hub'!$W$56*$C$21+($J$64*$C$20+$J$65*$C$21)*'EPA Grid Emission Factors'!AG$4)</f>
        <v>#VALUE!</v>
      </c>
      <c r="AA83" s="404" t="e">
        <f>(AA72+AA73*0.5)*($H$64*'EPA Emission Factors Hub'!$W$39*$C$20+$I$65*'EPA Emission Factors Hub'!$W$56*$C$21+($J$64*$C$20+$J$65*$C$21)*'EPA Grid Emission Factors'!AH$4)</f>
        <v>#VALUE!</v>
      </c>
      <c r="AB83" s="404" t="e">
        <f>(AB72+AB73*0.5)*($H$64*'EPA Emission Factors Hub'!$W$39*$C$20+$I$65*'EPA Emission Factors Hub'!$W$56*$C$21+($J$64*$C$20+$J$65*$C$21)*'EPA Grid Emission Factors'!AI$4)</f>
        <v>#VALUE!</v>
      </c>
    </row>
    <row r="84" spans="2:28">
      <c r="E84" s="32"/>
      <c r="F84" s="32"/>
      <c r="G84" s="32"/>
      <c r="H84" s="32"/>
      <c r="I84" s="32"/>
      <c r="J84" s="32"/>
      <c r="K84" s="32"/>
      <c r="L84" s="32"/>
      <c r="M84" s="32"/>
      <c r="N84" s="32"/>
      <c r="O84" s="32"/>
      <c r="P84" s="32"/>
      <c r="Q84" s="32"/>
      <c r="R84" s="32"/>
      <c r="S84" s="32"/>
      <c r="T84" s="32"/>
      <c r="U84" s="32"/>
      <c r="V84" s="32"/>
      <c r="W84" s="32"/>
      <c r="X84" s="32"/>
      <c r="Y84" s="32"/>
      <c r="Z84" s="32"/>
      <c r="AA84" s="32"/>
    </row>
    <row r="85" spans="2:28">
      <c r="B85" s="609" t="s">
        <v>251</v>
      </c>
      <c r="C85" s="610"/>
      <c r="D85" s="611" t="e">
        <f>(D72+D73*0.5)*($H$64*'CLCPA Emission Factors Hub'!$G$14*$C$20+$I$65*'CLCPA Emission Factors Hub'!$G$15*$C$21+($J$64*$C$20+$J$65*$C$21)*'CLCPA Grid Emission Factors '!$K$4)</f>
        <v>#VALUE!</v>
      </c>
      <c r="E85" s="611" t="e">
        <f>(E72+E73*0.5)*($H$64*'CLCPA Emission Factors Hub'!$G$14*$C$20+$I$65*'CLCPA Emission Factors Hub'!$G$15*$C$21+($J$64*$C$20+$J$65*$C$21)*'CLCPA Grid Emission Factors '!$K$4)</f>
        <v>#VALUE!</v>
      </c>
      <c r="F85" s="611" t="e">
        <f>(F72+F73*0.5)*($H$64*'CLCPA Emission Factors Hub'!$G$14*$C$20+$I$65*'CLCPA Emission Factors Hub'!$G$15*$C$21+($J$64*$C$20+$J$65*$C$21)*'CLCPA Grid Emission Factors '!$K$4)</f>
        <v>#VALUE!</v>
      </c>
      <c r="G85" s="611" t="e">
        <f>(G72+G73*0.5)*($H$64*'CLCPA Emission Factors Hub'!$G$14*$C$20+$I$65*'CLCPA Emission Factors Hub'!$G$15*$C$21+($J$64*$C$20+$J$65*$C$21)*'CLCPA Grid Emission Factors '!$K$4)</f>
        <v>#VALUE!</v>
      </c>
      <c r="H85" s="611" t="e">
        <f>(H72+H73*0.5)*($H$64*'CLCPA Emission Factors Hub'!$G$14*$C$20+$I$65*'CLCPA Emission Factors Hub'!$G$15*$C$21+($J$64*$C$20+$J$65*$C$21)*'CLCPA Grid Emission Factors '!$K$4)</f>
        <v>#VALUE!</v>
      </c>
      <c r="I85" s="611" t="e">
        <f>(I72+I73*0.5)*($H$64*'CLCPA Emission Factors Hub'!$G$14*$C$20+$I$65*'CLCPA Emission Factors Hub'!$G$15*$C$21+($J$64*$C$20+$J$65*$C$21)*'CLCPA Grid Emission Factors '!$K$4)</f>
        <v>#VALUE!</v>
      </c>
      <c r="J85" s="611" t="e">
        <f>(J72+J73*0.5)*($H$64*'CLCPA Emission Factors Hub'!$G$14*$C$20+$I$65*'CLCPA Emission Factors Hub'!$G$15*$C$21+($J$64*$C$20+$J$65*$C$21)*'CLCPA Grid Emission Factors '!$K$4)</f>
        <v>#VALUE!</v>
      </c>
      <c r="K85" s="611" t="e">
        <f>(K72+K73*0.5)*($H$64*'CLCPA Emission Factors Hub'!$G$14*$C$20+$I$65*'CLCPA Emission Factors Hub'!$G$15*$C$21+($J$64*$C$20+$J$65*$C$21)*'CLCPA Grid Emission Factors '!$K$4)</f>
        <v>#VALUE!</v>
      </c>
      <c r="L85" s="611" t="e">
        <f>(L72+L73*0.5)*($H$64*'CLCPA Emission Factors Hub'!$G$14*$C$20+$I$65*'CLCPA Emission Factors Hub'!$G$15*$C$21+($J$64*$C$20+$J$65*$C$21)*'CLCPA Grid Emission Factors '!$K$4)</f>
        <v>#VALUE!</v>
      </c>
      <c r="M85" s="611" t="e">
        <f>(M72+M73*0.5)*($H$64*'CLCPA Emission Factors Hub'!$G$14*$C$20+$I$65*'CLCPA Emission Factors Hub'!$G$15*$C$21+($J$64*$C$20+$J$65*$C$21)*'CLCPA Grid Emission Factors '!$K$4)</f>
        <v>#VALUE!</v>
      </c>
      <c r="N85" s="611" t="e">
        <f>(N72+N73*0.5)*($H$64*'CLCPA Emission Factors Hub'!$G$14*$C$20+$I$65*'CLCPA Emission Factors Hub'!$G$15*$C$21+($J$64*$C$20+$J$65*$C$21)*'CLCPA Grid Emission Factors '!$K$4)</f>
        <v>#VALUE!</v>
      </c>
      <c r="O85" s="611" t="e">
        <f>(O72+O73*0.5)*($H$64*'CLCPA Emission Factors Hub'!$G$14*$C$20+$I$65*'CLCPA Emission Factors Hub'!$G$15*$C$21+($J$64*$C$20+$J$65*$C$21)*'CLCPA Grid Emission Factors '!$K$4)</f>
        <v>#VALUE!</v>
      </c>
      <c r="P85" s="611" t="e">
        <f>(P72+P73*0.5)*($H$64*'CLCPA Emission Factors Hub'!$G$14*$C$20+$I$65*'CLCPA Emission Factors Hub'!$G$15*$C$21+($J$64*$C$20+$J$65*$C$21)*'CLCPA Grid Emission Factors '!$K$4)</f>
        <v>#VALUE!</v>
      </c>
      <c r="Q85" s="611" t="e">
        <f>(Q72+Q73*0.5)*($H$64*'CLCPA Emission Factors Hub'!$G$14*$C$20+$I$65*'CLCPA Emission Factors Hub'!$G$15*$C$21+($J$64*$C$20+$J$65*$C$21)*'CLCPA Grid Emission Factors '!$K$4)</f>
        <v>#VALUE!</v>
      </c>
      <c r="R85" s="611" t="e">
        <f>(R72+R73*0.5)*($H$64*'CLCPA Emission Factors Hub'!$G$14*$C$20+$I$65*'CLCPA Emission Factors Hub'!$G$15*$C$21+($J$64*$C$20+$J$65*$C$21)*'CLCPA Grid Emission Factors '!$K$4)</f>
        <v>#VALUE!</v>
      </c>
      <c r="S85" s="611" t="e">
        <f>(S72+S73*0.5)*($H$64*'CLCPA Emission Factors Hub'!$G$14*$C$20+$I$65*'CLCPA Emission Factors Hub'!$G$15*$C$21+($J$64*$C$20+$J$65*$C$21)*'CLCPA Grid Emission Factors '!$K$4)</f>
        <v>#VALUE!</v>
      </c>
      <c r="T85" s="611" t="e">
        <f>(T72+T73*0.5)*($H$64*'CLCPA Emission Factors Hub'!$G$14*$C$20+$I$65*'CLCPA Emission Factors Hub'!$G$15*$C$21+($J$64*$C$20+$J$65*$C$21)*'CLCPA Grid Emission Factors '!$K$4)</f>
        <v>#VALUE!</v>
      </c>
      <c r="U85" s="611" t="e">
        <f>(U72+U73*0.5)*($H$64*'CLCPA Emission Factors Hub'!$G$14*$C$20+$I$65*'CLCPA Emission Factors Hub'!$G$15*$C$21+($J$64*$C$20+$J$65*$C$21)*'CLCPA Grid Emission Factors '!$K$4)</f>
        <v>#VALUE!</v>
      </c>
      <c r="V85" s="611" t="e">
        <f>(V72+V73*0.5)*($H$64*'CLCPA Emission Factors Hub'!$G$14*$C$20+$I$65*'CLCPA Emission Factors Hub'!$G$15*$C$21+($J$64*$C$20+$J$65*$C$21)*'CLCPA Grid Emission Factors '!$K$4)</f>
        <v>#VALUE!</v>
      </c>
      <c r="W85" s="611" t="e">
        <f>(W72+W73*0.5)*($H$64*'CLCPA Emission Factors Hub'!$G$14*$C$20+$I$65*'CLCPA Emission Factors Hub'!$G$15*$C$21+($J$64*$C$20+$J$65*$C$21)*'CLCPA Grid Emission Factors '!$K$4)</f>
        <v>#VALUE!</v>
      </c>
      <c r="X85" s="611" t="e">
        <f>(X72+X73*0.5)*($H$64*'CLCPA Emission Factors Hub'!$G$14*$C$20+$I$65*'CLCPA Emission Factors Hub'!$G$15*$C$21+($J$64*$C$20+$J$65*$C$21)*'CLCPA Grid Emission Factors '!$K$4)</f>
        <v>#VALUE!</v>
      </c>
      <c r="Y85" s="611" t="e">
        <f>(Y72+Y73*0.5)*($H$64*'CLCPA Emission Factors Hub'!$G$14*$C$20+$I$65*'CLCPA Emission Factors Hub'!$G$15*$C$21+($J$64*$C$20+$J$65*$C$21)*'CLCPA Grid Emission Factors '!$K$4)</f>
        <v>#VALUE!</v>
      </c>
      <c r="Z85" s="611" t="e">
        <f>(Z72+Z73*0.5)*($H$64*'CLCPA Emission Factors Hub'!$G$14*$C$20+$I$65*'CLCPA Emission Factors Hub'!$G$15*$C$21+($J$64*$C$20+$J$65*$C$21)*'CLCPA Grid Emission Factors '!$K$4)</f>
        <v>#VALUE!</v>
      </c>
      <c r="AA85" s="611" t="e">
        <f>(AA72+AA73*0.5)*($H$64*'CLCPA Emission Factors Hub'!$G$14*$C$20+$I$65*'CLCPA Emission Factors Hub'!$G$15*$C$21+($J$64*$C$20+$J$65*$C$21)*'CLCPA Grid Emission Factors '!$K$4)</f>
        <v>#VALUE!</v>
      </c>
      <c r="AB85" s="611" t="e">
        <f>(AB72+AB73*0.5)*($H$64*'CLCPA Emission Factors Hub'!$G$14*$C$20+$I$65*'CLCPA Emission Factors Hub'!$G$15*$C$21+($J$64*$C$20+$J$65*$C$21)*'CLCPA Grid Emission Factors '!$K$4)</f>
        <v>#VALUE!</v>
      </c>
    </row>
    <row r="87" spans="2:28">
      <c r="B87" s="216" t="s">
        <v>202</v>
      </c>
      <c r="C87" s="602"/>
      <c r="D87" s="602"/>
      <c r="E87" s="602"/>
      <c r="F87" s="602"/>
      <c r="G87" s="602"/>
      <c r="H87" s="602"/>
      <c r="I87" s="602"/>
      <c r="J87" s="602"/>
      <c r="K87" s="602"/>
      <c r="L87" s="602"/>
      <c r="M87" s="602"/>
      <c r="N87" s="602"/>
      <c r="O87" s="602"/>
      <c r="P87" s="602"/>
      <c r="Q87" s="602"/>
      <c r="R87" s="602"/>
      <c r="S87" s="602"/>
      <c r="T87" s="602"/>
      <c r="U87" s="602"/>
      <c r="V87" s="602"/>
      <c r="W87" s="602"/>
      <c r="X87" s="602"/>
      <c r="Y87" s="602"/>
      <c r="Z87" s="602"/>
      <c r="AA87" s="602"/>
      <c r="AB87" s="602"/>
    </row>
    <row r="88" spans="2:28" s="4" customFormat="1">
      <c r="B88" s="290"/>
      <c r="C88" s="290">
        <v>2025</v>
      </c>
      <c r="D88" s="290">
        <f t="shared" ref="D88:AB88" si="37">C88+1</f>
        <v>2026</v>
      </c>
      <c r="E88" s="290">
        <f t="shared" si="37"/>
        <v>2027</v>
      </c>
      <c r="F88" s="290">
        <f t="shared" si="37"/>
        <v>2028</v>
      </c>
      <c r="G88" s="290">
        <f t="shared" si="37"/>
        <v>2029</v>
      </c>
      <c r="H88" s="290">
        <f t="shared" si="37"/>
        <v>2030</v>
      </c>
      <c r="I88" s="290">
        <f t="shared" si="37"/>
        <v>2031</v>
      </c>
      <c r="J88" s="290">
        <f t="shared" si="37"/>
        <v>2032</v>
      </c>
      <c r="K88" s="290">
        <f t="shared" si="37"/>
        <v>2033</v>
      </c>
      <c r="L88" s="290">
        <f t="shared" si="37"/>
        <v>2034</v>
      </c>
      <c r="M88" s="290">
        <f t="shared" si="37"/>
        <v>2035</v>
      </c>
      <c r="N88" s="290">
        <f t="shared" si="37"/>
        <v>2036</v>
      </c>
      <c r="O88" s="290">
        <f t="shared" si="37"/>
        <v>2037</v>
      </c>
      <c r="P88" s="290">
        <f>O88+1</f>
        <v>2038</v>
      </c>
      <c r="Q88" s="290">
        <f>P88+1</f>
        <v>2039</v>
      </c>
      <c r="R88" s="290">
        <f t="shared" si="37"/>
        <v>2040</v>
      </c>
      <c r="S88" s="290">
        <f t="shared" si="37"/>
        <v>2041</v>
      </c>
      <c r="T88" s="290">
        <f t="shared" si="37"/>
        <v>2042</v>
      </c>
      <c r="U88" s="290">
        <f t="shared" si="37"/>
        <v>2043</v>
      </c>
      <c r="V88" s="290">
        <f t="shared" si="37"/>
        <v>2044</v>
      </c>
      <c r="W88" s="290">
        <f t="shared" si="37"/>
        <v>2045</v>
      </c>
      <c r="X88" s="290">
        <f t="shared" si="37"/>
        <v>2046</v>
      </c>
      <c r="Y88" s="290">
        <f t="shared" si="37"/>
        <v>2047</v>
      </c>
      <c r="Z88" s="290">
        <f t="shared" si="37"/>
        <v>2048</v>
      </c>
      <c r="AA88" s="290">
        <f t="shared" si="37"/>
        <v>2049</v>
      </c>
      <c r="AB88" s="290">
        <f t="shared" si="37"/>
        <v>2050</v>
      </c>
    </row>
    <row r="89" spans="2:28">
      <c r="B89" s="355" t="s">
        <v>161</v>
      </c>
      <c r="C89" s="357"/>
      <c r="D89" s="356" t="e">
        <f>D$75*'Buildings Inputs'!$C102/10^3</f>
        <v>#VALUE!</v>
      </c>
      <c r="E89" s="356" t="e">
        <f>E$75*'Buildings Inputs'!$C102/10^3</f>
        <v>#VALUE!</v>
      </c>
      <c r="F89" s="356" t="e">
        <f>F$75*'Buildings Inputs'!$C102/10^3</f>
        <v>#VALUE!</v>
      </c>
      <c r="G89" s="356" t="e">
        <f>G$75*'Buildings Inputs'!$C102/10^3</f>
        <v>#VALUE!</v>
      </c>
      <c r="H89" s="356" t="e">
        <f>H$75*'Buildings Inputs'!$C102/10^3</f>
        <v>#VALUE!</v>
      </c>
      <c r="I89" s="356" t="e">
        <f>I$75*'Buildings Inputs'!$C102/10^3</f>
        <v>#VALUE!</v>
      </c>
      <c r="J89" s="356" t="e">
        <f>J$75*'Buildings Inputs'!$C102/10^3</f>
        <v>#VALUE!</v>
      </c>
      <c r="K89" s="356" t="e">
        <f>K$75*'Buildings Inputs'!$C102/10^3</f>
        <v>#VALUE!</v>
      </c>
      <c r="L89" s="356" t="e">
        <f>L$75*'Buildings Inputs'!$C102/10^3</f>
        <v>#VALUE!</v>
      </c>
      <c r="M89" s="356" t="e">
        <f>M$75*'Buildings Inputs'!$C102/10^3</f>
        <v>#VALUE!</v>
      </c>
      <c r="N89" s="356" t="e">
        <f>N$75*'Buildings Inputs'!$C102/10^3</f>
        <v>#VALUE!</v>
      </c>
      <c r="O89" s="356" t="e">
        <f>O$75*'Buildings Inputs'!$C102/10^3</f>
        <v>#VALUE!</v>
      </c>
      <c r="P89" s="356" t="e">
        <f>P$75*'Buildings Inputs'!$C102/10^3</f>
        <v>#VALUE!</v>
      </c>
      <c r="Q89" s="356" t="e">
        <f>Q$75*'Buildings Inputs'!$C102/10^3</f>
        <v>#VALUE!</v>
      </c>
      <c r="R89" s="356" t="e">
        <f>R$75*'Buildings Inputs'!$C102/10^3</f>
        <v>#VALUE!</v>
      </c>
      <c r="S89" s="356" t="e">
        <f>S$75*'Buildings Inputs'!$C102/10^3</f>
        <v>#VALUE!</v>
      </c>
      <c r="T89" s="356" t="e">
        <f>T$75*'Buildings Inputs'!$C102/10^3</f>
        <v>#VALUE!</v>
      </c>
      <c r="U89" s="356" t="e">
        <f>U$75*'Buildings Inputs'!$C102/10^3</f>
        <v>#VALUE!</v>
      </c>
      <c r="V89" s="356" t="e">
        <f>V$75*'Buildings Inputs'!$C102/10^3</f>
        <v>#VALUE!</v>
      </c>
      <c r="W89" s="356" t="e">
        <f>W$75*'Buildings Inputs'!$C102/10^3</f>
        <v>#VALUE!</v>
      </c>
      <c r="X89" s="356" t="e">
        <f>X$75*'Buildings Inputs'!$C102/10^3</f>
        <v>#VALUE!</v>
      </c>
      <c r="Y89" s="356" t="e">
        <f>Y$75*'Buildings Inputs'!$C102/10^3</f>
        <v>#VALUE!</v>
      </c>
      <c r="Z89" s="356" t="e">
        <f>Z$75*'Buildings Inputs'!$C102/10^3</f>
        <v>#VALUE!</v>
      </c>
      <c r="AA89" s="356" t="e">
        <f>AA$75*'Buildings Inputs'!$C102/10^3</f>
        <v>#VALUE!</v>
      </c>
      <c r="AB89" s="356" t="e">
        <f>AB$75*'Buildings Inputs'!$C102/10^3</f>
        <v>#VALUE!</v>
      </c>
    </row>
    <row r="90" spans="2:28" s="319" customFormat="1">
      <c r="B90" s="355" t="s">
        <v>204</v>
      </c>
      <c r="C90" s="357"/>
      <c r="D90" s="356" t="e">
        <f>D$75*'Buildings Inputs'!$C103/10^3</f>
        <v>#VALUE!</v>
      </c>
      <c r="E90" s="356" t="e">
        <f>E$75*'Buildings Inputs'!$C103/10^3</f>
        <v>#VALUE!</v>
      </c>
      <c r="F90" s="356" t="e">
        <f>F$75*'Buildings Inputs'!$C103/10^3</f>
        <v>#VALUE!</v>
      </c>
      <c r="G90" s="356" t="e">
        <f>G$75*'Buildings Inputs'!$C103/10^3</f>
        <v>#VALUE!</v>
      </c>
      <c r="H90" s="356" t="e">
        <f>H$75*'Buildings Inputs'!$C103/10^3</f>
        <v>#VALUE!</v>
      </c>
      <c r="I90" s="356" t="e">
        <f>I$75*'Buildings Inputs'!$C103/10^3</f>
        <v>#VALUE!</v>
      </c>
      <c r="J90" s="356" t="e">
        <f>J$75*'Buildings Inputs'!$C103/10^3</f>
        <v>#VALUE!</v>
      </c>
      <c r="K90" s="356" t="e">
        <f>K$75*'Buildings Inputs'!$C103/10^3</f>
        <v>#VALUE!</v>
      </c>
      <c r="L90" s="356" t="e">
        <f>L$75*'Buildings Inputs'!$C103/10^3</f>
        <v>#VALUE!</v>
      </c>
      <c r="M90" s="356" t="e">
        <f>M$75*'Buildings Inputs'!$C103/10^3</f>
        <v>#VALUE!</v>
      </c>
      <c r="N90" s="356" t="e">
        <f>N$75*'Buildings Inputs'!$C103/10^3</f>
        <v>#VALUE!</v>
      </c>
      <c r="O90" s="356" t="e">
        <f>O$75*'Buildings Inputs'!$C103/10^3</f>
        <v>#VALUE!</v>
      </c>
      <c r="P90" s="356" t="e">
        <f>P$75*'Buildings Inputs'!$C103/10^3</f>
        <v>#VALUE!</v>
      </c>
      <c r="Q90" s="356" t="e">
        <f>Q$75*'Buildings Inputs'!$C103/10^3</f>
        <v>#VALUE!</v>
      </c>
      <c r="R90" s="356" t="e">
        <f>R$75*'Buildings Inputs'!$C103/10^3</f>
        <v>#VALUE!</v>
      </c>
      <c r="S90" s="356" t="e">
        <f>S$75*'Buildings Inputs'!$C103/10^3</f>
        <v>#VALUE!</v>
      </c>
      <c r="T90" s="356" t="e">
        <f>T$75*'Buildings Inputs'!$C103/10^3</f>
        <v>#VALUE!</v>
      </c>
      <c r="U90" s="356" t="e">
        <f>U$75*'Buildings Inputs'!$C103/10^3</f>
        <v>#VALUE!</v>
      </c>
      <c r="V90" s="356" t="e">
        <f>V$75*'Buildings Inputs'!$C103/10^3</f>
        <v>#VALUE!</v>
      </c>
      <c r="W90" s="356" t="e">
        <f>W$75*'Buildings Inputs'!$C103/10^3</f>
        <v>#VALUE!</v>
      </c>
      <c r="X90" s="356" t="e">
        <f>X$75*'Buildings Inputs'!$C103/10^3</f>
        <v>#VALUE!</v>
      </c>
      <c r="Y90" s="356" t="e">
        <f>Y$75*'Buildings Inputs'!$C103/10^3</f>
        <v>#VALUE!</v>
      </c>
      <c r="Z90" s="356" t="e">
        <f>Z$75*'Buildings Inputs'!$C103/10^3</f>
        <v>#VALUE!</v>
      </c>
      <c r="AA90" s="356" t="e">
        <f>AA$75*'Buildings Inputs'!$C103/10^3</f>
        <v>#VALUE!</v>
      </c>
      <c r="AB90" s="356" t="e">
        <f>AB$75*'Buildings Inputs'!$C103/10^3</f>
        <v>#VALUE!</v>
      </c>
    </row>
    <row r="91" spans="2:28" s="319" customFormat="1">
      <c r="B91" s="355" t="s">
        <v>164</v>
      </c>
      <c r="C91" s="357"/>
      <c r="D91" s="356" t="e">
        <f>D$75*'Buildings Inputs'!$C104/10^3</f>
        <v>#VALUE!</v>
      </c>
      <c r="E91" s="356" t="e">
        <f>E$75*'Buildings Inputs'!$C104/10^3</f>
        <v>#VALUE!</v>
      </c>
      <c r="F91" s="356" t="e">
        <f>F$75*'Buildings Inputs'!$C104/10^3</f>
        <v>#VALUE!</v>
      </c>
      <c r="G91" s="356" t="e">
        <f>G$75*'Buildings Inputs'!$C104/10^3</f>
        <v>#VALUE!</v>
      </c>
      <c r="H91" s="356" t="e">
        <f>H$75*'Buildings Inputs'!$C104/10^3</f>
        <v>#VALUE!</v>
      </c>
      <c r="I91" s="356" t="e">
        <f>I$75*'Buildings Inputs'!$C104/10^3</f>
        <v>#VALUE!</v>
      </c>
      <c r="J91" s="356" t="e">
        <f>J$75*'Buildings Inputs'!$C104/10^3</f>
        <v>#VALUE!</v>
      </c>
      <c r="K91" s="356" t="e">
        <f>K$75*'Buildings Inputs'!$C104/10^3</f>
        <v>#VALUE!</v>
      </c>
      <c r="L91" s="356" t="e">
        <f>L$75*'Buildings Inputs'!$C104/10^3</f>
        <v>#VALUE!</v>
      </c>
      <c r="M91" s="356" t="e">
        <f>M$75*'Buildings Inputs'!$C104/10^3</f>
        <v>#VALUE!</v>
      </c>
      <c r="N91" s="356" t="e">
        <f>N$75*'Buildings Inputs'!$C104/10^3</f>
        <v>#VALUE!</v>
      </c>
      <c r="O91" s="356" t="e">
        <f>O$75*'Buildings Inputs'!$C104/10^3</f>
        <v>#VALUE!</v>
      </c>
      <c r="P91" s="356" t="e">
        <f>P$75*'Buildings Inputs'!$C104/10^3</f>
        <v>#VALUE!</v>
      </c>
      <c r="Q91" s="356" t="e">
        <f>Q$75*'Buildings Inputs'!$C104/10^3</f>
        <v>#VALUE!</v>
      </c>
      <c r="R91" s="356" t="e">
        <f>R$75*'Buildings Inputs'!$C104/10^3</f>
        <v>#VALUE!</v>
      </c>
      <c r="S91" s="356" t="e">
        <f>S$75*'Buildings Inputs'!$C104/10^3</f>
        <v>#VALUE!</v>
      </c>
      <c r="T91" s="356" t="e">
        <f>T$75*'Buildings Inputs'!$C104/10^3</f>
        <v>#VALUE!</v>
      </c>
      <c r="U91" s="356" t="e">
        <f>U$75*'Buildings Inputs'!$C104/10^3</f>
        <v>#VALUE!</v>
      </c>
      <c r="V91" s="356" t="e">
        <f>V$75*'Buildings Inputs'!$C104/10^3</f>
        <v>#VALUE!</v>
      </c>
      <c r="W91" s="356" t="e">
        <f>W$75*'Buildings Inputs'!$C104/10^3</f>
        <v>#VALUE!</v>
      </c>
      <c r="X91" s="356" t="e">
        <f>X$75*'Buildings Inputs'!$C104/10^3</f>
        <v>#VALUE!</v>
      </c>
      <c r="Y91" s="356" t="e">
        <f>Y$75*'Buildings Inputs'!$C104/10^3</f>
        <v>#VALUE!</v>
      </c>
      <c r="Z91" s="356" t="e">
        <f>Z$75*'Buildings Inputs'!$C104/10^3</f>
        <v>#VALUE!</v>
      </c>
      <c r="AA91" s="356" t="e">
        <f>AA$75*'Buildings Inputs'!$C104/10^3</f>
        <v>#VALUE!</v>
      </c>
      <c r="AB91" s="356" t="e">
        <f>AB$75*'Buildings Inputs'!$C104/10^3</f>
        <v>#VALUE!</v>
      </c>
    </row>
    <row r="92" spans="2:28" s="319" customFormat="1">
      <c r="B92" s="355" t="s">
        <v>165</v>
      </c>
      <c r="C92" s="357"/>
      <c r="D92" s="356" t="e">
        <f>D$75*'Buildings Inputs'!$C105/10^3</f>
        <v>#VALUE!</v>
      </c>
      <c r="E92" s="356" t="e">
        <f>E$75*'Buildings Inputs'!$C105/10^3</f>
        <v>#VALUE!</v>
      </c>
      <c r="F92" s="356" t="e">
        <f>F$75*'Buildings Inputs'!$C105/10^3</f>
        <v>#VALUE!</v>
      </c>
      <c r="G92" s="356" t="e">
        <f>G$75*'Buildings Inputs'!$C105/10^3</f>
        <v>#VALUE!</v>
      </c>
      <c r="H92" s="356" t="e">
        <f>H$75*'Buildings Inputs'!$C105/10^3</f>
        <v>#VALUE!</v>
      </c>
      <c r="I92" s="356" t="e">
        <f>I$75*'Buildings Inputs'!$C105/10^3</f>
        <v>#VALUE!</v>
      </c>
      <c r="J92" s="356" t="e">
        <f>J$75*'Buildings Inputs'!$C105/10^3</f>
        <v>#VALUE!</v>
      </c>
      <c r="K92" s="356" t="e">
        <f>K$75*'Buildings Inputs'!$C105/10^3</f>
        <v>#VALUE!</v>
      </c>
      <c r="L92" s="356" t="e">
        <f>L$75*'Buildings Inputs'!$C105/10^3</f>
        <v>#VALUE!</v>
      </c>
      <c r="M92" s="356" t="e">
        <f>M$75*'Buildings Inputs'!$C105/10^3</f>
        <v>#VALUE!</v>
      </c>
      <c r="N92" s="356" t="e">
        <f>N$75*'Buildings Inputs'!$C105/10^3</f>
        <v>#VALUE!</v>
      </c>
      <c r="O92" s="356" t="e">
        <f>O$75*'Buildings Inputs'!$C105/10^3</f>
        <v>#VALUE!</v>
      </c>
      <c r="P92" s="356" t="e">
        <f>P$75*'Buildings Inputs'!$C105/10^3</f>
        <v>#VALUE!</v>
      </c>
      <c r="Q92" s="356" t="e">
        <f>Q$75*'Buildings Inputs'!$C105/10^3</f>
        <v>#VALUE!</v>
      </c>
      <c r="R92" s="356" t="e">
        <f>R$75*'Buildings Inputs'!$C105/10^3</f>
        <v>#VALUE!</v>
      </c>
      <c r="S92" s="356" t="e">
        <f>S$75*'Buildings Inputs'!$C105/10^3</f>
        <v>#VALUE!</v>
      </c>
      <c r="T92" s="356" t="e">
        <f>T$75*'Buildings Inputs'!$C105/10^3</f>
        <v>#VALUE!</v>
      </c>
      <c r="U92" s="356" t="e">
        <f>U$75*'Buildings Inputs'!$C105/10^3</f>
        <v>#VALUE!</v>
      </c>
      <c r="V92" s="356" t="e">
        <f>V$75*'Buildings Inputs'!$C105/10^3</f>
        <v>#VALUE!</v>
      </c>
      <c r="W92" s="356" t="e">
        <f>W$75*'Buildings Inputs'!$C105/10^3</f>
        <v>#VALUE!</v>
      </c>
      <c r="X92" s="356" t="e">
        <f>X$75*'Buildings Inputs'!$C105/10^3</f>
        <v>#VALUE!</v>
      </c>
      <c r="Y92" s="356" t="e">
        <f>Y$75*'Buildings Inputs'!$C105/10^3</f>
        <v>#VALUE!</v>
      </c>
      <c r="Z92" s="356" t="e">
        <f>Z$75*'Buildings Inputs'!$C105/10^3</f>
        <v>#VALUE!</v>
      </c>
      <c r="AA92" s="356" t="e">
        <f>AA$75*'Buildings Inputs'!$C105/10^3</f>
        <v>#VALUE!</v>
      </c>
      <c r="AB92" s="356" t="e">
        <f>AB$75*'Buildings Inputs'!$C105/10^3</f>
        <v>#VALUE!</v>
      </c>
    </row>
    <row r="93" spans="2:28" s="319" customFormat="1">
      <c r="B93" s="355" t="s">
        <v>166</v>
      </c>
      <c r="C93" s="357"/>
      <c r="D93" s="356" t="e">
        <f>D$75*'Buildings Inputs'!$C106/10^3</f>
        <v>#VALUE!</v>
      </c>
      <c r="E93" s="356" t="e">
        <f>E$75*'Buildings Inputs'!$C106/10^3</f>
        <v>#VALUE!</v>
      </c>
      <c r="F93" s="356" t="e">
        <f>F$75*'Buildings Inputs'!$C106/10^3</f>
        <v>#VALUE!</v>
      </c>
      <c r="G93" s="356" t="e">
        <f>G$75*'Buildings Inputs'!$C106/10^3</f>
        <v>#VALUE!</v>
      </c>
      <c r="H93" s="356" t="e">
        <f>H$75*'Buildings Inputs'!$C106/10^3</f>
        <v>#VALUE!</v>
      </c>
      <c r="I93" s="356" t="e">
        <f>I$75*'Buildings Inputs'!$C106/10^3</f>
        <v>#VALUE!</v>
      </c>
      <c r="J93" s="356" t="e">
        <f>J$75*'Buildings Inputs'!$C106/10^3</f>
        <v>#VALUE!</v>
      </c>
      <c r="K93" s="356" t="e">
        <f>K$75*'Buildings Inputs'!$C106/10^3</f>
        <v>#VALUE!</v>
      </c>
      <c r="L93" s="356" t="e">
        <f>L$75*'Buildings Inputs'!$C106/10^3</f>
        <v>#VALUE!</v>
      </c>
      <c r="M93" s="356" t="e">
        <f>M$75*'Buildings Inputs'!$C106/10^3</f>
        <v>#VALUE!</v>
      </c>
      <c r="N93" s="356" t="e">
        <f>N$75*'Buildings Inputs'!$C106/10^3</f>
        <v>#VALUE!</v>
      </c>
      <c r="O93" s="356" t="e">
        <f>O$75*'Buildings Inputs'!$C106/10^3</f>
        <v>#VALUE!</v>
      </c>
      <c r="P93" s="356" t="e">
        <f>P$75*'Buildings Inputs'!$C106/10^3</f>
        <v>#VALUE!</v>
      </c>
      <c r="Q93" s="356" t="e">
        <f>Q$75*'Buildings Inputs'!$C106/10^3</f>
        <v>#VALUE!</v>
      </c>
      <c r="R93" s="356" t="e">
        <f>R$75*'Buildings Inputs'!$C106/10^3</f>
        <v>#VALUE!</v>
      </c>
      <c r="S93" s="356" t="e">
        <f>S$75*'Buildings Inputs'!$C106/10^3</f>
        <v>#VALUE!</v>
      </c>
      <c r="T93" s="356" t="e">
        <f>T$75*'Buildings Inputs'!$C106/10^3</f>
        <v>#VALUE!</v>
      </c>
      <c r="U93" s="356" t="e">
        <f>U$75*'Buildings Inputs'!$C106/10^3</f>
        <v>#VALUE!</v>
      </c>
      <c r="V93" s="356" t="e">
        <f>V$75*'Buildings Inputs'!$C106/10^3</f>
        <v>#VALUE!</v>
      </c>
      <c r="W93" s="356" t="e">
        <f>W$75*'Buildings Inputs'!$C106/10^3</f>
        <v>#VALUE!</v>
      </c>
      <c r="X93" s="356" t="e">
        <f>X$75*'Buildings Inputs'!$C106/10^3</f>
        <v>#VALUE!</v>
      </c>
      <c r="Y93" s="356" t="e">
        <f>Y$75*'Buildings Inputs'!$C106/10^3</f>
        <v>#VALUE!</v>
      </c>
      <c r="Z93" s="356" t="e">
        <f>Z$75*'Buildings Inputs'!$C106/10^3</f>
        <v>#VALUE!</v>
      </c>
      <c r="AA93" s="356" t="e">
        <f>AA$75*'Buildings Inputs'!$C106/10^3</f>
        <v>#VALUE!</v>
      </c>
      <c r="AB93" s="356" t="e">
        <f>AB$75*'Buildings Inputs'!$C106/10^3</f>
        <v>#VALUE!</v>
      </c>
    </row>
    <row r="95" spans="2:28">
      <c r="B95" s="601" t="s">
        <v>203</v>
      </c>
      <c r="C95" s="602"/>
      <c r="D95" s="602"/>
      <c r="E95" s="602"/>
      <c r="F95" s="602"/>
      <c r="G95" s="602"/>
      <c r="H95" s="602"/>
      <c r="I95" s="602"/>
      <c r="J95" s="602"/>
      <c r="K95" s="602"/>
      <c r="L95" s="602"/>
      <c r="M95" s="602"/>
      <c r="N95" s="602"/>
      <c r="O95" s="602"/>
      <c r="P95" s="602"/>
      <c r="Q95" s="602"/>
      <c r="R95" s="602"/>
      <c r="S95" s="602"/>
      <c r="T95" s="602"/>
      <c r="U95" s="602"/>
      <c r="V95" s="602"/>
      <c r="W95" s="602"/>
      <c r="X95" s="602"/>
      <c r="Y95" s="602"/>
      <c r="Z95" s="602"/>
      <c r="AA95" s="602"/>
      <c r="AB95" s="602"/>
    </row>
    <row r="96" spans="2:28" s="4" customFormat="1">
      <c r="B96" s="290"/>
      <c r="C96" s="290">
        <v>2025</v>
      </c>
      <c r="D96" s="290">
        <f t="shared" ref="D96:O96" si="38">C96+1</f>
        <v>2026</v>
      </c>
      <c r="E96" s="290">
        <f t="shared" si="38"/>
        <v>2027</v>
      </c>
      <c r="F96" s="290">
        <f t="shared" si="38"/>
        <v>2028</v>
      </c>
      <c r="G96" s="290">
        <f t="shared" si="38"/>
        <v>2029</v>
      </c>
      <c r="H96" s="290">
        <f t="shared" si="38"/>
        <v>2030</v>
      </c>
      <c r="I96" s="290">
        <f t="shared" si="38"/>
        <v>2031</v>
      </c>
      <c r="J96" s="290">
        <f t="shared" si="38"/>
        <v>2032</v>
      </c>
      <c r="K96" s="290">
        <f t="shared" si="38"/>
        <v>2033</v>
      </c>
      <c r="L96" s="290">
        <f t="shared" si="38"/>
        <v>2034</v>
      </c>
      <c r="M96" s="290">
        <f t="shared" si="38"/>
        <v>2035</v>
      </c>
      <c r="N96" s="290">
        <f t="shared" si="38"/>
        <v>2036</v>
      </c>
      <c r="O96" s="290">
        <f t="shared" si="38"/>
        <v>2037</v>
      </c>
      <c r="P96" s="290">
        <f>O96+1</f>
        <v>2038</v>
      </c>
      <c r="Q96" s="290">
        <f>P96+1</f>
        <v>2039</v>
      </c>
      <c r="R96" s="290">
        <f t="shared" ref="R96:AB96" si="39">Q96+1</f>
        <v>2040</v>
      </c>
      <c r="S96" s="290">
        <f t="shared" si="39"/>
        <v>2041</v>
      </c>
      <c r="T96" s="290">
        <f t="shared" si="39"/>
        <v>2042</v>
      </c>
      <c r="U96" s="290">
        <f t="shared" si="39"/>
        <v>2043</v>
      </c>
      <c r="V96" s="290">
        <f t="shared" si="39"/>
        <v>2044</v>
      </c>
      <c r="W96" s="290">
        <f t="shared" si="39"/>
        <v>2045</v>
      </c>
      <c r="X96" s="290">
        <f t="shared" si="39"/>
        <v>2046</v>
      </c>
      <c r="Y96" s="290">
        <f t="shared" si="39"/>
        <v>2047</v>
      </c>
      <c r="Z96" s="290">
        <f t="shared" si="39"/>
        <v>2048</v>
      </c>
      <c r="AA96" s="290">
        <f t="shared" si="39"/>
        <v>2049</v>
      </c>
      <c r="AB96" s="290">
        <f t="shared" si="39"/>
        <v>2050</v>
      </c>
    </row>
    <row r="97" spans="2:28" s="319" customFormat="1">
      <c r="B97" s="355" t="s">
        <v>161</v>
      </c>
      <c r="C97" s="356">
        <f>C89*$C$24</f>
        <v>0</v>
      </c>
      <c r="D97" s="356" t="e">
        <f t="shared" ref="D97:AB101" si="40">D89*$C$24</f>
        <v>#VALUE!</v>
      </c>
      <c r="E97" s="356" t="e">
        <f t="shared" si="40"/>
        <v>#VALUE!</v>
      </c>
      <c r="F97" s="356" t="e">
        <f t="shared" si="40"/>
        <v>#VALUE!</v>
      </c>
      <c r="G97" s="356" t="e">
        <f t="shared" si="40"/>
        <v>#VALUE!</v>
      </c>
      <c r="H97" s="356" t="e">
        <f t="shared" si="40"/>
        <v>#VALUE!</v>
      </c>
      <c r="I97" s="356" t="e">
        <f t="shared" si="40"/>
        <v>#VALUE!</v>
      </c>
      <c r="J97" s="356" t="e">
        <f t="shared" si="40"/>
        <v>#VALUE!</v>
      </c>
      <c r="K97" s="356" t="e">
        <f t="shared" si="40"/>
        <v>#VALUE!</v>
      </c>
      <c r="L97" s="356" t="e">
        <f t="shared" si="40"/>
        <v>#VALUE!</v>
      </c>
      <c r="M97" s="356" t="e">
        <f t="shared" si="40"/>
        <v>#VALUE!</v>
      </c>
      <c r="N97" s="356" t="e">
        <f t="shared" si="40"/>
        <v>#VALUE!</v>
      </c>
      <c r="O97" s="356" t="e">
        <f t="shared" si="40"/>
        <v>#VALUE!</v>
      </c>
      <c r="P97" s="356" t="e">
        <f t="shared" si="40"/>
        <v>#VALUE!</v>
      </c>
      <c r="Q97" s="356" t="e">
        <f t="shared" si="40"/>
        <v>#VALUE!</v>
      </c>
      <c r="R97" s="356" t="e">
        <f t="shared" si="40"/>
        <v>#VALUE!</v>
      </c>
      <c r="S97" s="356" t="e">
        <f t="shared" si="40"/>
        <v>#VALUE!</v>
      </c>
      <c r="T97" s="356" t="e">
        <f t="shared" si="40"/>
        <v>#VALUE!</v>
      </c>
      <c r="U97" s="356" t="e">
        <f t="shared" si="40"/>
        <v>#VALUE!</v>
      </c>
      <c r="V97" s="356" t="e">
        <f t="shared" si="40"/>
        <v>#VALUE!</v>
      </c>
      <c r="W97" s="356" t="e">
        <f t="shared" si="40"/>
        <v>#VALUE!</v>
      </c>
      <c r="X97" s="356" t="e">
        <f t="shared" si="40"/>
        <v>#VALUE!</v>
      </c>
      <c r="Y97" s="356" t="e">
        <f t="shared" si="40"/>
        <v>#VALUE!</v>
      </c>
      <c r="Z97" s="356" t="e">
        <f t="shared" si="40"/>
        <v>#VALUE!</v>
      </c>
      <c r="AA97" s="356" t="e">
        <f t="shared" si="40"/>
        <v>#VALUE!</v>
      </c>
      <c r="AB97" s="356" t="e">
        <f t="shared" si="40"/>
        <v>#VALUE!</v>
      </c>
    </row>
    <row r="98" spans="2:28" s="319" customFormat="1">
      <c r="B98" s="355" t="s">
        <v>204</v>
      </c>
      <c r="C98" s="356">
        <f t="shared" ref="C98:R101" si="41">C90*$C$24</f>
        <v>0</v>
      </c>
      <c r="D98" s="356" t="e">
        <f t="shared" si="41"/>
        <v>#VALUE!</v>
      </c>
      <c r="E98" s="356" t="e">
        <f t="shared" si="41"/>
        <v>#VALUE!</v>
      </c>
      <c r="F98" s="356" t="e">
        <f t="shared" si="41"/>
        <v>#VALUE!</v>
      </c>
      <c r="G98" s="356" t="e">
        <f t="shared" si="41"/>
        <v>#VALUE!</v>
      </c>
      <c r="H98" s="356" t="e">
        <f t="shared" si="41"/>
        <v>#VALUE!</v>
      </c>
      <c r="I98" s="356" t="e">
        <f t="shared" si="41"/>
        <v>#VALUE!</v>
      </c>
      <c r="J98" s="356" t="e">
        <f t="shared" si="41"/>
        <v>#VALUE!</v>
      </c>
      <c r="K98" s="356" t="e">
        <f t="shared" si="41"/>
        <v>#VALUE!</v>
      </c>
      <c r="L98" s="356" t="e">
        <f t="shared" si="41"/>
        <v>#VALUE!</v>
      </c>
      <c r="M98" s="356" t="e">
        <f t="shared" si="41"/>
        <v>#VALUE!</v>
      </c>
      <c r="N98" s="356" t="e">
        <f t="shared" si="41"/>
        <v>#VALUE!</v>
      </c>
      <c r="O98" s="356" t="e">
        <f t="shared" si="41"/>
        <v>#VALUE!</v>
      </c>
      <c r="P98" s="356" t="e">
        <f t="shared" si="41"/>
        <v>#VALUE!</v>
      </c>
      <c r="Q98" s="356" t="e">
        <f t="shared" si="41"/>
        <v>#VALUE!</v>
      </c>
      <c r="R98" s="356" t="e">
        <f t="shared" si="41"/>
        <v>#VALUE!</v>
      </c>
      <c r="S98" s="356" t="e">
        <f t="shared" si="40"/>
        <v>#VALUE!</v>
      </c>
      <c r="T98" s="356" t="e">
        <f t="shared" si="40"/>
        <v>#VALUE!</v>
      </c>
      <c r="U98" s="356" t="e">
        <f t="shared" si="40"/>
        <v>#VALUE!</v>
      </c>
      <c r="V98" s="356" t="e">
        <f t="shared" si="40"/>
        <v>#VALUE!</v>
      </c>
      <c r="W98" s="356" t="e">
        <f t="shared" si="40"/>
        <v>#VALUE!</v>
      </c>
      <c r="X98" s="356" t="e">
        <f t="shared" si="40"/>
        <v>#VALUE!</v>
      </c>
      <c r="Y98" s="356" t="e">
        <f t="shared" si="40"/>
        <v>#VALUE!</v>
      </c>
      <c r="Z98" s="356" t="e">
        <f t="shared" si="40"/>
        <v>#VALUE!</v>
      </c>
      <c r="AA98" s="356" t="e">
        <f t="shared" si="40"/>
        <v>#VALUE!</v>
      </c>
      <c r="AB98" s="356" t="e">
        <f t="shared" si="40"/>
        <v>#VALUE!</v>
      </c>
    </row>
    <row r="99" spans="2:28" s="319" customFormat="1">
      <c r="B99" s="355" t="s">
        <v>164</v>
      </c>
      <c r="C99" s="356">
        <f t="shared" si="41"/>
        <v>0</v>
      </c>
      <c r="D99" s="356" t="e">
        <f t="shared" si="40"/>
        <v>#VALUE!</v>
      </c>
      <c r="E99" s="356" t="e">
        <f t="shared" si="40"/>
        <v>#VALUE!</v>
      </c>
      <c r="F99" s="356" t="e">
        <f t="shared" si="40"/>
        <v>#VALUE!</v>
      </c>
      <c r="G99" s="356" t="e">
        <f t="shared" si="40"/>
        <v>#VALUE!</v>
      </c>
      <c r="H99" s="356" t="e">
        <f t="shared" si="40"/>
        <v>#VALUE!</v>
      </c>
      <c r="I99" s="356" t="e">
        <f t="shared" si="40"/>
        <v>#VALUE!</v>
      </c>
      <c r="J99" s="356" t="e">
        <f t="shared" si="40"/>
        <v>#VALUE!</v>
      </c>
      <c r="K99" s="356" t="e">
        <f t="shared" si="40"/>
        <v>#VALUE!</v>
      </c>
      <c r="L99" s="356" t="e">
        <f t="shared" si="40"/>
        <v>#VALUE!</v>
      </c>
      <c r="M99" s="356" t="e">
        <f t="shared" si="40"/>
        <v>#VALUE!</v>
      </c>
      <c r="N99" s="356" t="e">
        <f t="shared" si="40"/>
        <v>#VALUE!</v>
      </c>
      <c r="O99" s="356" t="e">
        <f t="shared" si="40"/>
        <v>#VALUE!</v>
      </c>
      <c r="P99" s="356" t="e">
        <f t="shared" si="40"/>
        <v>#VALUE!</v>
      </c>
      <c r="Q99" s="356" t="e">
        <f t="shared" si="40"/>
        <v>#VALUE!</v>
      </c>
      <c r="R99" s="356" t="e">
        <f t="shared" si="40"/>
        <v>#VALUE!</v>
      </c>
      <c r="S99" s="356" t="e">
        <f t="shared" si="40"/>
        <v>#VALUE!</v>
      </c>
      <c r="T99" s="356" t="e">
        <f t="shared" si="40"/>
        <v>#VALUE!</v>
      </c>
      <c r="U99" s="356" t="e">
        <f t="shared" si="40"/>
        <v>#VALUE!</v>
      </c>
      <c r="V99" s="356" t="e">
        <f t="shared" si="40"/>
        <v>#VALUE!</v>
      </c>
      <c r="W99" s="356" t="e">
        <f t="shared" si="40"/>
        <v>#VALUE!</v>
      </c>
      <c r="X99" s="356" t="e">
        <f t="shared" si="40"/>
        <v>#VALUE!</v>
      </c>
      <c r="Y99" s="356" t="e">
        <f t="shared" si="40"/>
        <v>#VALUE!</v>
      </c>
      <c r="Z99" s="356" t="e">
        <f t="shared" si="40"/>
        <v>#VALUE!</v>
      </c>
      <c r="AA99" s="356" t="e">
        <f t="shared" si="40"/>
        <v>#VALUE!</v>
      </c>
      <c r="AB99" s="356" t="e">
        <f t="shared" si="40"/>
        <v>#VALUE!</v>
      </c>
    </row>
    <row r="100" spans="2:28" s="319" customFormat="1">
      <c r="B100" s="355" t="s">
        <v>165</v>
      </c>
      <c r="C100" s="356">
        <f t="shared" si="41"/>
        <v>0</v>
      </c>
      <c r="D100" s="356" t="e">
        <f t="shared" si="40"/>
        <v>#VALUE!</v>
      </c>
      <c r="E100" s="356" t="e">
        <f t="shared" si="40"/>
        <v>#VALUE!</v>
      </c>
      <c r="F100" s="356" t="e">
        <f t="shared" si="40"/>
        <v>#VALUE!</v>
      </c>
      <c r="G100" s="356" t="e">
        <f t="shared" si="40"/>
        <v>#VALUE!</v>
      </c>
      <c r="H100" s="356" t="e">
        <f t="shared" si="40"/>
        <v>#VALUE!</v>
      </c>
      <c r="I100" s="356" t="e">
        <f t="shared" si="40"/>
        <v>#VALUE!</v>
      </c>
      <c r="J100" s="356" t="e">
        <f t="shared" si="40"/>
        <v>#VALUE!</v>
      </c>
      <c r="K100" s="356" t="e">
        <f t="shared" si="40"/>
        <v>#VALUE!</v>
      </c>
      <c r="L100" s="356" t="e">
        <f t="shared" si="40"/>
        <v>#VALUE!</v>
      </c>
      <c r="M100" s="356" t="e">
        <f t="shared" si="40"/>
        <v>#VALUE!</v>
      </c>
      <c r="N100" s="356" t="e">
        <f t="shared" si="40"/>
        <v>#VALUE!</v>
      </c>
      <c r="O100" s="356" t="e">
        <f t="shared" si="40"/>
        <v>#VALUE!</v>
      </c>
      <c r="P100" s="356" t="e">
        <f t="shared" si="40"/>
        <v>#VALUE!</v>
      </c>
      <c r="Q100" s="356" t="e">
        <f t="shared" si="40"/>
        <v>#VALUE!</v>
      </c>
      <c r="R100" s="356" t="e">
        <f t="shared" si="40"/>
        <v>#VALUE!</v>
      </c>
      <c r="S100" s="356" t="e">
        <f t="shared" si="40"/>
        <v>#VALUE!</v>
      </c>
      <c r="T100" s="356" t="e">
        <f t="shared" si="40"/>
        <v>#VALUE!</v>
      </c>
      <c r="U100" s="356" t="e">
        <f t="shared" si="40"/>
        <v>#VALUE!</v>
      </c>
      <c r="V100" s="356" t="e">
        <f t="shared" si="40"/>
        <v>#VALUE!</v>
      </c>
      <c r="W100" s="356" t="e">
        <f t="shared" si="40"/>
        <v>#VALUE!</v>
      </c>
      <c r="X100" s="356" t="e">
        <f t="shared" si="40"/>
        <v>#VALUE!</v>
      </c>
      <c r="Y100" s="356" t="e">
        <f t="shared" si="40"/>
        <v>#VALUE!</v>
      </c>
      <c r="Z100" s="356" t="e">
        <f t="shared" si="40"/>
        <v>#VALUE!</v>
      </c>
      <c r="AA100" s="356" t="e">
        <f t="shared" si="40"/>
        <v>#VALUE!</v>
      </c>
      <c r="AB100" s="356" t="e">
        <f t="shared" si="40"/>
        <v>#VALUE!</v>
      </c>
    </row>
    <row r="101" spans="2:28" s="319" customFormat="1">
      <c r="B101" s="355" t="s">
        <v>166</v>
      </c>
      <c r="C101" s="356">
        <f t="shared" si="41"/>
        <v>0</v>
      </c>
      <c r="D101" s="356" t="e">
        <f t="shared" si="40"/>
        <v>#VALUE!</v>
      </c>
      <c r="E101" s="356" t="e">
        <f t="shared" si="40"/>
        <v>#VALUE!</v>
      </c>
      <c r="F101" s="356" t="e">
        <f t="shared" si="40"/>
        <v>#VALUE!</v>
      </c>
      <c r="G101" s="356" t="e">
        <f t="shared" si="40"/>
        <v>#VALUE!</v>
      </c>
      <c r="H101" s="356" t="e">
        <f t="shared" si="40"/>
        <v>#VALUE!</v>
      </c>
      <c r="I101" s="356" t="e">
        <f t="shared" si="40"/>
        <v>#VALUE!</v>
      </c>
      <c r="J101" s="356" t="e">
        <f t="shared" si="40"/>
        <v>#VALUE!</v>
      </c>
      <c r="K101" s="356" t="e">
        <f t="shared" si="40"/>
        <v>#VALUE!</v>
      </c>
      <c r="L101" s="356" t="e">
        <f t="shared" si="40"/>
        <v>#VALUE!</v>
      </c>
      <c r="M101" s="356" t="e">
        <f t="shared" si="40"/>
        <v>#VALUE!</v>
      </c>
      <c r="N101" s="356" t="e">
        <f t="shared" si="40"/>
        <v>#VALUE!</v>
      </c>
      <c r="O101" s="356" t="e">
        <f t="shared" si="40"/>
        <v>#VALUE!</v>
      </c>
      <c r="P101" s="356" t="e">
        <f t="shared" si="40"/>
        <v>#VALUE!</v>
      </c>
      <c r="Q101" s="356" t="e">
        <f t="shared" si="40"/>
        <v>#VALUE!</v>
      </c>
      <c r="R101" s="356" t="e">
        <f t="shared" si="40"/>
        <v>#VALUE!</v>
      </c>
      <c r="S101" s="356" t="e">
        <f t="shared" si="40"/>
        <v>#VALUE!</v>
      </c>
      <c r="T101" s="356" t="e">
        <f t="shared" si="40"/>
        <v>#VALUE!</v>
      </c>
      <c r="U101" s="356" t="e">
        <f t="shared" si="40"/>
        <v>#VALUE!</v>
      </c>
      <c r="V101" s="356" t="e">
        <f t="shared" si="40"/>
        <v>#VALUE!</v>
      </c>
      <c r="W101" s="356" t="e">
        <f t="shared" si="40"/>
        <v>#VALUE!</v>
      </c>
      <c r="X101" s="356" t="e">
        <f t="shared" si="40"/>
        <v>#VALUE!</v>
      </c>
      <c r="Y101" s="356" t="e">
        <f t="shared" si="40"/>
        <v>#VALUE!</v>
      </c>
      <c r="Z101" s="356" t="e">
        <f t="shared" si="40"/>
        <v>#VALUE!</v>
      </c>
      <c r="AA101" s="356" t="e">
        <f t="shared" si="40"/>
        <v>#VALUE!</v>
      </c>
      <c r="AB101" s="356" t="e">
        <f t="shared" si="40"/>
        <v>#VALUE!</v>
      </c>
    </row>
    <row r="103" spans="2:28">
      <c r="B103" s="601" t="s">
        <v>205</v>
      </c>
      <c r="C103" s="602"/>
      <c r="D103" s="602"/>
      <c r="E103" s="602"/>
      <c r="F103" s="602"/>
      <c r="G103" s="602"/>
      <c r="H103" s="602"/>
      <c r="I103" s="602"/>
      <c r="J103" s="602"/>
      <c r="K103" s="602"/>
      <c r="L103" s="602"/>
      <c r="M103" s="602"/>
      <c r="N103" s="602"/>
      <c r="O103" s="602"/>
      <c r="P103" s="602"/>
      <c r="Q103" s="602"/>
      <c r="R103" s="602"/>
      <c r="S103" s="602"/>
      <c r="T103" s="602"/>
      <c r="U103" s="602"/>
      <c r="V103" s="602"/>
      <c r="W103" s="602"/>
      <c r="X103" s="602"/>
      <c r="Y103" s="602"/>
      <c r="Z103" s="602"/>
      <c r="AA103" s="602"/>
      <c r="AB103" s="602"/>
    </row>
    <row r="104" spans="2:28" s="4" customFormat="1">
      <c r="B104" s="290"/>
      <c r="C104" s="290">
        <v>2025</v>
      </c>
      <c r="D104" s="290">
        <f t="shared" ref="D104:O104" si="42">C104+1</f>
        <v>2026</v>
      </c>
      <c r="E104" s="290">
        <f t="shared" si="42"/>
        <v>2027</v>
      </c>
      <c r="F104" s="290">
        <f t="shared" si="42"/>
        <v>2028</v>
      </c>
      <c r="G104" s="290">
        <f t="shared" si="42"/>
        <v>2029</v>
      </c>
      <c r="H104" s="290">
        <f t="shared" si="42"/>
        <v>2030</v>
      </c>
      <c r="I104" s="290">
        <f t="shared" si="42"/>
        <v>2031</v>
      </c>
      <c r="J104" s="290">
        <f t="shared" si="42"/>
        <v>2032</v>
      </c>
      <c r="K104" s="290">
        <f t="shared" si="42"/>
        <v>2033</v>
      </c>
      <c r="L104" s="290">
        <f t="shared" si="42"/>
        <v>2034</v>
      </c>
      <c r="M104" s="290">
        <f t="shared" si="42"/>
        <v>2035</v>
      </c>
      <c r="N104" s="290">
        <f t="shared" si="42"/>
        <v>2036</v>
      </c>
      <c r="O104" s="290">
        <f t="shared" si="42"/>
        <v>2037</v>
      </c>
      <c r="P104" s="290">
        <f>O104+1</f>
        <v>2038</v>
      </c>
      <c r="Q104" s="290">
        <f>P104+1</f>
        <v>2039</v>
      </c>
      <c r="R104" s="290">
        <f t="shared" ref="R104:AB104" si="43">Q104+1</f>
        <v>2040</v>
      </c>
      <c r="S104" s="290">
        <f t="shared" si="43"/>
        <v>2041</v>
      </c>
      <c r="T104" s="290">
        <f t="shared" si="43"/>
        <v>2042</v>
      </c>
      <c r="U104" s="290">
        <f t="shared" si="43"/>
        <v>2043</v>
      </c>
      <c r="V104" s="290">
        <f t="shared" si="43"/>
        <v>2044</v>
      </c>
      <c r="W104" s="290">
        <f t="shared" si="43"/>
        <v>2045</v>
      </c>
      <c r="X104" s="290">
        <f t="shared" si="43"/>
        <v>2046</v>
      </c>
      <c r="Y104" s="290">
        <f t="shared" si="43"/>
        <v>2047</v>
      </c>
      <c r="Z104" s="290">
        <f t="shared" si="43"/>
        <v>2048</v>
      </c>
      <c r="AA104" s="290">
        <f t="shared" si="43"/>
        <v>2049</v>
      </c>
      <c r="AB104" s="290">
        <f t="shared" si="43"/>
        <v>2050</v>
      </c>
    </row>
    <row r="105" spans="2:28" s="319" customFormat="1">
      <c r="B105" s="355" t="s">
        <v>161</v>
      </c>
      <c r="C105" s="356">
        <f>C97*'LIDAC Analysis'!$D$10</f>
        <v>0</v>
      </c>
      <c r="D105" s="356" t="e">
        <f>D97*'LIDAC Analysis'!$D$10</f>
        <v>#VALUE!</v>
      </c>
      <c r="E105" s="356" t="e">
        <f>E97*'LIDAC Analysis'!$D$10</f>
        <v>#VALUE!</v>
      </c>
      <c r="F105" s="356" t="e">
        <f>F97*'LIDAC Analysis'!$D$10</f>
        <v>#VALUE!</v>
      </c>
      <c r="G105" s="356" t="e">
        <f>G97*'LIDAC Analysis'!$D$10</f>
        <v>#VALUE!</v>
      </c>
      <c r="H105" s="356" t="e">
        <f>H97*'LIDAC Analysis'!$D$10</f>
        <v>#VALUE!</v>
      </c>
      <c r="I105" s="356" t="e">
        <f>I97*'LIDAC Analysis'!$D$10</f>
        <v>#VALUE!</v>
      </c>
      <c r="J105" s="356" t="e">
        <f>J97*'LIDAC Analysis'!$D$10</f>
        <v>#VALUE!</v>
      </c>
      <c r="K105" s="356" t="e">
        <f>K97*'LIDAC Analysis'!$D$10</f>
        <v>#VALUE!</v>
      </c>
      <c r="L105" s="356" t="e">
        <f>L97*'LIDAC Analysis'!$D$10</f>
        <v>#VALUE!</v>
      </c>
      <c r="M105" s="356" t="e">
        <f>M97*'LIDAC Analysis'!$D$10</f>
        <v>#VALUE!</v>
      </c>
      <c r="N105" s="356" t="e">
        <f>N97*'LIDAC Analysis'!$D$10</f>
        <v>#VALUE!</v>
      </c>
      <c r="O105" s="356" t="e">
        <f>O97*'LIDAC Analysis'!$D$10</f>
        <v>#VALUE!</v>
      </c>
      <c r="P105" s="356" t="e">
        <f>P97*'LIDAC Analysis'!$D$10</f>
        <v>#VALUE!</v>
      </c>
      <c r="Q105" s="356" t="e">
        <f>Q97*'LIDAC Analysis'!$D$10</f>
        <v>#VALUE!</v>
      </c>
      <c r="R105" s="356" t="e">
        <f>R97*'LIDAC Analysis'!$D$10</f>
        <v>#VALUE!</v>
      </c>
      <c r="S105" s="356" t="e">
        <f>S97*'LIDAC Analysis'!$D$10</f>
        <v>#VALUE!</v>
      </c>
      <c r="T105" s="356" t="e">
        <f>T97*'LIDAC Analysis'!$D$10</f>
        <v>#VALUE!</v>
      </c>
      <c r="U105" s="356" t="e">
        <f>U97*'LIDAC Analysis'!$D$10</f>
        <v>#VALUE!</v>
      </c>
      <c r="V105" s="356" t="e">
        <f>V97*'LIDAC Analysis'!$D$10</f>
        <v>#VALUE!</v>
      </c>
      <c r="W105" s="356" t="e">
        <f>W97*'LIDAC Analysis'!$D$10</f>
        <v>#VALUE!</v>
      </c>
      <c r="X105" s="356" t="e">
        <f>X97*'LIDAC Analysis'!$D$10</f>
        <v>#VALUE!</v>
      </c>
      <c r="Y105" s="356" t="e">
        <f>Y97*'LIDAC Analysis'!$D$10</f>
        <v>#VALUE!</v>
      </c>
      <c r="Z105" s="356" t="e">
        <f>Z97*'LIDAC Analysis'!$D$10</f>
        <v>#VALUE!</v>
      </c>
      <c r="AA105" s="356" t="e">
        <f>AA97*'LIDAC Analysis'!$D$10</f>
        <v>#VALUE!</v>
      </c>
      <c r="AB105" s="356" t="e">
        <f>AB97*'LIDAC Analysis'!$D$10</f>
        <v>#VALUE!</v>
      </c>
    </row>
    <row r="106" spans="2:28" s="319" customFormat="1">
      <c r="B106" s="355" t="s">
        <v>204</v>
      </c>
      <c r="C106" s="356">
        <f>C98*'LIDAC Analysis'!$D$10</f>
        <v>0</v>
      </c>
      <c r="D106" s="356" t="e">
        <f>D98*'LIDAC Analysis'!$D$10</f>
        <v>#VALUE!</v>
      </c>
      <c r="E106" s="356" t="e">
        <f>E98*'LIDAC Analysis'!$D$10</f>
        <v>#VALUE!</v>
      </c>
      <c r="F106" s="356" t="e">
        <f>F98*'LIDAC Analysis'!$D$10</f>
        <v>#VALUE!</v>
      </c>
      <c r="G106" s="356" t="e">
        <f>G98*'LIDAC Analysis'!$D$10</f>
        <v>#VALUE!</v>
      </c>
      <c r="H106" s="356" t="e">
        <f>H98*'LIDAC Analysis'!$D$10</f>
        <v>#VALUE!</v>
      </c>
      <c r="I106" s="356" t="e">
        <f>I98*'LIDAC Analysis'!$D$10</f>
        <v>#VALUE!</v>
      </c>
      <c r="J106" s="356" t="e">
        <f>J98*'LIDAC Analysis'!$D$10</f>
        <v>#VALUE!</v>
      </c>
      <c r="K106" s="356" t="e">
        <f>K98*'LIDAC Analysis'!$D$10</f>
        <v>#VALUE!</v>
      </c>
      <c r="L106" s="356" t="e">
        <f>L98*'LIDAC Analysis'!$D$10</f>
        <v>#VALUE!</v>
      </c>
      <c r="M106" s="356" t="e">
        <f>M98*'LIDAC Analysis'!$D$10</f>
        <v>#VALUE!</v>
      </c>
      <c r="N106" s="356" t="e">
        <f>N98*'LIDAC Analysis'!$D$10</f>
        <v>#VALUE!</v>
      </c>
      <c r="O106" s="356" t="e">
        <f>O98*'LIDAC Analysis'!$D$10</f>
        <v>#VALUE!</v>
      </c>
      <c r="P106" s="356" t="e">
        <f>P98*'LIDAC Analysis'!$D$10</f>
        <v>#VALUE!</v>
      </c>
      <c r="Q106" s="356" t="e">
        <f>Q98*'LIDAC Analysis'!$D$10</f>
        <v>#VALUE!</v>
      </c>
      <c r="R106" s="356" t="e">
        <f>R98*'LIDAC Analysis'!$D$10</f>
        <v>#VALUE!</v>
      </c>
      <c r="S106" s="356" t="e">
        <f>S98*'LIDAC Analysis'!$D$10</f>
        <v>#VALUE!</v>
      </c>
      <c r="T106" s="356" t="e">
        <f>T98*'LIDAC Analysis'!$D$10</f>
        <v>#VALUE!</v>
      </c>
      <c r="U106" s="356" t="e">
        <f>U98*'LIDAC Analysis'!$D$10</f>
        <v>#VALUE!</v>
      </c>
      <c r="V106" s="356" t="e">
        <f>V98*'LIDAC Analysis'!$D$10</f>
        <v>#VALUE!</v>
      </c>
      <c r="W106" s="356" t="e">
        <f>W98*'LIDAC Analysis'!$D$10</f>
        <v>#VALUE!</v>
      </c>
      <c r="X106" s="356" t="e">
        <f>X98*'LIDAC Analysis'!$D$10</f>
        <v>#VALUE!</v>
      </c>
      <c r="Y106" s="356" t="e">
        <f>Y98*'LIDAC Analysis'!$D$10</f>
        <v>#VALUE!</v>
      </c>
      <c r="Z106" s="356" t="e">
        <f>Z98*'LIDAC Analysis'!$D$10</f>
        <v>#VALUE!</v>
      </c>
      <c r="AA106" s="356" t="e">
        <f>AA98*'LIDAC Analysis'!$D$10</f>
        <v>#VALUE!</v>
      </c>
      <c r="AB106" s="356" t="e">
        <f>AB98*'LIDAC Analysis'!$D$10</f>
        <v>#VALUE!</v>
      </c>
    </row>
    <row r="107" spans="2:28" s="319" customFormat="1">
      <c r="B107" s="355" t="s">
        <v>164</v>
      </c>
      <c r="C107" s="356">
        <f>C99*'LIDAC Analysis'!$D$10</f>
        <v>0</v>
      </c>
      <c r="D107" s="356" t="e">
        <f>D99*'LIDAC Analysis'!$D$10</f>
        <v>#VALUE!</v>
      </c>
      <c r="E107" s="356" t="e">
        <f>E99*'LIDAC Analysis'!$D$10</f>
        <v>#VALUE!</v>
      </c>
      <c r="F107" s="356" t="e">
        <f>F99*'LIDAC Analysis'!$D$10</f>
        <v>#VALUE!</v>
      </c>
      <c r="G107" s="356" t="e">
        <f>G99*'LIDAC Analysis'!$D$10</f>
        <v>#VALUE!</v>
      </c>
      <c r="H107" s="356" t="e">
        <f>H99*'LIDAC Analysis'!$D$10</f>
        <v>#VALUE!</v>
      </c>
      <c r="I107" s="356" t="e">
        <f>I99*'LIDAC Analysis'!$D$10</f>
        <v>#VALUE!</v>
      </c>
      <c r="J107" s="356" t="e">
        <f>J99*'LIDAC Analysis'!$D$10</f>
        <v>#VALUE!</v>
      </c>
      <c r="K107" s="356" t="e">
        <f>K99*'LIDAC Analysis'!$D$10</f>
        <v>#VALUE!</v>
      </c>
      <c r="L107" s="356" t="e">
        <f>L99*'LIDAC Analysis'!$D$10</f>
        <v>#VALUE!</v>
      </c>
      <c r="M107" s="356" t="e">
        <f>M99*'LIDAC Analysis'!$D$10</f>
        <v>#VALUE!</v>
      </c>
      <c r="N107" s="356" t="e">
        <f>N99*'LIDAC Analysis'!$D$10</f>
        <v>#VALUE!</v>
      </c>
      <c r="O107" s="356" t="e">
        <f>O99*'LIDAC Analysis'!$D$10</f>
        <v>#VALUE!</v>
      </c>
      <c r="P107" s="356" t="e">
        <f>P99*'LIDAC Analysis'!$D$10</f>
        <v>#VALUE!</v>
      </c>
      <c r="Q107" s="356" t="e">
        <f>Q99*'LIDAC Analysis'!$D$10</f>
        <v>#VALUE!</v>
      </c>
      <c r="R107" s="356" t="e">
        <f>R99*'LIDAC Analysis'!$D$10</f>
        <v>#VALUE!</v>
      </c>
      <c r="S107" s="356" t="e">
        <f>S99*'LIDAC Analysis'!$D$10</f>
        <v>#VALUE!</v>
      </c>
      <c r="T107" s="356" t="e">
        <f>T99*'LIDAC Analysis'!$D$10</f>
        <v>#VALUE!</v>
      </c>
      <c r="U107" s="356" t="e">
        <f>U99*'LIDAC Analysis'!$D$10</f>
        <v>#VALUE!</v>
      </c>
      <c r="V107" s="356" t="e">
        <f>V99*'LIDAC Analysis'!$D$10</f>
        <v>#VALUE!</v>
      </c>
      <c r="W107" s="356" t="e">
        <f>W99*'LIDAC Analysis'!$D$10</f>
        <v>#VALUE!</v>
      </c>
      <c r="X107" s="356" t="e">
        <f>X99*'LIDAC Analysis'!$D$10</f>
        <v>#VALUE!</v>
      </c>
      <c r="Y107" s="356" t="e">
        <f>Y99*'LIDAC Analysis'!$D$10</f>
        <v>#VALUE!</v>
      </c>
      <c r="Z107" s="356" t="e">
        <f>Z99*'LIDAC Analysis'!$D$10</f>
        <v>#VALUE!</v>
      </c>
      <c r="AA107" s="356" t="e">
        <f>AA99*'LIDAC Analysis'!$D$10</f>
        <v>#VALUE!</v>
      </c>
      <c r="AB107" s="356" t="e">
        <f>AB99*'LIDAC Analysis'!$D$10</f>
        <v>#VALUE!</v>
      </c>
    </row>
    <row r="108" spans="2:28" s="319" customFormat="1">
      <c r="B108" s="355" t="s">
        <v>165</v>
      </c>
      <c r="C108" s="356">
        <f>C100*'LIDAC Analysis'!$D$10</f>
        <v>0</v>
      </c>
      <c r="D108" s="356" t="e">
        <f>D100*'LIDAC Analysis'!$D$10</f>
        <v>#VALUE!</v>
      </c>
      <c r="E108" s="356" t="e">
        <f>E100*'LIDAC Analysis'!$D$10</f>
        <v>#VALUE!</v>
      </c>
      <c r="F108" s="356" t="e">
        <f>F100*'LIDAC Analysis'!$D$10</f>
        <v>#VALUE!</v>
      </c>
      <c r="G108" s="356" t="e">
        <f>G100*'LIDAC Analysis'!$D$10</f>
        <v>#VALUE!</v>
      </c>
      <c r="H108" s="356" t="e">
        <f>H100*'LIDAC Analysis'!$D$10</f>
        <v>#VALUE!</v>
      </c>
      <c r="I108" s="356" t="e">
        <f>I100*'LIDAC Analysis'!$D$10</f>
        <v>#VALUE!</v>
      </c>
      <c r="J108" s="356" t="e">
        <f>J100*'LIDAC Analysis'!$D$10</f>
        <v>#VALUE!</v>
      </c>
      <c r="K108" s="356" t="e">
        <f>K100*'LIDAC Analysis'!$D$10</f>
        <v>#VALUE!</v>
      </c>
      <c r="L108" s="356" t="e">
        <f>L100*'LIDAC Analysis'!$D$10</f>
        <v>#VALUE!</v>
      </c>
      <c r="M108" s="356" t="e">
        <f>M100*'LIDAC Analysis'!$D$10</f>
        <v>#VALUE!</v>
      </c>
      <c r="N108" s="356" t="e">
        <f>N100*'LIDAC Analysis'!$D$10</f>
        <v>#VALUE!</v>
      </c>
      <c r="O108" s="356" t="e">
        <f>O100*'LIDAC Analysis'!$D$10</f>
        <v>#VALUE!</v>
      </c>
      <c r="P108" s="356" t="e">
        <f>P100*'LIDAC Analysis'!$D$10</f>
        <v>#VALUE!</v>
      </c>
      <c r="Q108" s="356" t="e">
        <f>Q100*'LIDAC Analysis'!$D$10</f>
        <v>#VALUE!</v>
      </c>
      <c r="R108" s="356" t="e">
        <f>R100*'LIDAC Analysis'!$D$10</f>
        <v>#VALUE!</v>
      </c>
      <c r="S108" s="356" t="e">
        <f>S100*'LIDAC Analysis'!$D$10</f>
        <v>#VALUE!</v>
      </c>
      <c r="T108" s="356" t="e">
        <f>T100*'LIDAC Analysis'!$D$10</f>
        <v>#VALUE!</v>
      </c>
      <c r="U108" s="356" t="e">
        <f>U100*'LIDAC Analysis'!$D$10</f>
        <v>#VALUE!</v>
      </c>
      <c r="V108" s="356" t="e">
        <f>V100*'LIDAC Analysis'!$D$10</f>
        <v>#VALUE!</v>
      </c>
      <c r="W108" s="356" t="e">
        <f>W100*'LIDAC Analysis'!$D$10</f>
        <v>#VALUE!</v>
      </c>
      <c r="X108" s="356" t="e">
        <f>X100*'LIDAC Analysis'!$D$10</f>
        <v>#VALUE!</v>
      </c>
      <c r="Y108" s="356" t="e">
        <f>Y100*'LIDAC Analysis'!$D$10</f>
        <v>#VALUE!</v>
      </c>
      <c r="Z108" s="356" t="e">
        <f>Z100*'LIDAC Analysis'!$D$10</f>
        <v>#VALUE!</v>
      </c>
      <c r="AA108" s="356" t="e">
        <f>AA100*'LIDAC Analysis'!$D$10</f>
        <v>#VALUE!</v>
      </c>
      <c r="AB108" s="356" t="e">
        <f>AB100*'LIDAC Analysis'!$D$10</f>
        <v>#VALUE!</v>
      </c>
    </row>
    <row r="109" spans="2:28" s="319" customFormat="1">
      <c r="B109" s="355" t="s">
        <v>166</v>
      </c>
      <c r="C109" s="356">
        <f>C101*'LIDAC Analysis'!$D$10</f>
        <v>0</v>
      </c>
      <c r="D109" s="356" t="e">
        <f>D101*'LIDAC Analysis'!$D$10</f>
        <v>#VALUE!</v>
      </c>
      <c r="E109" s="356" t="e">
        <f>E101*'LIDAC Analysis'!$D$10</f>
        <v>#VALUE!</v>
      </c>
      <c r="F109" s="356" t="e">
        <f>F101*'LIDAC Analysis'!$D$10</f>
        <v>#VALUE!</v>
      </c>
      <c r="G109" s="356" t="e">
        <f>G101*'LIDAC Analysis'!$D$10</f>
        <v>#VALUE!</v>
      </c>
      <c r="H109" s="356" t="e">
        <f>H101*'LIDAC Analysis'!$D$10</f>
        <v>#VALUE!</v>
      </c>
      <c r="I109" s="356" t="e">
        <f>I101*'LIDAC Analysis'!$D$10</f>
        <v>#VALUE!</v>
      </c>
      <c r="J109" s="356" t="e">
        <f>J101*'LIDAC Analysis'!$D$10</f>
        <v>#VALUE!</v>
      </c>
      <c r="K109" s="356" t="e">
        <f>K101*'LIDAC Analysis'!$D$10</f>
        <v>#VALUE!</v>
      </c>
      <c r="L109" s="356" t="e">
        <f>L101*'LIDAC Analysis'!$D$10</f>
        <v>#VALUE!</v>
      </c>
      <c r="M109" s="356" t="e">
        <f>M101*'LIDAC Analysis'!$D$10</f>
        <v>#VALUE!</v>
      </c>
      <c r="N109" s="356" t="e">
        <f>N101*'LIDAC Analysis'!$D$10</f>
        <v>#VALUE!</v>
      </c>
      <c r="O109" s="356" t="e">
        <f>O101*'LIDAC Analysis'!$D$10</f>
        <v>#VALUE!</v>
      </c>
      <c r="P109" s="356" t="e">
        <f>P101*'LIDAC Analysis'!$D$10</f>
        <v>#VALUE!</v>
      </c>
      <c r="Q109" s="356" t="e">
        <f>Q101*'LIDAC Analysis'!$D$10</f>
        <v>#VALUE!</v>
      </c>
      <c r="R109" s="356" t="e">
        <f>R101*'LIDAC Analysis'!$D$10</f>
        <v>#VALUE!</v>
      </c>
      <c r="S109" s="356" t="e">
        <f>S101*'LIDAC Analysis'!$D$10</f>
        <v>#VALUE!</v>
      </c>
      <c r="T109" s="356" t="e">
        <f>T101*'LIDAC Analysis'!$D$10</f>
        <v>#VALUE!</v>
      </c>
      <c r="U109" s="356" t="e">
        <f>U101*'LIDAC Analysis'!$D$10</f>
        <v>#VALUE!</v>
      </c>
      <c r="V109" s="356" t="e">
        <f>V101*'LIDAC Analysis'!$D$10</f>
        <v>#VALUE!</v>
      </c>
      <c r="W109" s="356" t="e">
        <f>W101*'LIDAC Analysis'!$D$10</f>
        <v>#VALUE!</v>
      </c>
      <c r="X109" s="356" t="e">
        <f>X101*'LIDAC Analysis'!$D$10</f>
        <v>#VALUE!</v>
      </c>
      <c r="Y109" s="356" t="e">
        <f>Y101*'LIDAC Analysis'!$D$10</f>
        <v>#VALUE!</v>
      </c>
      <c r="Z109" s="356" t="e">
        <f>Z101*'LIDAC Analysis'!$D$10</f>
        <v>#VALUE!</v>
      </c>
      <c r="AA109" s="356" t="e">
        <f>AA101*'LIDAC Analysis'!$D$10</f>
        <v>#VALUE!</v>
      </c>
      <c r="AB109" s="356" t="e">
        <f>AB101*'LIDAC Analysis'!$D$10</f>
        <v>#VALUE!</v>
      </c>
    </row>
  </sheetData>
  <mergeCells count="2">
    <mergeCell ref="D33:E33"/>
    <mergeCell ref="F33:G3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6D0AFCBA25B6F49A6FF4F049274A38B" ma:contentTypeVersion="12" ma:contentTypeDescription="Create a new document." ma:contentTypeScope="" ma:versionID="918bddff457615213984a958f25a0287">
  <xsd:schema xmlns:xsd="http://www.w3.org/2001/XMLSchema" xmlns:xs="http://www.w3.org/2001/XMLSchema" xmlns:p="http://schemas.microsoft.com/office/2006/metadata/properties" xmlns:ns2="238dd806-a5b7-46a5-9c55-c2d3786c84e5" xmlns:ns3="f84ce77c-2890-4532-9e70-6c4c8523faa4" targetNamespace="http://schemas.microsoft.com/office/2006/metadata/properties" ma:root="true" ma:fieldsID="18ab85641accceac8c08378431f8eb48" ns2:_="" ns3:_="">
    <xsd:import namespace="238dd806-a5b7-46a5-9c55-c2d3786c84e5"/>
    <xsd:import namespace="f84ce77c-2890-4532-9e70-6c4c8523faa4"/>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8dd806-a5b7-46a5-9c55-c2d3786c84e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TaxCatchAll" ma:index="23" nillable="true" ma:displayName="Taxonomy Catch All Column" ma:hidden="true" ma:list="{7b34abca-2261-4c4d-83be-4c47f5826515}" ma:internalName="TaxCatchAll" ma:showField="CatchAllData" ma:web="238dd806-a5b7-46a5-9c55-c2d3786c84e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84ce77c-2890-4532-9e70-6c4c8523faa4"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39e25b7-0a97-41c9-a156-d5f306235689" ma:termSetId="09814cd3-568e-fe90-9814-8d621ff8fb84" ma:anchorId="fba54fb3-c3e1-fe81-a776-ca4b69148c4d" ma:open="true" ma:isKeyword="false">
      <xsd:complexType>
        <xsd:sequence>
          <xsd:element ref="pc:Terms" minOccurs="0" maxOccurs="1"/>
        </xsd:sequence>
      </xsd:complexType>
    </xsd:element>
    <xsd:element name="MediaServiceOCR" ma:index="24" nillable="true" ma:displayName="Extracted Text" ma:internalName="MediaServiceOCR" ma:readOnly="true">
      <xsd:simpleType>
        <xsd:restriction base="dms:Note">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1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TaxCatchAll xmlns="238dd806-a5b7-46a5-9c55-c2d3786c84e5" xsi:nil="true"/>
    <lcf76f155ced4ddcb4097134ff3c332f xmlns="f84ce77c-2890-4532-9e70-6c4c8523faa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12FBEE2-1183-425E-8275-06BC10F65FBD}">
  <ds:schemaRefs>
    <ds:schemaRef ds:uri="http://schemas.microsoft.com/sharepoint/events"/>
  </ds:schemaRefs>
</ds:datastoreItem>
</file>

<file path=customXml/itemProps2.xml><?xml version="1.0" encoding="utf-8"?>
<ds:datastoreItem xmlns:ds="http://schemas.openxmlformats.org/officeDocument/2006/customXml" ds:itemID="{7FA07BEA-73ED-4627-AECC-4FB530BC74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8dd806-a5b7-46a5-9c55-c2d3786c84e5"/>
    <ds:schemaRef ds:uri="f84ce77c-2890-4532-9e70-6c4c8523fa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3AE5DB-3F83-4578-8F50-141FC39D8BDF}">
  <ds:schemaRefs>
    <ds:schemaRef ds:uri="http://schemas.microsoft.com/sharepoint/v3/contenttype/forms"/>
  </ds:schemaRefs>
</ds:datastoreItem>
</file>

<file path=customXml/itemProps4.xml><?xml version="1.0" encoding="utf-8"?>
<ds:datastoreItem xmlns:ds="http://schemas.openxmlformats.org/officeDocument/2006/customXml" ds:itemID="{1818A353-BFFE-4D57-97B2-76349FE0969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238dd806-a5b7-46a5-9c55-c2d3786c84e5"/>
    <ds:schemaRef ds:uri="http://schemas.microsoft.com/office/2006/metadata/properties"/>
    <ds:schemaRef ds:uri="f84ce77c-2890-4532-9e70-6c4c8523faa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Cover</vt:lpstr>
      <vt:lpstr>Summary Dashboard</vt:lpstr>
      <vt:lpstr>Annual Emission Reductions</vt:lpstr>
      <vt:lpstr>Annual Co-Pollutant Reductions</vt:lpstr>
      <vt:lpstr>Data Dictionary</vt:lpstr>
      <vt:lpstr>Measure Impacts &gt;&gt;</vt:lpstr>
      <vt:lpstr>1. Organics Recycling</vt:lpstr>
      <vt:lpstr>2. Natural Refrigerants</vt:lpstr>
      <vt:lpstr>3. CoolingHeating Centers</vt:lpstr>
      <vt:lpstr>4. Advanced EPCs</vt:lpstr>
      <vt:lpstr>Other Analyses &gt;&gt;</vt:lpstr>
      <vt:lpstr>LIDAC Analysis</vt:lpstr>
      <vt:lpstr>Supporting Tables &gt;&gt;</vt:lpstr>
      <vt:lpstr>Buildings Inputs</vt:lpstr>
      <vt:lpstr>Funding Matrix</vt:lpstr>
      <vt:lpstr>PATHWAYS_Health_EF_Buildings</vt:lpstr>
      <vt:lpstr>EPA Grid Emission Factors</vt:lpstr>
      <vt:lpstr>EPA Emission Factors Hub</vt:lpstr>
      <vt:lpstr>NYS Upstream Emission Factors</vt:lpstr>
      <vt:lpstr>CLCPA Grid Emission Factors </vt:lpstr>
      <vt:lpstr>CLCPA Emission Factors Hub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Clea Kolster</dc:creator>
  <cp:keywords/>
  <dc:description/>
  <cp:lastModifiedBy>Fowler, Jessica N (DEC)</cp:lastModifiedBy>
  <cp:revision/>
  <dcterms:created xsi:type="dcterms:W3CDTF">2020-06-16T22:56:28Z</dcterms:created>
  <dcterms:modified xsi:type="dcterms:W3CDTF">2024-03-26T14:55:32Z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0x01010036D0AFCBA25B6F49A6FF4F049274A38B</vt:lpwstr>
  </property>
  <property fmtid="{D5CDD505-2E9C-101B-9397-08002B2CF9AE}" pid="3" name="MediaServiceImageTags">
    <vt:lpwstr/>
  </property>
</Properties>
</file>