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8"/>
  <workbookPr defaultThemeVersion="166925"/>
  <mc:AlternateContent xmlns:mc="http://schemas.openxmlformats.org/markup-compatibility/2006">
    <mc:Choice Requires="x15">
      <x15ac:absPath xmlns:x15ac="http://schemas.microsoft.com/office/spreadsheetml/2010/11/ac" url="https://nymta.sharepoint.com/sites/ClimateResilienceSustainability/Shared Documents/30 Climate sustainability general/Sustainability Funding/CPRG Application Materials 2024/ATTACHMENTS/TO BE INCLUDED ON NARRATIVE ATTACHMENT FORM/"/>
    </mc:Choice>
  </mc:AlternateContent>
  <xr:revisionPtr revIDLastSave="1098" documentId="13_ncr:1_{06A3AF12-BE5F-46CA-98F6-B087376B2ABC}" xr6:coauthVersionLast="47" xr6:coauthVersionMax="47" xr10:uidLastSave="{66ECA0C1-798B-415B-B737-9CCEEFD8B55C}"/>
  <bookViews>
    <workbookView xWindow="-8565" yWindow="-16320" windowWidth="29040" windowHeight="15840" xr2:uid="{7E49077E-3C2A-471D-BD02-F1C8D77A8DD5}"/>
  </bookViews>
  <sheets>
    <sheet name="FINAL_Emissions Reduction Calcs" sheetId="6" r:id="rId1"/>
    <sheet name="FY24 FTA Calculator_Ref Scen" sheetId="4" r:id="rId2"/>
    <sheet name="Project Scenario" sheetId="7" r:id="rId3"/>
    <sheet name="Emission Factors" sheetId="3" r:id="rId4"/>
    <sheet name="Other_CAP Emissions Table 1" sheetId="8" r:id="rId5"/>
  </sheets>
  <externalReferences>
    <externalReference r:id="rId6"/>
  </externalReferences>
  <definedNames>
    <definedName name="ActivityInputTypes">[1]DropDownLists!$B$2:$B$3</definedName>
    <definedName name="FuelTypes">[1]DropDownLists!$A$2:$A$8</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8" l="1"/>
  <c r="G10" i="8" s="1"/>
  <c r="H10" i="8" s="1"/>
  <c r="F9" i="8"/>
  <c r="G9" i="8" s="1"/>
  <c r="H9" i="8" s="1"/>
  <c r="F8" i="8"/>
  <c r="G8" i="8" s="1"/>
  <c r="H8" i="8" s="1"/>
  <c r="F7" i="8"/>
  <c r="G7" i="8" s="1"/>
  <c r="H7" i="8" s="1"/>
  <c r="F6" i="8"/>
  <c r="G6" i="8" s="1"/>
  <c r="H6" i="8" s="1"/>
  <c r="C35" i="3" l="1"/>
  <c r="C33" i="3"/>
  <c r="G28" i="3"/>
  <c r="C24" i="3"/>
  <c r="C6" i="7"/>
  <c r="C7" i="7"/>
  <c r="C5" i="7"/>
  <c r="D6" i="7"/>
  <c r="D7" i="7"/>
  <c r="D5" i="7"/>
  <c r="D29" i="3"/>
  <c r="F29" i="3" s="1"/>
  <c r="D28" i="3"/>
  <c r="H28" i="3" s="1"/>
  <c r="V29" i="3"/>
  <c r="V28" i="3" s="1"/>
  <c r="W28" i="3" s="1"/>
  <c r="L29" i="3"/>
  <c r="N29" i="3" s="1"/>
  <c r="U29" i="3" l="1"/>
  <c r="E28" i="3"/>
  <c r="L27" i="3"/>
  <c r="T29" i="3"/>
  <c r="I29" i="3"/>
  <c r="D27" i="3"/>
  <c r="S29" i="3"/>
  <c r="G29" i="3"/>
  <c r="R29" i="3"/>
  <c r="W29" i="3"/>
  <c r="X29" i="3" s="1"/>
  <c r="Y29" i="3" s="1"/>
  <c r="Z29" i="3" s="1"/>
  <c r="AA29" i="3" s="1"/>
  <c r="AB29" i="3" s="1"/>
  <c r="AC29" i="3" s="1"/>
  <c r="AD29" i="3" s="1"/>
  <c r="AE29" i="3" s="1"/>
  <c r="AF29" i="3" s="1"/>
  <c r="J28" i="3"/>
  <c r="F28" i="3"/>
  <c r="E29" i="3"/>
  <c r="K29" i="3"/>
  <c r="M29" i="3"/>
  <c r="J29" i="3"/>
  <c r="H29" i="3"/>
  <c r="H27" i="3" s="1"/>
  <c r="K28" i="3"/>
  <c r="Q29" i="3"/>
  <c r="P29" i="3"/>
  <c r="O29" i="3"/>
  <c r="I28" i="3"/>
  <c r="W27" i="3"/>
  <c r="X28" i="3"/>
  <c r="V27" i="3"/>
  <c r="U28" i="3"/>
  <c r="U27" i="3" s="1"/>
  <c r="S28" i="3"/>
  <c r="S27" i="3" s="1"/>
  <c r="R28" i="3"/>
  <c r="R27" i="3" s="1"/>
  <c r="Q28" i="3"/>
  <c r="O28" i="3"/>
  <c r="P28" i="3"/>
  <c r="N28" i="3"/>
  <c r="N27" i="3" s="1"/>
  <c r="T28" i="3"/>
  <c r="M28" i="3"/>
  <c r="E27" i="3" l="1"/>
  <c r="E26" i="3" s="1"/>
  <c r="T27" i="3"/>
  <c r="T26" i="3" s="1"/>
  <c r="P27" i="3"/>
  <c r="O27" i="3"/>
  <c r="O26" i="3" s="1"/>
  <c r="S26" i="3"/>
  <c r="Q27" i="3"/>
  <c r="Q26" i="3" s="1"/>
  <c r="U26" i="3"/>
  <c r="P26" i="3"/>
  <c r="V26" i="3"/>
  <c r="W26" i="3" s="1"/>
  <c r="X26" i="3" s="1"/>
  <c r="Y26" i="3" s="1"/>
  <c r="Z26" i="3" s="1"/>
  <c r="AA26" i="3" s="1"/>
  <c r="AB26" i="3" s="1"/>
  <c r="AC26" i="3" s="1"/>
  <c r="AD26" i="3" s="1"/>
  <c r="AE26" i="3" s="1"/>
  <c r="AF26" i="3" s="1"/>
  <c r="M27" i="3"/>
  <c r="M26" i="3" s="1"/>
  <c r="G27" i="3"/>
  <c r="G26" i="3" s="1"/>
  <c r="J27" i="3"/>
  <c r="I27" i="3"/>
  <c r="I26" i="3" s="1"/>
  <c r="K27" i="3"/>
  <c r="Y28" i="3"/>
  <c r="X27" i="3"/>
  <c r="F27" i="3"/>
  <c r="F26" i="3" s="1"/>
  <c r="C36" i="3"/>
  <c r="C38" i="3" s="1"/>
  <c r="D24" i="3" s="1"/>
  <c r="E24" i="3" s="1"/>
  <c r="C37" i="3"/>
  <c r="C10" i="6"/>
  <c r="C11" i="6"/>
  <c r="C9" i="6"/>
  <c r="C6" i="6"/>
  <c r="C7" i="6"/>
  <c r="C5" i="6"/>
  <c r="B10" i="6"/>
  <c r="B11" i="6"/>
  <c r="B9" i="6"/>
  <c r="J26" i="3" l="1"/>
  <c r="H26" i="3"/>
  <c r="N26" i="3"/>
  <c r="K26" i="3"/>
  <c r="L26" i="3"/>
  <c r="R26" i="3"/>
  <c r="F24" i="3"/>
  <c r="Y27" i="3"/>
  <c r="Z28" i="3"/>
  <c r="K11" i="6"/>
  <c r="J11" i="6"/>
  <c r="J9" i="6"/>
  <c r="K9" i="6"/>
  <c r="J10" i="6"/>
  <c r="K10" i="6"/>
  <c r="G24" i="3" l="1"/>
  <c r="H24" i="3" s="1"/>
  <c r="I24" i="3" s="1"/>
  <c r="Z27" i="3"/>
  <c r="AA28" i="3"/>
  <c r="J24" i="3" l="1"/>
  <c r="K24" i="3" s="1"/>
  <c r="L24" i="3" s="1"/>
  <c r="I7" i="7"/>
  <c r="L11" i="6" s="1"/>
  <c r="I5" i="7"/>
  <c r="L9" i="6" s="1"/>
  <c r="I6" i="7"/>
  <c r="L10" i="6" s="1"/>
  <c r="K5" i="7"/>
  <c r="K7" i="7"/>
  <c r="K6" i="7"/>
  <c r="AA27" i="3"/>
  <c r="AB28" i="3"/>
  <c r="B6" i="6"/>
  <c r="B7" i="6"/>
  <c r="B5" i="6"/>
  <c r="D12" i="4"/>
  <c r="E12" i="4" s="1"/>
  <c r="H7" i="6" s="1"/>
  <c r="D11" i="4"/>
  <c r="E11" i="4" s="1"/>
  <c r="H6" i="6" s="1"/>
  <c r="D10" i="4"/>
  <c r="E10" i="4" s="1"/>
  <c r="H5" i="6" s="1"/>
  <c r="C58" i="4"/>
  <c r="B58" i="4"/>
  <c r="L5" i="6" l="1"/>
  <c r="L6" i="6"/>
  <c r="L7" i="6"/>
  <c r="M7" i="6" s="1"/>
  <c r="N7" i="6" s="1"/>
  <c r="O7" i="6" s="1"/>
  <c r="P7" i="6" s="1"/>
  <c r="Q7" i="6" s="1"/>
  <c r="R7" i="6" s="1"/>
  <c r="S7" i="6" s="1"/>
  <c r="T7" i="6" s="1"/>
  <c r="U7" i="6" s="1"/>
  <c r="V7" i="6" s="1"/>
  <c r="W7" i="6" s="1"/>
  <c r="X7" i="6" s="1"/>
  <c r="Y7" i="6" s="1"/>
  <c r="Z7" i="6" s="1"/>
  <c r="AA7" i="6" s="1"/>
  <c r="AB7" i="6" s="1"/>
  <c r="AC7" i="6" s="1"/>
  <c r="AD7" i="6" s="1"/>
  <c r="AE7" i="6" s="1"/>
  <c r="AF7" i="6" s="1"/>
  <c r="AG7" i="6" s="1"/>
  <c r="AH7" i="6" s="1"/>
  <c r="AI7" i="6" s="1"/>
  <c r="J7" i="7"/>
  <c r="M11" i="6" s="1"/>
  <c r="N11" i="6" s="1"/>
  <c r="J5" i="7"/>
  <c r="M9" i="6" s="1"/>
  <c r="N9" i="6" s="1"/>
  <c r="J6" i="7"/>
  <c r="M10" i="6" s="1"/>
  <c r="N10" i="6" s="1"/>
  <c r="AB27" i="3"/>
  <c r="AC28" i="3"/>
  <c r="M24" i="3"/>
  <c r="L5" i="7"/>
  <c r="L6" i="7"/>
  <c r="L7" i="7"/>
  <c r="M5" i="6"/>
  <c r="O10" i="6" l="1"/>
  <c r="O11" i="6"/>
  <c r="O9" i="6"/>
  <c r="N24" i="3"/>
  <c r="M5" i="7"/>
  <c r="M7" i="7"/>
  <c r="M6" i="7"/>
  <c r="AC27" i="3"/>
  <c r="AD28" i="3"/>
  <c r="M6" i="6"/>
  <c r="N6" i="6" s="1"/>
  <c r="O6" i="6" s="1"/>
  <c r="P6" i="6" s="1"/>
  <c r="Q6" i="6" s="1"/>
  <c r="R6" i="6" s="1"/>
  <c r="S6" i="6" s="1"/>
  <c r="T6" i="6" s="1"/>
  <c r="U6" i="6" s="1"/>
  <c r="V6" i="6" s="1"/>
  <c r="W6" i="6" s="1"/>
  <c r="X6" i="6" s="1"/>
  <c r="Y6" i="6" s="1"/>
  <c r="Z6" i="6" s="1"/>
  <c r="AA6" i="6" s="1"/>
  <c r="AB6" i="6" s="1"/>
  <c r="AC6" i="6" s="1"/>
  <c r="AD6" i="6" s="1"/>
  <c r="AE6" i="6" s="1"/>
  <c r="AF6" i="6" s="1"/>
  <c r="AG6" i="6" s="1"/>
  <c r="AH6" i="6" s="1"/>
  <c r="AI6" i="6" s="1"/>
  <c r="N5" i="6"/>
  <c r="P10" i="6" l="1"/>
  <c r="P11" i="6"/>
  <c r="O14" i="6"/>
  <c r="P9" i="6"/>
  <c r="AE28" i="3"/>
  <c r="AD27" i="3"/>
  <c r="O24" i="3"/>
  <c r="N5" i="7"/>
  <c r="N6" i="7"/>
  <c r="N7" i="7"/>
  <c r="O5" i="6"/>
  <c r="O13" i="6" s="1"/>
  <c r="Q9" i="6" l="1"/>
  <c r="O15" i="6"/>
  <c r="Q10" i="6"/>
  <c r="Q11" i="6"/>
  <c r="P24" i="3"/>
  <c r="O5" i="7"/>
  <c r="O7" i="7"/>
  <c r="O6" i="7"/>
  <c r="AF28" i="3"/>
  <c r="AF27" i="3" s="1"/>
  <c r="AE27" i="3"/>
  <c r="P5" i="6"/>
  <c r="R11" i="6" l="1"/>
  <c r="R9" i="6"/>
  <c r="R10" i="6"/>
  <c r="Q24" i="3"/>
  <c r="P5" i="7"/>
  <c r="P6" i="7"/>
  <c r="P7" i="7"/>
  <c r="S11" i="6" s="1"/>
  <c r="Q5" i="6"/>
  <c r="S9" i="6" l="1"/>
  <c r="S10" i="6"/>
  <c r="R24" i="3"/>
  <c r="Q5" i="7"/>
  <c r="T9" i="6" s="1"/>
  <c r="Q7" i="7"/>
  <c r="T11" i="6" s="1"/>
  <c r="Q6" i="7"/>
  <c r="T10" i="6" s="1"/>
  <c r="R5" i="6"/>
  <c r="S24" i="3" l="1"/>
  <c r="R5" i="7"/>
  <c r="U9" i="6" s="1"/>
  <c r="R6" i="7"/>
  <c r="U10" i="6" s="1"/>
  <c r="R7" i="7"/>
  <c r="U11" i="6" s="1"/>
  <c r="S5" i="6"/>
  <c r="T24" i="3" l="1"/>
  <c r="S7" i="7"/>
  <c r="V11" i="6" s="1"/>
  <c r="S6" i="7"/>
  <c r="V10" i="6" s="1"/>
  <c r="S5" i="7"/>
  <c r="V9" i="6" s="1"/>
  <c r="T5" i="6"/>
  <c r="U24" i="3" l="1"/>
  <c r="T7" i="7"/>
  <c r="W11" i="6" s="1"/>
  <c r="T6" i="7"/>
  <c r="W10" i="6" s="1"/>
  <c r="T5" i="7"/>
  <c r="W9" i="6" s="1"/>
  <c r="U5" i="6"/>
  <c r="V24" i="3" l="1"/>
  <c r="U5" i="7"/>
  <c r="X9" i="6" s="1"/>
  <c r="U6" i="7"/>
  <c r="X10" i="6" s="1"/>
  <c r="U7" i="7"/>
  <c r="X11" i="6" s="1"/>
  <c r="V5" i="6"/>
  <c r="W24" i="3" l="1"/>
  <c r="V5" i="7"/>
  <c r="Y9" i="6" s="1"/>
  <c r="V6" i="7"/>
  <c r="Y10" i="6" s="1"/>
  <c r="V7" i="7"/>
  <c r="Y11" i="6" s="1"/>
  <c r="W5" i="6"/>
  <c r="X5" i="6" s="1"/>
  <c r="Y5" i="6" s="1"/>
  <c r="Z5" i="6" s="1"/>
  <c r="AA5" i="6" s="1"/>
  <c r="AB5" i="6" s="1"/>
  <c r="AC5" i="6" s="1"/>
  <c r="AD5" i="6" s="1"/>
  <c r="AE5" i="6" s="1"/>
  <c r="AF5" i="6" s="1"/>
  <c r="AG5" i="6" s="1"/>
  <c r="AH5" i="6" s="1"/>
  <c r="AI5" i="6" s="1"/>
  <c r="AI13" i="6" s="1"/>
  <c r="X24" i="3" l="1"/>
  <c r="W5" i="7"/>
  <c r="Z9" i="6" s="1"/>
  <c r="W6" i="7"/>
  <c r="Z10" i="6" s="1"/>
  <c r="W7" i="7"/>
  <c r="Z11" i="6" s="1"/>
  <c r="Y24" i="3" l="1"/>
  <c r="X5" i="7"/>
  <c r="AA9" i="6" s="1"/>
  <c r="X6" i="7"/>
  <c r="AA10" i="6" s="1"/>
  <c r="X7" i="7"/>
  <c r="AA11" i="6" s="1"/>
  <c r="Z24" i="3" l="1"/>
  <c r="Y5" i="7"/>
  <c r="AB9" i="6" s="1"/>
  <c r="Y6" i="7"/>
  <c r="AB10" i="6" s="1"/>
  <c r="Y7" i="7"/>
  <c r="AB11" i="6" s="1"/>
  <c r="AA24" i="3" l="1"/>
  <c r="Z5" i="7"/>
  <c r="AC9" i="6" s="1"/>
  <c r="Z6" i="7"/>
  <c r="AC10" i="6" s="1"/>
  <c r="Z7" i="7"/>
  <c r="AC11" i="6" s="1"/>
  <c r="AB24" i="3" l="1"/>
  <c r="AA5" i="7"/>
  <c r="AD9" i="6" s="1"/>
  <c r="AA6" i="7"/>
  <c r="AD10" i="6" s="1"/>
  <c r="AA7" i="7"/>
  <c r="AD11" i="6" s="1"/>
  <c r="AC24" i="3" l="1"/>
  <c r="AB5" i="7"/>
  <c r="AE9" i="6" s="1"/>
  <c r="AB6" i="7"/>
  <c r="AE10" i="6" s="1"/>
  <c r="AB7" i="7"/>
  <c r="AE11" i="6" s="1"/>
  <c r="AD24" i="3" l="1"/>
  <c r="AC5" i="7"/>
  <c r="AF9" i="6" s="1"/>
  <c r="AC6" i="7"/>
  <c r="AF10" i="6" s="1"/>
  <c r="AC7" i="7"/>
  <c r="AF11" i="6" s="1"/>
  <c r="AE24" i="3" l="1"/>
  <c r="AD5" i="7"/>
  <c r="AG9" i="6" s="1"/>
  <c r="AD6" i="7"/>
  <c r="AG10" i="6" s="1"/>
  <c r="AD7" i="7"/>
  <c r="AG11" i="6" s="1"/>
  <c r="AF24" i="3" l="1"/>
  <c r="AE5" i="7"/>
  <c r="AH9" i="6" s="1"/>
  <c r="AE6" i="7"/>
  <c r="AH10" i="6" s="1"/>
  <c r="AE7" i="7"/>
  <c r="AH11" i="6" s="1"/>
  <c r="AF5" i="7" l="1"/>
  <c r="AI9" i="6" s="1"/>
  <c r="AF6" i="7"/>
  <c r="AI10" i="6" s="1"/>
  <c r="AF7" i="7"/>
  <c r="AI11" i="6" s="1"/>
  <c r="AI14" i="6" l="1"/>
  <c r="AI15"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tc={30F68389-B5A7-4854-9304-C61EC5AFF5A9}</author>
  </authors>
  <commentList>
    <comment ref="E4" authorId="0" shapeId="0" xr:uid="{30F68389-B5A7-4854-9304-C61EC5AFF5A9}">
      <text>
        <t>[Threaded comment]
Your version of Excel allows you to read this threaded comment; however, any edits to it will get removed if the file is opened in a newer version of Excel. Learn more: https://go.microsoft.com/fwlink/?linkid=870924
Comment:
    Measured from 10 Standard battery-electric bus pilot over May 2020 thru June 2021.
https://new.mta.info/document/120411</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tc={BE5D5BCE-3547-4632-9316-B50C9E276056}</author>
    <author>tc={31BD5454-4E0E-4AD0-A2DC-6393F287D1C0}</author>
    <author>Mezey, Claudia</author>
  </authors>
  <commentList>
    <comment ref="D28" authorId="0" shapeId="0" xr:uid="{BE5D5BCE-3547-4632-9316-B50C9E276056}">
      <text>
        <t>[Threaded comment]
Your version of Excel allows you to read this threaded comment; however, any edits to it will get removed if the file is opened in a newer version of Excel. Learn more: https://go.microsoft.com/fwlink/?linkid=870924
Comment:
    https://www.nyiso.com/documents/20142/39461182/Figure-21-Summer-2023-Installed-Capacity-%28MW%29-by-Fuel-Source-Statewide-Upstate-and-Downstate-NY.png/d3dba6e0-3137-6a1f-6811-2b91b91242a3?t=1692060252618</t>
      </text>
    </comment>
    <comment ref="D29" authorId="1" shapeId="0" xr:uid="{31BD5454-4E0E-4AD0-A2DC-6393F287D1C0}">
      <text>
        <t>[Threaded comment]
Your version of Excel allows you to read this threaded comment; however, any edits to it will get removed if the file is opened in a newer version of Excel. Learn more: https://go.microsoft.com/fwlink/?linkid=870924
Comment:
    https://www.nyiso.com/documents/20142/39461182/Figure-21-Summer-2023-Installed-Capacity-%28MW%29-by-Fuel-Source-Statewide-Upstate-and-Downstate-NY.png/d3dba6e0-3137-6a1f-6811-2b91b91242a3?t=1692060252618</t>
      </text>
    </comment>
    <comment ref="L29" authorId="2" shapeId="0" xr:uid="{502212E0-2418-4B31-8E7B-DCE15FF95B24}">
      <text>
        <r>
          <rPr>
            <b/>
            <sz val="9"/>
            <color indexed="81"/>
            <rFont val="Tahoma"/>
            <family val="2"/>
          </rPr>
          <t>Mezey, Claudia:</t>
        </r>
        <r>
          <rPr>
            <sz val="9"/>
            <color indexed="81"/>
            <rFont val="Tahoma"/>
            <family val="2"/>
          </rPr>
          <t xml:space="preserve">
Nuclear will make up 30% upstate load, 9% downstate (flowing from upstate) load by 2030. This value calculates nuclear portion of statewide load in 2030.
https://www.nyserda.ny.gov/About/Publications/Energy-Analysis-Reports-and-Studies/Electric-Power-Transmission-and-Distribution-Reports/Electric-Power-Transmission-and-Distribution-Reports---Archive/New-York-Power-Grid-Study/Story-of-Our-Grid</t>
        </r>
      </text>
    </comment>
    <comment ref="V29" authorId="2" shapeId="0" xr:uid="{DC28418C-3BA5-482A-BD97-609EF1F7C720}">
      <text>
        <r>
          <rPr>
            <b/>
            <sz val="9"/>
            <color indexed="81"/>
            <rFont val="Tahoma"/>
            <family val="2"/>
          </rPr>
          <t>Mezey, Claudia:</t>
        </r>
        <r>
          <rPr>
            <sz val="9"/>
            <color indexed="81"/>
            <rFont val="Tahoma"/>
            <family val="2"/>
          </rPr>
          <t xml:space="preserve">
Nuclear will make up 24% upstate load, 7% downstate (flowing from upstate) load by 2040. This value calculates nuclear portion of statewide load in 2040.</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C9268ED4-EC97-46C7-9910-B9D8305F69F9}" keepAlive="1" name="Query - Table4" description="Connection to the 'Table4' query in the workbook." type="5" refreshedVersion="0" background="1">
    <dbPr connection="Provider=Microsoft.Mashup.OleDb.1;Data Source=$Workbook$;Location=Table4;Extended Properties=&quot;&quot;" command="SELECT * FROM [Table4]"/>
  </connection>
</connections>
</file>

<file path=xl/sharedStrings.xml><?xml version="1.0" encoding="utf-8"?>
<sst xmlns="http://schemas.openxmlformats.org/spreadsheetml/2006/main" count="144" uniqueCount="108">
  <si>
    <t>GHG Measure: Replacement of 100 40' diesel buses with 100 40' battery-electric buses</t>
  </si>
  <si>
    <t>Cumulative GHG Emissions (MTCO2e)</t>
  </si>
  <si>
    <t>MEASURE LIFETIME BEGINS. VEHICLES ALL DELIVERED, ENTER SERVICE 4/1/27. FOR CALENDAR YEAR 2027, START SCALE BY 75%.</t>
  </si>
  <si>
    <t>By assignment location:</t>
  </si>
  <si>
    <t>No. Buses</t>
  </si>
  <si>
    <t>Bus Type</t>
  </si>
  <si>
    <t>Delivery Start</t>
  </si>
  <si>
    <t>Delivery End</t>
  </si>
  <si>
    <t>GHG Measure Fully Implemented
Reduction Period Start</t>
  </si>
  <si>
    <t>GHG Measure
Reduction Period End</t>
  </si>
  <si>
    <t>Avg Annual CO2e Emissions per Vehicle (MTCO2e)</t>
  </si>
  <si>
    <t>Source</t>
  </si>
  <si>
    <t>REFERENCE SCENARIO</t>
  </si>
  <si>
    <r>
      <rPr>
        <b/>
        <sz val="11"/>
        <color theme="1"/>
        <rFont val="Calibri"/>
        <family val="2"/>
        <scheme val="minor"/>
      </rPr>
      <t xml:space="preserve">Ulmer Park Depot </t>
    </r>
    <r>
      <rPr>
        <sz val="11"/>
        <color theme="1"/>
        <rFont val="Calibri"/>
        <family val="2"/>
        <scheme val="minor"/>
      </rPr>
      <t xml:space="preserve">
(2449 Harway Ave, Brooklyn, NY 11214)</t>
    </r>
  </si>
  <si>
    <t>See calculation on FY24 FTA Calculator_Ref Scen tab</t>
  </si>
  <si>
    <r>
      <rPr>
        <b/>
        <sz val="11"/>
        <color theme="1"/>
        <rFont val="Calibri"/>
        <family val="2"/>
        <scheme val="minor"/>
      </rPr>
      <t xml:space="preserve">Jamaica Depot </t>
    </r>
    <r>
      <rPr>
        <sz val="11"/>
        <color theme="1"/>
        <rFont val="Calibri"/>
        <family val="2"/>
        <scheme val="minor"/>
      </rPr>
      <t xml:space="preserve">
(Merrick Blvd, Queens, NY 11432)</t>
    </r>
  </si>
  <si>
    <r>
      <rPr>
        <b/>
        <sz val="11"/>
        <color theme="1"/>
        <rFont val="Calibri"/>
        <family val="2"/>
        <scheme val="minor"/>
      </rPr>
      <t xml:space="preserve">Yukon Depot </t>
    </r>
    <r>
      <rPr>
        <sz val="11"/>
        <color theme="1"/>
        <rFont val="Calibri"/>
        <family val="2"/>
        <scheme val="minor"/>
      </rPr>
      <t xml:space="preserve">
(40 Yukon Ave, Staten Island, NY 10314)</t>
    </r>
  </si>
  <si>
    <t>PROJECT SCENARIO</t>
  </si>
  <si>
    <t>varies</t>
  </si>
  <si>
    <t>See calculation on Project Scenario tab</t>
  </si>
  <si>
    <t>RESULTS</t>
  </si>
  <si>
    <t>Reference Scenario Emissions</t>
  </si>
  <si>
    <t>Project Scenario Emissions</t>
  </si>
  <si>
    <t>Net GHG Emissions Reductions</t>
  </si>
  <si>
    <t>Assumptions:</t>
  </si>
  <si>
    <t xml:space="preserve">-	Average annual VMT by bus type and depot assignment (see Inputs above) remains same through 2050 as recorded in 2023 calendar year. In other words, this measure-specific activity data holds constant over analyzed timeframe. In addition, for periods less than calendar year, it is assumed that vehicle mileage is approximately full-year mileage times portion of year in days.
-	Emission factors published in FTA’s Low No Bus Emissions Reduction Calculator version 2/8/24, which are annual distance-based emission rates (MT CO2e/veh-mi/yr), will still be representative for the same equipment type in later model years 2026. It is MTA’s understanding that FTA has assumed some typical fuel economy, appropriate for the 2024 calendar year, for 40-foot transit buses to convert fuel-based CO2 emission factors to distance-based, for combination with CH4 and N2O components in a composite CO2e factor in their calculator. We assume there will be no material change between this year and the 2026 calendar year in which new buses would be purchased under this Project; therefore, the emission factors embedded in the FTA Calculator can be used as Reference Scenario annual GHG emission rates.
-	Reference Scenario annual GHG emission rates are constant over time through 2050 calendar year, no decline with bus age or in-kind replacement.
-	The New York State Climate Leadership and Community Protection Act (CLCPA) goals for grid decarbonization – i.e., 70% renewables by 2030, 100% zero-emission by 2040 – are achieved. Regional grid average factors for each greenhouse gas decrease evenly and linearly from 2022 levels to achieve these 2030 and 2040 milestone states.  
-	Project Scenario electrical efficiency is constant over time through 2050 calendar year at measured levels of 3.22 kWh/mi, no decline with bus age or in-kind replacement.
-	The proposed measure lifetime extends beyond 2050, since the proposed measure includes depot modifications that will continue to serve an all-electric fleet in perpetuity.
-	Although some fossil fuel buses will be scrapped and replaced by battery-electric buses during 9/25/26-3/31/27 delivery period, meaning that the MTA will start to see GHG emissions savings over that interim period, for ease of calculation (and as conservative estimate, since the calculations do not take credit for savings over that interim period), the emission reduction period is assumed to begin once all buses are delivered, starting 4/1/27. For the 2027 calendar year, the VMT is scaled down by 75% to reflect emission reductions begin on 4/1/27.
-	Emission factors published in FTA’s Low No Bus Emissions Reduction Calculator use 100-year GWPs in the IPCC Fifth Assessment Report (AR5). 
-	Carbon dioxide (CO2), Methane (CH4), and Nitrous oxide (N2O) are the only relevant GHGs for this analysis. </t>
  </si>
  <si>
    <r>
      <rPr>
        <b/>
        <sz val="16"/>
        <color rgb="FFFF0000"/>
        <rFont val="Calibri"/>
        <family val="2"/>
      </rPr>
      <t xml:space="preserve">Note: </t>
    </r>
    <r>
      <rPr>
        <sz val="16"/>
        <color rgb="FFFF0000"/>
        <rFont val="Calibri"/>
        <family val="2"/>
      </rPr>
      <t>The table below was sourced directly from the "FTA-Low-No-Bus-Emissions-Reduction-Calculator.xlsx" tool last updated 2/8/24 and downloaded on 3/12/24 from EPA website. It is used to calculate Reference Scenario emissions, i.e., procurement of diesel buses following standard market practice.
Source: https://www.transit.dot.gov/funding/grants/fta-bus-and-low-no-emission-reduction-calculator</t>
    </r>
  </si>
  <si>
    <t>KEY</t>
  </si>
  <si>
    <t>Original to EPA Calculator</t>
  </si>
  <si>
    <t>MTA Added</t>
  </si>
  <si>
    <t>MTA Input</t>
  </si>
  <si>
    <t>Calculated</t>
  </si>
  <si>
    <t>Directions</t>
  </si>
  <si>
    <t>Fuel Type of Vehicles to be Replaced</t>
  </si>
  <si>
    <t>Number of Buses Requested</t>
  </si>
  <si>
    <t>Average Annual VMT Per 40' Bus</t>
  </si>
  <si>
    <t>Total Direct Emissions Per Year</t>
  </si>
  <si>
    <t>Avg Direct CO2e Emissions per Year per Vehicle to be replaced</t>
  </si>
  <si>
    <t>Depot</t>
  </si>
  <si>
    <t>Applicants requesting twenty or more 40’ zero emission buses to replace existing vehicles should complete the following to be considered as part of the Climate Change and Sustainability priority consideration.</t>
  </si>
  <si>
    <t>DIESEL</t>
  </si>
  <si>
    <t>Ulmer Park (Brooklyn)</t>
  </si>
  <si>
    <t>Jamaica (Queens)</t>
  </si>
  <si>
    <t>Yukon (Staten Island)</t>
  </si>
  <si>
    <t>Step 1</t>
  </si>
  <si>
    <t>Applicant should populate Column A (Fuel Type of Vehicle to be Replaced), from dropdown list of fuels provided.  Click on the individual cell in Column A for a full listing of fuels.</t>
  </si>
  <si>
    <t>Step 2</t>
  </si>
  <si>
    <t>Applicant should populate Column B (Number of Buses Requested) with the exact number of 40' buses being requested as part of the FY23 application.</t>
  </si>
  <si>
    <t>Step 3</t>
  </si>
  <si>
    <t xml:space="preserve">Applicant should populate Column C (Average Annual VMT Per 40' Bus) with the average for the total number of buses listed in Column B. </t>
  </si>
  <si>
    <t>MEASURE LIFETIME BEGINS. VEHICLES DELIVERED, ENTER SERVICE 4/1/27</t>
  </si>
  <si>
    <t>MT CO2e Emissions per Year per Vehicle</t>
  </si>
  <si>
    <t>Fuel Type of New Replacement Vehicles</t>
  </si>
  <si>
    <t>Electrical Efficiency (kWh/mi)</t>
  </si>
  <si>
    <t>ZERO EMISSION</t>
  </si>
  <si>
    <t>CURRENT FUEL-TYPE</t>
  </si>
  <si>
    <r>
      <rPr>
        <b/>
        <sz val="11"/>
        <color rgb="FFFF0000"/>
        <rFont val="Calibri"/>
        <family val="2"/>
        <scheme val="minor"/>
      </rPr>
      <t>DIRECT (SCOPE 1)</t>
    </r>
    <r>
      <rPr>
        <b/>
        <sz val="11"/>
        <rFont val="Calibri"/>
        <family val="2"/>
        <scheme val="minor"/>
      </rPr>
      <t xml:space="preserve"> EMISSIONS per veh-mile per year</t>
    </r>
  </si>
  <si>
    <t>MTCO2eq</t>
  </si>
  <si>
    <t>/veh-mile/yr</t>
  </si>
  <si>
    <t>CNG</t>
  </si>
  <si>
    <t>HYBRID DIESEL</t>
  </si>
  <si>
    <t>GAS</t>
  </si>
  <si>
    <t>LNG</t>
  </si>
  <si>
    <r>
      <rPr>
        <b/>
        <sz val="11"/>
        <color rgb="FFFF0000"/>
        <rFont val="Calibri"/>
        <family val="2"/>
      </rPr>
      <t xml:space="preserve">Note: </t>
    </r>
    <r>
      <rPr>
        <sz val="11"/>
        <color rgb="FFFF0000"/>
        <rFont val="Calibri"/>
        <family val="2"/>
      </rPr>
      <t>Source for factor table above is FTA Bus and Low-No Emission Reduction Calculator, last updated 2/8/24. Correspondence with FTA indicated emission factor data are sourced from Argonne Lab.</t>
    </r>
  </si>
  <si>
    <t>For calculating indirect (scope 2) emissions from purchased electricity for bus charging, local grid average factor was forecasted based on existing policy (NYS Climate Act).</t>
  </si>
  <si>
    <t>eGrid Subregion: NYCW</t>
  </si>
  <si>
    <t>Year</t>
  </si>
  <si>
    <t>Notes</t>
  </si>
  <si>
    <t>Emission Factor (MT CO2e/kWh)</t>
  </si>
  <si>
    <t>Assuming CLCPA Goals Achieved…</t>
  </si>
  <si>
    <t>Carbon Intensity % Reduction compared to 2023</t>
  </si>
  <si>
    <t>% Zero-emission Grid</t>
  </si>
  <si>
    <t>% Renewable Grid</t>
  </si>
  <si>
    <t>70% by 2030 goal per law. 22% is estimated from NYISO 2022 Power Trends report of statewide % renewables in generation mix. Source: https://www.nyiso.com/documents/20142/39461182/Figure-21-Summer-2023-Installed-Capacity-%28MW%29-by-Fuel-Source-Statewide-Upstate-and-Downstate-NY.png/d3dba6e0-3137-6a1f-6811-2b91b91242a3?t=1692060252618</t>
  </si>
  <si>
    <t>% Nuclear Grid</t>
  </si>
  <si>
    <t>Nuclear generation in mix estimated by NYISO. https://www.nyiso.com/documents/20142/39461182/Figure-21-Summer-2023-Installed-Capacity-%28MW%29-by-Fuel-Source-Statewide-Upstate-and-Downstate-NY.png/d3dba6e0-3137-6a1f-6811-2b91b91242a3?t=1692060252618</t>
  </si>
  <si>
    <t>Units</t>
  </si>
  <si>
    <t>GWP (AR5)</t>
  </si>
  <si>
    <t>CO2</t>
  </si>
  <si>
    <t>lb/GWh</t>
  </si>
  <si>
    <t>CH4</t>
  </si>
  <si>
    <t>N2O</t>
  </si>
  <si>
    <t>CO2e</t>
  </si>
  <si>
    <t>lb to tonnes</t>
  </si>
  <si>
    <t>MT/kWh</t>
  </si>
  <si>
    <t>Source: 2022 eGrid Output Emission Rates for NYC-Westchester. Aligns with NY-NJ MSA PCAP Table 8 and pp. 84.</t>
  </si>
  <si>
    <t>https://www.epa.gov/egrid/data-explorer</t>
  </si>
  <si>
    <t>Table 1. Preliminary Estimate of CAP Emissions Reductions from the Project applying for CPRG Funding.</t>
  </si>
  <si>
    <t>Yukon Depot</t>
  </si>
  <si>
    <t>Jamaica Depot</t>
  </si>
  <si>
    <t>Ulmer Park Depot</t>
  </si>
  <si>
    <t>All Depots</t>
  </si>
  <si>
    <t>Pollutant</t>
  </si>
  <si>
    <t>Kg/day</t>
  </si>
  <si>
    <t>Kg/year</t>
  </si>
  <si>
    <t>Total (2027-2050, or 24 full years)</t>
  </si>
  <si>
    <t>Carbon Monoxide (CO)</t>
  </si>
  <si>
    <t>Particulate Matter &lt;2.5 μm (PM2.5)</t>
  </si>
  <si>
    <t>Particulate Matter &lt;10 μm (PM10)</t>
  </si>
  <si>
    <t>Nitrogen Oxide (NOx)</t>
  </si>
  <si>
    <t>Volatile Organic Compounds (VOC)</t>
  </si>
  <si>
    <t>Results:</t>
  </si>
  <si>
    <t>Note - VMT is the input used, as shown in the INPUT screenshots. Ignore calculator's estimated bus population in OUTPUT screenshots.</t>
  </si>
  <si>
    <t xml:space="preserve">Link to FHWA EV Transit Bus Replacement Tool: </t>
  </si>
  <si>
    <t>https://view.officeapps.live.com/op/view.aspx?src=https%3A%2F%2Fwww.fhwa.dot.gov%2Fenvironment%2Fair_quality%2Fcmaq%2Ftoolkit%2Ftransitbus_retrofit_replacement_tool3.xlsm&amp;wdOrigin=BROWSELINK</t>
  </si>
  <si>
    <t>Yukon</t>
  </si>
  <si>
    <t>Jamaica</t>
  </si>
  <si>
    <t>Ulmer Park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</si>
</sst>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
  </numFmts>
  <fonts count="32">
    <font>
      <sz val="11"/>
      <color theme="1"/>
      <name val="Calibri"/>
      <family val="2"/>
      <scheme val="minor"/>
    </font>
    <font>
      <b/>
      <sz val="11"/>
      <color theme="1"/>
      <name val="Calibri"/>
      <family val="2"/>
      <scheme val="minor"/>
    </font>
    <font>
      <b/>
      <sz val="11"/>
      <name val="Calibri"/>
      <family val="2"/>
      <scheme val="minor"/>
    </font>
    <font>
      <sz val="11"/>
      <color rgb="FF000000"/>
      <name val="Calibri"/>
      <family val="2"/>
      <scheme val="minor"/>
    </font>
    <font>
      <b/>
      <sz val="14"/>
      <color theme="1"/>
      <name val="Calibri"/>
      <family val="2"/>
      <scheme val="minor"/>
    </font>
    <font>
      <sz val="11"/>
      <color rgb="FFFF0000"/>
      <name val="Calibri"/>
      <family val="2"/>
      <scheme val="minor"/>
    </font>
    <font>
      <b/>
      <sz val="11"/>
      <color rgb="FFFF0000"/>
      <name val="Calibri"/>
      <family val="2"/>
      <scheme val="minor"/>
    </font>
    <font>
      <b/>
      <sz val="11"/>
      <color theme="0"/>
      <name val="Calibri"/>
      <family val="2"/>
      <scheme val="minor"/>
    </font>
    <font>
      <sz val="11"/>
      <name val="Calibri"/>
      <family val="2"/>
      <scheme val="minor"/>
    </font>
    <font>
      <b/>
      <i/>
      <sz val="11"/>
      <color theme="4" tint="-0.249977111117893"/>
      <name val="Calibri"/>
      <family val="2"/>
      <scheme val="minor"/>
    </font>
    <font>
      <sz val="11"/>
      <color theme="7" tint="-0.249977111117893"/>
      <name val="Calibri"/>
      <family val="2"/>
      <scheme val="minor"/>
    </font>
    <font>
      <sz val="11"/>
      <color theme="7" tint="-0.249977111117893"/>
      <name val="Calibri"/>
      <family val="2"/>
    </font>
    <font>
      <sz val="16"/>
      <color theme="1"/>
      <name val="Calibri"/>
      <family val="2"/>
      <scheme val="minor"/>
    </font>
    <font>
      <sz val="9"/>
      <color theme="1"/>
      <name val="Calibri"/>
      <family val="2"/>
      <scheme val="minor"/>
    </font>
    <font>
      <sz val="11"/>
      <color theme="1"/>
      <name val="Calibri"/>
      <family val="2"/>
      <scheme val="minor"/>
    </font>
    <font>
      <sz val="11"/>
      <color theme="0"/>
      <name val="Calibri"/>
      <family val="2"/>
      <scheme val="minor"/>
    </font>
    <font>
      <i/>
      <sz val="11"/>
      <color rgb="FFFF0000"/>
      <name val="Calibri"/>
      <family val="2"/>
      <scheme val="minor"/>
    </font>
    <font>
      <i/>
      <sz val="11"/>
      <color theme="1"/>
      <name val="Calibri"/>
      <family val="2"/>
      <scheme val="minor"/>
    </font>
    <font>
      <sz val="16"/>
      <color rgb="FFFF0000"/>
      <name val="Calibri"/>
      <family val="2"/>
      <scheme val="minor"/>
    </font>
    <font>
      <sz val="9"/>
      <color indexed="81"/>
      <name val="Tahoma"/>
      <family val="2"/>
    </font>
    <font>
      <b/>
      <sz val="12"/>
      <color rgb="FFFF0000"/>
      <name val="Calibri"/>
      <family val="2"/>
      <scheme val="minor"/>
    </font>
    <font>
      <b/>
      <sz val="9"/>
      <color indexed="81"/>
      <name val="Tahoma"/>
      <family val="2"/>
    </font>
    <font>
      <i/>
      <sz val="12"/>
      <color theme="1"/>
      <name val="Calibri"/>
      <family val="2"/>
      <scheme val="minor"/>
    </font>
    <font>
      <b/>
      <sz val="16"/>
      <color theme="1"/>
      <name val="Calibri"/>
      <family val="2"/>
      <scheme val="minor"/>
    </font>
    <font>
      <b/>
      <i/>
      <sz val="16"/>
      <color theme="1"/>
      <name val="Calibri"/>
      <family val="2"/>
      <scheme val="minor"/>
    </font>
    <font>
      <u/>
      <sz val="16"/>
      <color theme="1"/>
      <name val="Calibri"/>
      <family val="2"/>
      <scheme val="minor"/>
    </font>
    <font>
      <u/>
      <sz val="11"/>
      <color theme="10"/>
      <name val="Calibri"/>
      <family val="2"/>
      <scheme val="minor"/>
    </font>
    <font>
      <b/>
      <sz val="11"/>
      <color rgb="FFFF0000"/>
      <name val="Calibri"/>
      <family val="2"/>
    </font>
    <font>
      <sz val="11"/>
      <color rgb="FFFF0000"/>
      <name val="Calibri"/>
      <family val="2"/>
    </font>
    <font>
      <b/>
      <sz val="16"/>
      <color rgb="FFFF0000"/>
      <name val="Calibri"/>
      <family val="2"/>
    </font>
    <font>
      <sz val="16"/>
      <color rgb="FFFF0000"/>
      <name val="Calibri"/>
      <family val="2"/>
    </font>
    <font>
      <b/>
      <i/>
      <sz val="11"/>
      <color theme="1"/>
      <name val="Calibri"/>
      <family val="2"/>
      <scheme val="minor"/>
    </font>
  </fonts>
  <fills count="1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1"/>
        <bgColor indexed="64"/>
      </patternFill>
    </fill>
    <fill>
      <patternFill patternType="solid">
        <fgColor theme="0" tint="-0.499984740745262"/>
        <bgColor indexed="64"/>
      </patternFill>
    </fill>
    <fill>
      <patternFill patternType="solid">
        <fgColor theme="4" tint="-0.499984740745262"/>
        <bgColor indexed="64"/>
      </patternFill>
    </fill>
    <fill>
      <patternFill patternType="solid">
        <fgColor theme="7" tint="-0.249977111117893"/>
        <bgColor indexed="64"/>
      </patternFill>
    </fill>
  </fills>
  <borders count="16">
    <border>
      <left/>
      <right/>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7"/>
      </left>
      <right style="thin">
        <color theme="7"/>
      </right>
      <top style="thin">
        <color theme="7"/>
      </top>
      <bottom style="thin">
        <color theme="7"/>
      </bottom>
      <diagonal/>
    </border>
    <border>
      <left/>
      <right/>
      <top/>
      <bottom style="thick">
        <color indexed="64"/>
      </bottom>
      <diagonal/>
    </border>
    <border>
      <left style="thick">
        <color rgb="FFFF0000"/>
      </left>
      <right/>
      <top/>
      <bottom/>
      <diagonal/>
    </border>
  </borders>
  <cellStyleXfs count="3">
    <xf numFmtId="0" fontId="0" fillId="0" borderId="0"/>
    <xf numFmtId="9" fontId="14" fillId="0" borderId="0" applyFont="0" applyFill="0" applyBorder="0" applyAlignment="0" applyProtection="0"/>
    <xf numFmtId="0" fontId="26" fillId="0" borderId="0" applyNumberFormat="0" applyFill="0" applyBorder="0" applyAlignment="0" applyProtection="0"/>
  </cellStyleXfs>
  <cellXfs count="123">
    <xf numFmtId="0" fontId="0" fillId="0" borderId="0" xfId="0"/>
    <xf numFmtId="0" fontId="0" fillId="3" borderId="1" xfId="0" applyFill="1" applyBorder="1" applyAlignment="1">
      <alignment horizontal="center"/>
    </xf>
    <xf numFmtId="164" fontId="0" fillId="4" borderId="1" xfId="0" applyNumberFormat="1" applyFill="1" applyBorder="1" applyAlignment="1">
      <alignment horizontal="center"/>
    </xf>
    <xf numFmtId="164" fontId="3" fillId="4" borderId="2" xfId="0" applyNumberFormat="1" applyFont="1" applyFill="1" applyBorder="1" applyAlignment="1">
      <alignment horizontal="center"/>
    </xf>
    <xf numFmtId="164" fontId="0" fillId="4" borderId="2" xfId="0" applyNumberFormat="1" applyFill="1" applyBorder="1" applyAlignment="1">
      <alignment horizontal="center"/>
    </xf>
    <xf numFmtId="0" fontId="0" fillId="3" borderId="0" xfId="0" applyFill="1" applyAlignment="1">
      <alignment horizontal="left"/>
    </xf>
    <xf numFmtId="0" fontId="0" fillId="3" borderId="6" xfId="0" applyFill="1" applyBorder="1" applyAlignment="1">
      <alignment horizontal="left"/>
    </xf>
    <xf numFmtId="0" fontId="0" fillId="3" borderId="3" xfId="0" applyFill="1" applyBorder="1" applyAlignment="1">
      <alignment horizontal="center"/>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3" borderId="8" xfId="0" applyFill="1" applyBorder="1" applyAlignment="1">
      <alignment horizontal="left"/>
    </xf>
    <xf numFmtId="164" fontId="0" fillId="4" borderId="9" xfId="0" applyNumberFormat="1" applyFill="1" applyBorder="1" applyAlignment="1">
      <alignment horizontal="center"/>
    </xf>
    <xf numFmtId="0" fontId="0" fillId="3" borderId="4" xfId="0" applyFill="1" applyBorder="1" applyAlignment="1">
      <alignment horizontal="center"/>
    </xf>
    <xf numFmtId="0" fontId="0" fillId="0" borderId="0" xfId="0" applyProtection="1">
      <protection locked="0"/>
    </xf>
    <xf numFmtId="0" fontId="0" fillId="0" borderId="0" xfId="0" applyAlignment="1" applyProtection="1">
      <alignment horizontal="center"/>
      <protection locked="0"/>
    </xf>
    <xf numFmtId="0" fontId="0" fillId="0" borderId="0" xfId="0" applyAlignment="1">
      <alignment horizontal="center"/>
    </xf>
    <xf numFmtId="0" fontId="0" fillId="0" borderId="0" xfId="0" applyAlignment="1" applyProtection="1">
      <alignment wrapText="1"/>
      <protection locked="0"/>
    </xf>
    <xf numFmtId="0" fontId="1" fillId="0" borderId="0" xfId="0" applyFont="1" applyAlignment="1" applyProtection="1">
      <alignment horizontal="center"/>
      <protection locked="0"/>
    </xf>
    <xf numFmtId="0" fontId="5" fillId="0" borderId="0" xfId="0" applyFont="1" applyAlignment="1">
      <alignment horizontal="center"/>
    </xf>
    <xf numFmtId="0" fontId="5" fillId="0" borderId="0" xfId="0" applyFont="1" applyAlignment="1" applyProtection="1">
      <alignment horizontal="center"/>
      <protection locked="0"/>
    </xf>
    <xf numFmtId="3" fontId="5" fillId="0" borderId="0" xfId="0" applyNumberFormat="1" applyFont="1" applyAlignment="1" applyProtection="1">
      <alignment horizontal="center"/>
      <protection locked="0"/>
    </xf>
    <xf numFmtId="0" fontId="8" fillId="0" borderId="0" xfId="0" applyFont="1" applyAlignment="1">
      <alignment horizontal="center"/>
    </xf>
    <xf numFmtId="0" fontId="2" fillId="0" borderId="0" xfId="0" applyFont="1" applyAlignment="1" applyProtection="1">
      <alignment horizontal="center"/>
      <protection locked="0"/>
    </xf>
    <xf numFmtId="0" fontId="1" fillId="0" borderId="0" xfId="0" applyFont="1" applyAlignment="1" applyProtection="1">
      <alignment horizontal="left"/>
      <protection locked="0"/>
    </xf>
    <xf numFmtId="0" fontId="0" fillId="8" borderId="0" xfId="0" applyFill="1" applyAlignment="1" applyProtection="1">
      <alignment horizontal="center" wrapText="1"/>
      <protection locked="0"/>
    </xf>
    <xf numFmtId="0" fontId="0" fillId="8" borderId="0" xfId="0" applyFill="1" applyAlignment="1">
      <alignment horizontal="center" wrapText="1"/>
    </xf>
    <xf numFmtId="0" fontId="4" fillId="8" borderId="0" xfId="0" applyFont="1" applyFill="1" applyAlignment="1" applyProtection="1">
      <alignment horizontal="center"/>
      <protection locked="0"/>
    </xf>
    <xf numFmtId="0" fontId="0" fillId="8" borderId="0" xfId="0" applyFill="1" applyAlignment="1" applyProtection="1">
      <alignment wrapText="1"/>
      <protection locked="0"/>
    </xf>
    <xf numFmtId="0" fontId="1" fillId="8" borderId="0" xfId="0" applyFont="1" applyFill="1" applyAlignment="1" applyProtection="1">
      <alignment wrapText="1"/>
      <protection locked="0"/>
    </xf>
    <xf numFmtId="0" fontId="1" fillId="9" borderId="0" xfId="0" applyFont="1" applyFill="1" applyAlignment="1">
      <alignment horizontal="center" wrapText="1"/>
    </xf>
    <xf numFmtId="0" fontId="9" fillId="8" borderId="0" xfId="0" applyFont="1" applyFill="1" applyAlignment="1">
      <alignment horizontal="center"/>
    </xf>
    <xf numFmtId="0" fontId="10" fillId="8" borderId="0" xfId="0" applyFont="1" applyFill="1" applyBorder="1" applyAlignment="1" applyProtection="1">
      <alignment horizontal="center"/>
      <protection locked="0"/>
    </xf>
    <xf numFmtId="0" fontId="11" fillId="8" borderId="0" xfId="0" applyFont="1" applyFill="1" applyBorder="1" applyAlignment="1">
      <alignment horizontal="center" vertical="center"/>
    </xf>
    <xf numFmtId="3" fontId="11" fillId="8" borderId="0" xfId="0" applyNumberFormat="1" applyFont="1" applyFill="1" applyBorder="1" applyAlignment="1">
      <alignment horizontal="center" vertical="center"/>
    </xf>
    <xf numFmtId="0" fontId="10" fillId="8" borderId="0" xfId="0" applyFont="1" applyFill="1" applyAlignment="1" applyProtection="1">
      <alignment horizontal="center"/>
      <protection locked="0"/>
    </xf>
    <xf numFmtId="0" fontId="10" fillId="9" borderId="0" xfId="0" applyFont="1" applyFill="1" applyAlignment="1">
      <alignment horizontal="center"/>
    </xf>
    <xf numFmtId="0" fontId="7" fillId="10" borderId="10" xfId="0" applyFont="1" applyFill="1" applyBorder="1" applyAlignment="1" applyProtection="1">
      <alignment horizontal="left"/>
      <protection locked="0"/>
    </xf>
    <xf numFmtId="0" fontId="0" fillId="8" borderId="11" xfId="0" applyFill="1" applyBorder="1" applyAlignment="1" applyProtection="1">
      <alignment horizontal="center"/>
      <protection locked="0"/>
    </xf>
    <xf numFmtId="0" fontId="0" fillId="7" borderId="11" xfId="0" applyFill="1" applyBorder="1" applyAlignment="1" applyProtection="1">
      <alignment horizontal="center"/>
      <protection locked="0"/>
    </xf>
    <xf numFmtId="0" fontId="10" fillId="0" borderId="11" xfId="0" applyFont="1" applyBorder="1" applyAlignment="1" applyProtection="1">
      <alignment horizontal="center"/>
      <protection locked="0"/>
    </xf>
    <xf numFmtId="0" fontId="9" fillId="0" borderId="12" xfId="0" applyFont="1" applyBorder="1" applyAlignment="1" applyProtection="1">
      <alignment horizontal="center"/>
      <protection locked="0"/>
    </xf>
    <xf numFmtId="0" fontId="1" fillId="0" borderId="0" xfId="0" applyFont="1"/>
    <xf numFmtId="0" fontId="0" fillId="0" borderId="0" xfId="0" applyAlignment="1">
      <alignment horizontal="left" wrapText="1" indent="2"/>
    </xf>
    <xf numFmtId="0" fontId="0" fillId="9" borderId="0" xfId="0" applyFill="1" applyAlignment="1" applyProtection="1">
      <alignment horizontal="center" wrapText="1"/>
      <protection locked="0"/>
    </xf>
    <xf numFmtId="0" fontId="0" fillId="9" borderId="0" xfId="0" applyFill="1" applyAlignment="1">
      <alignment horizontal="center" vertical="top" wrapText="1"/>
    </xf>
    <xf numFmtId="0" fontId="10" fillId="9" borderId="0" xfId="0" applyFont="1" applyFill="1" applyBorder="1" applyAlignment="1" applyProtection="1">
      <alignment horizontal="center"/>
      <protection locked="0"/>
    </xf>
    <xf numFmtId="0" fontId="9" fillId="9" borderId="0" xfId="0" applyFont="1" applyFill="1" applyAlignment="1">
      <alignment horizontal="center"/>
    </xf>
    <xf numFmtId="14" fontId="0" fillId="0" borderId="0" xfId="0" applyNumberFormat="1"/>
    <xf numFmtId="3" fontId="13" fillId="0" borderId="0" xfId="0" applyNumberFormat="1" applyFont="1"/>
    <xf numFmtId="0" fontId="16" fillId="0" borderId="0" xfId="0" applyFont="1" applyAlignment="1" applyProtection="1">
      <alignment horizontal="center"/>
      <protection locked="0"/>
    </xf>
    <xf numFmtId="0" fontId="17" fillId="0" borderId="0" xfId="0" applyFont="1"/>
    <xf numFmtId="0" fontId="7" fillId="10" borderId="0" xfId="0" applyFont="1" applyFill="1" applyAlignment="1">
      <alignment horizontal="left" vertical="center"/>
    </xf>
    <xf numFmtId="0" fontId="7" fillId="10" borderId="0" xfId="0" applyFont="1" applyFill="1" applyAlignment="1">
      <alignment horizontal="center" vertical="center" wrapText="1"/>
    </xf>
    <xf numFmtId="0" fontId="7" fillId="10" borderId="0" xfId="0" applyFont="1" applyFill="1"/>
    <xf numFmtId="0" fontId="15" fillId="10" borderId="0" xfId="0" applyFont="1" applyFill="1"/>
    <xf numFmtId="0" fontId="7" fillId="11" borderId="0" xfId="0" applyFont="1" applyFill="1" applyAlignment="1">
      <alignment horizontal="left" vertical="center"/>
    </xf>
    <xf numFmtId="0" fontId="0" fillId="11" borderId="0" xfId="0" applyFill="1"/>
    <xf numFmtId="3" fontId="15" fillId="11" borderId="0" xfId="0" applyNumberFormat="1" applyFont="1" applyFill="1"/>
    <xf numFmtId="0" fontId="6" fillId="0" borderId="0" xfId="0" applyFont="1" applyAlignment="1">
      <alignment vertical="top" wrapText="1"/>
    </xf>
    <xf numFmtId="0" fontId="7" fillId="12" borderId="0" xfId="0" applyFont="1" applyFill="1" applyAlignment="1">
      <alignment horizontal="left" vertical="center"/>
    </xf>
    <xf numFmtId="0" fontId="7" fillId="12" borderId="0" xfId="0" applyFont="1" applyFill="1" applyAlignment="1">
      <alignment horizontal="center" vertical="center" wrapText="1"/>
    </xf>
    <xf numFmtId="0" fontId="7" fillId="12" borderId="0" xfId="0" applyFont="1" applyFill="1" applyBorder="1" applyAlignment="1">
      <alignment horizontal="center" vertical="center" wrapText="1"/>
    </xf>
    <xf numFmtId="0" fontId="7" fillId="12" borderId="0" xfId="0" applyFont="1" applyFill="1"/>
    <xf numFmtId="0" fontId="15" fillId="12" borderId="0" xfId="0" applyFont="1" applyFill="1"/>
    <xf numFmtId="0" fontId="7" fillId="10" borderId="13" xfId="0" applyFont="1" applyFill="1" applyBorder="1" applyAlignment="1">
      <alignment horizontal="center" vertical="center" wrapText="1"/>
    </xf>
    <xf numFmtId="0" fontId="11" fillId="9" borderId="0" xfId="0" applyFont="1" applyFill="1" applyBorder="1" applyAlignment="1">
      <alignment horizontal="center" vertical="center"/>
    </xf>
    <xf numFmtId="3" fontId="11" fillId="9" borderId="0" xfId="0" applyNumberFormat="1" applyFont="1" applyFill="1" applyBorder="1" applyAlignment="1">
      <alignment horizontal="center" vertical="center"/>
    </xf>
    <xf numFmtId="0" fontId="7" fillId="13" borderId="0" xfId="0" applyFont="1" applyFill="1" applyAlignment="1">
      <alignment horizontal="left" vertical="center"/>
    </xf>
    <xf numFmtId="0" fontId="7" fillId="13" borderId="0" xfId="0" applyFont="1" applyFill="1" applyAlignment="1">
      <alignment horizontal="center" vertical="center" wrapText="1"/>
    </xf>
    <xf numFmtId="0" fontId="7" fillId="13" borderId="0" xfId="0" applyFont="1" applyFill="1" applyBorder="1" applyAlignment="1">
      <alignment horizontal="center" vertical="center" wrapText="1"/>
    </xf>
    <xf numFmtId="0" fontId="15" fillId="13" borderId="0" xfId="0" applyFont="1" applyFill="1"/>
    <xf numFmtId="0" fontId="0" fillId="0" borderId="0" xfId="0" quotePrefix="1" applyAlignment="1">
      <alignment vertical="top" wrapText="1"/>
    </xf>
    <xf numFmtId="0" fontId="0" fillId="0" borderId="0" xfId="0" applyAlignment="1"/>
    <xf numFmtId="0" fontId="6" fillId="0" borderId="0" xfId="0" applyFont="1"/>
    <xf numFmtId="4" fontId="11" fillId="9" borderId="0" xfId="0" applyNumberFormat="1" applyFont="1" applyFill="1" applyBorder="1" applyAlignment="1">
      <alignment horizontal="center" vertical="center"/>
    </xf>
    <xf numFmtId="0" fontId="0" fillId="13" borderId="0" xfId="0" applyFill="1"/>
    <xf numFmtId="0" fontId="20" fillId="0" borderId="0" xfId="0" applyFont="1"/>
    <xf numFmtId="0" fontId="0" fillId="0" borderId="14" xfId="0" applyBorder="1"/>
    <xf numFmtId="0" fontId="0" fillId="0" borderId="0" xfId="0" applyAlignment="1">
      <alignment horizontal="right"/>
    </xf>
    <xf numFmtId="0" fontId="1" fillId="0" borderId="14" xfId="0" applyFont="1" applyBorder="1"/>
    <xf numFmtId="9" fontId="0" fillId="0" borderId="0" xfId="0" applyNumberFormat="1"/>
    <xf numFmtId="9" fontId="0" fillId="0" borderId="0" xfId="1" applyFont="1"/>
    <xf numFmtId="9" fontId="1" fillId="0" borderId="0" xfId="0" applyNumberFormat="1" applyFont="1"/>
    <xf numFmtId="0" fontId="22" fillId="0" borderId="0" xfId="0" applyFont="1" applyAlignment="1">
      <alignment horizontal="right"/>
    </xf>
    <xf numFmtId="0" fontId="1" fillId="9" borderId="0" xfId="0" applyFont="1" applyFill="1"/>
    <xf numFmtId="0" fontId="0" fillId="0" borderId="15" xfId="0" applyBorder="1"/>
    <xf numFmtId="0" fontId="7" fillId="10" borderId="15" xfId="0" applyFont="1" applyFill="1" applyBorder="1"/>
    <xf numFmtId="0" fontId="7" fillId="12" borderId="15" xfId="0" applyFont="1" applyFill="1" applyBorder="1"/>
    <xf numFmtId="3" fontId="13" fillId="0" borderId="15" xfId="0" applyNumberFormat="1" applyFont="1" applyBorder="1"/>
    <xf numFmtId="3" fontId="15" fillId="11" borderId="15" xfId="0" applyNumberFormat="1" applyFont="1" applyFill="1" applyBorder="1"/>
    <xf numFmtId="0" fontId="0" fillId="0" borderId="15" xfId="0" quotePrefix="1" applyBorder="1" applyAlignment="1">
      <alignment vertical="top" wrapText="1"/>
    </xf>
    <xf numFmtId="0" fontId="5" fillId="0" borderId="15" xfId="0" applyFont="1" applyBorder="1"/>
    <xf numFmtId="0" fontId="0" fillId="13" borderId="15" xfId="0" applyFill="1" applyBorder="1"/>
    <xf numFmtId="0" fontId="1" fillId="9" borderId="15" xfId="0" applyFont="1" applyFill="1" applyBorder="1"/>
    <xf numFmtId="0" fontId="9" fillId="9" borderId="15" xfId="0" applyFont="1" applyFill="1" applyBorder="1" applyAlignment="1">
      <alignment horizontal="center"/>
    </xf>
    <xf numFmtId="3" fontId="7" fillId="13" borderId="0" xfId="0" applyNumberFormat="1" applyFont="1" applyFill="1"/>
    <xf numFmtId="3" fontId="7" fillId="13" borderId="15" xfId="0" applyNumberFormat="1" applyFont="1" applyFill="1" applyBorder="1"/>
    <xf numFmtId="0" fontId="23" fillId="0" borderId="0" xfId="0" applyFont="1" applyFill="1" applyAlignment="1">
      <alignment horizontal="right"/>
    </xf>
    <xf numFmtId="0" fontId="12" fillId="0" borderId="0" xfId="0" applyFont="1" applyFill="1"/>
    <xf numFmtId="0" fontId="12" fillId="0" borderId="15" xfId="0" applyFont="1" applyFill="1" applyBorder="1"/>
    <xf numFmtId="0" fontId="24" fillId="0" borderId="0" xfId="0" applyFont="1" applyFill="1"/>
    <xf numFmtId="3" fontId="23" fillId="0" borderId="0" xfId="0" applyNumberFormat="1" applyFont="1" applyFill="1"/>
    <xf numFmtId="3" fontId="23" fillId="6" borderId="0" xfId="0" applyNumberFormat="1" applyFont="1" applyFill="1"/>
    <xf numFmtId="0" fontId="0" fillId="0" borderId="0" xfId="0" applyFont="1"/>
    <xf numFmtId="0" fontId="26" fillId="0" borderId="0" xfId="2"/>
    <xf numFmtId="3" fontId="0" fillId="0" borderId="0" xfId="0" applyNumberFormat="1"/>
    <xf numFmtId="0" fontId="1" fillId="0" borderId="0" xfId="0" applyFont="1" applyAlignment="1">
      <alignment vertical="center"/>
    </xf>
    <xf numFmtId="0" fontId="26" fillId="0" borderId="0" xfId="2" applyAlignment="1">
      <alignment vertical="center"/>
    </xf>
    <xf numFmtId="4" fontId="0" fillId="0" borderId="0" xfId="0" applyNumberFormat="1"/>
    <xf numFmtId="165" fontId="0" fillId="0" borderId="0" xfId="0" applyNumberFormat="1"/>
    <xf numFmtId="0" fontId="5" fillId="0" borderId="0" xfId="0" applyFont="1"/>
    <xf numFmtId="0" fontId="31" fillId="0" borderId="0" xfId="0" applyFont="1"/>
    <xf numFmtId="0" fontId="1" fillId="8" borderId="0" xfId="0" applyFont="1" applyFill="1" applyAlignment="1" applyProtection="1">
      <alignment horizontal="center" wrapText="1"/>
      <protection locked="0"/>
    </xf>
    <xf numFmtId="0" fontId="25" fillId="0" borderId="0" xfId="0" applyFont="1" applyAlignment="1">
      <alignment horizontal="left" vertical="top" wrapText="1"/>
    </xf>
    <xf numFmtId="0" fontId="5" fillId="0" borderId="0" xfId="0" quotePrefix="1" applyFont="1" applyAlignment="1">
      <alignment horizontal="left" vertical="center" wrapText="1"/>
    </xf>
    <xf numFmtId="0" fontId="30" fillId="0" borderId="0" xfId="0" applyFont="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0" fillId="8" borderId="0" xfId="0" applyFill="1" applyAlignment="1" applyProtection="1">
      <alignment horizontal="center" vertical="top" wrapText="1"/>
      <protection locked="0"/>
    </xf>
    <xf numFmtId="0" fontId="4" fillId="5" borderId="0" xfId="0" applyFont="1" applyFill="1" applyAlignment="1" applyProtection="1">
      <alignment horizontal="center"/>
      <protection locked="0"/>
    </xf>
    <xf numFmtId="0" fontId="1" fillId="8" borderId="0" xfId="0" applyFont="1" applyFill="1" applyAlignment="1" applyProtection="1">
      <alignment horizontal="center" wrapText="1"/>
      <protection locked="0"/>
    </xf>
    <xf numFmtId="0" fontId="4" fillId="13" borderId="0" xfId="0" applyFont="1" applyFill="1" applyAlignment="1" applyProtection="1">
      <alignment horizontal="center"/>
      <protection locked="0"/>
    </xf>
    <xf numFmtId="0" fontId="27" fillId="0" borderId="0" xfId="0" applyFont="1" applyAlignment="1">
      <alignment horizontal="left" vertical="top" wrapText="1"/>
    </xf>
    <xf numFmtId="0" fontId="6" fillId="0" borderId="0" xfId="0" applyFont="1" applyAlignment="1">
      <alignment horizontal="left" vertical="top" wrapText="1"/>
    </xf>
  </cellXfs>
  <cellStyles count="3">
    <cellStyle name="Hyperlink" xfId="2" builtinId="8"/>
    <cellStyle name="Normal" xfId="0" builtinId="0"/>
    <cellStyle name="Percent" xfId="1" builtinId="5"/>
  </cellStyles>
  <dxfs count="6">
    <dxf>
      <fill>
        <patternFill patternType="solid">
          <fgColor indexed="64"/>
          <bgColor theme="0" tint="-0.14999847407452621"/>
        </patternFill>
      </fill>
      <alignment horizontal="center" vertical="bottom" textRotation="0" wrapText="0" indent="0" justifyLastLine="0" shrinkToFit="0" readingOrder="0"/>
      <border diagonalUp="0" diagonalDown="0">
        <left style="hair">
          <color indexed="64"/>
        </left>
        <right/>
        <top style="hair">
          <color indexed="64"/>
        </top>
        <bottom style="hair">
          <color indexed="64"/>
        </bottom>
        <vertical/>
        <horizontal/>
      </border>
    </dxf>
    <dxf>
      <numFmt numFmtId="164" formatCode="0.000000"/>
      <fill>
        <patternFill patternType="solid">
          <fgColor indexed="64"/>
          <bgColor theme="0"/>
        </patternFill>
      </fill>
      <alignment horizontal="center" vertical="bottom" textRotation="0" wrapText="0" indent="0" justifyLastLine="0" shrinkToFit="0" readingOrder="0"/>
      <border diagonalUp="0" diagonalDown="0">
        <left style="hair">
          <color indexed="64"/>
        </left>
        <right style="hair">
          <color indexed="64"/>
        </right>
        <top style="hair">
          <color indexed="64"/>
        </top>
        <bottom style="hair">
          <color indexed="64"/>
        </bottom>
        <vertical/>
        <horizontal/>
      </border>
    </dxf>
    <dxf>
      <fill>
        <patternFill patternType="solid">
          <fgColor indexed="64"/>
          <bgColor theme="0" tint="-0.14999847407452621"/>
        </patternFill>
      </fill>
      <alignment horizontal="left" vertical="bottom" textRotation="0" wrapText="0" indent="0" justifyLastLine="0" shrinkToFit="0" readingOrder="0"/>
      <border diagonalUp="0" diagonalDown="0">
        <left/>
        <right style="hair">
          <color indexed="64"/>
        </right>
        <top style="hair">
          <color indexed="64"/>
        </top>
        <bottom style="hair">
          <color indexed="64"/>
        </bottom>
        <vertical/>
        <horizontal/>
      </border>
    </dxf>
    <dxf>
      <border outline="0">
        <bottom style="thin">
          <color indexed="64"/>
        </bottom>
      </border>
    </dxf>
    <dxf>
      <border outline="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0" tint="-4.9989318521683403E-2"/>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xdr:row>
      <xdr:rowOff>0</xdr:rowOff>
    </xdr:from>
    <xdr:to>
      <xdr:col>5</xdr:col>
      <xdr:colOff>189893</xdr:colOff>
      <xdr:row>26</xdr:row>
      <xdr:rowOff>142571</xdr:rowOff>
    </xdr:to>
    <xdr:pic>
      <xdr:nvPicPr>
        <xdr:cNvPr id="2" name="Picture 1">
          <a:extLst>
            <a:ext uri="{FF2B5EF4-FFF2-40B4-BE49-F238E27FC236}">
              <a16:creationId xmlns:a16="http://schemas.microsoft.com/office/drawing/2014/main" id="{22EA2963-064E-4A87-B052-4D4040747ABF}"/>
            </a:ext>
          </a:extLst>
        </xdr:cNvPr>
        <xdr:cNvPicPr>
          <a:picLocks noChangeAspect="1"/>
        </xdr:cNvPicPr>
      </xdr:nvPicPr>
      <xdr:blipFill>
        <a:blip xmlns:r="http://schemas.openxmlformats.org/officeDocument/2006/relationships" r:embed="rId1"/>
        <a:stretch>
          <a:fillRect/>
        </a:stretch>
      </xdr:blipFill>
      <xdr:spPr>
        <a:xfrm>
          <a:off x="609600" y="2476500"/>
          <a:ext cx="4857143" cy="2428571"/>
        </a:xfrm>
        <a:prstGeom prst="rect">
          <a:avLst/>
        </a:prstGeom>
      </xdr:spPr>
    </xdr:pic>
    <xdr:clientData/>
  </xdr:twoCellAnchor>
  <xdr:twoCellAnchor editAs="oneCell">
    <xdr:from>
      <xdr:col>1</xdr:col>
      <xdr:colOff>0</xdr:colOff>
      <xdr:row>29</xdr:row>
      <xdr:rowOff>0</xdr:rowOff>
    </xdr:from>
    <xdr:to>
      <xdr:col>5</xdr:col>
      <xdr:colOff>285131</xdr:colOff>
      <xdr:row>41</xdr:row>
      <xdr:rowOff>180667</xdr:rowOff>
    </xdr:to>
    <xdr:pic>
      <xdr:nvPicPr>
        <xdr:cNvPr id="3" name="Picture 2">
          <a:extLst>
            <a:ext uri="{FF2B5EF4-FFF2-40B4-BE49-F238E27FC236}">
              <a16:creationId xmlns:a16="http://schemas.microsoft.com/office/drawing/2014/main" id="{75E440F1-2E61-4E53-AAEB-4F89C13C4A1F}"/>
            </a:ext>
          </a:extLst>
        </xdr:cNvPr>
        <xdr:cNvPicPr>
          <a:picLocks noChangeAspect="1"/>
        </xdr:cNvPicPr>
      </xdr:nvPicPr>
      <xdr:blipFill>
        <a:blip xmlns:r="http://schemas.openxmlformats.org/officeDocument/2006/relationships" r:embed="rId2"/>
        <a:stretch>
          <a:fillRect/>
        </a:stretch>
      </xdr:blipFill>
      <xdr:spPr>
        <a:xfrm>
          <a:off x="609600" y="5334000"/>
          <a:ext cx="4952381" cy="2466667"/>
        </a:xfrm>
        <a:prstGeom prst="rect">
          <a:avLst/>
        </a:prstGeom>
      </xdr:spPr>
    </xdr:pic>
    <xdr:clientData/>
  </xdr:twoCellAnchor>
  <xdr:twoCellAnchor editAs="oneCell">
    <xdr:from>
      <xdr:col>1</xdr:col>
      <xdr:colOff>0</xdr:colOff>
      <xdr:row>44</xdr:row>
      <xdr:rowOff>0</xdr:rowOff>
    </xdr:from>
    <xdr:to>
      <xdr:col>5</xdr:col>
      <xdr:colOff>285750</xdr:colOff>
      <xdr:row>57</xdr:row>
      <xdr:rowOff>69066</xdr:rowOff>
    </xdr:to>
    <xdr:pic>
      <xdr:nvPicPr>
        <xdr:cNvPr id="4" name="Picture 3">
          <a:extLst>
            <a:ext uri="{FF2B5EF4-FFF2-40B4-BE49-F238E27FC236}">
              <a16:creationId xmlns:a16="http://schemas.microsoft.com/office/drawing/2014/main" id="{214DFFF5-378B-476A-A52A-D8D172115767}"/>
            </a:ext>
          </a:extLst>
        </xdr:cNvPr>
        <xdr:cNvPicPr>
          <a:picLocks noChangeAspect="1"/>
        </xdr:cNvPicPr>
      </xdr:nvPicPr>
      <xdr:blipFill>
        <a:blip xmlns:r="http://schemas.openxmlformats.org/officeDocument/2006/relationships" r:embed="rId3"/>
        <a:stretch>
          <a:fillRect/>
        </a:stretch>
      </xdr:blipFill>
      <xdr:spPr>
        <a:xfrm>
          <a:off x="609600" y="8191500"/>
          <a:ext cx="4953000" cy="2545566"/>
        </a:xfrm>
        <a:prstGeom prst="rect">
          <a:avLst/>
        </a:prstGeom>
      </xdr:spPr>
    </xdr:pic>
    <xdr:clientData/>
  </xdr:twoCellAnchor>
  <xdr:twoCellAnchor editAs="oneCell">
    <xdr:from>
      <xdr:col>7</xdr:col>
      <xdr:colOff>485775</xdr:colOff>
      <xdr:row>28</xdr:row>
      <xdr:rowOff>188197</xdr:rowOff>
    </xdr:from>
    <xdr:to>
      <xdr:col>16</xdr:col>
      <xdr:colOff>208545</xdr:colOff>
      <xdr:row>41</xdr:row>
      <xdr:rowOff>180498</xdr:rowOff>
    </xdr:to>
    <xdr:pic>
      <xdr:nvPicPr>
        <xdr:cNvPr id="5" name="Picture 4">
          <a:extLst>
            <a:ext uri="{FF2B5EF4-FFF2-40B4-BE49-F238E27FC236}">
              <a16:creationId xmlns:a16="http://schemas.microsoft.com/office/drawing/2014/main" id="{EB72D2DE-F29F-477E-A1FD-0F8FEEC6A849}"/>
            </a:ext>
          </a:extLst>
        </xdr:cNvPr>
        <xdr:cNvPicPr>
          <a:picLocks noChangeAspect="1"/>
        </xdr:cNvPicPr>
      </xdr:nvPicPr>
      <xdr:blipFill>
        <a:blip xmlns:r="http://schemas.openxmlformats.org/officeDocument/2006/relationships" r:embed="rId4"/>
        <a:stretch>
          <a:fillRect/>
        </a:stretch>
      </xdr:blipFill>
      <xdr:spPr>
        <a:xfrm>
          <a:off x="5724525" y="5331697"/>
          <a:ext cx="5209170" cy="2468801"/>
        </a:xfrm>
        <a:prstGeom prst="rect">
          <a:avLst/>
        </a:prstGeom>
      </xdr:spPr>
    </xdr:pic>
    <xdr:clientData/>
  </xdr:twoCellAnchor>
  <xdr:twoCellAnchor editAs="oneCell">
    <xdr:from>
      <xdr:col>8</xdr:col>
      <xdr:colOff>123825</xdr:colOff>
      <xdr:row>43</xdr:row>
      <xdr:rowOff>184837</xdr:rowOff>
    </xdr:from>
    <xdr:to>
      <xdr:col>17</xdr:col>
      <xdr:colOff>200025</xdr:colOff>
      <xdr:row>57</xdr:row>
      <xdr:rowOff>59258</xdr:rowOff>
    </xdr:to>
    <xdr:pic>
      <xdr:nvPicPr>
        <xdr:cNvPr id="6" name="Picture 5">
          <a:extLst>
            <a:ext uri="{FF2B5EF4-FFF2-40B4-BE49-F238E27FC236}">
              <a16:creationId xmlns:a16="http://schemas.microsoft.com/office/drawing/2014/main" id="{693A8F02-2FFC-48A7-B4BB-763AF6BE5EB2}"/>
            </a:ext>
          </a:extLst>
        </xdr:cNvPr>
        <xdr:cNvPicPr>
          <a:picLocks noChangeAspect="1"/>
        </xdr:cNvPicPr>
      </xdr:nvPicPr>
      <xdr:blipFill>
        <a:blip xmlns:r="http://schemas.openxmlformats.org/officeDocument/2006/relationships" r:embed="rId5"/>
        <a:stretch>
          <a:fillRect/>
        </a:stretch>
      </xdr:blipFill>
      <xdr:spPr>
        <a:xfrm>
          <a:off x="5972175" y="8185837"/>
          <a:ext cx="5562600" cy="2541421"/>
        </a:xfrm>
        <a:prstGeom prst="rect">
          <a:avLst/>
        </a:prstGeom>
      </xdr:spPr>
    </xdr:pic>
    <xdr:clientData/>
  </xdr:twoCellAnchor>
  <xdr:twoCellAnchor editAs="oneCell">
    <xdr:from>
      <xdr:col>7</xdr:col>
      <xdr:colOff>428624</xdr:colOff>
      <xdr:row>13</xdr:row>
      <xdr:rowOff>186181</xdr:rowOff>
    </xdr:from>
    <xdr:to>
      <xdr:col>16</xdr:col>
      <xdr:colOff>366083</xdr:colOff>
      <xdr:row>26</xdr:row>
      <xdr:rowOff>142875</xdr:rowOff>
    </xdr:to>
    <xdr:pic>
      <xdr:nvPicPr>
        <xdr:cNvPr id="7" name="Picture 6">
          <a:extLst>
            <a:ext uri="{FF2B5EF4-FFF2-40B4-BE49-F238E27FC236}">
              <a16:creationId xmlns:a16="http://schemas.microsoft.com/office/drawing/2014/main" id="{0D65CD9D-FCCA-4EAA-8B2E-201FF3588D8C}"/>
            </a:ext>
          </a:extLst>
        </xdr:cNvPr>
        <xdr:cNvPicPr>
          <a:picLocks noChangeAspect="1"/>
        </xdr:cNvPicPr>
      </xdr:nvPicPr>
      <xdr:blipFill>
        <a:blip xmlns:r="http://schemas.openxmlformats.org/officeDocument/2006/relationships" r:embed="rId6"/>
        <a:stretch>
          <a:fillRect/>
        </a:stretch>
      </xdr:blipFill>
      <xdr:spPr>
        <a:xfrm>
          <a:off x="5667374" y="2472181"/>
          <a:ext cx="5423859" cy="24331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ruce.robinson/AppData/Local/Microsoft/Windows/INetCache/Content.Outlook/G86XJUC8/FTA-Bus-Electrification-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Add or Modify Scenario"/>
      <sheetName val="Compare Scenarios"/>
      <sheetName val="Example Scenario"/>
      <sheetName val="DropDownLists"/>
      <sheetName val="Scenarios"/>
      <sheetName val="ScenarioBenefitCalculation"/>
      <sheetName val="Bus GHG Emissions Data"/>
    </sheetNames>
    <sheetDataSet>
      <sheetData sheetId="0"/>
      <sheetData sheetId="1"/>
      <sheetData sheetId="2"/>
      <sheetData sheetId="3"/>
      <sheetData sheetId="4"/>
      <sheetData sheetId="5"/>
      <sheetData sheetId="6"/>
      <sheetData sheetId="7"/>
    </sheetDataSet>
  </externalBook>
</externalLink>
</file>

<file path=xl/persons/person.xml><?xml version="1.0" encoding="utf-8"?>
<personList xmlns="http://schemas.microsoft.com/office/spreadsheetml/2018/threadedcomments" xmlns:x="http://schemas.openxmlformats.org/spreadsheetml/2006/main">
  <person displayName="Mezey, Claudia" id="{D9F4E9ED-5285-4715-A3A1-A895EE17F304}" userId="S::Claudia.Mezey@mtacd.org::c426205c-dd16-47a9-82d9-4361c2aa81db"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7D5445D-79C1-4786-A986-15F303BD7F2F}" name="Table4" displayName="Table4" ref="A1:C7" totalsRowShown="0" headerRowDxfId="5" headerRowBorderDxfId="3" tableBorderDxfId="4">
  <autoFilter ref="A1:C7" xr:uid="{B7D5445D-79C1-4786-A986-15F303BD7F2F}"/>
  <tableColumns count="3">
    <tableColumn id="1" xr3:uid="{FD07BBAE-595D-49E7-B49E-336C515502AA}" name="CURRENT FUEL-TYPE" dataDxfId="2"/>
    <tableColumn id="2" xr3:uid="{0F386EE8-A5FB-46B3-AB59-F72811C6C946}" name="DIRECT (SCOPE 1) EMISSIONS per veh-mile per year" dataDxfId="1"/>
    <tableColumn id="3" xr3:uid="{D91B1632-A32A-428A-87C6-D23F3F5799E5}" name="MTCO2eq"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4" dT="2024-03-18T19:00:28.10" personId="{D9F4E9ED-5285-4715-A3A1-A895EE17F304}" id="{30F68389-B5A7-4854-9304-C61EC5AFF5A9}">
    <text>Measured from 10 Standard battery-electric bus pilot over May 2020 thru June 2021.
https://new.mta.info/document/120411</text>
    <extLst>
      <x:ext xmlns:xltc2="http://schemas.microsoft.com/office/spreadsheetml/2020/threadedcomments2" uri="{F7C98A9C-CBB3-438F-8F68-D28B6AF4A901}">
        <xltc2:checksum>4239491702</xltc2:checksum>
        <xltc2:hyperlink startIndex="84" length="36" url="https://new.mta.info/document/120411"/>
      </x:ext>
    </extLst>
  </threadedComment>
</ThreadedComments>
</file>

<file path=xl/threadedComments/threadedComment2.xml><?xml version="1.0" encoding="utf-8"?>
<ThreadedComments xmlns="http://schemas.microsoft.com/office/spreadsheetml/2018/threadedcomments" xmlns:x="http://schemas.openxmlformats.org/spreadsheetml/2006/main">
  <threadedComment ref="D28" dT="2024-03-18T19:16:39.40" personId="{D9F4E9ED-5285-4715-A3A1-A895EE17F304}" id="{BE5D5BCE-3547-4632-9316-B50C9E276056}">
    <text>https://www.nyiso.com/documents/20142/39461182/Figure-21-Summer-2023-Installed-Capacity-%28MW%29-by-Fuel-Source-Statewide-Upstate-and-Downstate-NY.png/d3dba6e0-3137-6a1f-6811-2b91b91242a3?t=1692060252618</text>
    <extLst>
      <x:ext xmlns:xltc2="http://schemas.microsoft.com/office/spreadsheetml/2020/threadedcomments2" uri="{F7C98A9C-CBB3-438F-8F68-D28B6AF4A901}">
        <xltc2:checksum>4049990025</xltc2:checksum>
        <xltc2:hyperlink startIndex="0" length="203" url="https://www.nyiso.com/documents/20142/39461182/Figure-21-Summer-2023-Installed-Capacity-%28MW%29-by-Fuel-Source-Statewide-Upstate-and-Downstate-NY.png/d3dba6e0-3137-6a1f-6811-2b91b91242a3?t=1692060252618"/>
      </x:ext>
    </extLst>
  </threadedComment>
  <threadedComment ref="D29" dT="2024-03-18T19:17:16.53" personId="{D9F4E9ED-5285-4715-A3A1-A895EE17F304}" id="{31BD5454-4E0E-4AD0-A2DC-6393F287D1C0}">
    <text>https://www.nyiso.com/documents/20142/39461182/Figure-21-Summer-2023-Installed-Capacity-%28MW%29-by-Fuel-Source-Statewide-Upstate-and-Downstate-NY.png/d3dba6e0-3137-6a1f-6811-2b91b91242a3?t=1692060252618</text>
    <extLst>
      <x:ext xmlns:xltc2="http://schemas.microsoft.com/office/spreadsheetml/2020/threadedcomments2" uri="{F7C98A9C-CBB3-438F-8F68-D28B6AF4A901}">
        <xltc2:checksum>4049990025</xltc2:checksum>
        <xltc2:hyperlink startIndex="0" length="203" url="https://www.nyiso.com/documents/20142/39461182/Figure-21-Summer-2023-Installed-Capacity-%28MW%29-by-Fuel-Source-Statewide-Upstate-and-Downstate-NY.png/d3dba6e0-3137-6a1f-6811-2b91b91242a3?t=1692060252618"/>
      </x:ext>
    </extLs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hyperlink" Target="https://www.epa.gov/egrid/data-explorer" TargetMode="External"/><Relationship Id="rId6" Type="http://schemas.microsoft.com/office/2017/10/relationships/threadedComment" Target="../threadedComments/threadedComment2.xml"/><Relationship Id="rId5" Type="http://schemas.openxmlformats.org/officeDocument/2006/relationships/comments" Target="../comments2.xml"/><Relationship Id="rId4"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view.officeapps.live.com/op/view.aspx?src=https%3A%2F%2Fwww.fhwa.dot.gov%2Fenvironment%2Fair_quality%2Fcmaq%2Ftoolkit%2Ftransitbus_retrofit_replacement_tool3.xlsm&amp;wdOrigin=BROWSELIN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202A5-3A70-4DFD-A012-BCC72E6ED76F}">
  <sheetPr>
    <tabColor theme="7" tint="-0.499984740745262"/>
  </sheetPr>
  <dimension ref="A1:AO25"/>
  <sheetViews>
    <sheetView tabSelected="1" zoomScale="55" zoomScaleNormal="55" workbookViewId="0">
      <selection activeCell="O31" sqref="O31"/>
    </sheetView>
  </sheetViews>
  <sheetFormatPr defaultRowHeight="15"/>
  <cols>
    <col min="1" max="1" width="54.28515625" customWidth="1"/>
    <col min="2" max="3" width="14.140625" customWidth="1"/>
    <col min="4" max="5" width="21.140625" customWidth="1"/>
    <col min="6" max="6" width="20.7109375" customWidth="1"/>
    <col min="7" max="7" width="17.140625" customWidth="1"/>
    <col min="8" max="8" width="16.42578125" customWidth="1"/>
    <col min="9" max="9" width="42.28515625" customWidth="1"/>
    <col min="10" max="10" width="9" customWidth="1"/>
    <col min="11" max="14" width="10.28515625" customWidth="1"/>
    <col min="15" max="15" width="11.5703125" customWidth="1"/>
    <col min="16" max="34" width="10.28515625" customWidth="1"/>
    <col min="35" max="35" width="12.140625" customWidth="1"/>
  </cols>
  <sheetData>
    <row r="1" spans="1:41" ht="15.75">
      <c r="A1" s="113" t="s">
        <v>0</v>
      </c>
      <c r="B1" s="113"/>
      <c r="C1" s="113"/>
      <c r="D1" s="113"/>
      <c r="E1" s="113"/>
      <c r="F1" s="113"/>
      <c r="G1" s="113"/>
      <c r="H1" s="113"/>
      <c r="I1" s="113"/>
      <c r="J1" s="76" t="s">
        <v>1</v>
      </c>
      <c r="L1" s="85"/>
    </row>
    <row r="2" spans="1:41" ht="23.25" customHeight="1">
      <c r="A2" s="113"/>
      <c r="B2" s="113"/>
      <c r="C2" s="113"/>
      <c r="D2" s="113"/>
      <c r="E2" s="113"/>
      <c r="F2" s="113"/>
      <c r="G2" s="113"/>
      <c r="H2" s="113"/>
      <c r="I2" s="113"/>
      <c r="L2" s="91" t="s">
        <v>2</v>
      </c>
    </row>
    <row r="3" spans="1:41" s="54" customFormat="1" ht="60">
      <c r="A3" s="51" t="s">
        <v>3</v>
      </c>
      <c r="B3" s="52" t="s">
        <v>4</v>
      </c>
      <c r="C3" s="52" t="s">
        <v>5</v>
      </c>
      <c r="D3" s="52" t="s">
        <v>6</v>
      </c>
      <c r="E3" s="52" t="s">
        <v>7</v>
      </c>
      <c r="F3" s="52" t="s">
        <v>8</v>
      </c>
      <c r="G3" s="52" t="s">
        <v>9</v>
      </c>
      <c r="H3" s="64" t="s">
        <v>10</v>
      </c>
      <c r="I3" s="64" t="s">
        <v>11</v>
      </c>
      <c r="J3" s="53">
        <v>2025</v>
      </c>
      <c r="K3" s="53">
        <v>2026</v>
      </c>
      <c r="L3" s="86">
        <v>2027</v>
      </c>
      <c r="M3" s="53">
        <v>2028</v>
      </c>
      <c r="N3" s="53">
        <v>2029</v>
      </c>
      <c r="O3" s="53">
        <v>2030</v>
      </c>
      <c r="P3" s="53">
        <v>2031</v>
      </c>
      <c r="Q3" s="53">
        <v>2032</v>
      </c>
      <c r="R3" s="53">
        <v>2033</v>
      </c>
      <c r="S3" s="53">
        <v>2034</v>
      </c>
      <c r="T3" s="53">
        <v>2035</v>
      </c>
      <c r="U3" s="53">
        <v>2036</v>
      </c>
      <c r="V3" s="53">
        <v>2037</v>
      </c>
      <c r="W3" s="53">
        <v>2038</v>
      </c>
      <c r="X3" s="53">
        <v>2039</v>
      </c>
      <c r="Y3" s="53">
        <v>2040</v>
      </c>
      <c r="Z3" s="53">
        <v>2041</v>
      </c>
      <c r="AA3" s="53">
        <v>2042</v>
      </c>
      <c r="AB3" s="53">
        <v>2043</v>
      </c>
      <c r="AC3" s="53">
        <v>2044</v>
      </c>
      <c r="AD3" s="53">
        <v>2045</v>
      </c>
      <c r="AE3" s="53">
        <v>2046</v>
      </c>
      <c r="AF3" s="53">
        <v>2047</v>
      </c>
      <c r="AG3" s="53">
        <v>2048</v>
      </c>
      <c r="AH3" s="53">
        <v>2049</v>
      </c>
      <c r="AI3" s="53">
        <v>2050</v>
      </c>
    </row>
    <row r="4" spans="1:41" s="63" customFormat="1">
      <c r="A4" s="59" t="s">
        <v>12</v>
      </c>
      <c r="B4" s="60"/>
      <c r="C4" s="60"/>
      <c r="D4" s="60"/>
      <c r="E4" s="60"/>
      <c r="F4" s="60"/>
      <c r="G4" s="60"/>
      <c r="H4" s="61"/>
      <c r="I4" s="61"/>
      <c r="J4" s="62"/>
      <c r="K4" s="62"/>
      <c r="L4" s="87"/>
      <c r="M4" s="62"/>
      <c r="N4" s="62"/>
      <c r="O4" s="62"/>
      <c r="P4" s="62"/>
      <c r="Q4" s="62"/>
      <c r="R4" s="62"/>
      <c r="S4" s="62"/>
      <c r="T4" s="62"/>
      <c r="U4" s="62"/>
      <c r="V4" s="62"/>
      <c r="W4" s="62"/>
      <c r="X4" s="62"/>
      <c r="Y4" s="62"/>
      <c r="Z4" s="62"/>
      <c r="AA4" s="62"/>
      <c r="AB4" s="62"/>
      <c r="AC4" s="62"/>
      <c r="AD4" s="62"/>
      <c r="AE4" s="62"/>
      <c r="AF4" s="62"/>
      <c r="AG4" s="62"/>
      <c r="AH4" s="62"/>
      <c r="AI4" s="62"/>
    </row>
    <row r="5" spans="1:41" ht="30">
      <c r="A5" s="42" t="s">
        <v>13</v>
      </c>
      <c r="B5">
        <f>'FY24 FTA Calculator_Ref Scen'!B10</f>
        <v>30</v>
      </c>
      <c r="C5" t="str">
        <f>'FY24 FTA Calculator_Ref Scen'!A10</f>
        <v>DIESEL</v>
      </c>
      <c r="D5" s="47">
        <v>46290</v>
      </c>
      <c r="E5" s="47">
        <v>46477</v>
      </c>
      <c r="F5" s="47">
        <v>46478</v>
      </c>
      <c r="G5" s="47">
        <v>55153</v>
      </c>
      <c r="H5">
        <f>'FY24 FTA Calculator_Ref Scen'!E10</f>
        <v>41.45411</v>
      </c>
      <c r="I5" s="50" t="s">
        <v>14</v>
      </c>
      <c r="J5" s="48">
        <v>0</v>
      </c>
      <c r="K5" s="48">
        <v>0</v>
      </c>
      <c r="L5" s="88">
        <f>$H5*$B5*0.75</f>
        <v>932.71747499999992</v>
      </c>
      <c r="M5" s="48">
        <f t="shared" ref="M5:W5" si="0">L5+$B5*$H5</f>
        <v>2176.3407749999997</v>
      </c>
      <c r="N5" s="48">
        <f t="shared" si="0"/>
        <v>3419.9640749999999</v>
      </c>
      <c r="O5" s="48">
        <f t="shared" si="0"/>
        <v>4663.5873750000001</v>
      </c>
      <c r="P5" s="48">
        <f t="shared" si="0"/>
        <v>5907.2106750000003</v>
      </c>
      <c r="Q5" s="48">
        <f t="shared" si="0"/>
        <v>7150.8339750000005</v>
      </c>
      <c r="R5" s="48">
        <f t="shared" si="0"/>
        <v>8394.4572750000007</v>
      </c>
      <c r="S5" s="48">
        <f t="shared" si="0"/>
        <v>9638.080575</v>
      </c>
      <c r="T5" s="48">
        <f t="shared" si="0"/>
        <v>10881.703874999999</v>
      </c>
      <c r="U5" s="48">
        <f t="shared" si="0"/>
        <v>12125.327174999999</v>
      </c>
      <c r="V5" s="48">
        <f t="shared" si="0"/>
        <v>13368.950474999998</v>
      </c>
      <c r="W5" s="48">
        <f t="shared" si="0"/>
        <v>14612.573774999997</v>
      </c>
      <c r="X5" s="48">
        <f t="shared" ref="X5:X7" si="1">W5+$B5*$H5</f>
        <v>15856.197074999996</v>
      </c>
      <c r="Y5" s="48">
        <f t="shared" ref="Y5:Y7" si="2">X5+$B5*$H5</f>
        <v>17099.820374999996</v>
      </c>
      <c r="Z5" s="48">
        <f t="shared" ref="Z5:Z7" si="3">Y5+$B5*$H5</f>
        <v>18343.443674999995</v>
      </c>
      <c r="AA5" s="48">
        <f t="shared" ref="AA5:AA7" si="4">Z5+$B5*$H5</f>
        <v>19587.066974999994</v>
      </c>
      <c r="AB5" s="48">
        <f t="shared" ref="AB5:AB7" si="5">AA5+$B5*$H5</f>
        <v>20830.690274999994</v>
      </c>
      <c r="AC5" s="48">
        <f t="shared" ref="AC5:AC7" si="6">AB5+$B5*$H5</f>
        <v>22074.313574999993</v>
      </c>
      <c r="AD5" s="48">
        <f t="shared" ref="AD5:AD7" si="7">AC5+$B5*$H5</f>
        <v>23317.936874999992</v>
      </c>
      <c r="AE5" s="48">
        <f t="shared" ref="AE5:AE7" si="8">AD5+$B5*$H5</f>
        <v>24561.560174999991</v>
      </c>
      <c r="AF5" s="48">
        <f t="shared" ref="AF5:AF7" si="9">AE5+$B5*$H5</f>
        <v>25805.183474999991</v>
      </c>
      <c r="AG5" s="48">
        <f t="shared" ref="AG5:AG7" si="10">AF5+$B5*$H5</f>
        <v>27048.80677499999</v>
      </c>
      <c r="AH5" s="48">
        <f t="shared" ref="AH5:AH7" si="11">AG5+$B5*$H5</f>
        <v>28292.430074999989</v>
      </c>
      <c r="AI5" s="48">
        <f t="shared" ref="AI5:AI7" si="12">AH5+$B5*$H5</f>
        <v>29536.053374999989</v>
      </c>
      <c r="AJ5" s="105"/>
      <c r="AK5" s="105"/>
      <c r="AL5" s="105"/>
      <c r="AM5" s="105"/>
      <c r="AN5" s="105"/>
      <c r="AO5" s="105"/>
    </row>
    <row r="6" spans="1:41" ht="30">
      <c r="A6" s="42" t="s">
        <v>15</v>
      </c>
      <c r="B6">
        <f>'FY24 FTA Calculator_Ref Scen'!B11</f>
        <v>60</v>
      </c>
      <c r="C6" t="str">
        <f>'FY24 FTA Calculator_Ref Scen'!A11</f>
        <v>DIESEL</v>
      </c>
      <c r="D6" s="47">
        <v>46290</v>
      </c>
      <c r="E6" s="47">
        <v>46477</v>
      </c>
      <c r="F6" s="47">
        <v>46478</v>
      </c>
      <c r="G6" s="47">
        <v>55153</v>
      </c>
      <c r="H6">
        <f>'FY24 FTA Calculator_Ref Scen'!E11</f>
        <v>42.128239999999998</v>
      </c>
      <c r="I6" s="50" t="s">
        <v>14</v>
      </c>
      <c r="J6" s="48">
        <v>0</v>
      </c>
      <c r="K6" s="48">
        <v>0</v>
      </c>
      <c r="L6" s="88">
        <f>$H6*$B6*0.75</f>
        <v>1895.7707999999998</v>
      </c>
      <c r="M6" s="48">
        <f t="shared" ref="M6:W6" si="13">L6+$B6*$H6</f>
        <v>4423.4651999999996</v>
      </c>
      <c r="N6" s="48">
        <f t="shared" si="13"/>
        <v>6951.159599999999</v>
      </c>
      <c r="O6" s="48">
        <f t="shared" si="13"/>
        <v>9478.8539999999994</v>
      </c>
      <c r="P6" s="48">
        <f t="shared" si="13"/>
        <v>12006.5484</v>
      </c>
      <c r="Q6" s="48">
        <f t="shared" si="13"/>
        <v>14534.2428</v>
      </c>
      <c r="R6" s="48">
        <f t="shared" si="13"/>
        <v>17061.9372</v>
      </c>
      <c r="S6" s="48">
        <f t="shared" si="13"/>
        <v>19589.631600000001</v>
      </c>
      <c r="T6" s="48">
        <f t="shared" si="13"/>
        <v>22117.326000000001</v>
      </c>
      <c r="U6" s="48">
        <f t="shared" si="13"/>
        <v>24645.020400000001</v>
      </c>
      <c r="V6" s="48">
        <f t="shared" si="13"/>
        <v>27172.714800000002</v>
      </c>
      <c r="W6" s="48">
        <f t="shared" si="13"/>
        <v>29700.409200000002</v>
      </c>
      <c r="X6" s="48">
        <f t="shared" si="1"/>
        <v>32228.103600000002</v>
      </c>
      <c r="Y6" s="48">
        <f t="shared" si="2"/>
        <v>34755.798000000003</v>
      </c>
      <c r="Z6" s="48">
        <f t="shared" si="3"/>
        <v>37283.492400000003</v>
      </c>
      <c r="AA6" s="48">
        <f t="shared" si="4"/>
        <v>39811.186800000003</v>
      </c>
      <c r="AB6" s="48">
        <f t="shared" si="5"/>
        <v>42338.881200000003</v>
      </c>
      <c r="AC6" s="48">
        <f t="shared" si="6"/>
        <v>44866.575600000004</v>
      </c>
      <c r="AD6" s="48">
        <f t="shared" si="7"/>
        <v>47394.270000000004</v>
      </c>
      <c r="AE6" s="48">
        <f t="shared" si="8"/>
        <v>49921.964400000004</v>
      </c>
      <c r="AF6" s="48">
        <f t="shared" si="9"/>
        <v>52449.658800000005</v>
      </c>
      <c r="AG6" s="48">
        <f t="shared" si="10"/>
        <v>54977.353200000005</v>
      </c>
      <c r="AH6" s="48">
        <f t="shared" si="11"/>
        <v>57505.047600000005</v>
      </c>
      <c r="AI6" s="48">
        <f t="shared" si="12"/>
        <v>60032.742000000006</v>
      </c>
    </row>
    <row r="7" spans="1:41" ht="30">
      <c r="A7" s="42" t="s">
        <v>16</v>
      </c>
      <c r="B7">
        <f>'FY24 FTA Calculator_Ref Scen'!B12</f>
        <v>10</v>
      </c>
      <c r="C7" t="str">
        <f>'FY24 FTA Calculator_Ref Scen'!A12</f>
        <v>DIESEL</v>
      </c>
      <c r="D7" s="47">
        <v>46290</v>
      </c>
      <c r="E7" s="47">
        <v>46477</v>
      </c>
      <c r="F7" s="47">
        <v>46478</v>
      </c>
      <c r="G7" s="47">
        <v>55153</v>
      </c>
      <c r="H7">
        <f>'FY24 FTA Calculator_Ref Scen'!E12</f>
        <v>55.948882000000005</v>
      </c>
      <c r="I7" s="50" t="s">
        <v>14</v>
      </c>
      <c r="J7" s="48">
        <v>0</v>
      </c>
      <c r="K7" s="48">
        <v>0</v>
      </c>
      <c r="L7" s="88">
        <f>$H7*$B7*0.75</f>
        <v>419.61661500000002</v>
      </c>
      <c r="M7" s="48">
        <f t="shared" ref="M7:W7" si="14">L7+$B7*$H7</f>
        <v>979.10543500000006</v>
      </c>
      <c r="N7" s="48">
        <f t="shared" si="14"/>
        <v>1538.594255</v>
      </c>
      <c r="O7" s="48">
        <f t="shared" si="14"/>
        <v>2098.083075</v>
      </c>
      <c r="P7" s="48">
        <f t="shared" si="14"/>
        <v>2657.571895</v>
      </c>
      <c r="Q7" s="48">
        <f t="shared" si="14"/>
        <v>3217.0607150000001</v>
      </c>
      <c r="R7" s="48">
        <f t="shared" si="14"/>
        <v>3776.5495350000001</v>
      </c>
      <c r="S7" s="48">
        <f t="shared" si="14"/>
        <v>4336.0383550000006</v>
      </c>
      <c r="T7" s="48">
        <f t="shared" si="14"/>
        <v>4895.5271750000011</v>
      </c>
      <c r="U7" s="48">
        <f t="shared" si="14"/>
        <v>5455.0159950000016</v>
      </c>
      <c r="V7" s="48">
        <f t="shared" si="14"/>
        <v>6014.5048150000021</v>
      </c>
      <c r="W7" s="48">
        <f t="shared" si="14"/>
        <v>6573.9936350000025</v>
      </c>
      <c r="X7" s="48">
        <f t="shared" si="1"/>
        <v>7133.482455000003</v>
      </c>
      <c r="Y7" s="48">
        <f t="shared" si="2"/>
        <v>7692.9712750000035</v>
      </c>
      <c r="Z7" s="48">
        <f t="shared" si="3"/>
        <v>8252.460095000004</v>
      </c>
      <c r="AA7" s="48">
        <f t="shared" si="4"/>
        <v>8811.9489150000045</v>
      </c>
      <c r="AB7" s="48">
        <f t="shared" si="5"/>
        <v>9371.437735000005</v>
      </c>
      <c r="AC7" s="48">
        <f t="shared" si="6"/>
        <v>9930.9265550000055</v>
      </c>
      <c r="AD7" s="48">
        <f t="shared" si="7"/>
        <v>10490.415375000006</v>
      </c>
      <c r="AE7" s="48">
        <f t="shared" si="8"/>
        <v>11049.904195000006</v>
      </c>
      <c r="AF7" s="48">
        <f t="shared" si="9"/>
        <v>11609.393015000007</v>
      </c>
      <c r="AG7" s="48">
        <f t="shared" si="10"/>
        <v>12168.881835000007</v>
      </c>
      <c r="AH7" s="48">
        <f t="shared" si="11"/>
        <v>12728.370655000008</v>
      </c>
      <c r="AI7" s="48">
        <f t="shared" si="12"/>
        <v>13287.859475000008</v>
      </c>
    </row>
    <row r="8" spans="1:41" s="70" customFormat="1">
      <c r="A8" s="67" t="s">
        <v>17</v>
      </c>
      <c r="B8" s="68"/>
      <c r="C8" s="68"/>
      <c r="D8" s="68"/>
      <c r="E8" s="68"/>
      <c r="F8" s="68"/>
      <c r="G8" s="68"/>
      <c r="H8" s="69"/>
      <c r="I8" s="69"/>
      <c r="J8" s="95"/>
      <c r="K8" s="95"/>
      <c r="L8" s="96"/>
      <c r="M8" s="95"/>
      <c r="N8" s="95"/>
      <c r="O8" s="95"/>
      <c r="P8" s="95"/>
      <c r="Q8" s="95"/>
      <c r="R8" s="95"/>
      <c r="S8" s="95"/>
      <c r="T8" s="95"/>
      <c r="U8" s="95"/>
      <c r="V8" s="95"/>
      <c r="W8" s="95"/>
      <c r="X8" s="95"/>
      <c r="Y8" s="95"/>
      <c r="Z8" s="95"/>
      <c r="AA8" s="95"/>
      <c r="AB8" s="95"/>
      <c r="AC8" s="95"/>
      <c r="AD8" s="95"/>
      <c r="AE8" s="95"/>
      <c r="AF8" s="95"/>
      <c r="AG8" s="95"/>
      <c r="AH8" s="95"/>
      <c r="AI8" s="95"/>
    </row>
    <row r="9" spans="1:41" ht="30">
      <c r="A9" s="42" t="s">
        <v>13</v>
      </c>
      <c r="B9">
        <f>'Project Scenario'!C5</f>
        <v>30</v>
      </c>
      <c r="C9" t="str">
        <f>'Project Scenario'!B5</f>
        <v>ZERO EMISSION</v>
      </c>
      <c r="D9" s="47">
        <v>46290</v>
      </c>
      <c r="E9" s="47">
        <v>46477</v>
      </c>
      <c r="F9" s="47">
        <v>46478</v>
      </c>
      <c r="G9" s="47">
        <v>55153</v>
      </c>
      <c r="H9" t="s">
        <v>18</v>
      </c>
      <c r="I9" s="50" t="s">
        <v>19</v>
      </c>
      <c r="J9" s="48">
        <f>'Project Scenario'!G5*$B9</f>
        <v>0</v>
      </c>
      <c r="K9" s="48">
        <f>'Project Scenario'!H5*$B9</f>
        <v>0</v>
      </c>
      <c r="L9" s="88">
        <f>'Project Scenario'!I5*$B9*0.75</f>
        <v>336.73597909645503</v>
      </c>
      <c r="M9" s="48">
        <f>'Project Scenario'!J5*$B9+L9</f>
        <v>710.66772534061636</v>
      </c>
      <c r="N9" s="48">
        <f>'Project Scenario'!K5*$B9+M9</f>
        <v>1009.5499123669991</v>
      </c>
      <c r="O9" s="48">
        <f>'Project Scenario'!L5*$B9+N9</f>
        <v>1233.382540175603</v>
      </c>
      <c r="P9" s="48">
        <f>'Project Scenario'!M5*$B9+O9</f>
        <v>1434.8319052033464</v>
      </c>
      <c r="Q9" s="48">
        <f>'Project Scenario'!N5*$B9+P9</f>
        <v>1613.8980074502297</v>
      </c>
      <c r="R9" s="48">
        <f>'Project Scenario'!O5*$B9+Q9</f>
        <v>1770.5808469162521</v>
      </c>
      <c r="S9" s="48">
        <f>'Project Scenario'!P5*$B9+R9</f>
        <v>1904.8804236014143</v>
      </c>
      <c r="T9" s="48">
        <f>'Project Scenario'!Q5*$B9+S9</f>
        <v>2016.7967375057162</v>
      </c>
      <c r="U9" s="48">
        <f>'Project Scenario'!R5*$B9+T9</f>
        <v>2106.329788629158</v>
      </c>
      <c r="V9" s="48">
        <f>'Project Scenario'!S5*$B9+U9</f>
        <v>2173.4795769717393</v>
      </c>
      <c r="W9" s="48">
        <f>'Project Scenario'!T5*$B9+V9</f>
        <v>2218.2461025334601</v>
      </c>
      <c r="X9" s="48">
        <f>'Project Scenario'!U5*$B9+W9</f>
        <v>2240.6293653143202</v>
      </c>
      <c r="Y9" s="48">
        <f>'Project Scenario'!V5*$B9+X9</f>
        <v>2240.6293653143202</v>
      </c>
      <c r="Z9" s="48">
        <f>'Project Scenario'!W5*$B9+Y9</f>
        <v>2240.6293653143202</v>
      </c>
      <c r="AA9" s="48">
        <f>'Project Scenario'!X5*$B9+Z9</f>
        <v>2240.6293653143202</v>
      </c>
      <c r="AB9" s="48">
        <f>'Project Scenario'!Y5*$B9+AA9</f>
        <v>2240.6293653143202</v>
      </c>
      <c r="AC9" s="48">
        <f>'Project Scenario'!Z5*$B9+AB9</f>
        <v>2240.6293653143202</v>
      </c>
      <c r="AD9" s="48">
        <f>'Project Scenario'!AA5*$B9+AC9</f>
        <v>2240.6293653143202</v>
      </c>
      <c r="AE9" s="48">
        <f>'Project Scenario'!AB5*$B9+AD9</f>
        <v>2240.6293653143202</v>
      </c>
      <c r="AF9" s="48">
        <f>'Project Scenario'!AC5*$B9+AE9</f>
        <v>2240.6293653143202</v>
      </c>
      <c r="AG9" s="48">
        <f>'Project Scenario'!AD5*$B9+AF9</f>
        <v>2240.6293653143202</v>
      </c>
      <c r="AH9" s="48">
        <f>'Project Scenario'!AE5*$B9+AG9</f>
        <v>2240.6293653143202</v>
      </c>
      <c r="AI9" s="48">
        <f>'Project Scenario'!AF5*$B9+AH9</f>
        <v>2240.6293653143202</v>
      </c>
    </row>
    <row r="10" spans="1:41" ht="30">
      <c r="A10" s="42" t="s">
        <v>15</v>
      </c>
      <c r="B10">
        <f>'Project Scenario'!C6</f>
        <v>60</v>
      </c>
      <c r="C10" t="str">
        <f>'Project Scenario'!B6</f>
        <v>ZERO EMISSION</v>
      </c>
      <c r="D10" s="47">
        <v>46290</v>
      </c>
      <c r="E10" s="47">
        <v>46477</v>
      </c>
      <c r="F10" s="47">
        <v>46478</v>
      </c>
      <c r="G10" s="47">
        <v>55153</v>
      </c>
      <c r="H10" t="s">
        <v>18</v>
      </c>
      <c r="I10" s="50" t="s">
        <v>19</v>
      </c>
      <c r="J10" s="48">
        <f>'Project Scenario'!G6*$B10</f>
        <v>0</v>
      </c>
      <c r="K10" s="48">
        <f>'Project Scenario'!H6*$B10</f>
        <v>0</v>
      </c>
      <c r="L10" s="88">
        <f>'Project Scenario'!I6*$B10*0.75</f>
        <v>684.42401219133342</v>
      </c>
      <c r="M10" s="48">
        <f>'Project Scenario'!J6*$B10+L10</f>
        <v>1444.4493196647361</v>
      </c>
      <c r="N10" s="48">
        <f>'Project Scenario'!K6*$B10+M10</f>
        <v>2051.934585023097</v>
      </c>
      <c r="O10" s="48">
        <f>'Project Scenario'!L6*$B10+N10</f>
        <v>2506.8798082664152</v>
      </c>
      <c r="P10" s="48">
        <f>'Project Scenario'!M6*$B10+O10</f>
        <v>2916.3305091854018</v>
      </c>
      <c r="Q10" s="48">
        <f>'Project Scenario'!N6*$B10+P10</f>
        <v>3280.2866877800566</v>
      </c>
      <c r="R10" s="48">
        <f>'Project Scenario'!O6*$B10+Q10</f>
        <v>3598.7483440503793</v>
      </c>
      <c r="S10" s="48">
        <f>'Project Scenario'!P6*$B10+R10</f>
        <v>3871.7154779963703</v>
      </c>
      <c r="T10" s="48">
        <f>'Project Scenario'!Q6*$B10+S10</f>
        <v>4099.1880896180292</v>
      </c>
      <c r="U10" s="48">
        <f>'Project Scenario'!R6*$B10+T10</f>
        <v>4281.1661789153568</v>
      </c>
      <c r="V10" s="48">
        <f>'Project Scenario'!S6*$B10+U10</f>
        <v>4417.6497458883523</v>
      </c>
      <c r="W10" s="48">
        <f>'Project Scenario'!T6*$B10+V10</f>
        <v>4508.6387905370157</v>
      </c>
      <c r="X10" s="48">
        <f>'Project Scenario'!U6*$B10+W10</f>
        <v>4554.1333128613469</v>
      </c>
      <c r="Y10" s="48">
        <f>'Project Scenario'!V6*$B10+X10</f>
        <v>4554.1333128613469</v>
      </c>
      <c r="Z10" s="48">
        <f>'Project Scenario'!W6*$B10+Y10</f>
        <v>4554.1333128613469</v>
      </c>
      <c r="AA10" s="48">
        <f>'Project Scenario'!X6*$B10+Z10</f>
        <v>4554.1333128613469</v>
      </c>
      <c r="AB10" s="48">
        <f>'Project Scenario'!Y6*$B10+AA10</f>
        <v>4554.1333128613469</v>
      </c>
      <c r="AC10" s="48">
        <f>'Project Scenario'!Z6*$B10+AB10</f>
        <v>4554.1333128613469</v>
      </c>
      <c r="AD10" s="48">
        <f>'Project Scenario'!AA6*$B10+AC10</f>
        <v>4554.1333128613469</v>
      </c>
      <c r="AE10" s="48">
        <f>'Project Scenario'!AB6*$B10+AD10</f>
        <v>4554.1333128613469</v>
      </c>
      <c r="AF10" s="48">
        <f>'Project Scenario'!AC6*$B10+AE10</f>
        <v>4554.1333128613469</v>
      </c>
      <c r="AG10" s="48">
        <f>'Project Scenario'!AD6*$B10+AF10</f>
        <v>4554.1333128613469</v>
      </c>
      <c r="AH10" s="48">
        <f>'Project Scenario'!AE6*$B10+AG10</f>
        <v>4554.1333128613469</v>
      </c>
      <c r="AI10" s="48">
        <f>'Project Scenario'!AF6*$B10+AH10</f>
        <v>4554.1333128613469</v>
      </c>
    </row>
    <row r="11" spans="1:41" ht="30">
      <c r="A11" s="42" t="s">
        <v>16</v>
      </c>
      <c r="B11">
        <f>'Project Scenario'!C7</f>
        <v>10</v>
      </c>
      <c r="C11" t="str">
        <f>'Project Scenario'!B7</f>
        <v>ZERO EMISSION</v>
      </c>
      <c r="D11" s="47">
        <v>46290</v>
      </c>
      <c r="E11" s="47">
        <v>46477</v>
      </c>
      <c r="F11" s="47">
        <v>46478</v>
      </c>
      <c r="G11" s="47">
        <v>55153</v>
      </c>
      <c r="H11" t="s">
        <v>18</v>
      </c>
      <c r="I11" s="50" t="s">
        <v>19</v>
      </c>
      <c r="J11" s="48">
        <f>'Project Scenario'!G7*$B11</f>
        <v>0</v>
      </c>
      <c r="K11" s="48">
        <f>'Project Scenario'!H7*$B11</f>
        <v>0</v>
      </c>
      <c r="L11" s="88">
        <f>'Project Scenario'!I7*$B11*0.75</f>
        <v>151.49283195017355</v>
      </c>
      <c r="M11" s="48">
        <f>'Project Scenario'!J7*$B11+L11</f>
        <v>319.71952203123374</v>
      </c>
      <c r="N11" s="48">
        <f>'Project Scenario'!K7*$B11+M11</f>
        <v>454.18245959312264</v>
      </c>
      <c r="O11" s="48">
        <f>'Project Scenario'!L7*$B11+N11</f>
        <v>554.88164463584008</v>
      </c>
      <c r="P11" s="48">
        <f>'Project Scenario'!M7*$B11+O11</f>
        <v>645.51091117428587</v>
      </c>
      <c r="Q11" s="48">
        <f>'Project Scenario'!N7*$B11+P11</f>
        <v>726.0702592084599</v>
      </c>
      <c r="R11" s="48">
        <f>'Project Scenario'!O7*$B11+Q11</f>
        <v>796.55968873836207</v>
      </c>
      <c r="S11" s="48">
        <f>'Project Scenario'!P7*$B11+R11</f>
        <v>856.97919976399248</v>
      </c>
      <c r="T11" s="48">
        <f>'Project Scenario'!Q7*$B11+S11</f>
        <v>907.32879228535126</v>
      </c>
      <c r="U11" s="48">
        <f>'Project Scenario'!R7*$B11+T11</f>
        <v>947.60846630243827</v>
      </c>
      <c r="V11" s="48">
        <f>'Project Scenario'!S7*$B11+U11</f>
        <v>977.81822181525354</v>
      </c>
      <c r="W11" s="48">
        <f>'Project Scenario'!T7*$B11+V11</f>
        <v>997.95805882379693</v>
      </c>
      <c r="X11" s="48">
        <f>'Project Scenario'!U7*$B11+W11</f>
        <v>1008.0279773280687</v>
      </c>
      <c r="Y11" s="48">
        <f>'Project Scenario'!V7*$B11+X11</f>
        <v>1008.0279773280687</v>
      </c>
      <c r="Z11" s="48">
        <f>'Project Scenario'!W7*$B11+Y11</f>
        <v>1008.0279773280687</v>
      </c>
      <c r="AA11" s="48">
        <f>'Project Scenario'!X7*$B11+Z11</f>
        <v>1008.0279773280687</v>
      </c>
      <c r="AB11" s="48">
        <f>'Project Scenario'!Y7*$B11+AA11</f>
        <v>1008.0279773280687</v>
      </c>
      <c r="AC11" s="48">
        <f>'Project Scenario'!Z7*$B11+AB11</f>
        <v>1008.0279773280687</v>
      </c>
      <c r="AD11" s="48">
        <f>'Project Scenario'!AA7*$B11+AC11</f>
        <v>1008.0279773280687</v>
      </c>
      <c r="AE11" s="48">
        <f>'Project Scenario'!AB7*$B11+AD11</f>
        <v>1008.0279773280687</v>
      </c>
      <c r="AF11" s="48">
        <f>'Project Scenario'!AC7*$B11+AE11</f>
        <v>1008.0279773280687</v>
      </c>
      <c r="AG11" s="48">
        <f>'Project Scenario'!AD7*$B11+AF11</f>
        <v>1008.0279773280687</v>
      </c>
      <c r="AH11" s="48">
        <f>'Project Scenario'!AE7*$B11+AG11</f>
        <v>1008.0279773280687</v>
      </c>
      <c r="AI11" s="48">
        <f>'Project Scenario'!AF7*$B11+AH11</f>
        <v>1008.0279773280687</v>
      </c>
    </row>
    <row r="12" spans="1:41" s="56" customFormat="1">
      <c r="A12" s="55" t="s">
        <v>20</v>
      </c>
      <c r="J12" s="57"/>
      <c r="K12" s="57"/>
      <c r="L12" s="89"/>
      <c r="M12" s="57"/>
      <c r="N12" s="57"/>
      <c r="O12" s="57"/>
      <c r="P12" s="57"/>
      <c r="Q12" s="57"/>
      <c r="R12" s="57"/>
      <c r="S12" s="57"/>
      <c r="T12" s="57"/>
      <c r="U12" s="57"/>
      <c r="V12" s="57"/>
      <c r="W12" s="57"/>
      <c r="X12" s="57"/>
      <c r="Y12" s="57"/>
      <c r="Z12" s="57"/>
      <c r="AA12" s="57"/>
      <c r="AB12" s="57"/>
      <c r="AC12" s="57"/>
      <c r="AD12" s="57"/>
      <c r="AE12" s="57"/>
      <c r="AF12" s="57"/>
      <c r="AG12" s="57"/>
      <c r="AH12" s="57"/>
      <c r="AI12" s="57"/>
    </row>
    <row r="13" spans="1:41" ht="21">
      <c r="A13" s="97" t="s">
        <v>21</v>
      </c>
      <c r="B13" s="98"/>
      <c r="C13" s="98"/>
      <c r="D13" s="98"/>
      <c r="E13" s="98"/>
      <c r="F13" s="98"/>
      <c r="G13" s="98"/>
      <c r="H13" s="98"/>
      <c r="I13" s="98"/>
      <c r="J13" s="98"/>
      <c r="K13" s="98"/>
      <c r="L13" s="99"/>
      <c r="M13" s="100"/>
      <c r="N13" s="98"/>
      <c r="O13" s="101">
        <f>SUM(O5:O7)</f>
        <v>16240.524449999999</v>
      </c>
      <c r="P13" s="98"/>
      <c r="Q13" s="98"/>
      <c r="R13" s="98"/>
      <c r="S13" s="98"/>
      <c r="T13" s="98"/>
      <c r="U13" s="98"/>
      <c r="V13" s="98"/>
      <c r="W13" s="98"/>
      <c r="X13" s="98"/>
      <c r="Y13" s="98"/>
      <c r="Z13" s="98"/>
      <c r="AA13" s="98"/>
      <c r="AB13" s="98"/>
      <c r="AC13" s="98"/>
      <c r="AD13" s="98"/>
      <c r="AE13" s="98"/>
      <c r="AF13" s="98"/>
      <c r="AG13" s="100"/>
      <c r="AH13" s="98"/>
      <c r="AI13" s="101">
        <f>SUM(AI5:AI7)</f>
        <v>102856.65484999999</v>
      </c>
    </row>
    <row r="14" spans="1:41" ht="21">
      <c r="A14" s="97" t="s">
        <v>22</v>
      </c>
      <c r="B14" s="98"/>
      <c r="C14" s="98"/>
      <c r="D14" s="98"/>
      <c r="E14" s="98"/>
      <c r="F14" s="98"/>
      <c r="G14" s="98"/>
      <c r="H14" s="98"/>
      <c r="I14" s="98"/>
      <c r="J14" s="98"/>
      <c r="K14" s="98"/>
      <c r="L14" s="99"/>
      <c r="M14" s="100"/>
      <c r="N14" s="98"/>
      <c r="O14" s="101">
        <f>SUM(O9:O11)</f>
        <v>4295.1439930778579</v>
      </c>
      <c r="P14" s="98"/>
      <c r="Q14" s="98"/>
      <c r="R14" s="98"/>
      <c r="S14" s="98"/>
      <c r="T14" s="98"/>
      <c r="U14" s="98"/>
      <c r="V14" s="98"/>
      <c r="W14" s="98"/>
      <c r="X14" s="98"/>
      <c r="Y14" s="98"/>
      <c r="Z14" s="98"/>
      <c r="AA14" s="98"/>
      <c r="AB14" s="98"/>
      <c r="AC14" s="98"/>
      <c r="AD14" s="98"/>
      <c r="AE14" s="98"/>
      <c r="AF14" s="98"/>
      <c r="AG14" s="100"/>
      <c r="AH14" s="98"/>
      <c r="AI14" s="101">
        <f>SUM(AI9:AI11)</f>
        <v>7802.7906555037362</v>
      </c>
    </row>
    <row r="15" spans="1:41" ht="21">
      <c r="A15" s="97" t="s">
        <v>23</v>
      </c>
      <c r="B15" s="98"/>
      <c r="C15" s="98"/>
      <c r="D15" s="98"/>
      <c r="E15" s="98"/>
      <c r="F15" s="98"/>
      <c r="G15" s="98"/>
      <c r="H15" s="98"/>
      <c r="I15" s="98"/>
      <c r="J15" s="98"/>
      <c r="K15" s="98"/>
      <c r="L15" s="99"/>
      <c r="M15" s="100"/>
      <c r="N15" s="98"/>
      <c r="O15" s="102">
        <f>O14-O13</f>
        <v>-11945.380456922141</v>
      </c>
      <c r="P15" s="98"/>
      <c r="Q15" s="98"/>
      <c r="R15" s="98"/>
      <c r="S15" s="98"/>
      <c r="T15" s="98"/>
      <c r="U15" s="98"/>
      <c r="V15" s="98"/>
      <c r="W15" s="98"/>
      <c r="X15" s="98"/>
      <c r="Y15" s="98"/>
      <c r="Z15" s="98"/>
      <c r="AA15" s="98"/>
      <c r="AB15" s="98"/>
      <c r="AC15" s="98"/>
      <c r="AD15" s="98"/>
      <c r="AE15" s="98"/>
      <c r="AF15" s="98"/>
      <c r="AG15" s="100"/>
      <c r="AH15" s="98"/>
      <c r="AI15" s="102">
        <f>AI14-AI13</f>
        <v>-95053.864194496258</v>
      </c>
    </row>
    <row r="16" spans="1:41">
      <c r="A16" s="42"/>
      <c r="L16" s="85"/>
    </row>
    <row r="17" spans="1:35">
      <c r="A17" s="73" t="s">
        <v>24</v>
      </c>
      <c r="L17" s="85"/>
    </row>
    <row r="18" spans="1:35" ht="30.75" customHeight="1">
      <c r="A18" s="114" t="s">
        <v>25</v>
      </c>
      <c r="B18" s="114"/>
      <c r="C18" s="114"/>
      <c r="D18" s="114"/>
      <c r="E18" s="114"/>
      <c r="F18" s="114"/>
      <c r="G18" s="114"/>
      <c r="H18" s="114"/>
      <c r="I18" s="114"/>
      <c r="J18" s="71"/>
      <c r="K18" s="71"/>
      <c r="L18" s="90"/>
      <c r="M18" s="71"/>
      <c r="N18" s="71"/>
      <c r="O18" s="71"/>
      <c r="P18" s="71"/>
      <c r="Q18" s="71"/>
      <c r="R18" s="71"/>
      <c r="S18" s="71"/>
      <c r="T18" s="71"/>
      <c r="U18" s="71"/>
      <c r="V18" s="71"/>
      <c r="W18" s="71"/>
      <c r="X18" s="71"/>
      <c r="Y18" s="71"/>
      <c r="Z18" s="71"/>
      <c r="AA18" s="71"/>
      <c r="AB18" s="71"/>
      <c r="AC18" s="71"/>
      <c r="AD18" s="71"/>
      <c r="AE18" s="71"/>
      <c r="AF18" s="71"/>
      <c r="AG18" s="71"/>
      <c r="AH18" s="71"/>
      <c r="AI18" s="71"/>
    </row>
    <row r="19" spans="1:35" ht="30.75" customHeight="1">
      <c r="A19" s="114"/>
      <c r="B19" s="114"/>
      <c r="C19" s="114"/>
      <c r="D19" s="114"/>
      <c r="E19" s="114"/>
      <c r="F19" s="114"/>
      <c r="G19" s="114"/>
      <c r="H19" s="114"/>
      <c r="I19" s="114"/>
    </row>
    <row r="20" spans="1:35" ht="30.75" customHeight="1">
      <c r="A20" s="114"/>
      <c r="B20" s="114"/>
      <c r="C20" s="114"/>
      <c r="D20" s="114"/>
      <c r="E20" s="114"/>
      <c r="F20" s="114"/>
      <c r="G20" s="114"/>
      <c r="H20" s="114"/>
      <c r="I20" s="114"/>
    </row>
    <row r="21" spans="1:35" ht="30.75" customHeight="1">
      <c r="A21" s="114"/>
      <c r="B21" s="114"/>
      <c r="C21" s="114"/>
      <c r="D21" s="114"/>
      <c r="E21" s="114"/>
      <c r="F21" s="114"/>
      <c r="G21" s="114"/>
      <c r="H21" s="114"/>
      <c r="I21" s="114"/>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row>
    <row r="22" spans="1:35" ht="30.75" customHeight="1">
      <c r="A22" s="114"/>
      <c r="B22" s="114"/>
      <c r="C22" s="114"/>
      <c r="D22" s="114"/>
      <c r="E22" s="114"/>
      <c r="F22" s="114"/>
      <c r="G22" s="114"/>
      <c r="H22" s="114"/>
      <c r="I22" s="114"/>
    </row>
    <row r="23" spans="1:35" ht="30.75" customHeight="1">
      <c r="A23" s="114"/>
      <c r="B23" s="114"/>
      <c r="C23" s="114"/>
      <c r="D23" s="114"/>
      <c r="E23" s="114"/>
      <c r="F23" s="114"/>
      <c r="G23" s="114"/>
      <c r="H23" s="114"/>
      <c r="I23" s="114"/>
    </row>
    <row r="24" spans="1:35" ht="30.75" customHeight="1">
      <c r="A24" s="114"/>
      <c r="B24" s="114"/>
      <c r="C24" s="114"/>
      <c r="D24" s="114"/>
      <c r="E24" s="114"/>
      <c r="F24" s="114"/>
      <c r="G24" s="114"/>
      <c r="H24" s="114"/>
      <c r="I24" s="114"/>
    </row>
    <row r="25" spans="1:35" ht="30.75" customHeight="1">
      <c r="A25" s="114"/>
      <c r="B25" s="114"/>
      <c r="C25" s="114"/>
      <c r="D25" s="114"/>
      <c r="E25" s="114"/>
      <c r="F25" s="114"/>
      <c r="G25" s="114"/>
      <c r="H25" s="114"/>
      <c r="I25" s="114"/>
    </row>
  </sheetData>
  <mergeCells count="2">
    <mergeCell ref="A1:I2"/>
    <mergeCell ref="A18:I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D8FFB-9C2F-431B-9E0F-95EBA7A40C65}">
  <sheetPr>
    <tabColor theme="0" tint="-0.499984740745262"/>
  </sheetPr>
  <dimension ref="A1:L58"/>
  <sheetViews>
    <sheetView zoomScale="80" zoomScaleNormal="80" workbookViewId="0">
      <selection activeCell="E6" sqref="E6"/>
    </sheetView>
  </sheetViews>
  <sheetFormatPr defaultColWidth="8.7109375" defaultRowHeight="15"/>
  <cols>
    <col min="1" max="1" width="31.85546875" style="14" bestFit="1" customWidth="1"/>
    <col min="2" max="2" width="27.140625" style="14" customWidth="1"/>
    <col min="3" max="3" width="28.140625" style="14" bestFit="1" customWidth="1"/>
    <col min="4" max="4" width="26.7109375" style="14" bestFit="1" customWidth="1"/>
    <col min="5" max="7" width="29.5703125" style="14" customWidth="1"/>
    <col min="8" max="8" width="31.28515625" style="14" customWidth="1"/>
    <col min="9" max="9" width="8.7109375" style="13"/>
    <col min="10" max="11" width="8.7109375" style="16"/>
    <col min="12" max="12" width="33.42578125" style="13" customWidth="1"/>
    <col min="13" max="16384" width="8.7109375" style="13"/>
  </cols>
  <sheetData>
    <row r="1" spans="1:12" ht="77.25" customHeight="1" thickBot="1">
      <c r="A1" s="115" t="s">
        <v>26</v>
      </c>
      <c r="B1" s="116"/>
      <c r="C1" s="116"/>
      <c r="D1" s="116"/>
      <c r="E1" s="116"/>
      <c r="F1" s="116"/>
      <c r="G1" s="116"/>
      <c r="H1" s="116"/>
      <c r="I1" s="116"/>
      <c r="J1" s="116"/>
      <c r="K1" s="116"/>
      <c r="L1" s="116"/>
    </row>
    <row r="2" spans="1:12">
      <c r="A2" s="36" t="s">
        <v>27</v>
      </c>
    </row>
    <row r="3" spans="1:12">
      <c r="A3" s="37" t="s">
        <v>28</v>
      </c>
    </row>
    <row r="4" spans="1:12">
      <c r="A4" s="38" t="s">
        <v>29</v>
      </c>
    </row>
    <row r="5" spans="1:12">
      <c r="A5" s="39" t="s">
        <v>30</v>
      </c>
    </row>
    <row r="6" spans="1:12" ht="15.75" thickBot="1">
      <c r="A6" s="40" t="s">
        <v>31</v>
      </c>
    </row>
    <row r="7" spans="1:12">
      <c r="A7" s="23"/>
    </row>
    <row r="8" spans="1:12" ht="18.75">
      <c r="A8" s="118" t="s">
        <v>12</v>
      </c>
      <c r="B8" s="118"/>
      <c r="C8" s="118"/>
      <c r="D8" s="118"/>
      <c r="E8" s="118"/>
      <c r="F8" s="118"/>
      <c r="G8"/>
      <c r="H8"/>
      <c r="J8" s="118" t="s">
        <v>32</v>
      </c>
      <c r="K8" s="118"/>
      <c r="L8" s="118"/>
    </row>
    <row r="9" spans="1:12" ht="45" customHeight="1">
      <c r="A9" s="24" t="s">
        <v>33</v>
      </c>
      <c r="B9" s="24" t="s">
        <v>34</v>
      </c>
      <c r="C9" s="24" t="s">
        <v>35</v>
      </c>
      <c r="D9" s="25" t="s">
        <v>36</v>
      </c>
      <c r="E9" s="25" t="s">
        <v>37</v>
      </c>
      <c r="F9" s="29" t="s">
        <v>38</v>
      </c>
      <c r="G9"/>
      <c r="J9" s="26"/>
      <c r="K9" s="119" t="s">
        <v>39</v>
      </c>
      <c r="L9" s="119"/>
    </row>
    <row r="10" spans="1:12" ht="18.75">
      <c r="A10" s="31" t="s">
        <v>40</v>
      </c>
      <c r="B10" s="32">
        <v>30</v>
      </c>
      <c r="C10" s="33">
        <v>21215</v>
      </c>
      <c r="D10" s="30">
        <f>IFERROR(VLOOKUP('FY24 FTA Calculator_Ref Scen'!A10,'Emission Factors'!A:C,2,FALSE)*C10*B10,"")</f>
        <v>1243.6233</v>
      </c>
      <c r="E10" s="30">
        <f t="shared" ref="E10:E12" si="0">IFERROR(D10/B10,"")</f>
        <v>41.45411</v>
      </c>
      <c r="F10" s="35" t="s">
        <v>41</v>
      </c>
      <c r="G10"/>
      <c r="J10" s="26"/>
      <c r="K10" s="119"/>
      <c r="L10" s="119"/>
    </row>
    <row r="11" spans="1:12" ht="16.5" customHeight="1">
      <c r="A11" s="34" t="s">
        <v>40</v>
      </c>
      <c r="B11" s="34">
        <v>60</v>
      </c>
      <c r="C11" s="33">
        <v>21560</v>
      </c>
      <c r="D11" s="30">
        <f>IFERROR(VLOOKUP('FY24 FTA Calculator_Ref Scen'!A11,'Emission Factors'!A:C,2,FALSE)*C11*B11,"")</f>
        <v>2527.6943999999999</v>
      </c>
      <c r="E11" s="30">
        <f t="shared" si="0"/>
        <v>42.128239999999998</v>
      </c>
      <c r="F11" s="35" t="s">
        <v>42</v>
      </c>
      <c r="G11"/>
      <c r="J11" s="26"/>
      <c r="K11" s="119"/>
      <c r="L11" s="119"/>
    </row>
    <row r="12" spans="1:12" ht="18" customHeight="1">
      <c r="A12" s="34" t="s">
        <v>40</v>
      </c>
      <c r="B12" s="34">
        <v>10</v>
      </c>
      <c r="C12" s="33">
        <v>28633</v>
      </c>
      <c r="D12" s="30">
        <f>IFERROR(VLOOKUP('FY24 FTA Calculator_Ref Scen'!A12,'Emission Factors'!A:C,2,FALSE)*C12*B12,"")</f>
        <v>559.48882000000003</v>
      </c>
      <c r="E12" s="30">
        <f t="shared" si="0"/>
        <v>55.948882000000005</v>
      </c>
      <c r="F12" s="35" t="s">
        <v>43</v>
      </c>
      <c r="G12"/>
      <c r="J12" s="26"/>
      <c r="K12" s="119"/>
      <c r="L12" s="119"/>
    </row>
    <row r="13" spans="1:12" ht="18.75">
      <c r="A13" s="19"/>
      <c r="B13" s="19"/>
      <c r="C13" s="20"/>
      <c r="D13" s="21"/>
      <c r="E13" s="21"/>
      <c r="F13" s="21"/>
      <c r="G13" s="21"/>
      <c r="H13" s="18"/>
      <c r="J13" s="26"/>
      <c r="K13" s="119"/>
      <c r="L13" s="119"/>
    </row>
    <row r="14" spans="1:12" ht="18.75">
      <c r="A14" s="19"/>
      <c r="B14" s="19"/>
      <c r="C14" s="20"/>
      <c r="D14" s="21"/>
      <c r="E14" s="21"/>
      <c r="F14" s="21"/>
      <c r="G14" s="21"/>
      <c r="H14" s="18"/>
      <c r="J14" s="26"/>
      <c r="K14" s="26"/>
      <c r="L14" s="26"/>
    </row>
    <row r="15" spans="1:12" ht="18" customHeight="1">
      <c r="A15" s="49"/>
      <c r="B15" s="49"/>
      <c r="C15" s="20"/>
      <c r="D15" s="21"/>
      <c r="E15" s="21"/>
      <c r="F15" s="21"/>
      <c r="G15" s="21"/>
      <c r="H15" s="18"/>
      <c r="J15" s="112" t="s">
        <v>44</v>
      </c>
      <c r="K15" s="117" t="s">
        <v>45</v>
      </c>
      <c r="L15" s="117"/>
    </row>
    <row r="16" spans="1:12">
      <c r="D16" s="21"/>
      <c r="E16" s="21"/>
      <c r="F16" s="21"/>
      <c r="G16" s="21"/>
      <c r="H16" s="15"/>
      <c r="J16" s="27"/>
      <c r="K16" s="117"/>
      <c r="L16" s="117"/>
    </row>
    <row r="17" spans="4:12">
      <c r="D17" s="21"/>
      <c r="E17" s="21"/>
      <c r="F17" s="21"/>
      <c r="G17" s="21"/>
      <c r="H17" s="15"/>
      <c r="J17" s="27"/>
      <c r="K17" s="117"/>
      <c r="L17" s="117"/>
    </row>
    <row r="18" spans="4:12">
      <c r="D18" s="21"/>
      <c r="E18" s="21"/>
      <c r="F18" s="21"/>
      <c r="G18" s="21"/>
      <c r="H18" s="15"/>
      <c r="J18" s="27"/>
      <c r="K18" s="117"/>
      <c r="L18" s="117"/>
    </row>
    <row r="19" spans="4:12">
      <c r="D19" s="21"/>
      <c r="E19" s="21"/>
      <c r="F19" s="21"/>
      <c r="G19" s="21"/>
      <c r="H19" s="15"/>
      <c r="J19" s="27"/>
      <c r="K19" s="117"/>
      <c r="L19" s="117"/>
    </row>
    <row r="20" spans="4:12">
      <c r="D20" s="21"/>
      <c r="E20" s="21"/>
      <c r="F20" s="21"/>
      <c r="G20" s="21"/>
      <c r="H20" s="15"/>
      <c r="J20" s="27"/>
      <c r="K20" s="117"/>
      <c r="L20" s="117"/>
    </row>
    <row r="21" spans="4:12">
      <c r="D21" s="21"/>
      <c r="E21" s="21"/>
      <c r="F21" s="21"/>
      <c r="G21" s="21"/>
      <c r="H21" s="15"/>
      <c r="J21" s="27"/>
      <c r="K21" s="27"/>
      <c r="L21" s="27"/>
    </row>
    <row r="22" spans="4:12">
      <c r="D22" s="21"/>
      <c r="E22" s="21"/>
      <c r="F22" s="21"/>
      <c r="G22" s="21"/>
      <c r="H22" s="15"/>
      <c r="J22" s="28" t="s">
        <v>46</v>
      </c>
      <c r="K22" s="117" t="s">
        <v>47</v>
      </c>
      <c r="L22" s="117"/>
    </row>
    <row r="23" spans="4:12">
      <c r="D23" s="21"/>
      <c r="E23" s="21"/>
      <c r="F23" s="21"/>
      <c r="G23" s="21"/>
      <c r="H23" s="15"/>
      <c r="J23" s="27"/>
      <c r="K23" s="117"/>
      <c r="L23" s="117"/>
    </row>
    <row r="24" spans="4:12">
      <c r="D24" s="21"/>
      <c r="E24" s="21"/>
      <c r="F24" s="21"/>
      <c r="G24" s="21"/>
      <c r="H24" s="15"/>
      <c r="J24" s="27"/>
      <c r="K24" s="117"/>
      <c r="L24" s="117"/>
    </row>
    <row r="25" spans="4:12">
      <c r="D25" s="21"/>
      <c r="E25" s="21"/>
      <c r="F25" s="21"/>
      <c r="G25" s="21"/>
      <c r="H25" s="15"/>
      <c r="J25" s="27"/>
      <c r="K25" s="117"/>
      <c r="L25" s="117"/>
    </row>
    <row r="26" spans="4:12">
      <c r="D26" s="21"/>
      <c r="E26" s="21"/>
      <c r="F26" s="21"/>
      <c r="G26" s="21"/>
      <c r="H26" s="15"/>
      <c r="J26" s="27"/>
      <c r="K26" s="117"/>
      <c r="L26" s="117"/>
    </row>
    <row r="27" spans="4:12">
      <c r="D27" s="21"/>
      <c r="E27" s="21"/>
      <c r="F27" s="21"/>
      <c r="G27" s="21"/>
      <c r="H27" s="15"/>
      <c r="J27" s="27"/>
      <c r="K27" s="117"/>
      <c r="L27" s="117"/>
    </row>
    <row r="28" spans="4:12">
      <c r="D28" s="21"/>
      <c r="E28" s="21"/>
      <c r="F28" s="21"/>
      <c r="G28" s="21"/>
      <c r="H28" s="15"/>
      <c r="J28" s="27"/>
      <c r="K28" s="27"/>
      <c r="L28" s="27"/>
    </row>
    <row r="29" spans="4:12">
      <c r="D29" s="21"/>
      <c r="E29" s="21"/>
      <c r="F29" s="21"/>
      <c r="G29" s="21"/>
      <c r="H29" s="15"/>
      <c r="J29" s="28" t="s">
        <v>48</v>
      </c>
      <c r="K29" s="117" t="s">
        <v>49</v>
      </c>
      <c r="L29" s="117"/>
    </row>
    <row r="30" spans="4:12">
      <c r="D30" s="21"/>
      <c r="E30" s="21"/>
      <c r="F30" s="21"/>
      <c r="G30" s="21"/>
      <c r="H30" s="15"/>
      <c r="J30" s="27"/>
      <c r="K30" s="117"/>
      <c r="L30" s="117"/>
    </row>
    <row r="31" spans="4:12">
      <c r="D31" s="21"/>
      <c r="E31" s="21"/>
      <c r="F31" s="21"/>
      <c r="G31" s="21"/>
      <c r="H31" s="15"/>
      <c r="J31" s="27"/>
      <c r="K31" s="117"/>
      <c r="L31" s="117"/>
    </row>
    <row r="32" spans="4:12">
      <c r="D32" s="21"/>
      <c r="E32" s="21"/>
      <c r="F32" s="21"/>
      <c r="G32" s="21"/>
      <c r="H32" s="15"/>
      <c r="J32" s="27"/>
      <c r="K32" s="117"/>
      <c r="L32" s="117"/>
    </row>
    <row r="33" spans="4:12">
      <c r="D33" s="21"/>
      <c r="E33" s="21"/>
      <c r="F33" s="21"/>
      <c r="G33" s="21"/>
      <c r="H33" s="15"/>
      <c r="J33" s="27"/>
      <c r="K33" s="117"/>
      <c r="L33" s="117"/>
    </row>
    <row r="34" spans="4:12">
      <c r="D34" s="21"/>
      <c r="E34" s="21"/>
      <c r="F34" s="21"/>
      <c r="G34" s="21"/>
      <c r="H34" s="15"/>
      <c r="J34" s="27"/>
      <c r="K34" s="117"/>
      <c r="L34" s="117"/>
    </row>
    <row r="35" spans="4:12">
      <c r="D35" s="21"/>
      <c r="E35" s="21"/>
      <c r="F35" s="21"/>
      <c r="G35" s="21"/>
      <c r="H35" s="15"/>
    </row>
    <row r="36" spans="4:12">
      <c r="D36" s="21"/>
      <c r="E36" s="21"/>
      <c r="F36" s="21"/>
      <c r="G36" s="21"/>
      <c r="H36" s="15"/>
    </row>
    <row r="37" spans="4:12">
      <c r="D37" s="21"/>
      <c r="E37" s="21"/>
      <c r="F37" s="21"/>
      <c r="G37" s="21"/>
      <c r="H37" s="15"/>
    </row>
    <row r="38" spans="4:12">
      <c r="D38" s="21"/>
      <c r="E38" s="21"/>
      <c r="F38" s="21"/>
      <c r="G38" s="21"/>
      <c r="H38" s="15"/>
    </row>
    <row r="39" spans="4:12">
      <c r="D39" s="21"/>
      <c r="E39" s="21"/>
      <c r="F39" s="21"/>
      <c r="G39" s="21"/>
      <c r="H39" s="15"/>
    </row>
    <row r="40" spans="4:12">
      <c r="D40" s="21"/>
      <c r="E40" s="21"/>
      <c r="F40" s="21"/>
      <c r="G40" s="21"/>
      <c r="H40" s="15"/>
    </row>
    <row r="41" spans="4:12">
      <c r="D41" s="21"/>
      <c r="E41" s="21"/>
      <c r="F41" s="21"/>
      <c r="G41" s="21"/>
      <c r="H41" s="15"/>
    </row>
    <row r="42" spans="4:12">
      <c r="D42" s="21"/>
      <c r="E42" s="21"/>
      <c r="F42" s="21"/>
      <c r="G42" s="21"/>
      <c r="H42" s="15"/>
    </row>
    <row r="43" spans="4:12">
      <c r="D43" s="21"/>
      <c r="E43" s="21"/>
      <c r="F43" s="21"/>
      <c r="G43" s="21"/>
      <c r="H43" s="15"/>
    </row>
    <row r="44" spans="4:12">
      <c r="D44" s="21"/>
      <c r="E44" s="21"/>
      <c r="F44" s="21"/>
      <c r="G44" s="21"/>
      <c r="H44" s="15"/>
    </row>
    <row r="45" spans="4:12">
      <c r="D45" s="21"/>
      <c r="E45" s="21"/>
      <c r="F45" s="21"/>
      <c r="G45" s="21"/>
      <c r="H45" s="15"/>
    </row>
    <row r="46" spans="4:12">
      <c r="D46" s="21"/>
      <c r="E46" s="21"/>
      <c r="F46" s="21"/>
      <c r="G46" s="21"/>
      <c r="H46" s="15"/>
    </row>
    <row r="47" spans="4:12">
      <c r="D47" s="21"/>
      <c r="E47" s="21"/>
      <c r="F47" s="21"/>
      <c r="G47" s="21"/>
      <c r="H47" s="15"/>
    </row>
    <row r="48" spans="4:12">
      <c r="D48" s="21"/>
      <c r="E48" s="21"/>
      <c r="F48" s="21"/>
      <c r="G48" s="21"/>
      <c r="H48" s="15"/>
    </row>
    <row r="49" spans="2:8">
      <c r="D49" s="21"/>
      <c r="E49" s="21"/>
      <c r="F49" s="21"/>
      <c r="G49" s="21"/>
      <c r="H49" s="15"/>
    </row>
    <row r="50" spans="2:8">
      <c r="D50" s="21"/>
      <c r="E50" s="21"/>
      <c r="F50" s="21"/>
      <c r="G50" s="21"/>
      <c r="H50" s="15"/>
    </row>
    <row r="51" spans="2:8">
      <c r="D51" s="21"/>
      <c r="E51" s="21"/>
      <c r="F51" s="21"/>
      <c r="G51" s="21"/>
      <c r="H51" s="15"/>
    </row>
    <row r="52" spans="2:8">
      <c r="D52" s="21"/>
      <c r="E52" s="21"/>
      <c r="F52" s="21"/>
      <c r="G52" s="21"/>
      <c r="H52" s="15"/>
    </row>
    <row r="53" spans="2:8">
      <c r="D53" s="21"/>
      <c r="E53" s="21"/>
      <c r="F53" s="21"/>
      <c r="G53" s="21"/>
      <c r="H53" s="15"/>
    </row>
    <row r="54" spans="2:8">
      <c r="D54" s="21"/>
      <c r="E54" s="21"/>
      <c r="F54" s="21"/>
      <c r="G54" s="21"/>
      <c r="H54" s="15"/>
    </row>
    <row r="55" spans="2:8">
      <c r="D55" s="21"/>
      <c r="E55" s="21"/>
      <c r="F55" s="21"/>
      <c r="G55" s="21"/>
      <c r="H55" s="15"/>
    </row>
    <row r="56" spans="2:8">
      <c r="D56" s="21"/>
      <c r="E56" s="21"/>
      <c r="F56" s="21"/>
      <c r="G56" s="21"/>
      <c r="H56" s="15"/>
    </row>
    <row r="57" spans="2:8">
      <c r="D57" s="21"/>
      <c r="E57" s="21"/>
      <c r="F57" s="21"/>
      <c r="G57" s="21"/>
      <c r="H57" s="15"/>
    </row>
    <row r="58" spans="2:8">
      <c r="B58" s="17">
        <f>SUM(B10:B15)</f>
        <v>100</v>
      </c>
      <c r="C58" s="17">
        <f t="shared" ref="C58" si="1">SUM(C10:C15)</f>
        <v>71408</v>
      </c>
      <c r="D58" s="22"/>
      <c r="E58" s="22"/>
      <c r="F58" s="22"/>
      <c r="G58" s="22"/>
      <c r="H58" s="15"/>
    </row>
  </sheetData>
  <sheetProtection selectLockedCells="1" selectUnlockedCells="1"/>
  <mergeCells count="7">
    <mergeCell ref="A1:L1"/>
    <mergeCell ref="K29:L34"/>
    <mergeCell ref="J8:L8"/>
    <mergeCell ref="K15:L20"/>
    <mergeCell ref="K22:L27"/>
    <mergeCell ref="K9:L13"/>
    <mergeCell ref="A8:F8"/>
  </mergeCells>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951D870E-0801-41B0-8FB3-A48D47B75B91}">
          <x14:formula1>
            <xm:f>'Emission Factors'!$A$2:$A$7</xm:f>
          </x14:formula1>
          <xm:sqref>A10:A547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CC71A-ED4F-4741-AEBD-F5BA70B47015}">
  <sheetPr>
    <tabColor theme="7"/>
  </sheetPr>
  <dimension ref="B2:AF7"/>
  <sheetViews>
    <sheetView workbookViewId="0">
      <selection activeCell="H4" sqref="H4"/>
    </sheetView>
  </sheetViews>
  <sheetFormatPr defaultRowHeight="15"/>
  <cols>
    <col min="2" max="6" width="17.5703125" customWidth="1"/>
    <col min="9" max="9" width="9.140625" style="85"/>
  </cols>
  <sheetData>
    <row r="2" spans="2:32">
      <c r="I2" s="91" t="s">
        <v>50</v>
      </c>
    </row>
    <row r="3" spans="2:32" ht="18.75">
      <c r="B3" s="120" t="s">
        <v>17</v>
      </c>
      <c r="C3" s="120"/>
      <c r="D3" s="120"/>
      <c r="E3" s="120"/>
      <c r="F3" s="120"/>
      <c r="G3" s="75" t="s">
        <v>51</v>
      </c>
      <c r="H3" s="75"/>
      <c r="I3" s="92"/>
      <c r="J3" s="75"/>
      <c r="K3" s="75"/>
      <c r="L3" s="75"/>
      <c r="M3" s="75"/>
      <c r="N3" s="75"/>
      <c r="O3" s="75"/>
      <c r="P3" s="75"/>
      <c r="Q3" s="75"/>
      <c r="R3" s="75"/>
      <c r="S3" s="75"/>
      <c r="T3" s="75"/>
      <c r="U3" s="75"/>
      <c r="V3" s="75"/>
      <c r="W3" s="75"/>
      <c r="X3" s="75"/>
      <c r="Y3" s="75"/>
      <c r="Z3" s="75"/>
      <c r="AA3" s="75"/>
      <c r="AB3" s="75"/>
      <c r="AC3" s="75"/>
      <c r="AD3" s="75"/>
      <c r="AE3" s="75"/>
      <c r="AF3" s="75"/>
    </row>
    <row r="4" spans="2:32" ht="45">
      <c r="B4" s="43" t="s">
        <v>52</v>
      </c>
      <c r="C4" s="43" t="s">
        <v>34</v>
      </c>
      <c r="D4" s="43" t="s">
        <v>35</v>
      </c>
      <c r="E4" s="44" t="s">
        <v>53</v>
      </c>
      <c r="F4" s="29" t="s">
        <v>38</v>
      </c>
      <c r="G4" s="84">
        <v>2025</v>
      </c>
      <c r="H4" s="84">
        <v>2026</v>
      </c>
      <c r="I4" s="93">
        <v>2027</v>
      </c>
      <c r="J4" s="84">
        <v>2028</v>
      </c>
      <c r="K4" s="84">
        <v>2029</v>
      </c>
      <c r="L4" s="84">
        <v>2030</v>
      </c>
      <c r="M4" s="84">
        <v>2031</v>
      </c>
      <c r="N4" s="84">
        <v>2032</v>
      </c>
      <c r="O4" s="84">
        <v>2033</v>
      </c>
      <c r="P4" s="84">
        <v>2034</v>
      </c>
      <c r="Q4" s="84">
        <v>2035</v>
      </c>
      <c r="R4" s="84">
        <v>2036</v>
      </c>
      <c r="S4" s="84">
        <v>2037</v>
      </c>
      <c r="T4" s="84">
        <v>2038</v>
      </c>
      <c r="U4" s="84">
        <v>2039</v>
      </c>
      <c r="V4" s="84">
        <v>2040</v>
      </c>
      <c r="W4" s="84">
        <v>2041</v>
      </c>
      <c r="X4" s="84">
        <v>2042</v>
      </c>
      <c r="Y4" s="84">
        <v>2043</v>
      </c>
      <c r="Z4" s="84">
        <v>2044</v>
      </c>
      <c r="AA4" s="84">
        <v>2045</v>
      </c>
      <c r="AB4" s="84">
        <v>2046</v>
      </c>
      <c r="AC4" s="84">
        <v>2047</v>
      </c>
      <c r="AD4" s="84">
        <v>2048</v>
      </c>
      <c r="AE4" s="84">
        <v>2049</v>
      </c>
      <c r="AF4" s="84">
        <v>2050</v>
      </c>
    </row>
    <row r="5" spans="2:32">
      <c r="B5" s="45" t="s">
        <v>54</v>
      </c>
      <c r="C5" s="65">
        <f>'FY24 FTA Calculator_Ref Scen'!B10</f>
        <v>30</v>
      </c>
      <c r="D5" s="66">
        <f>'FY24 FTA Calculator_Ref Scen'!C10</f>
        <v>21215</v>
      </c>
      <c r="E5" s="74">
        <v>3.22</v>
      </c>
      <c r="F5" s="35" t="s">
        <v>41</v>
      </c>
      <c r="G5" s="74">
        <v>0</v>
      </c>
      <c r="H5" s="74">
        <v>0</v>
      </c>
      <c r="I5" s="94">
        <f>$D5*$E5*_xlfn.XLOOKUP(I$4,'Emission Factors'!$E$23:$AF$23,'Emission Factors'!$E$24:$AF$24,"ERR")</f>
        <v>14.966043515397999</v>
      </c>
      <c r="J5" s="46">
        <f>$D5*$E5*_xlfn.XLOOKUP(J$4,'Emission Factors'!$E$23:$AF$23,'Emission Factors'!$E$24:$AF$24,"ERR")</f>
        <v>12.464391541472045</v>
      </c>
      <c r="K5" s="46">
        <f>$D5*$E5*_xlfn.XLOOKUP(K$4,'Emission Factors'!$E$23:$AF$23,'Emission Factors'!$E$24:$AF$24,"ERR")</f>
        <v>9.9627395675460928</v>
      </c>
      <c r="L5" s="46">
        <f>$D5*$E5*_xlfn.XLOOKUP(L$4,'Emission Factors'!$E$23:$AF$23,'Emission Factors'!$E$24:$AF$24,"ERR")</f>
        <v>7.4610875936201273</v>
      </c>
      <c r="M5" s="46">
        <f>$D5*$E5*_xlfn.XLOOKUP(M$4,'Emission Factors'!$E$23:$AF$23,'Emission Factors'!$E$24:$AF$24,"ERR")</f>
        <v>6.7149788342581163</v>
      </c>
      <c r="N5" s="46">
        <f>$D5*$E5*_xlfn.XLOOKUP(N$4,'Emission Factors'!$E$23:$AF$23,'Emission Factors'!$E$24:$AF$24,"ERR")</f>
        <v>5.9688700748961061</v>
      </c>
      <c r="O5" s="46">
        <f>$D5*$E5*_xlfn.XLOOKUP(O$4,'Emission Factors'!$E$23:$AF$23,'Emission Factors'!$E$24:$AF$24,"ERR")</f>
        <v>5.2227613155340844</v>
      </c>
      <c r="P5" s="46">
        <f>$D5*$E5*_xlfn.XLOOKUP(P$4,'Emission Factors'!$E$23:$AF$23,'Emission Factors'!$E$24:$AF$24,"ERR")</f>
        <v>4.4766525561720742</v>
      </c>
      <c r="Q5" s="46">
        <f>$D5*$E5*_xlfn.XLOOKUP(Q$4,'Emission Factors'!$E$23:$AF$23,'Emission Factors'!$E$24:$AF$24,"ERR")</f>
        <v>3.7305437968100641</v>
      </c>
      <c r="R5" s="46">
        <f>$D5*$E5*_xlfn.XLOOKUP(R$4,'Emission Factors'!$E$23:$AF$23,'Emission Factors'!$E$24:$AF$24,"ERR")</f>
        <v>2.9844350374480535</v>
      </c>
      <c r="S5" s="46">
        <f>$D5*$E5*_xlfn.XLOOKUP(S$4,'Emission Factors'!$E$23:$AF$23,'Emission Factors'!$E$24:$AF$24,"ERR")</f>
        <v>2.2383262780860429</v>
      </c>
      <c r="T5" s="46">
        <f>$D5*$E5*_xlfn.XLOOKUP(T$4,'Emission Factors'!$E$23:$AF$23,'Emission Factors'!$E$24:$AF$24,"ERR")</f>
        <v>1.4922175187240208</v>
      </c>
      <c r="U5" s="46">
        <f>$D5*$E5*_xlfn.XLOOKUP(U$4,'Emission Factors'!$E$23:$AF$23,'Emission Factors'!$E$24:$AF$24,"ERR")</f>
        <v>0.74610875936201038</v>
      </c>
      <c r="V5" s="46">
        <f>$D5*$E5*_xlfn.XLOOKUP(V$4,'Emission Factors'!$E$23:$AF$23,'Emission Factors'!$E$24:$AF$24,"ERR")</f>
        <v>0</v>
      </c>
      <c r="W5" s="46">
        <f>$D5*$E5*_xlfn.XLOOKUP(W$4,'Emission Factors'!$E$23:$AF$23,'Emission Factors'!$E$24:$AF$24,"ERR")</f>
        <v>0</v>
      </c>
      <c r="X5" s="46">
        <f>$D5*$E5*_xlfn.XLOOKUP(X$4,'Emission Factors'!$E$23:$AF$23,'Emission Factors'!$E$24:$AF$24,"ERR")</f>
        <v>0</v>
      </c>
      <c r="Y5" s="46">
        <f>$D5*$E5*_xlfn.XLOOKUP(Y$4,'Emission Factors'!$E$23:$AF$23,'Emission Factors'!$E$24:$AF$24,"ERR")</f>
        <v>0</v>
      </c>
      <c r="Z5" s="46">
        <f>$D5*$E5*_xlfn.XLOOKUP(Z$4,'Emission Factors'!$E$23:$AF$23,'Emission Factors'!$E$24:$AF$24,"ERR")</f>
        <v>0</v>
      </c>
      <c r="AA5" s="46">
        <f>$D5*$E5*_xlfn.XLOOKUP(AA$4,'Emission Factors'!$E$23:$AF$23,'Emission Factors'!$E$24:$AF$24,"ERR")</f>
        <v>0</v>
      </c>
      <c r="AB5" s="46">
        <f>$D5*$E5*_xlfn.XLOOKUP(AB$4,'Emission Factors'!$E$23:$AF$23,'Emission Factors'!$E$24:$AF$24,"ERR")</f>
        <v>0</v>
      </c>
      <c r="AC5" s="46">
        <f>$D5*$E5*_xlfn.XLOOKUP(AC$4,'Emission Factors'!$E$23:$AF$23,'Emission Factors'!$E$24:$AF$24,"ERR")</f>
        <v>0</v>
      </c>
      <c r="AD5" s="46">
        <f>$D5*$E5*_xlfn.XLOOKUP(AD$4,'Emission Factors'!$E$23:$AF$23,'Emission Factors'!$E$24:$AF$24,"ERR")</f>
        <v>0</v>
      </c>
      <c r="AE5" s="46">
        <f>$D5*$E5*_xlfn.XLOOKUP(AE$4,'Emission Factors'!$E$23:$AF$23,'Emission Factors'!$E$24:$AF$24,"ERR")</f>
        <v>0</v>
      </c>
      <c r="AF5" s="46">
        <f>$D5*$E5*_xlfn.XLOOKUP(AF$4,'Emission Factors'!$E$23:$AF$23,'Emission Factors'!$E$24:$AF$24,"ERR")</f>
        <v>0</v>
      </c>
    </row>
    <row r="6" spans="2:32">
      <c r="B6" s="45" t="s">
        <v>54</v>
      </c>
      <c r="C6" s="65">
        <f>'FY24 FTA Calculator_Ref Scen'!B11</f>
        <v>60</v>
      </c>
      <c r="D6" s="66">
        <f>'FY24 FTA Calculator_Ref Scen'!C11</f>
        <v>21560</v>
      </c>
      <c r="E6" s="74">
        <v>3.22</v>
      </c>
      <c r="F6" s="35" t="s">
        <v>42</v>
      </c>
      <c r="G6" s="74">
        <v>0</v>
      </c>
      <c r="H6" s="74">
        <v>0</v>
      </c>
      <c r="I6" s="94">
        <f>$D6*$E6*_xlfn.XLOOKUP(I$4,'Emission Factors'!$E$23:$AF$23,'Emission Factors'!$E$24:$AF$24,"ERR")</f>
        <v>15.209422493140742</v>
      </c>
      <c r="J6" s="46">
        <f>$D6*$E6*_xlfn.XLOOKUP(J$4,'Emission Factors'!$E$23:$AF$23,'Emission Factors'!$E$24:$AF$24,"ERR")</f>
        <v>12.667088457890044</v>
      </c>
      <c r="K6" s="46">
        <f>$D6*$E6*_xlfn.XLOOKUP(K$4,'Emission Factors'!$E$23:$AF$23,'Emission Factors'!$E$24:$AF$24,"ERR")</f>
        <v>10.124754422639347</v>
      </c>
      <c r="L6" s="46">
        <f>$D6*$E6*_xlfn.XLOOKUP(L$4,'Emission Factors'!$E$23:$AF$23,'Emission Factors'!$E$24:$AF$24,"ERR")</f>
        <v>7.5824203873886367</v>
      </c>
      <c r="M6" s="46">
        <f>$D6*$E6*_xlfn.XLOOKUP(M$4,'Emission Factors'!$E$23:$AF$23,'Emission Factors'!$E$24:$AF$24,"ERR")</f>
        <v>6.8241783486497747</v>
      </c>
      <c r="N6" s="46">
        <f>$D6*$E6*_xlfn.XLOOKUP(N$4,'Emission Factors'!$E$23:$AF$23,'Emission Factors'!$E$24:$AF$24,"ERR")</f>
        <v>6.0659363099109136</v>
      </c>
      <c r="O6" s="46">
        <f>$D6*$E6*_xlfn.XLOOKUP(O$4,'Emission Factors'!$E$23:$AF$23,'Emission Factors'!$E$24:$AF$24,"ERR")</f>
        <v>5.307694271172041</v>
      </c>
      <c r="P6" s="46">
        <f>$D6*$E6*_xlfn.XLOOKUP(P$4,'Emission Factors'!$E$23:$AF$23,'Emission Factors'!$E$24:$AF$24,"ERR")</f>
        <v>4.5494522324331799</v>
      </c>
      <c r="Q6" s="46">
        <f>$D6*$E6*_xlfn.XLOOKUP(Q$4,'Emission Factors'!$E$23:$AF$23,'Emission Factors'!$E$24:$AF$24,"ERR")</f>
        <v>3.7912101936943188</v>
      </c>
      <c r="R6" s="46">
        <f>$D6*$E6*_xlfn.XLOOKUP(R$4,'Emission Factors'!$E$23:$AF$23,'Emission Factors'!$E$24:$AF$24,"ERR")</f>
        <v>3.0329681549554572</v>
      </c>
      <c r="S6" s="46">
        <f>$D6*$E6*_xlfn.XLOOKUP(S$4,'Emission Factors'!$E$23:$AF$23,'Emission Factors'!$E$24:$AF$24,"ERR")</f>
        <v>2.2747261162165962</v>
      </c>
      <c r="T6" s="46">
        <f>$D6*$E6*_xlfn.XLOOKUP(T$4,'Emission Factors'!$E$23:$AF$23,'Emission Factors'!$E$24:$AF$24,"ERR")</f>
        <v>1.5164840774777226</v>
      </c>
      <c r="U6" s="46">
        <f>$D6*$E6*_xlfn.XLOOKUP(U$4,'Emission Factors'!$E$23:$AF$23,'Emission Factors'!$E$24:$AF$24,"ERR")</f>
        <v>0.75824203873886131</v>
      </c>
      <c r="V6" s="46">
        <f>$D6*$E6*_xlfn.XLOOKUP(V$4,'Emission Factors'!$E$23:$AF$23,'Emission Factors'!$E$24:$AF$24,"ERR")</f>
        <v>0</v>
      </c>
      <c r="W6" s="46">
        <f>$D6*$E6*_xlfn.XLOOKUP(W$4,'Emission Factors'!$E$23:$AF$23,'Emission Factors'!$E$24:$AF$24,"ERR")</f>
        <v>0</v>
      </c>
      <c r="X6" s="46">
        <f>$D6*$E6*_xlfn.XLOOKUP(X$4,'Emission Factors'!$E$23:$AF$23,'Emission Factors'!$E$24:$AF$24,"ERR")</f>
        <v>0</v>
      </c>
      <c r="Y6" s="46">
        <f>$D6*$E6*_xlfn.XLOOKUP(Y$4,'Emission Factors'!$E$23:$AF$23,'Emission Factors'!$E$24:$AF$24,"ERR")</f>
        <v>0</v>
      </c>
      <c r="Z6" s="46">
        <f>$D6*$E6*_xlfn.XLOOKUP(Z$4,'Emission Factors'!$E$23:$AF$23,'Emission Factors'!$E$24:$AF$24,"ERR")</f>
        <v>0</v>
      </c>
      <c r="AA6" s="46">
        <f>$D6*$E6*_xlfn.XLOOKUP(AA$4,'Emission Factors'!$E$23:$AF$23,'Emission Factors'!$E$24:$AF$24,"ERR")</f>
        <v>0</v>
      </c>
      <c r="AB6" s="46">
        <f>$D6*$E6*_xlfn.XLOOKUP(AB$4,'Emission Factors'!$E$23:$AF$23,'Emission Factors'!$E$24:$AF$24,"ERR")</f>
        <v>0</v>
      </c>
      <c r="AC6" s="46">
        <f>$D6*$E6*_xlfn.XLOOKUP(AC$4,'Emission Factors'!$E$23:$AF$23,'Emission Factors'!$E$24:$AF$24,"ERR")</f>
        <v>0</v>
      </c>
      <c r="AD6" s="46">
        <f>$D6*$E6*_xlfn.XLOOKUP(AD$4,'Emission Factors'!$E$23:$AF$23,'Emission Factors'!$E$24:$AF$24,"ERR")</f>
        <v>0</v>
      </c>
      <c r="AE6" s="46">
        <f>$D6*$E6*_xlfn.XLOOKUP(AE$4,'Emission Factors'!$E$23:$AF$23,'Emission Factors'!$E$24:$AF$24,"ERR")</f>
        <v>0</v>
      </c>
      <c r="AF6" s="46">
        <f>$D6*$E6*_xlfn.XLOOKUP(AF$4,'Emission Factors'!$E$23:$AF$23,'Emission Factors'!$E$24:$AF$24,"ERR")</f>
        <v>0</v>
      </c>
    </row>
    <row r="7" spans="2:32">
      <c r="B7" s="45" t="s">
        <v>54</v>
      </c>
      <c r="C7" s="65">
        <f>'FY24 FTA Calculator_Ref Scen'!B12</f>
        <v>10</v>
      </c>
      <c r="D7" s="66">
        <f>'FY24 FTA Calculator_Ref Scen'!C12</f>
        <v>28633</v>
      </c>
      <c r="E7" s="74">
        <v>3.22</v>
      </c>
      <c r="F7" s="35" t="s">
        <v>43</v>
      </c>
      <c r="G7" s="74">
        <v>0</v>
      </c>
      <c r="H7" s="74">
        <v>0</v>
      </c>
      <c r="I7" s="94">
        <f>$D7*$E7*_xlfn.XLOOKUP(I$4,'Emission Factors'!$E$23:$AF$23,'Emission Factors'!$E$24:$AF$24,"ERR")</f>
        <v>20.19904426002314</v>
      </c>
      <c r="J7" s="46">
        <f>$D7*$E7*_xlfn.XLOOKUP(J$4,'Emission Factors'!$E$23:$AF$23,'Emission Factors'!$E$24:$AF$24,"ERR")</f>
        <v>16.822669008106015</v>
      </c>
      <c r="K7" s="46">
        <f>$D7*$E7*_xlfn.XLOOKUP(K$4,'Emission Factors'!$E$23:$AF$23,'Emission Factors'!$E$24:$AF$24,"ERR")</f>
        <v>13.446293756188888</v>
      </c>
      <c r="L7" s="46">
        <f>$D7*$E7*_xlfn.XLOOKUP(L$4,'Emission Factors'!$E$23:$AF$23,'Emission Factors'!$E$24:$AF$24,"ERR")</f>
        <v>10.069918504271747</v>
      </c>
      <c r="M7" s="46">
        <f>$D7*$E7*_xlfn.XLOOKUP(M$4,'Emission Factors'!$E$23:$AF$23,'Emission Factors'!$E$24:$AF$24,"ERR")</f>
        <v>9.0629266538445759</v>
      </c>
      <c r="N7" s="46">
        <f>$D7*$E7*_xlfn.XLOOKUP(N$4,'Emission Factors'!$E$23:$AF$23,'Emission Factors'!$E$24:$AF$24,"ERR")</f>
        <v>8.0559348034174025</v>
      </c>
      <c r="O7" s="46">
        <f>$D7*$E7*_xlfn.XLOOKUP(O$4,'Emission Factors'!$E$23:$AF$23,'Emission Factors'!$E$24:$AF$24,"ERR")</f>
        <v>7.0489429529902168</v>
      </c>
      <c r="P7" s="46">
        <f>$D7*$E7*_xlfn.XLOOKUP(P$4,'Emission Factors'!$E$23:$AF$23,'Emission Factors'!$E$24:$AF$24,"ERR")</f>
        <v>6.0419511025630452</v>
      </c>
      <c r="Q7" s="46">
        <f>$D7*$E7*_xlfn.XLOOKUP(Q$4,'Emission Factors'!$E$23:$AF$23,'Emission Factors'!$E$24:$AF$24,"ERR")</f>
        <v>5.0349592521358737</v>
      </c>
      <c r="R7" s="46">
        <f>$D7*$E7*_xlfn.XLOOKUP(R$4,'Emission Factors'!$E$23:$AF$23,'Emission Factors'!$E$24:$AF$24,"ERR")</f>
        <v>4.0279674017087022</v>
      </c>
      <c r="S7" s="46">
        <f>$D7*$E7*_xlfn.XLOOKUP(S$4,'Emission Factors'!$E$23:$AF$23,'Emission Factors'!$E$24:$AF$24,"ERR")</f>
        <v>3.0209755512815306</v>
      </c>
      <c r="T7" s="46">
        <f>$D7*$E7*_xlfn.XLOOKUP(T$4,'Emission Factors'!$E$23:$AF$23,'Emission Factors'!$E$24:$AF$24,"ERR")</f>
        <v>2.0139837008543431</v>
      </c>
      <c r="U7" s="46">
        <f>$D7*$E7*_xlfn.XLOOKUP(U$4,'Emission Factors'!$E$23:$AF$23,'Emission Factors'!$E$24:$AF$24,"ERR")</f>
        <v>1.0069918504271715</v>
      </c>
      <c r="V7" s="46">
        <f>$D7*$E7*_xlfn.XLOOKUP(V$4,'Emission Factors'!$E$23:$AF$23,'Emission Factors'!$E$24:$AF$24,"ERR")</f>
        <v>0</v>
      </c>
      <c r="W7" s="46">
        <f>$D7*$E7*_xlfn.XLOOKUP(W$4,'Emission Factors'!$E$23:$AF$23,'Emission Factors'!$E$24:$AF$24,"ERR")</f>
        <v>0</v>
      </c>
      <c r="X7" s="46">
        <f>$D7*$E7*_xlfn.XLOOKUP(X$4,'Emission Factors'!$E$23:$AF$23,'Emission Factors'!$E$24:$AF$24,"ERR")</f>
        <v>0</v>
      </c>
      <c r="Y7" s="46">
        <f>$D7*$E7*_xlfn.XLOOKUP(Y$4,'Emission Factors'!$E$23:$AF$23,'Emission Factors'!$E$24:$AF$24,"ERR")</f>
        <v>0</v>
      </c>
      <c r="Z7" s="46">
        <f>$D7*$E7*_xlfn.XLOOKUP(Z$4,'Emission Factors'!$E$23:$AF$23,'Emission Factors'!$E$24:$AF$24,"ERR")</f>
        <v>0</v>
      </c>
      <c r="AA7" s="46">
        <f>$D7*$E7*_xlfn.XLOOKUP(AA$4,'Emission Factors'!$E$23:$AF$23,'Emission Factors'!$E$24:$AF$24,"ERR")</f>
        <v>0</v>
      </c>
      <c r="AB7" s="46">
        <f>$D7*$E7*_xlfn.XLOOKUP(AB$4,'Emission Factors'!$E$23:$AF$23,'Emission Factors'!$E$24:$AF$24,"ERR")</f>
        <v>0</v>
      </c>
      <c r="AC7" s="46">
        <f>$D7*$E7*_xlfn.XLOOKUP(AC$4,'Emission Factors'!$E$23:$AF$23,'Emission Factors'!$E$24:$AF$24,"ERR")</f>
        <v>0</v>
      </c>
      <c r="AD7" s="46">
        <f>$D7*$E7*_xlfn.XLOOKUP(AD$4,'Emission Factors'!$E$23:$AF$23,'Emission Factors'!$E$24:$AF$24,"ERR")</f>
        <v>0</v>
      </c>
      <c r="AE7" s="46">
        <f>$D7*$E7*_xlfn.XLOOKUP(AE$4,'Emission Factors'!$E$23:$AF$23,'Emission Factors'!$E$24:$AF$24,"ERR")</f>
        <v>0</v>
      </c>
      <c r="AF7" s="46">
        <f>$D7*$E7*_xlfn.XLOOKUP(AF$4,'Emission Factors'!$E$23:$AF$23,'Emission Factors'!$E$24:$AF$24,"ERR")</f>
        <v>0</v>
      </c>
    </row>
  </sheetData>
  <mergeCells count="1">
    <mergeCell ref="B3:F3"/>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C7F9F634-D8C3-4B16-9C94-B29683114116}">
          <x14:formula1>
            <xm:f>'Emission Factors'!$A$2:$A$7</xm:f>
          </x14:formula1>
          <xm:sqref>B5:B7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01F39-C163-47D5-AB68-6194557D5DA4}">
  <sheetPr>
    <tabColor theme="1"/>
  </sheetPr>
  <dimension ref="A1:AF40"/>
  <sheetViews>
    <sheetView zoomScale="75" zoomScaleNormal="75" workbookViewId="0">
      <selection activeCell="H11" sqref="H11"/>
    </sheetView>
  </sheetViews>
  <sheetFormatPr defaultRowHeight="15"/>
  <cols>
    <col min="1" max="1" width="13.85546875" customWidth="1"/>
    <col min="2" max="2" width="32.140625" customWidth="1"/>
    <col min="3" max="3" width="19.85546875" customWidth="1"/>
    <col min="5" max="5" width="9.140625" customWidth="1"/>
  </cols>
  <sheetData>
    <row r="1" spans="1:3" ht="30">
      <c r="A1" s="8" t="s">
        <v>55</v>
      </c>
      <c r="B1" s="9" t="s">
        <v>56</v>
      </c>
      <c r="C1" s="9" t="s">
        <v>57</v>
      </c>
    </row>
    <row r="2" spans="1:3">
      <c r="A2" s="5" t="s">
        <v>40</v>
      </c>
      <c r="B2" s="2">
        <v>1.954E-3</v>
      </c>
      <c r="C2" s="1" t="s">
        <v>58</v>
      </c>
    </row>
    <row r="3" spans="1:3">
      <c r="A3" s="6" t="s">
        <v>59</v>
      </c>
      <c r="B3" s="3">
        <v>1.92E-3</v>
      </c>
      <c r="C3" s="7" t="s">
        <v>58</v>
      </c>
    </row>
    <row r="4" spans="1:3">
      <c r="A4" s="6" t="s">
        <v>60</v>
      </c>
      <c r="B4" s="4">
        <v>1.6149999999999999E-3</v>
      </c>
      <c r="C4" s="7" t="s">
        <v>58</v>
      </c>
    </row>
    <row r="5" spans="1:3">
      <c r="A5" s="6" t="s">
        <v>61</v>
      </c>
      <c r="B5" s="4">
        <v>1.209E-3</v>
      </c>
      <c r="C5" s="7" t="s">
        <v>58</v>
      </c>
    </row>
    <row r="6" spans="1:3">
      <c r="A6" s="6" t="s">
        <v>62</v>
      </c>
      <c r="B6" s="4">
        <v>2E-3</v>
      </c>
      <c r="C6" s="7" t="s">
        <v>58</v>
      </c>
    </row>
    <row r="7" spans="1:3">
      <c r="A7" s="10" t="s">
        <v>54</v>
      </c>
      <c r="B7" s="11">
        <v>0</v>
      </c>
      <c r="C7" s="12" t="s">
        <v>58</v>
      </c>
    </row>
    <row r="10" spans="1:3" ht="15" customHeight="1">
      <c r="A10" s="121" t="s">
        <v>63</v>
      </c>
      <c r="B10" s="122"/>
      <c r="C10" s="122"/>
    </row>
    <row r="11" spans="1:3">
      <c r="A11" s="122"/>
      <c r="B11" s="122"/>
      <c r="C11" s="122"/>
    </row>
    <row r="12" spans="1:3">
      <c r="A12" s="122"/>
      <c r="B12" s="122"/>
      <c r="C12" s="122"/>
    </row>
    <row r="13" spans="1:3">
      <c r="A13" s="58"/>
      <c r="B13" s="58"/>
      <c r="C13" s="58"/>
    </row>
    <row r="14" spans="1:3">
      <c r="A14" s="58"/>
      <c r="B14" s="58"/>
      <c r="C14" s="58"/>
    </row>
    <row r="15" spans="1:3">
      <c r="A15" s="58"/>
      <c r="B15" s="58"/>
      <c r="C15" s="58"/>
    </row>
    <row r="16" spans="1:3">
      <c r="A16" s="58"/>
      <c r="B16" s="58"/>
      <c r="C16" s="58"/>
    </row>
    <row r="17" spans="1:32">
      <c r="A17" s="58"/>
      <c r="B17" s="58"/>
      <c r="C17" s="58"/>
    </row>
    <row r="18" spans="1:32">
      <c r="A18" s="58"/>
      <c r="B18" s="58"/>
      <c r="C18" s="58"/>
    </row>
    <row r="20" spans="1:32">
      <c r="A20" t="s">
        <v>64</v>
      </c>
    </row>
    <row r="22" spans="1:32">
      <c r="B22" s="41" t="s">
        <v>65</v>
      </c>
      <c r="E22" t="s">
        <v>66</v>
      </c>
    </row>
    <row r="23" spans="1:32" ht="15.75" thickBot="1">
      <c r="B23" s="77"/>
      <c r="C23" s="79" t="s">
        <v>67</v>
      </c>
      <c r="D23" s="77">
        <v>2022</v>
      </c>
      <c r="E23" s="77">
        <v>2023</v>
      </c>
      <c r="F23" s="77">
        <v>2024</v>
      </c>
      <c r="G23" s="77">
        <v>2025</v>
      </c>
      <c r="H23" s="77">
        <v>2026</v>
      </c>
      <c r="I23" s="77">
        <v>2027</v>
      </c>
      <c r="J23" s="77">
        <v>2028</v>
      </c>
      <c r="K23" s="77">
        <v>2029</v>
      </c>
      <c r="L23" s="77">
        <v>2030</v>
      </c>
      <c r="M23" s="77">
        <v>2031</v>
      </c>
      <c r="N23" s="77">
        <v>2032</v>
      </c>
      <c r="O23" s="77">
        <v>2033</v>
      </c>
      <c r="P23" s="77">
        <v>2034</v>
      </c>
      <c r="Q23" s="77">
        <v>2035</v>
      </c>
      <c r="R23" s="77">
        <v>2036</v>
      </c>
      <c r="S23" s="77">
        <v>2037</v>
      </c>
      <c r="T23" s="77">
        <v>2038</v>
      </c>
      <c r="U23" s="77">
        <v>2039</v>
      </c>
      <c r="V23" s="77">
        <v>2040</v>
      </c>
      <c r="W23" s="77">
        <v>2041</v>
      </c>
      <c r="X23" s="77">
        <v>2042</v>
      </c>
      <c r="Y23" s="77">
        <v>2043</v>
      </c>
      <c r="Z23" s="77">
        <v>2044</v>
      </c>
      <c r="AA23" s="77">
        <v>2045</v>
      </c>
      <c r="AB23" s="77">
        <v>2046</v>
      </c>
      <c r="AC23" s="77">
        <v>2047</v>
      </c>
      <c r="AD23" s="77">
        <v>2048</v>
      </c>
      <c r="AE23" s="77">
        <v>2049</v>
      </c>
      <c r="AF23" s="77">
        <v>2050</v>
      </c>
    </row>
    <row r="24" spans="1:32" ht="15.75" thickTop="1">
      <c r="B24" s="41" t="s">
        <v>68</v>
      </c>
      <c r="C24" s="41" t="str">
        <f>B38</f>
        <v>CO2e</v>
      </c>
      <c r="D24">
        <f>C38</f>
        <v>4.0218677141638922E-4</v>
      </c>
      <c r="E24" s="41">
        <f>(1+E26)*D24</f>
        <v>3.6556595826962114E-4</v>
      </c>
      <c r="F24" s="41">
        <f>(1+F26)*E24</f>
        <v>3.2894514512285322E-4</v>
      </c>
      <c r="G24" s="41">
        <f t="shared" ref="G24:AF24" si="0">(1+G26)*F24</f>
        <v>2.9232433197608519E-4</v>
      </c>
      <c r="H24" s="41">
        <f t="shared" si="0"/>
        <v>2.5570351882931716E-4</v>
      </c>
      <c r="I24" s="41">
        <f t="shared" si="0"/>
        <v>2.190827056825491E-4</v>
      </c>
      <c r="J24" s="41">
        <f t="shared" si="0"/>
        <v>1.8246189253578118E-4</v>
      </c>
      <c r="K24" s="41">
        <f t="shared" si="0"/>
        <v>1.4584107938901328E-4</v>
      </c>
      <c r="L24" s="41">
        <f t="shared" si="0"/>
        <v>1.092202662422452E-4</v>
      </c>
      <c r="M24" s="41">
        <f t="shared" si="0"/>
        <v>9.829823961802071E-5</v>
      </c>
      <c r="N24" s="41">
        <f t="shared" si="0"/>
        <v>8.7376212993796223E-5</v>
      </c>
      <c r="O24" s="41">
        <f t="shared" si="0"/>
        <v>7.6454186369571573E-5</v>
      </c>
      <c r="P24" s="41">
        <f t="shared" si="0"/>
        <v>6.5532159745347086E-5</v>
      </c>
      <c r="Q24" s="41">
        <f t="shared" si="0"/>
        <v>5.4610133121122606E-5</v>
      </c>
      <c r="R24" s="41">
        <f t="shared" si="0"/>
        <v>4.3688106496898118E-5</v>
      </c>
      <c r="S24" s="41">
        <f t="shared" si="0"/>
        <v>3.2766079872673631E-5</v>
      </c>
      <c r="T24" s="41">
        <f t="shared" si="0"/>
        <v>2.1844053248448971E-5</v>
      </c>
      <c r="U24" s="41">
        <f t="shared" si="0"/>
        <v>1.0922026624224486E-5</v>
      </c>
      <c r="V24" s="41">
        <f t="shared" si="0"/>
        <v>0</v>
      </c>
      <c r="W24" s="41">
        <f t="shared" si="0"/>
        <v>0</v>
      </c>
      <c r="X24" s="41">
        <f t="shared" si="0"/>
        <v>0</v>
      </c>
      <c r="Y24" s="41">
        <f t="shared" si="0"/>
        <v>0</v>
      </c>
      <c r="Z24" s="41">
        <f t="shared" si="0"/>
        <v>0</v>
      </c>
      <c r="AA24" s="41">
        <f t="shared" si="0"/>
        <v>0</v>
      </c>
      <c r="AB24" s="41">
        <f t="shared" si="0"/>
        <v>0</v>
      </c>
      <c r="AC24" s="41">
        <f t="shared" si="0"/>
        <v>0</v>
      </c>
      <c r="AD24" s="41">
        <f t="shared" si="0"/>
        <v>0</v>
      </c>
      <c r="AE24" s="41">
        <f t="shared" si="0"/>
        <v>0</v>
      </c>
      <c r="AF24" s="41">
        <f t="shared" si="0"/>
        <v>0</v>
      </c>
    </row>
    <row r="25" spans="1:32" ht="15.75">
      <c r="B25" s="83" t="s">
        <v>69</v>
      </c>
      <c r="L25" s="80"/>
    </row>
    <row r="26" spans="1:32">
      <c r="B26" s="78" t="s">
        <v>70</v>
      </c>
      <c r="E26" s="81">
        <f>(1-E27)/(1-D27)-1</f>
        <v>-9.1054245811715395E-2</v>
      </c>
      <c r="F26" s="81">
        <f t="shared" ref="F26:V26" si="1">(1-F27)/(1-E27)-1</f>
        <v>-0.10017566548075141</v>
      </c>
      <c r="G26" s="81">
        <f t="shared" si="1"/>
        <v>-0.11132802441297929</v>
      </c>
      <c r="H26" s="81">
        <f t="shared" si="1"/>
        <v>-0.12527459790710793</v>
      </c>
      <c r="I26" s="81">
        <f t="shared" si="1"/>
        <v>-0.14321591393981781</v>
      </c>
      <c r="J26" s="81">
        <f t="shared" si="1"/>
        <v>-0.1671551984565659</v>
      </c>
      <c r="K26" s="81">
        <f t="shared" si="1"/>
        <v>-0.20070389842956649</v>
      </c>
      <c r="L26" s="81">
        <f t="shared" si="1"/>
        <v>-0.25110080986912153</v>
      </c>
      <c r="M26" s="81">
        <f t="shared" si="1"/>
        <v>-9.9999999999999645E-2</v>
      </c>
      <c r="N26" s="81">
        <f t="shared" si="1"/>
        <v>-0.11111111111111072</v>
      </c>
      <c r="O26" s="81">
        <f t="shared" si="1"/>
        <v>-0.12500000000000144</v>
      </c>
      <c r="P26" s="81">
        <f t="shared" si="1"/>
        <v>-0.14285714285714257</v>
      </c>
      <c r="Q26" s="81">
        <f t="shared" si="1"/>
        <v>-0.16666666666666619</v>
      </c>
      <c r="R26" s="81">
        <f t="shared" si="1"/>
        <v>-0.1999999999999994</v>
      </c>
      <c r="S26" s="81">
        <f t="shared" si="1"/>
        <v>-0.249999999999999</v>
      </c>
      <c r="T26" s="81">
        <f t="shared" si="1"/>
        <v>-0.33333333333333692</v>
      </c>
      <c r="U26" s="81">
        <f t="shared" si="1"/>
        <v>-0.5</v>
      </c>
      <c r="V26" s="81">
        <f t="shared" si="1"/>
        <v>-1</v>
      </c>
      <c r="W26" s="81">
        <f>V26</f>
        <v>-1</v>
      </c>
      <c r="X26" s="81">
        <f t="shared" ref="X26:AF26" si="2">W26</f>
        <v>-1</v>
      </c>
      <c r="Y26" s="81">
        <f t="shared" si="2"/>
        <v>-1</v>
      </c>
      <c r="Z26" s="81">
        <f t="shared" si="2"/>
        <v>-1</v>
      </c>
      <c r="AA26" s="81">
        <f t="shared" si="2"/>
        <v>-1</v>
      </c>
      <c r="AB26" s="81">
        <f t="shared" si="2"/>
        <v>-1</v>
      </c>
      <c r="AC26" s="81">
        <f t="shared" si="2"/>
        <v>-1</v>
      </c>
      <c r="AD26" s="81">
        <f t="shared" si="2"/>
        <v>-1</v>
      </c>
      <c r="AE26" s="81">
        <f t="shared" si="2"/>
        <v>-1</v>
      </c>
      <c r="AF26" s="81">
        <f t="shared" si="2"/>
        <v>-1</v>
      </c>
    </row>
    <row r="27" spans="1:32">
      <c r="B27" s="78" t="s">
        <v>71</v>
      </c>
      <c r="D27" s="82">
        <f>SUM(D28:D29)</f>
        <v>0.48785514967021815</v>
      </c>
      <c r="E27" s="82">
        <f t="shared" ref="E27" si="3">SUM(E28:E29)</f>
        <v>0.53448811276335029</v>
      </c>
      <c r="F27" s="82">
        <f t="shared" ref="F27:AF27" si="4">SUM(F28:F29)</f>
        <v>0.58112107585648221</v>
      </c>
      <c r="G27" s="82">
        <f t="shared" si="4"/>
        <v>0.62775403894961423</v>
      </c>
      <c r="H27" s="82">
        <f t="shared" si="4"/>
        <v>0.67438700204274626</v>
      </c>
      <c r="I27" s="82">
        <f t="shared" si="4"/>
        <v>0.7210199651358784</v>
      </c>
      <c r="J27" s="82">
        <f t="shared" si="4"/>
        <v>0.76765292822901032</v>
      </c>
      <c r="K27" s="82">
        <f t="shared" si="4"/>
        <v>0.81428589132214224</v>
      </c>
      <c r="L27" s="82">
        <f t="shared" si="4"/>
        <v>0.86091885441527438</v>
      </c>
      <c r="M27" s="82">
        <f t="shared" si="4"/>
        <v>0.8748269689737469</v>
      </c>
      <c r="N27" s="82">
        <f t="shared" si="4"/>
        <v>0.88873508353221942</v>
      </c>
      <c r="O27" s="82">
        <f t="shared" si="4"/>
        <v>0.90264319809069216</v>
      </c>
      <c r="P27" s="82">
        <f t="shared" si="4"/>
        <v>0.91655131264916467</v>
      </c>
      <c r="Q27" s="82">
        <f t="shared" si="4"/>
        <v>0.93045942720763719</v>
      </c>
      <c r="R27" s="82">
        <f t="shared" si="4"/>
        <v>0.94436754176610971</v>
      </c>
      <c r="S27" s="82">
        <f t="shared" si="4"/>
        <v>0.95827565632458223</v>
      </c>
      <c r="T27" s="82">
        <f t="shared" si="4"/>
        <v>0.97218377088305497</v>
      </c>
      <c r="U27" s="82">
        <f t="shared" si="4"/>
        <v>0.98609188544152748</v>
      </c>
      <c r="V27" s="82">
        <f t="shared" si="4"/>
        <v>1</v>
      </c>
      <c r="W27" s="82">
        <f t="shared" si="4"/>
        <v>1</v>
      </c>
      <c r="X27" s="82">
        <f t="shared" si="4"/>
        <v>1</v>
      </c>
      <c r="Y27" s="82">
        <f t="shared" si="4"/>
        <v>1</v>
      </c>
      <c r="Z27" s="82">
        <f t="shared" si="4"/>
        <v>1</v>
      </c>
      <c r="AA27" s="82">
        <f t="shared" si="4"/>
        <v>1</v>
      </c>
      <c r="AB27" s="82">
        <f t="shared" si="4"/>
        <v>1</v>
      </c>
      <c r="AC27" s="82">
        <f t="shared" si="4"/>
        <v>1</v>
      </c>
      <c r="AD27" s="82">
        <f t="shared" si="4"/>
        <v>1</v>
      </c>
      <c r="AE27" s="82">
        <f t="shared" si="4"/>
        <v>1</v>
      </c>
      <c r="AF27" s="82">
        <f t="shared" si="4"/>
        <v>1</v>
      </c>
    </row>
    <row r="28" spans="1:32">
      <c r="B28" s="78" t="s">
        <v>72</v>
      </c>
      <c r="C28" t="s">
        <v>73</v>
      </c>
      <c r="D28" s="80">
        <f>(25443+4825+5+909+1911+105+1459)/(63485+62659)</f>
        <v>0.27474156519533233</v>
      </c>
      <c r="E28" s="80">
        <f>$D28+(($L28-$D28)/($L$23-$D$23))*(E$23-$D$23)</f>
        <v>0.32789886954591579</v>
      </c>
      <c r="F28" s="80">
        <f t="shared" ref="F28:K29" si="5">$D28+(($L28-$D28)/($L$23-$D$23))*(F$23-$D$23)</f>
        <v>0.38105617389649926</v>
      </c>
      <c r="G28" s="80">
        <f t="shared" si="5"/>
        <v>0.43421347824708267</v>
      </c>
      <c r="H28" s="80">
        <f t="shared" si="5"/>
        <v>0.48737078259766614</v>
      </c>
      <c r="I28" s="80">
        <f t="shared" si="5"/>
        <v>0.54052808694824961</v>
      </c>
      <c r="J28" s="80">
        <f t="shared" si="5"/>
        <v>0.59368539129883302</v>
      </c>
      <c r="K28" s="80">
        <f t="shared" si="5"/>
        <v>0.64684269564941643</v>
      </c>
      <c r="L28" s="80">
        <v>0.7</v>
      </c>
      <c r="M28" s="80">
        <f t="shared" ref="M28:U29" si="6">$L28+(($V28-$L28)/($V$23-$L$23))*(M$23-$L$23)</f>
        <v>0.71686338226364532</v>
      </c>
      <c r="N28" s="80">
        <f t="shared" si="6"/>
        <v>0.73372676452729069</v>
      </c>
      <c r="O28" s="80">
        <f t="shared" si="6"/>
        <v>0.75059014679093616</v>
      </c>
      <c r="P28" s="80">
        <f t="shared" si="6"/>
        <v>0.76745352905458153</v>
      </c>
      <c r="Q28" s="80">
        <f t="shared" si="6"/>
        <v>0.78431691131822689</v>
      </c>
      <c r="R28" s="80">
        <f t="shared" si="6"/>
        <v>0.80118029358187226</v>
      </c>
      <c r="S28" s="80">
        <f t="shared" si="6"/>
        <v>0.81804367584551763</v>
      </c>
      <c r="T28" s="80">
        <f t="shared" si="6"/>
        <v>0.8349070581091631</v>
      </c>
      <c r="U28" s="80">
        <f t="shared" si="6"/>
        <v>0.85177044037280847</v>
      </c>
      <c r="V28" s="80">
        <f>1-V29</f>
        <v>0.86863382263645383</v>
      </c>
      <c r="W28" s="80">
        <f>V28</f>
        <v>0.86863382263645383</v>
      </c>
      <c r="X28" s="80">
        <f t="shared" ref="X28:AF28" si="7">W28</f>
        <v>0.86863382263645383</v>
      </c>
      <c r="Y28" s="80">
        <f t="shared" si="7"/>
        <v>0.86863382263645383</v>
      </c>
      <c r="Z28" s="80">
        <f t="shared" si="7"/>
        <v>0.86863382263645383</v>
      </c>
      <c r="AA28" s="80">
        <f t="shared" si="7"/>
        <v>0.86863382263645383</v>
      </c>
      <c r="AB28" s="80">
        <f t="shared" si="7"/>
        <v>0.86863382263645383</v>
      </c>
      <c r="AC28" s="80">
        <f t="shared" si="7"/>
        <v>0.86863382263645383</v>
      </c>
      <c r="AD28" s="80">
        <f t="shared" si="7"/>
        <v>0.86863382263645383</v>
      </c>
      <c r="AE28" s="80">
        <f t="shared" si="7"/>
        <v>0.86863382263645383</v>
      </c>
      <c r="AF28" s="80">
        <f t="shared" si="7"/>
        <v>0.86863382263645383</v>
      </c>
    </row>
    <row r="29" spans="1:32">
      <c r="B29" s="78" t="s">
        <v>74</v>
      </c>
      <c r="C29" t="s">
        <v>75</v>
      </c>
      <c r="D29" s="80">
        <f>26883/126144</f>
        <v>0.21311358447488585</v>
      </c>
      <c r="E29" s="80">
        <f>$D29+(($L29-$D29)/($L$23-$D$23))*(E$23-$D$23)</f>
        <v>0.20658924321743444</v>
      </c>
      <c r="F29" s="80">
        <f t="shared" si="5"/>
        <v>0.200064901959983</v>
      </c>
      <c r="G29" s="80">
        <f t="shared" si="5"/>
        <v>0.19354056070253156</v>
      </c>
      <c r="H29" s="80">
        <f t="shared" si="5"/>
        <v>0.18701621944508015</v>
      </c>
      <c r="I29" s="80">
        <f t="shared" si="5"/>
        <v>0.18049187818762874</v>
      </c>
      <c r="J29" s="80">
        <f t="shared" si="5"/>
        <v>0.1739675369301773</v>
      </c>
      <c r="K29" s="80">
        <f t="shared" si="5"/>
        <v>0.16744319567272586</v>
      </c>
      <c r="L29" s="81">
        <f>((0.09*100455)+0.3*(51223))/(100455+51223)</f>
        <v>0.16091885441527445</v>
      </c>
      <c r="M29" s="80">
        <f t="shared" si="6"/>
        <v>0.15796358671010163</v>
      </c>
      <c r="N29" s="80">
        <f t="shared" si="6"/>
        <v>0.15500831900492879</v>
      </c>
      <c r="O29" s="80">
        <f t="shared" si="6"/>
        <v>0.15205305129975596</v>
      </c>
      <c r="P29" s="80">
        <f t="shared" si="6"/>
        <v>0.14909778359458312</v>
      </c>
      <c r="Q29" s="80">
        <f t="shared" si="6"/>
        <v>0.1461425158894103</v>
      </c>
      <c r="R29" s="80">
        <f t="shared" si="6"/>
        <v>0.14318724818423745</v>
      </c>
      <c r="S29" s="80">
        <f t="shared" si="6"/>
        <v>0.14023198047906463</v>
      </c>
      <c r="T29" s="80">
        <f t="shared" si="6"/>
        <v>0.13727671277389181</v>
      </c>
      <c r="U29" s="80">
        <f t="shared" si="6"/>
        <v>0.13432144506871896</v>
      </c>
      <c r="V29" s="81">
        <f>((0.07*132601)+0.24*(74905))/(74905+132601)</f>
        <v>0.13136617736354614</v>
      </c>
      <c r="W29" s="80">
        <f>V29</f>
        <v>0.13136617736354614</v>
      </c>
      <c r="X29" s="80">
        <f t="shared" ref="X29:AF29" si="8">W29</f>
        <v>0.13136617736354614</v>
      </c>
      <c r="Y29" s="80">
        <f t="shared" si="8"/>
        <v>0.13136617736354614</v>
      </c>
      <c r="Z29" s="80">
        <f t="shared" si="8"/>
        <v>0.13136617736354614</v>
      </c>
      <c r="AA29" s="80">
        <f t="shared" si="8"/>
        <v>0.13136617736354614</v>
      </c>
      <c r="AB29" s="80">
        <f t="shared" si="8"/>
        <v>0.13136617736354614</v>
      </c>
      <c r="AC29" s="80">
        <f t="shared" si="8"/>
        <v>0.13136617736354614</v>
      </c>
      <c r="AD29" s="80">
        <f t="shared" si="8"/>
        <v>0.13136617736354614</v>
      </c>
      <c r="AE29" s="80">
        <f t="shared" si="8"/>
        <v>0.13136617736354614</v>
      </c>
      <c r="AF29" s="80">
        <f t="shared" si="8"/>
        <v>0.13136617736354614</v>
      </c>
    </row>
    <row r="30" spans="1:32">
      <c r="E30" s="80"/>
      <c r="F30" s="80"/>
      <c r="G30" s="80"/>
      <c r="H30" s="80"/>
      <c r="I30" s="80"/>
      <c r="J30" s="80"/>
      <c r="K30" s="80"/>
    </row>
    <row r="31" spans="1:32">
      <c r="L31" s="80"/>
    </row>
    <row r="32" spans="1:32">
      <c r="B32" t="s">
        <v>65</v>
      </c>
      <c r="C32">
        <v>2022</v>
      </c>
      <c r="D32" t="s">
        <v>76</v>
      </c>
      <c r="E32" t="s">
        <v>77</v>
      </c>
    </row>
    <row r="33" spans="2:5">
      <c r="B33" t="s">
        <v>78</v>
      </c>
      <c r="C33">
        <f>885.23*1000</f>
        <v>885230</v>
      </c>
      <c r="D33" t="s">
        <v>79</v>
      </c>
      <c r="E33">
        <v>1</v>
      </c>
    </row>
    <row r="34" spans="2:5">
      <c r="B34" t="s">
        <v>80</v>
      </c>
      <c r="C34">
        <v>23</v>
      </c>
      <c r="D34" t="s">
        <v>79</v>
      </c>
      <c r="E34">
        <v>28</v>
      </c>
    </row>
    <row r="35" spans="2:5">
      <c r="B35" t="s">
        <v>81</v>
      </c>
      <c r="C35">
        <f>0.003*1000</f>
        <v>3</v>
      </c>
      <c r="D35" t="s">
        <v>79</v>
      </c>
      <c r="E35">
        <v>265</v>
      </c>
    </row>
    <row r="36" spans="2:5">
      <c r="B36" t="s">
        <v>82</v>
      </c>
      <c r="C36">
        <f>SUMPRODUCT(C33:C35,E33:E35)</f>
        <v>886669</v>
      </c>
      <c r="D36" t="s">
        <v>79</v>
      </c>
    </row>
    <row r="37" spans="2:5">
      <c r="C37">
        <f>1/2204.62</f>
        <v>4.535929094356397E-4</v>
      </c>
      <c r="D37" t="s">
        <v>83</v>
      </c>
    </row>
    <row r="38" spans="2:5">
      <c r="B38" t="s">
        <v>82</v>
      </c>
      <c r="C38">
        <f>C36*C37/(10^6)</f>
        <v>4.0218677141638922E-4</v>
      </c>
      <c r="D38" t="s">
        <v>84</v>
      </c>
    </row>
    <row r="39" spans="2:5">
      <c r="B39" s="103" t="s">
        <v>85</v>
      </c>
    </row>
    <row r="40" spans="2:5">
      <c r="B40" s="104" t="s">
        <v>86</v>
      </c>
    </row>
  </sheetData>
  <mergeCells count="1">
    <mergeCell ref="A10:C12"/>
  </mergeCells>
  <hyperlinks>
    <hyperlink ref="B40" r:id="rId1" xr:uid="{C313339D-5E27-4D74-AFCF-03FCBD37DC5C}"/>
  </hyperlinks>
  <pageMargins left="0.7" right="0.7" top="0.75" bottom="0.75" header="0.3" footer="0.3"/>
  <pageSetup orientation="portrait" r:id="rId2"/>
  <legacyDrawing r:id="rId3"/>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6FA22-0A24-4926-9686-09E3AD227160}">
  <sheetPr>
    <tabColor rgb="FF7030A0"/>
  </sheetPr>
  <dimension ref="B3:H44"/>
  <sheetViews>
    <sheetView topLeftCell="A16" workbookViewId="0">
      <selection activeCell="B9" sqref="B9"/>
    </sheetView>
  </sheetViews>
  <sheetFormatPr defaultRowHeight="15"/>
  <cols>
    <col min="2" max="2" width="42.5703125" customWidth="1"/>
  </cols>
  <sheetData>
    <row r="3" spans="2:8">
      <c r="B3" s="106" t="s">
        <v>87</v>
      </c>
    </row>
    <row r="4" spans="2:8">
      <c r="B4" s="107"/>
      <c r="C4" s="41" t="s">
        <v>88</v>
      </c>
      <c r="D4" s="41" t="s">
        <v>89</v>
      </c>
      <c r="E4" s="41" t="s">
        <v>90</v>
      </c>
      <c r="F4" s="41" t="s">
        <v>91</v>
      </c>
    </row>
    <row r="5" spans="2:8">
      <c r="B5" s="41" t="s">
        <v>92</v>
      </c>
      <c r="C5" s="41" t="s">
        <v>93</v>
      </c>
      <c r="D5" s="41" t="s">
        <v>93</v>
      </c>
      <c r="E5" s="41" t="s">
        <v>93</v>
      </c>
      <c r="F5" s="41" t="s">
        <v>93</v>
      </c>
      <c r="G5" s="41" t="s">
        <v>94</v>
      </c>
      <c r="H5" s="41" t="s">
        <v>95</v>
      </c>
    </row>
    <row r="6" spans="2:8">
      <c r="B6" t="s">
        <v>96</v>
      </c>
      <c r="C6">
        <v>1.244</v>
      </c>
      <c r="D6">
        <v>5.620134080088099</v>
      </c>
      <c r="E6">
        <v>2.7651007539208963</v>
      </c>
      <c r="F6" s="108">
        <f>SUM(C6:E6)</f>
        <v>9.6292348340089955</v>
      </c>
      <c r="G6" s="109">
        <f>F6*365</f>
        <v>3514.6707144132833</v>
      </c>
      <c r="H6" s="109">
        <f>G6*24</f>
        <v>84352.0971459188</v>
      </c>
    </row>
    <row r="7" spans="2:8">
      <c r="B7" t="s">
        <v>97</v>
      </c>
      <c r="C7">
        <v>2.5000000000000001E-3</v>
      </c>
      <c r="D7">
        <v>1.1304376216532049E-2</v>
      </c>
      <c r="E7">
        <v>5.5617426120994316E-3</v>
      </c>
      <c r="F7" s="108">
        <f t="shared" ref="F7:F10" si="0">SUM(C7:E7)</f>
        <v>1.9366118828631481E-2</v>
      </c>
      <c r="G7" s="109">
        <f>F7*365</f>
        <v>7.0686333724504902</v>
      </c>
      <c r="H7" s="109">
        <f>G7*24</f>
        <v>169.64720093881175</v>
      </c>
    </row>
    <row r="8" spans="2:8">
      <c r="B8" t="s">
        <v>98</v>
      </c>
      <c r="C8">
        <v>2.7000000000000001E-3</v>
      </c>
      <c r="D8">
        <v>1.2287380680594939E-2</v>
      </c>
      <c r="E8">
        <v>6.045379896540394E-3</v>
      </c>
      <c r="F8" s="108">
        <f t="shared" si="0"/>
        <v>2.1032760577135334E-2</v>
      </c>
      <c r="G8" s="109">
        <f t="shared" ref="G8:G10" si="1">F8*365</f>
        <v>7.6769576106543971</v>
      </c>
      <c r="H8" s="109">
        <f>G8*24</f>
        <v>184.24698265570552</v>
      </c>
    </row>
    <row r="9" spans="2:8">
      <c r="B9" t="s">
        <v>99</v>
      </c>
      <c r="C9">
        <v>1.5181</v>
      </c>
      <c r="D9">
        <v>6.858470685193959</v>
      </c>
      <c r="E9">
        <v>3.3743612148977231</v>
      </c>
      <c r="F9" s="108">
        <f t="shared" si="0"/>
        <v>11.750931900091683</v>
      </c>
      <c r="G9" s="109">
        <f>F9*365</f>
        <v>4289.0901435334645</v>
      </c>
      <c r="H9" s="109">
        <f>G9*24</f>
        <v>102938.16344480315</v>
      </c>
    </row>
    <row r="10" spans="2:8">
      <c r="B10" t="s">
        <v>100</v>
      </c>
      <c r="C10">
        <v>2.98E-2</v>
      </c>
      <c r="D10">
        <v>0.1346709755285842</v>
      </c>
      <c r="E10">
        <v>6.6257995033369987E-2</v>
      </c>
      <c r="F10" s="108">
        <f t="shared" si="0"/>
        <v>0.23072897056195418</v>
      </c>
      <c r="G10" s="109">
        <f t="shared" si="1"/>
        <v>84.21607425511327</v>
      </c>
      <c r="H10" s="109">
        <f>G10*24</f>
        <v>2021.1857821227186</v>
      </c>
    </row>
    <row r="12" spans="2:8">
      <c r="B12" s="41" t="s">
        <v>101</v>
      </c>
      <c r="C12" s="110" t="s">
        <v>102</v>
      </c>
    </row>
    <row r="13" spans="2:8">
      <c r="B13" s="41" t="s">
        <v>103</v>
      </c>
      <c r="C13" s="104" t="s">
        <v>104</v>
      </c>
    </row>
    <row r="14" spans="2:8">
      <c r="B14" s="111" t="s">
        <v>105</v>
      </c>
    </row>
    <row r="29" spans="2:2">
      <c r="B29" s="111" t="s">
        <v>106</v>
      </c>
    </row>
    <row r="44" spans="2:2">
      <c r="B44" s="111" t="s">
        <v>107</v>
      </c>
    </row>
  </sheetData>
  <hyperlinks>
    <hyperlink ref="C13" r:id="rId1" xr:uid="{F7EFFC87-0C74-4099-A82F-FAC6A02417EE}"/>
  </hyperlinks>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02D29306AB3A343B300CB37FB68BC48" ma:contentTypeVersion="17" ma:contentTypeDescription="Create a new document." ma:contentTypeScope="" ma:versionID="6e5dcbd4e34c24a638cbd5e932fb0bcf">
  <xsd:schema xmlns:xsd="http://www.w3.org/2001/XMLSchema" xmlns:xs="http://www.w3.org/2001/XMLSchema" xmlns:p="http://schemas.microsoft.com/office/2006/metadata/properties" xmlns:ns1="http://schemas.microsoft.com/sharepoint/v3" xmlns:ns2="4c4d4196-8871-43aa-9d67-e064fcb17c32" xmlns:ns3="d54f0d11-e9be-40d2-ac47-1330dd7e3ac5" targetNamespace="http://schemas.microsoft.com/office/2006/metadata/properties" ma:root="true" ma:fieldsID="7c9673364cebf5e2e365fdcbc892da0e" ns1:_="" ns2:_="" ns3:_="">
    <xsd:import namespace="http://schemas.microsoft.com/sharepoint/v3"/>
    <xsd:import namespace="4c4d4196-8871-43aa-9d67-e064fcb17c32"/>
    <xsd:import namespace="d54f0d11-e9be-40d2-ac47-1330dd7e3ac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1:_ip_UnifiedCompliancePolicyProperties" minOccurs="0"/>
                <xsd:element ref="ns1:_ip_UnifiedCompliancePolicyUIAc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4d4196-8871-43aa-9d67-e064fcb17c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f40efe2-3f1b-4e3b-b37d-7d16d8b71ebe"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4f0d11-e9be-40d2-ac47-1330dd7e3ac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0adcf806-0bcd-459e-b396-a07c94008b1f}" ma:internalName="TaxCatchAll" ma:showField="CatchAllData" ma:web="d54f0d11-e9be-40d2-ac47-1330dd7e3ac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O A D A A B Q S w M E F A A C A A g A d V J 1 V Y c g v y S k A A A A 9 Q A A A B I A H A B D b 2 5 m a W c v U G F j a 2 F n Z S 5 4 b W w g o h g A K K A U A A A A A A A A A A A A A A A A A A A A A A A A A A A A h Y + x D o I w G I R f h X S n r d U Y J D 9 l c J X E h G h c m 1 K h E Y q h x f J u D j 6 S r y B G U T f H + + 4 u u b t f b 5 A O T R 1 c V G d 1 a x I 0 w x Q F y s i 2 0 K Z M U O + O Y Y R S D l s h T 6 J U w R g 2 N h 6 s T l D l 3 D k m x H u P / R y 3 X U k Y p T N y y D a 5 r F Q j Q m 2 s E 0 Y q 9 G k V / 1 u I w / 4 1 h j O 8 W u J o w T A F M j H I t P n 6 b J z 7 d H 8 g r P v a 9 Z 3 i y o S 7 H M g k g b w v 8 A d Q S w M E F A A C A A g A d V J 1 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V S d V W h A O X x 2 g A A A C o B A A A T A B w A R m 9 y b X V s Y X M v U 2 V j d G l v b j E u b S C i G A A o o B Q A A A A A A A A A A A A A A A A A A A A A A A A A A A B t j k 1 r w z A M Q O + B / A f h X V p I C x u 7 l Z 6 M B 4 U 1 H b X L G K U H J 1 O b U H 9 0 i j N a Q v 7 7 3 I Q d B t N F S H p 6 U o N l q L 0 D O e b H R Z q k S V N p w k 9 Q u j D 4 D E s w G N I E Y k j f U o m x I 6 4 l m j l v i d C F d 0 / n w v v z Z N r t c 2 1 x y c Z N d u j 3 3 L s Q k U M 2 C h 4 Y r 7 Q 7 3 e W 3 C 7 J o G t C 5 I u 2 a o y f L v W m t u w + b y X g t 6 z r G d 9 u t y B W 8 7 M T r T H 2 8 C Z Z B i A w E v I Y + g 4 6 J 9 U r K 1 S a X c E G C b 6 x m t j Y 4 F D f U 9 M u 7 1 h Z I w 8 Z a 8 c 0 T f v 0 x 9 d M 0 q d 2 / r y 5 + A F B L A Q I t A B Q A A g A I A H V S d V W H I L 8 k p A A A A P U A A A A S A A A A A A A A A A A A A A A A A A A A A A B D b 2 5 m a W c v U G F j a 2 F n Z S 5 4 b W x Q S w E C L Q A U A A I A C A B 1 U n V V D 8 r p q 6 Q A A A D p A A A A E w A A A A A A A A A A A A A A A A D w A A A A W 0 N v b n R l b n R f V H l w Z X N d L n h t b F B L A Q I t A B Q A A g A I A H V S d V W h A O X x 2 g A A A C o B A A A T A A A A A A A A A A A A A A A A A O E B A A B G b 3 J t d W x h c y 9 T Z W N 0 a W 9 u M S 5 t U E s F B g A A A A A D A A M A w g A A A A g 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h c J A A A A A A A A 9 Q g 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U Y W J s Z T Q 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Q W R k Z W R U b 0 R h d G F N b 2 R l b C I g V m F s d W U 9 I m w w I i A v P j x F b n R y e S B U e X B l P S J G a W x s Q 2 9 1 b n Q i I F Z h b H V l P S J s N i I g L z 4 8 R W 5 0 c n k g V H l w Z T 0 i R m l s b E V y c m 9 y Q 2 9 k Z S I g V m F s d W U 9 I n N V b m t u b 3 d u I i A v P j x F b n R y e S B U e X B l P S J G a W x s R X J y b 3 J D b 3 V u d C I g V m F s d W U 9 I m w w I i A v P j x F b n R y e S B U e X B l P S J G a W x s T G F z d F V w Z G F 0 Z W Q i I F Z h b H V l P S J k M j A y M i 0 x M S 0 y M V Q x N T o x N z o 1 M S 4 5 O D E 3 M T c y W i I g L z 4 8 R W 5 0 c n k g V H l w Z T 0 i R m l s b E N v b H V t b l R 5 c G V z I i B W Y W x 1 Z T 0 i c 0 J n V U c i I C 8 + P E V u d H J 5 I F R 5 c G U 9 I k Z p b G x D b 2 x 1 b W 5 O Y W 1 l c y I g V m F s d W U 9 I n N b J n F 1 b 3 Q 7 Q 1 V S U k V O V C B G V U V M L V R Z U E U m c X V v d D s s J n F 1 b 3 Q 7 R U 1 J U 1 N J T 0 5 T I H B l c i B 2 Z W g t b W l s Z S B w Z X I g e W V h c i Z x d W 9 0 O y w m c X V v d D t N V E N P M m V x J n F 1 b 3 Q 7 X S I g L z 4 8 R W 5 0 c n k g V H l w Z T 0 i R m l s b F N 0 Y X R 1 c y I g V m F s d W U 9 I n N D b 2 1 w b G V 0 Z S I g L z 4 8 R W 5 0 c n k g V H l w Z T 0 i U m V s Y X R p b 2 5 z a G l w S W 5 m b 0 N v b n R h a W 5 l c i I g V m F s d W U 9 I n N 7 J n F 1 b 3 Q 7 Y 2 9 s d W 1 u Q 2 9 1 b n Q m c X V v d D s 6 M y w m c X V v d D t r Z X l D b 2 x 1 b W 5 O Y W 1 l c y Z x d W 9 0 O z p b X S w m c X V v d D t x d W V y e V J l b G F 0 a W 9 u c 2 h p c H M m c X V v d D s 6 W 1 0 s J n F 1 b 3 Q 7 Y 2 9 s d W 1 u S W R l b n R p d G l l c y Z x d W 9 0 O z p b J n F 1 b 3 Q 7 U 2 V j d G l v b j E v V G F i b G U 0 L 0 N o Y W 5 n Z W Q g V H l w Z S 5 7 Q 1 V S U k V O V C B G V U V M L V R Z U E U s M H 0 m c X V v d D s s J n F 1 b 3 Q 7 U 2 V j d G l v b j E v V G F i b G U 0 L 0 N o Y W 5 n Z W Q g V H l w Z S 5 7 R U 1 J U 1 N J T 0 5 T I H B l c i B 2 Z W g t b W l s Z S B w Z X I g e W V h c i w x f S Z x d W 9 0 O y w m c X V v d D t T Z W N 0 a W 9 u M S 9 U Y W J s Z T Q v Q 2 h h b m d l Z C B U e X B l L n t N V E N P M m V x L D J 9 J n F 1 b 3 Q 7 X S w m c X V v d D t D b 2 x 1 b W 5 D b 3 V u d C Z x d W 9 0 O z o z L C Z x d W 9 0 O 0 t l e U N v b H V t b k 5 h b W V z J n F 1 b 3 Q 7 O l t d L C Z x d W 9 0 O 0 N v b H V t b k l k Z W 5 0 a X R p Z X M m c X V v d D s 6 W y Z x d W 9 0 O 1 N l Y 3 R p b 2 4 x L 1 R h Y m x l N C 9 D a G F u Z 2 V k I F R 5 c G U u e 0 N V U l J F T l Q g R l V F T C 1 U W V B F L D B 9 J n F 1 b 3 Q 7 L C Z x d W 9 0 O 1 N l Y 3 R p b 2 4 x L 1 R h Y m x l N C 9 D a G F u Z 2 V k I F R 5 c G U u e 0 V N S V N T S U 9 O U y B w Z X I g d m V o L W 1 p b G U g c G V y I H l l Y X I s M X 0 m c X V v d D s s J n F 1 b 3 Q 7 U 2 V j d G l v b j E v V G F i b G U 0 L 0 N o Y W 5 n Z W Q g V H l w Z S 5 7 T V R D T z J l c S w y f S Z x d W 9 0 O 1 0 s J n F 1 b 3 Q 7 U m V s Y X R p b 2 5 z a G l w S W 5 m b y Z x d W 9 0 O z p b X X 0 i I C 8 + P C 9 T d G F i b G V F b n R y a W V z P j w v S X R l b T 4 8 S X R l b T 4 8 S X R l b U x v Y 2 F 0 a W 9 u P j x J d G V t V H l w Z T 5 G b 3 J t d W x h P C 9 J d G V t V H l w Z T 4 8 S X R l b V B h d G g + U 2 V j d G l v b j E v V G F i b G U 0 L 1 N v d X J j Z T w v S X R l b V B h d G g + P C 9 J d G V t T G 9 j Y X R p b 2 4 + P F N 0 Y W J s Z U V u d H J p Z X M g L z 4 8 L 0 l 0 Z W 0 + P E l 0 Z W 0 + P E l 0 Z W 1 M b 2 N h d G l v b j 4 8 S X R l b V R 5 c G U + R m 9 y b X V s Y T w v S X R l b V R 5 c G U + P E l 0 Z W 1 Q Y X R o P l N l Y 3 R p b 2 4 x L 1 R h Y m x l N C 9 D a G F u Z 2 V k J T I w V H l w Z T w v S X R l b V B h d G g + P C 9 J d G V t T G 9 j Y X R p b 2 4 + P F N 0 Y W J s Z U V u d H J p Z X M g L z 4 8 L 0 l 0 Z W 0 + P C 9 J d G V t c z 4 8 L 0 x v Y 2 F s U G F j a 2 F n Z U 1 l d G F k Y X R h R m l s Z T 4 W A A A A U E s F B g A A A A A A A A A A A A A A A A A A A A A A A N o A A A A B A A A A 0 I y d 3 w E V 0 R G M e g D A T 8 K X 6 w E A A A C B U x q c J B j y S 5 Z j Z 2 T l 6 j F e A A A A A A I A A A A A A A N m A A D A A A A A E A A A A O X L v J j S y U S J x x s 8 L u m y v z 4 A A A A A B I A A A K A A A A A Q A A A A i j C 6 Z C m Z 3 b 6 K K 6 + 2 H C i 4 k l A A A A C P L 5 E o 7 7 / q V I z F + d 8 B a M r j h r p k K a w + P F d I G Y k p o R X B 7 D w H z N h 3 J X + h h C 2 s 8 y G + e q W 1 O a n s t v 8 c W N l f 6 o e Q J Q J l I t D 1 v 8 n j L U D I q U e H t V P N 0 B Q A A A B 5 N Z k x V 5 4 m 6 b B j S t r F 2 k f R y J K k I 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4c4d4196-8871-43aa-9d67-e064fcb17c32">
      <Terms xmlns="http://schemas.microsoft.com/office/infopath/2007/PartnerControls"/>
    </lcf76f155ced4ddcb4097134ff3c332f>
    <TaxCatchAll xmlns="d54f0d11-e9be-40d2-ac47-1330dd7e3ac5" xsi:nil="tru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51F9EB2C-789F-4A82-873A-028B416058D1}"/>
</file>

<file path=customXml/itemProps2.xml><?xml version="1.0" encoding="utf-8"?>
<ds:datastoreItem xmlns:ds="http://schemas.openxmlformats.org/officeDocument/2006/customXml" ds:itemID="{0979264A-93F9-4F6D-B940-16B8E7D81C1E}"/>
</file>

<file path=customXml/itemProps3.xml><?xml version="1.0" encoding="utf-8"?>
<ds:datastoreItem xmlns:ds="http://schemas.openxmlformats.org/officeDocument/2006/customXml" ds:itemID="{36B64502-5E4A-475C-86A6-8B48AA3B27EC}"/>
</file>

<file path=customXml/itemProps4.xml><?xml version="1.0" encoding="utf-8"?>
<ds:datastoreItem xmlns:ds="http://schemas.openxmlformats.org/officeDocument/2006/customXml" ds:itemID="{73298CB7-D84E-48B0-B17E-9F0F382CD5C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 2023 FTA's Low-No/Bus Competitive Emissions Reduction Calculator for at least twenty 40’ Zero Emission Buses</dc:title>
  <dc:subject/>
  <dc:creator>Robinson, Bruce (FTA)</dc:creator>
  <cp:keywords/>
  <dc:description/>
  <cp:lastModifiedBy>Mezey, Claudia</cp:lastModifiedBy>
  <cp:revision/>
  <dcterms:created xsi:type="dcterms:W3CDTF">2022-11-21T15:06:11Z</dcterms:created>
  <dcterms:modified xsi:type="dcterms:W3CDTF">2024-04-01T21:42:09Z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0x010100202D29306AB3A343B300CB37FB68BC48</vt:lpwstr>
  </property>
  <property fmtid="{D5CDD505-2E9C-101B-9397-08002B2CF9AE}" pid="3" name="MediaServiceImageTags">
    <vt:lpwstr/>
  </property>
</Properties>
</file>