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codeName="ThisWorkbook" defaultThemeVersion="166925"/>
  <xr:revisionPtr revIDLastSave="0" documentId="8_{A4EF6E5E-74F4-48AC-8C58-71BA9CF1E0EB}" xr6:coauthVersionLast="47" xr6:coauthVersionMax="47" xr10:uidLastSave="{00000000-0000-0000-0000-000000000000}"/>
  <bookViews>
    <workbookView xWindow="-120" yWindow="-120" windowWidth="29040" windowHeight="15720" tabRatio="979" xr2:uid="{AAC398A2-E95D-4231-A920-55B8B1C73F3F}"/>
  </bookViews>
  <sheets>
    <sheet name="Consolidated Budget" sheetId="30" r:id="rId1"/>
    <sheet name="1-Smart Growth Acceleration" sheetId="16" r:id="rId2"/>
    <sheet name="2-Clean Mobility" sheetId="28" r:id="rId3"/>
    <sheet name="3-NYTVIP-MunicipalTrack" sheetId="29" r:id="rId4"/>
    <sheet name="4-Bid Specs + Group Purchasing" sheetId="27" r:id="rId5"/>
    <sheet name="Reference- Personnel&amp;Staff Aug" sheetId="36" r:id="rId6"/>
    <sheet name="Reference- NYSERDA Indirects" sheetId="35" r:id="rId7"/>
    <sheet name="Reference- CBO Stakeholders" sheetId="38" r:id="rId8"/>
  </sheets>
  <definedNames>
    <definedName name="_xlnm._FilterDatabase" localSheetId="1" hidden="1">'1-Smart Growth Acceleration'!#REF!</definedName>
    <definedName name="_xlnm._FilterDatabase" localSheetId="2" hidden="1">'2-Clean Mobility'!#REF!</definedName>
    <definedName name="_xlnm._FilterDatabase" localSheetId="3" hidden="1">'3-NYTVIP-MunicipalTrack'!#REF!</definedName>
    <definedName name="_xlnm._FilterDatabase" localSheetId="4" hidden="1">'4-Bid Specs + Group Purchasing'!#REF!</definedName>
    <definedName name="_xlnm._FilterDatabase" localSheetId="0" hidden="1">'Consolidated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9" l="1"/>
  <c r="H21" i="29"/>
  <c r="G21" i="29"/>
  <c r="F21" i="29"/>
  <c r="E21" i="29"/>
  <c r="D21" i="29"/>
  <c r="C21" i="29"/>
  <c r="J22" i="28"/>
  <c r="H22" i="28"/>
  <c r="G22" i="28"/>
  <c r="F22" i="28"/>
  <c r="E22" i="28"/>
  <c r="D22" i="28"/>
  <c r="C22" i="28"/>
  <c r="D10" i="29"/>
  <c r="C10" i="29"/>
  <c r="D10" i="28"/>
  <c r="E10" i="28" s="1"/>
  <c r="C10" i="28"/>
  <c r="C13" i="27"/>
  <c r="C12" i="27"/>
  <c r="C11" i="27"/>
  <c r="C10" i="27"/>
  <c r="C9" i="27"/>
  <c r="C8" i="27"/>
  <c r="C8" i="29"/>
  <c r="C15" i="29"/>
  <c r="C14" i="29"/>
  <c r="C13" i="29"/>
  <c r="C12" i="29"/>
  <c r="C11" i="29"/>
  <c r="C9" i="29"/>
  <c r="C8" i="28"/>
  <c r="C8" i="16"/>
  <c r="C16" i="28"/>
  <c r="C15" i="28"/>
  <c r="C14" i="28"/>
  <c r="C13" i="28"/>
  <c r="C12" i="28"/>
  <c r="C11" i="28"/>
  <c r="C9" i="28"/>
  <c r="C11" i="16"/>
  <c r="C10" i="16"/>
  <c r="C9" i="16"/>
  <c r="B6" i="36"/>
  <c r="C23" i="30"/>
  <c r="D12" i="27"/>
  <c r="D8" i="27"/>
  <c r="D36" i="27"/>
  <c r="O7" i="36"/>
  <c r="O6" i="36"/>
  <c r="N7" i="36"/>
  <c r="N8" i="36" s="1"/>
  <c r="D13" i="27"/>
  <c r="D10" i="27"/>
  <c r="D11" i="27"/>
  <c r="D9" i="27"/>
  <c r="D8" i="28"/>
  <c r="G7" i="36"/>
  <c r="G8" i="36"/>
  <c r="G9" i="36"/>
  <c r="G10" i="36"/>
  <c r="G11" i="36"/>
  <c r="G12" i="36"/>
  <c r="G13" i="36"/>
  <c r="G14" i="36"/>
  <c r="G15" i="36"/>
  <c r="G16" i="36"/>
  <c r="G6" i="36"/>
  <c r="D8" i="16"/>
  <c r="D9" i="16"/>
  <c r="D10" i="16"/>
  <c r="D11" i="16"/>
  <c r="J30" i="27"/>
  <c r="H47" i="28"/>
  <c r="E33" i="28"/>
  <c r="F33" i="28"/>
  <c r="G33" i="28"/>
  <c r="H33" i="28"/>
  <c r="D33" i="28"/>
  <c r="C42" i="16"/>
  <c r="B22" i="36"/>
  <c r="B23" i="36"/>
  <c r="B24" i="36"/>
  <c r="B25" i="36"/>
  <c r="B26" i="36"/>
  <c r="B27" i="36"/>
  <c r="B28" i="36"/>
  <c r="B29" i="36"/>
  <c r="B30" i="36"/>
  <c r="B31" i="36"/>
  <c r="B21" i="36"/>
  <c r="M7" i="28"/>
  <c r="M6" i="28" s="1"/>
  <c r="C20" i="29"/>
  <c r="C22" i="29"/>
  <c r="C23" i="29"/>
  <c r="C24" i="29"/>
  <c r="C25" i="29"/>
  <c r="C26" i="29"/>
  <c r="C19" i="29"/>
  <c r="C21" i="28"/>
  <c r="C23" i="28"/>
  <c r="C24" i="28"/>
  <c r="C25" i="28"/>
  <c r="C26" i="28"/>
  <c r="C27" i="28"/>
  <c r="C28" i="28"/>
  <c r="C20" i="28"/>
  <c r="C18" i="27"/>
  <c r="C19" i="27"/>
  <c r="C20" i="27"/>
  <c r="C21" i="27"/>
  <c r="C22" i="27"/>
  <c r="C17" i="27"/>
  <c r="C15" i="16"/>
  <c r="C16" i="16"/>
  <c r="C17" i="16"/>
  <c r="C18" i="16"/>
  <c r="H36" i="16"/>
  <c r="G36" i="16"/>
  <c r="F36" i="16"/>
  <c r="E36" i="16"/>
  <c r="D36" i="16"/>
  <c r="P7" i="36"/>
  <c r="P6" i="36"/>
  <c r="E10" i="29" l="1"/>
  <c r="F10" i="29" s="1"/>
  <c r="G10" i="29" s="1"/>
  <c r="H10" i="29" s="1"/>
  <c r="F10" i="28"/>
  <c r="G10" i="28" s="1"/>
  <c r="H10" i="28" s="1"/>
  <c r="J10" i="28"/>
  <c r="H39" i="29"/>
  <c r="F41" i="28"/>
  <c r="H41" i="28"/>
  <c r="E35" i="27"/>
  <c r="F35" i="27"/>
  <c r="G35" i="27"/>
  <c r="H35" i="27"/>
  <c r="D35" i="27"/>
  <c r="E31" i="16"/>
  <c r="F31" i="16"/>
  <c r="C12" i="38"/>
  <c r="C13" i="38" s="1"/>
  <c r="E39" i="29" s="1"/>
  <c r="D12" i="38"/>
  <c r="D13" i="38" s="1"/>
  <c r="F39" i="29" s="1"/>
  <c r="E12" i="38"/>
  <c r="F12" i="38"/>
  <c r="B12" i="38"/>
  <c r="B13" i="38" s="1"/>
  <c r="D31" i="16" s="1"/>
  <c r="E13" i="38"/>
  <c r="G39" i="29" s="1"/>
  <c r="F13" i="38"/>
  <c r="H31" i="16" s="1"/>
  <c r="G11" i="38"/>
  <c r="E8" i="28"/>
  <c r="F8" i="28" s="1"/>
  <c r="G8" i="28" s="1"/>
  <c r="H8" i="28" s="1"/>
  <c r="J10" i="29" l="1"/>
  <c r="D15" i="16"/>
  <c r="E8" i="16"/>
  <c r="F8" i="16" s="1"/>
  <c r="G8" i="16" s="1"/>
  <c r="H8" i="16" s="1"/>
  <c r="D39" i="29"/>
  <c r="G41" i="28"/>
  <c r="D41" i="28"/>
  <c r="G13" i="38"/>
  <c r="G31" i="16"/>
  <c r="E41" i="28"/>
  <c r="G12" i="38"/>
  <c r="D40" i="29"/>
  <c r="E40" i="29" s="1"/>
  <c r="F40" i="29" s="1"/>
  <c r="G40" i="29" s="1"/>
  <c r="H40" i="29" s="1"/>
  <c r="D32" i="16"/>
  <c r="E36" i="27"/>
  <c r="D42" i="28"/>
  <c r="E42" i="28" s="1"/>
  <c r="F42" i="28" s="1"/>
  <c r="G42" i="28" s="1"/>
  <c r="H42" i="28" s="1"/>
  <c r="K8" i="36"/>
  <c r="L8" i="36"/>
  <c r="M8" i="36"/>
  <c r="D38" i="16"/>
  <c r="G37" i="29"/>
  <c r="F31" i="29"/>
  <c r="F34" i="29"/>
  <c r="E31" i="29"/>
  <c r="G31" i="29"/>
  <c r="H31" i="29"/>
  <c r="D31" i="29"/>
  <c r="D34" i="29"/>
  <c r="E34" i="29"/>
  <c r="G34" i="29"/>
  <c r="H34" i="29"/>
  <c r="E37" i="29"/>
  <c r="F37" i="29"/>
  <c r="H37" i="29"/>
  <c r="D37" i="29"/>
  <c r="D29" i="16"/>
  <c r="E23" i="16"/>
  <c r="F23" i="16"/>
  <c r="G23" i="16"/>
  <c r="H23" i="16"/>
  <c r="D23" i="16"/>
  <c r="E26" i="16"/>
  <c r="F26" i="16"/>
  <c r="G26" i="16"/>
  <c r="H26" i="16"/>
  <c r="D26" i="16"/>
  <c r="E29" i="16"/>
  <c r="F29" i="16"/>
  <c r="G29" i="16"/>
  <c r="H29" i="16"/>
  <c r="E33" i="27"/>
  <c r="F33" i="27"/>
  <c r="G33" i="27"/>
  <c r="H33" i="27"/>
  <c r="D33" i="27"/>
  <c r="E30" i="27"/>
  <c r="F30" i="27"/>
  <c r="G30" i="27"/>
  <c r="H30" i="27"/>
  <c r="E27" i="27"/>
  <c r="F27" i="27"/>
  <c r="G27" i="27"/>
  <c r="H27" i="27"/>
  <c r="D27" i="27"/>
  <c r="D30" i="27"/>
  <c r="H41" i="29"/>
  <c r="G41" i="29"/>
  <c r="F41" i="29"/>
  <c r="E41" i="29"/>
  <c r="D41" i="29"/>
  <c r="H43" i="28"/>
  <c r="G43" i="28"/>
  <c r="F43" i="28"/>
  <c r="E43" i="28"/>
  <c r="D43" i="28"/>
  <c r="H37" i="27"/>
  <c r="G37" i="27"/>
  <c r="F37" i="27"/>
  <c r="E37" i="27"/>
  <c r="D37" i="27"/>
  <c r="J38" i="27"/>
  <c r="H45" i="29"/>
  <c r="H47" i="29" s="1"/>
  <c r="O8" i="36" l="1"/>
  <c r="J37" i="27"/>
  <c r="E32" i="16"/>
  <c r="F32" i="16" s="1"/>
  <c r="G32" i="16" s="1"/>
  <c r="H32" i="16" s="1"/>
  <c r="D39" i="27"/>
  <c r="E39" i="27"/>
  <c r="D43" i="29"/>
  <c r="F43" i="29"/>
  <c r="G43" i="29"/>
  <c r="H43" i="29"/>
  <c r="E43" i="29"/>
  <c r="F36" i="27"/>
  <c r="J42" i="28"/>
  <c r="J32" i="16" l="1"/>
  <c r="J35" i="27"/>
  <c r="J31" i="16"/>
  <c r="G36" i="27"/>
  <c r="G39" i="27" s="1"/>
  <c r="F39" i="27"/>
  <c r="J34" i="16" l="1"/>
  <c r="H36" i="27"/>
  <c r="H39" i="27" l="1"/>
  <c r="J36" i="27"/>
  <c r="J39" i="27" s="1"/>
  <c r="C25" i="30" l="1"/>
  <c r="C24" i="30"/>
  <c r="C26" i="30"/>
  <c r="J39" i="29"/>
  <c r="F45" i="28"/>
  <c r="E45" i="28"/>
  <c r="J41" i="28"/>
  <c r="F20" i="28"/>
  <c r="G20" i="28"/>
  <c r="H20" i="28"/>
  <c r="E20" i="28"/>
  <c r="D9" i="29"/>
  <c r="D11" i="29"/>
  <c r="D12" i="29"/>
  <c r="D13" i="29"/>
  <c r="D14" i="29"/>
  <c r="D15" i="29"/>
  <c r="E15" i="29" s="1"/>
  <c r="F15" i="29" s="1"/>
  <c r="G15" i="29" s="1"/>
  <c r="H15" i="29" s="1"/>
  <c r="H26" i="29" s="1"/>
  <c r="D8" i="29"/>
  <c r="D9" i="28"/>
  <c r="D11" i="28"/>
  <c r="D12" i="28"/>
  <c r="D13" i="28"/>
  <c r="D14" i="28"/>
  <c r="D15" i="28"/>
  <c r="D16" i="28"/>
  <c r="D20" i="28"/>
  <c r="F15" i="16"/>
  <c r="E15" i="16"/>
  <c r="H15" i="16"/>
  <c r="I17" i="29"/>
  <c r="I15" i="27"/>
  <c r="I13" i="16"/>
  <c r="B14" i="36"/>
  <c r="B15" i="36"/>
  <c r="B16" i="36"/>
  <c r="B7" i="36"/>
  <c r="B8" i="36"/>
  <c r="B9" i="36"/>
  <c r="B10" i="36"/>
  <c r="B11" i="36"/>
  <c r="B12" i="36"/>
  <c r="B13" i="36"/>
  <c r="C53" i="29"/>
  <c r="C52" i="29"/>
  <c r="C51" i="29"/>
  <c r="C55" i="28"/>
  <c r="C54" i="28"/>
  <c r="C53" i="28"/>
  <c r="C43" i="16"/>
  <c r="C44" i="16"/>
  <c r="C48" i="27"/>
  <c r="C47" i="27"/>
  <c r="C46" i="27"/>
  <c r="D45" i="29"/>
  <c r="D47" i="29" s="1"/>
  <c r="G45" i="29"/>
  <c r="G47" i="29" s="1"/>
  <c r="F45" i="29"/>
  <c r="F47" i="29" s="1"/>
  <c r="E45" i="29"/>
  <c r="E47" i="29" s="1"/>
  <c r="H49" i="28"/>
  <c r="G47" i="28"/>
  <c r="G49" i="28" s="1"/>
  <c r="F47" i="28"/>
  <c r="F49" i="28" s="1"/>
  <c r="H42" i="27"/>
  <c r="G42" i="27"/>
  <c r="F42" i="27"/>
  <c r="E42" i="27"/>
  <c r="D42" i="27"/>
  <c r="E34" i="16"/>
  <c r="F34" i="16"/>
  <c r="G34" i="16"/>
  <c r="H34" i="16"/>
  <c r="D34" i="16"/>
  <c r="G38" i="16"/>
  <c r="F38" i="16"/>
  <c r="E38" i="16"/>
  <c r="H38" i="16"/>
  <c r="J41" i="29"/>
  <c r="J40" i="29"/>
  <c r="H45" i="28"/>
  <c r="G45" i="28"/>
  <c r="J44" i="28"/>
  <c r="J43" i="28"/>
  <c r="H39" i="28"/>
  <c r="G39" i="28"/>
  <c r="F39" i="28"/>
  <c r="E39" i="28"/>
  <c r="D39" i="28"/>
  <c r="H36" i="28"/>
  <c r="G36" i="28"/>
  <c r="F36" i="28"/>
  <c r="E36" i="28"/>
  <c r="D36" i="28"/>
  <c r="J27" i="27"/>
  <c r="D19" i="27" l="1"/>
  <c r="E10" i="27"/>
  <c r="D16" i="16"/>
  <c r="E9" i="16"/>
  <c r="D21" i="27"/>
  <c r="E12" i="27"/>
  <c r="D24" i="28"/>
  <c r="E12" i="28"/>
  <c r="D22" i="29"/>
  <c r="E11" i="29"/>
  <c r="D20" i="29"/>
  <c r="E9" i="29"/>
  <c r="D23" i="29"/>
  <c r="E12" i="29"/>
  <c r="D20" i="27"/>
  <c r="E11" i="27"/>
  <c r="D23" i="28"/>
  <c r="E11" i="28"/>
  <c r="D18" i="27"/>
  <c r="E9" i="27"/>
  <c r="D21" i="28"/>
  <c r="E9" i="28"/>
  <c r="D19" i="29"/>
  <c r="E8" i="29"/>
  <c r="D17" i="16"/>
  <c r="E10" i="16"/>
  <c r="D17" i="27"/>
  <c r="E8" i="27"/>
  <c r="D24" i="29"/>
  <c r="E13" i="29"/>
  <c r="E26" i="29"/>
  <c r="D22" i="27"/>
  <c r="E13" i="27"/>
  <c r="D28" i="28"/>
  <c r="E16" i="28"/>
  <c r="D25" i="29"/>
  <c r="E14" i="29"/>
  <c r="D27" i="28"/>
  <c r="E15" i="28"/>
  <c r="D26" i="28"/>
  <c r="E14" i="28"/>
  <c r="D18" i="16"/>
  <c r="E11" i="16"/>
  <c r="G26" i="29"/>
  <c r="F26" i="29"/>
  <c r="D25" i="28"/>
  <c r="E13" i="28"/>
  <c r="F13" i="28" s="1"/>
  <c r="G12" i="30"/>
  <c r="H12" i="30"/>
  <c r="E12" i="30"/>
  <c r="F12" i="30"/>
  <c r="J47" i="29"/>
  <c r="G15" i="16"/>
  <c r="J8" i="16"/>
  <c r="G11" i="30"/>
  <c r="E11" i="30"/>
  <c r="D45" i="28"/>
  <c r="F11" i="30"/>
  <c r="H11" i="30"/>
  <c r="D11" i="30"/>
  <c r="J15" i="29"/>
  <c r="D15" i="27"/>
  <c r="D26" i="29"/>
  <c r="D17" i="29"/>
  <c r="D52" i="29" s="1"/>
  <c r="J37" i="29"/>
  <c r="J34" i="29"/>
  <c r="J46" i="29"/>
  <c r="J20" i="28"/>
  <c r="D18" i="28"/>
  <c r="D54" i="28" s="1"/>
  <c r="J8" i="28"/>
  <c r="D13" i="16"/>
  <c r="J33" i="27"/>
  <c r="J26" i="16"/>
  <c r="J45" i="29"/>
  <c r="J29" i="16"/>
  <c r="J23" i="16"/>
  <c r="J42" i="27"/>
  <c r="J36" i="16"/>
  <c r="J36" i="28"/>
  <c r="J39" i="28"/>
  <c r="J33" i="28"/>
  <c r="J43" i="29"/>
  <c r="J31" i="29"/>
  <c r="F9" i="16" l="1"/>
  <c r="E16" i="16"/>
  <c r="F12" i="27"/>
  <c r="E21" i="27"/>
  <c r="F11" i="29"/>
  <c r="E22" i="29"/>
  <c r="D20" i="16"/>
  <c r="D39" i="16" s="1"/>
  <c r="D44" i="16" s="1"/>
  <c r="F9" i="28"/>
  <c r="E21" i="28"/>
  <c r="F10" i="27"/>
  <c r="E19" i="27"/>
  <c r="F10" i="16"/>
  <c r="E17" i="16"/>
  <c r="F9" i="29"/>
  <c r="E20" i="29"/>
  <c r="F11" i="28"/>
  <c r="E23" i="28"/>
  <c r="F9" i="27"/>
  <c r="E18" i="27"/>
  <c r="F8" i="29"/>
  <c r="E19" i="29"/>
  <c r="F11" i="27"/>
  <c r="E20" i="27"/>
  <c r="F12" i="29"/>
  <c r="E23" i="29"/>
  <c r="F12" i="28"/>
  <c r="E24" i="28"/>
  <c r="F8" i="27"/>
  <c r="E17" i="27"/>
  <c r="E25" i="28"/>
  <c r="D7" i="30"/>
  <c r="F14" i="29"/>
  <c r="E25" i="29"/>
  <c r="F13" i="29"/>
  <c r="E24" i="29"/>
  <c r="F16" i="28"/>
  <c r="E28" i="28"/>
  <c r="F13" i="27"/>
  <c r="E22" i="27"/>
  <c r="F11" i="16"/>
  <c r="E18" i="16"/>
  <c r="F14" i="28"/>
  <c r="E26" i="28"/>
  <c r="E15" i="27"/>
  <c r="E46" i="27" s="1"/>
  <c r="F15" i="28"/>
  <c r="E27" i="28"/>
  <c r="E17" i="29"/>
  <c r="E51" i="29" s="1"/>
  <c r="G13" i="28"/>
  <c r="F25" i="28"/>
  <c r="E18" i="28"/>
  <c r="E54" i="28" s="1"/>
  <c r="E13" i="16"/>
  <c r="E43" i="16" s="1"/>
  <c r="D43" i="16"/>
  <c r="D42" i="16"/>
  <c r="J26" i="29"/>
  <c r="D28" i="29"/>
  <c r="J15" i="16"/>
  <c r="J45" i="28"/>
  <c r="D12" i="30"/>
  <c r="J12" i="30" s="1"/>
  <c r="D46" i="27"/>
  <c r="D30" i="28"/>
  <c r="D51" i="29"/>
  <c r="D53" i="28"/>
  <c r="D24" i="27"/>
  <c r="D43" i="27" s="1"/>
  <c r="D47" i="27"/>
  <c r="G13" i="30"/>
  <c r="H13" i="30"/>
  <c r="F13" i="30"/>
  <c r="J38" i="16"/>
  <c r="J11" i="30"/>
  <c r="E53" i="28" l="1"/>
  <c r="G8" i="29"/>
  <c r="F19" i="29"/>
  <c r="G11" i="28"/>
  <c r="F23" i="28"/>
  <c r="G10" i="27"/>
  <c r="F19" i="27"/>
  <c r="G11" i="29"/>
  <c r="F22" i="29"/>
  <c r="G9" i="28"/>
  <c r="H9" i="28" s="1"/>
  <c r="F21" i="28"/>
  <c r="G9" i="16"/>
  <c r="F16" i="16"/>
  <c r="G10" i="16"/>
  <c r="F17" i="16"/>
  <c r="G12" i="29"/>
  <c r="F23" i="29"/>
  <c r="G9" i="27"/>
  <c r="F18" i="27"/>
  <c r="G12" i="27"/>
  <c r="F21" i="27"/>
  <c r="G12" i="28"/>
  <c r="F24" i="28"/>
  <c r="G9" i="29"/>
  <c r="F20" i="29"/>
  <c r="G11" i="27"/>
  <c r="F20" i="27"/>
  <c r="G8" i="27"/>
  <c r="F17" i="27"/>
  <c r="E24" i="27"/>
  <c r="E43" i="27" s="1"/>
  <c r="E30" i="28"/>
  <c r="E52" i="29"/>
  <c r="E47" i="27"/>
  <c r="F18" i="28"/>
  <c r="G11" i="16"/>
  <c r="F18" i="16"/>
  <c r="G15" i="28"/>
  <c r="F27" i="28"/>
  <c r="G13" i="27"/>
  <c r="F22" i="27"/>
  <c r="G13" i="29"/>
  <c r="F24" i="29"/>
  <c r="E42" i="16"/>
  <c r="E20" i="16"/>
  <c r="E39" i="16" s="1"/>
  <c r="E44" i="16" s="1"/>
  <c r="G14" i="28"/>
  <c r="F26" i="28"/>
  <c r="G16" i="28"/>
  <c r="F28" i="28"/>
  <c r="G14" i="29"/>
  <c r="F25" i="29"/>
  <c r="H13" i="28"/>
  <c r="J13" i="28" s="1"/>
  <c r="G25" i="28"/>
  <c r="F13" i="16"/>
  <c r="D48" i="27"/>
  <c r="E7" i="30"/>
  <c r="F15" i="27"/>
  <c r="D48" i="29"/>
  <c r="D53" i="29" s="1"/>
  <c r="D54" i="29" s="1"/>
  <c r="D56" i="29" s="1"/>
  <c r="D8" i="30"/>
  <c r="E28" i="29"/>
  <c r="F17" i="29"/>
  <c r="H9" i="30"/>
  <c r="E9" i="30"/>
  <c r="F9" i="30"/>
  <c r="G9" i="30"/>
  <c r="H11" i="27" l="1"/>
  <c r="H20" i="27" s="1"/>
  <c r="G20" i="27"/>
  <c r="H12" i="28"/>
  <c r="H24" i="28" s="1"/>
  <c r="G24" i="28"/>
  <c r="H21" i="28"/>
  <c r="G21" i="28"/>
  <c r="H12" i="27"/>
  <c r="H21" i="27" s="1"/>
  <c r="G21" i="27"/>
  <c r="J21" i="27" s="1"/>
  <c r="H10" i="16"/>
  <c r="H17" i="16" s="1"/>
  <c r="G17" i="16"/>
  <c r="H11" i="28"/>
  <c r="G23" i="28"/>
  <c r="H11" i="29"/>
  <c r="G22" i="29"/>
  <c r="H9" i="29"/>
  <c r="G20" i="29"/>
  <c r="H8" i="29"/>
  <c r="G19" i="29"/>
  <c r="H9" i="16"/>
  <c r="G16" i="16"/>
  <c r="H10" i="27"/>
  <c r="G19" i="27"/>
  <c r="G18" i="28"/>
  <c r="G54" i="28" s="1"/>
  <c r="H9" i="27"/>
  <c r="G18" i="27"/>
  <c r="H12" i="29"/>
  <c r="G23" i="29"/>
  <c r="E48" i="27"/>
  <c r="H8" i="27"/>
  <c r="G17" i="27"/>
  <c r="F30" i="28"/>
  <c r="F50" i="28" s="1"/>
  <c r="H14" i="28"/>
  <c r="H26" i="28" s="1"/>
  <c r="G26" i="28"/>
  <c r="E45" i="16"/>
  <c r="E47" i="16" s="1"/>
  <c r="H14" i="29"/>
  <c r="G25" i="29"/>
  <c r="H11" i="16"/>
  <c r="H18" i="16" s="1"/>
  <c r="G18" i="16"/>
  <c r="F20" i="16"/>
  <c r="F39" i="16" s="1"/>
  <c r="H15" i="28"/>
  <c r="G27" i="28"/>
  <c r="F53" i="28"/>
  <c r="F54" i="28"/>
  <c r="F28" i="29"/>
  <c r="H16" i="28"/>
  <c r="G28" i="28"/>
  <c r="F24" i="27"/>
  <c r="F43" i="27" s="1"/>
  <c r="H13" i="29"/>
  <c r="H24" i="29" s="1"/>
  <c r="G24" i="29"/>
  <c r="H13" i="27"/>
  <c r="H22" i="27" s="1"/>
  <c r="G22" i="27"/>
  <c r="F42" i="16"/>
  <c r="F43" i="16"/>
  <c r="G13" i="16"/>
  <c r="F47" i="27"/>
  <c r="F46" i="27"/>
  <c r="G15" i="27"/>
  <c r="H25" i="28"/>
  <c r="G17" i="29"/>
  <c r="F52" i="29"/>
  <c r="F51" i="29"/>
  <c r="F7" i="30"/>
  <c r="E8" i="30"/>
  <c r="E48" i="29"/>
  <c r="E53" i="29" s="1"/>
  <c r="E54" i="29" s="1"/>
  <c r="E56" i="29" s="1"/>
  <c r="E10" i="30"/>
  <c r="G10" i="30"/>
  <c r="D10" i="30"/>
  <c r="D9" i="30"/>
  <c r="J9" i="30" s="1"/>
  <c r="H10" i="30"/>
  <c r="F10" i="30"/>
  <c r="F44" i="16" l="1"/>
  <c r="H16" i="16"/>
  <c r="J16" i="16" s="1"/>
  <c r="H13" i="16"/>
  <c r="J21" i="28"/>
  <c r="J12" i="27"/>
  <c r="J13" i="27"/>
  <c r="J26" i="28"/>
  <c r="J17" i="16"/>
  <c r="J18" i="16"/>
  <c r="J9" i="16"/>
  <c r="J20" i="27"/>
  <c r="J11" i="27"/>
  <c r="G53" i="28"/>
  <c r="J24" i="28"/>
  <c r="J12" i="28"/>
  <c r="J10" i="16"/>
  <c r="F48" i="27"/>
  <c r="F49" i="27" s="1"/>
  <c r="F51" i="27" s="1"/>
  <c r="J9" i="28"/>
  <c r="H19" i="27"/>
  <c r="J19" i="27" s="1"/>
  <c r="J10" i="27"/>
  <c r="H23" i="29"/>
  <c r="J23" i="29" s="1"/>
  <c r="J12" i="29"/>
  <c r="H19" i="29"/>
  <c r="J19" i="29" s="1"/>
  <c r="J8" i="29"/>
  <c r="F55" i="28"/>
  <c r="F56" i="28" s="1"/>
  <c r="F58" i="28" s="1"/>
  <c r="H23" i="28"/>
  <c r="J23" i="28" s="1"/>
  <c r="J11" i="28"/>
  <c r="J14" i="28"/>
  <c r="H20" i="29"/>
  <c r="J20" i="29" s="1"/>
  <c r="J9" i="29"/>
  <c r="H18" i="27"/>
  <c r="J18" i="27" s="1"/>
  <c r="J9" i="27"/>
  <c r="H22" i="29"/>
  <c r="J22" i="29" s="1"/>
  <c r="J11" i="29"/>
  <c r="H17" i="27"/>
  <c r="J17" i="27" s="1"/>
  <c r="J8" i="27"/>
  <c r="H18" i="28"/>
  <c r="H54" i="28" s="1"/>
  <c r="J54" i="28" s="1"/>
  <c r="G30" i="28"/>
  <c r="G50" i="28" s="1"/>
  <c r="G24" i="27"/>
  <c r="G43" i="27" s="1"/>
  <c r="F8" i="30"/>
  <c r="F14" i="30" s="1"/>
  <c r="J22" i="27"/>
  <c r="H25" i="29"/>
  <c r="J25" i="29" s="1"/>
  <c r="J14" i="29"/>
  <c r="G20" i="16"/>
  <c r="H27" i="28"/>
  <c r="J27" i="28" s="1"/>
  <c r="J15" i="28"/>
  <c r="J11" i="16"/>
  <c r="F48" i="29"/>
  <c r="F53" i="29" s="1"/>
  <c r="F54" i="29" s="1"/>
  <c r="F56" i="29" s="1"/>
  <c r="H28" i="28"/>
  <c r="J28" i="28" s="1"/>
  <c r="J16" i="28"/>
  <c r="G28" i="29"/>
  <c r="G48" i="29" s="1"/>
  <c r="J13" i="29"/>
  <c r="J24" i="29"/>
  <c r="G43" i="16"/>
  <c r="G42" i="16"/>
  <c r="J25" i="28"/>
  <c r="G46" i="27"/>
  <c r="G47" i="27"/>
  <c r="H15" i="27"/>
  <c r="G52" i="29"/>
  <c r="G51" i="29"/>
  <c r="G7" i="30"/>
  <c r="H17" i="29"/>
  <c r="E49" i="27"/>
  <c r="D45" i="16"/>
  <c r="D47" i="16" s="1"/>
  <c r="D49" i="27"/>
  <c r="J10" i="30"/>
  <c r="J13" i="16" l="1"/>
  <c r="G55" i="28"/>
  <c r="G56" i="28" s="1"/>
  <c r="G58" i="28" s="1"/>
  <c r="G8" i="30"/>
  <c r="G14" i="30" s="1"/>
  <c r="H53" i="28"/>
  <c r="J53" i="28" s="1"/>
  <c r="G48" i="27"/>
  <c r="G49" i="27" s="1"/>
  <c r="G51" i="27" s="1"/>
  <c r="H30" i="28"/>
  <c r="H50" i="28" s="1"/>
  <c r="J30" i="28"/>
  <c r="G39" i="16"/>
  <c r="J15" i="27"/>
  <c r="J17" i="29"/>
  <c r="J18" i="28"/>
  <c r="H20" i="16"/>
  <c r="H39" i="16" s="1"/>
  <c r="H44" i="16" s="1"/>
  <c r="J20" i="16"/>
  <c r="H47" i="27"/>
  <c r="J47" i="27" s="1"/>
  <c r="H46" i="27"/>
  <c r="H24" i="27"/>
  <c r="H43" i="27" s="1"/>
  <c r="J43" i="27" s="1"/>
  <c r="J24" i="27"/>
  <c r="F45" i="16"/>
  <c r="F47" i="16" s="1"/>
  <c r="H43" i="16"/>
  <c r="J43" i="16" s="1"/>
  <c r="H42" i="16"/>
  <c r="H52" i="29"/>
  <c r="J52" i="29" s="1"/>
  <c r="H7" i="30"/>
  <c r="H51" i="29"/>
  <c r="J51" i="29" s="1"/>
  <c r="H28" i="29"/>
  <c r="J28" i="29"/>
  <c r="G53" i="29"/>
  <c r="E51" i="27"/>
  <c r="D51" i="27"/>
  <c r="G44" i="16" l="1"/>
  <c r="G45" i="16" s="1"/>
  <c r="G47" i="16" s="1"/>
  <c r="H55" i="28"/>
  <c r="H56" i="28" s="1"/>
  <c r="J7" i="30"/>
  <c r="H48" i="27"/>
  <c r="J48" i="27" s="1"/>
  <c r="J42" i="16"/>
  <c r="F16" i="30"/>
  <c r="F18" i="30" s="1"/>
  <c r="J46" i="27"/>
  <c r="J44" i="16"/>
  <c r="J39" i="16"/>
  <c r="H8" i="30"/>
  <c r="H14" i="30" s="1"/>
  <c r="H48" i="29"/>
  <c r="G54" i="29"/>
  <c r="J45" i="16" l="1"/>
  <c r="J47" i="16" s="1"/>
  <c r="D23" i="30" s="1"/>
  <c r="H49" i="27"/>
  <c r="H51" i="27" s="1"/>
  <c r="H45" i="16"/>
  <c r="H47" i="16" s="1"/>
  <c r="H58" i="28"/>
  <c r="H53" i="29"/>
  <c r="J48" i="29"/>
  <c r="G56" i="29"/>
  <c r="G16" i="30"/>
  <c r="G18" i="30" s="1"/>
  <c r="J8" i="30"/>
  <c r="J49" i="27" l="1"/>
  <c r="J51" i="27" s="1"/>
  <c r="D26" i="30" s="1"/>
  <c r="J53" i="29"/>
  <c r="H54" i="29"/>
  <c r="H56" i="29" l="1"/>
  <c r="H16" i="30"/>
  <c r="J54" i="29"/>
  <c r="J56" i="29" s="1"/>
  <c r="D25" i="30" s="1"/>
  <c r="H18" i="30" l="1"/>
  <c r="E47" i="28"/>
  <c r="E49" i="28" s="1"/>
  <c r="E50" i="28" s="1"/>
  <c r="E55" i="28" s="1"/>
  <c r="E56" i="28" s="1"/>
  <c r="D47" i="28"/>
  <c r="D49" i="28" s="1"/>
  <c r="J47" i="28" l="1"/>
  <c r="J49" i="28"/>
  <c r="D50" i="28"/>
  <c r="D13" i="30"/>
  <c r="E58" i="28"/>
  <c r="E16" i="30"/>
  <c r="E13" i="30"/>
  <c r="E14" i="30" s="1"/>
  <c r="E18" i="30" l="1"/>
  <c r="J13" i="30"/>
  <c r="D14" i="30"/>
  <c r="D55" i="28"/>
  <c r="J50" i="28"/>
  <c r="J55" i="28" l="1"/>
  <c r="D56" i="28"/>
  <c r="J14" i="30"/>
  <c r="D58" i="28" l="1"/>
  <c r="J56" i="28"/>
  <c r="J58" i="28" s="1"/>
  <c r="D24" i="30" s="1"/>
  <c r="D16" i="30"/>
  <c r="J16" i="30" l="1"/>
  <c r="J18" i="30" s="1"/>
  <c r="K18" i="30" s="1"/>
  <c r="D18" i="30"/>
  <c r="D28" i="30"/>
  <c r="E26" i="30" l="1"/>
  <c r="E25" i="30"/>
  <c r="E23" i="30"/>
  <c r="E24" i="30"/>
  <c r="E28" i="30" l="1"/>
</calcChain>
</file>

<file path=xl/sharedStrings.xml><?xml version="1.0" encoding="utf-8"?>
<sst xmlns="http://schemas.openxmlformats.org/spreadsheetml/2006/main" count="319" uniqueCount="117">
  <si>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</si>
  <si>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</si>
  <si>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</si>
  <si>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</si>
  <si>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</si>
  <si>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</si>
  <si>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</si>
  <si>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</si>
  <si>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</si>
  <si>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</si>
  <si>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</si>
  <si>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</si>
  <si>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</si>
  <si>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</si>
  <si>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</si>
  <si>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</si>
  <si>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</si>
  <si>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</si>
  <si>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</si>
  <si>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</si>
  <si>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</si>
  <si>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</si>
  <si>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</si>
  <si>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</si>
  <si>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</si>
  <si>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</si>
  <si>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</si>
  <si>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NAME:</t>
  </si>
  <si>
    <t>Line item</t>
  </si>
  <si>
    <t>Total Budget</t>
  </si>
  <si>
    <t>Years</t>
  </si>
  <si>
    <t>Total grant budget</t>
  </si>
  <si>
    <t>Personnel</t>
  </si>
  <si>
    <t> </t>
  </si>
  <si>
    <t>Support contractor budget (y1-5)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</si>
  <si>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</si>
  <si>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</si>
  <si>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</si>
  <si>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</si>
  <si>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</si>
  <si>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</si>
  <si>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</si>
  <si>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Travel</t>
  </si>
  <si>
    <t>Equipment</t>
  </si>
  <si>
    <t>Support contractor to provide technical assistance, support coordination amongst state and local government entities, and perform research</t>
  </si>
  <si>
    <t>Support contractor to assist with program implementation, outreach and engagement, and measurement and evaluation</t>
  </si>
  <si>
    <t>Subaward: Grant funding available for 8-12 localities to implement community-led clean mobility solutions</t>
  </si>
  <si>
    <t>Support contractor to assist rapidly parsing and validating eligibility of incentives and collection of impact metrics for reporting</t>
  </si>
  <si>
    <t>TOTAL CONTRACTUAL</t>
  </si>
  <si>
    <t>Other</t>
  </si>
  <si>
    <t>PERSONNEL</t>
  </si>
  <si>
    <t>Staff Aug</t>
  </si>
  <si>
    <t>% effort</t>
  </si>
  <si>
    <t>Title</t>
  </si>
  <si>
    <t>Total FTE</t>
  </si>
  <si>
    <t>Program Manager</t>
  </si>
  <si>
    <t>Director</t>
  </si>
  <si>
    <t>Vice President</t>
  </si>
  <si>
    <t>Project Manager</t>
  </si>
  <si>
    <t>Senior Project Manager</t>
  </si>
  <si>
    <t>Annual Escalator</t>
  </si>
  <si>
    <t>Assuming 3% CoLA</t>
  </si>
  <si>
    <t>Base Personnel Cost Table</t>
  </si>
  <si>
    <t>Annual base cost</t>
  </si>
  <si>
    <t>SECTION I -RATES AND BASES</t>
  </si>
  <si>
    <t>Indirect Expense Pool</t>
  </si>
  <si>
    <t>PROVISIONAL</t>
  </si>
  <si>
    <t>Base</t>
  </si>
  <si>
    <t>4/1/23 – 3/31/25</t>
  </si>
  <si>
    <t>NYSERDA Fringe Benefits</t>
  </si>
  <si>
    <t>(a)</t>
  </si>
  <si>
    <t>NYSERDA Labor Overhead at 41.65%</t>
  </si>
  <si>
    <t>NYSERDA G&amp;A Expense at 51.97%</t>
  </si>
  <si>
    <t>NYSERDA Cost Recovery Fee at 1.01%</t>
  </si>
  <si>
    <t>(b)</t>
  </si>
  <si>
    <t>(a) Total Direct Labor Dollars, exclusive of Market Engagement activities</t>
  </si>
  <si>
    <t>(b) Total Direct &amp; Indirect Expenses, excluding Capital Projects</t>
  </si>
  <si>
    <t># Participants</t>
  </si>
  <si>
    <t>Meeting rate</t>
  </si>
  <si>
    <t>Total Y1</t>
  </si>
  <si>
    <t>Total Y2</t>
  </si>
  <si>
    <t>Total Y3</t>
  </si>
  <si>
    <t>Total Y4</t>
  </si>
  <si>
    <t>Year 5</t>
  </si>
  <si>
    <t>Total All 5 Years*</t>
  </si>
  <si>
    <t># Meetings</t>
  </si>
  <si>
    <t>Cost (full proposal)</t>
  </si>
  <si>
    <t>#FTE</t>
  </si>
  <si>
    <t>Assistant Project Manager</t>
  </si>
  <si>
    <t>Smart Growth Acceleration Program</t>
  </si>
  <si>
    <t>Clean Mobility Program Expansion</t>
  </si>
  <si>
    <t>Bid Specs and Group Purchasing Program</t>
  </si>
  <si>
    <t>Bid Specs and Group Purchasing</t>
  </si>
  <si>
    <t xml:space="preserve"> TOTAL PERSONNEL </t>
  </si>
  <si>
    <t xml:space="preserve"> TOTAL OTHER</t>
  </si>
  <si>
    <t>Compensation for 12 prequalified community based organizations to provide input on equitable program design over an estimated 6 instances during the funding period at the negotiated $300 per instance, divided evenly between the 4 measures of this proposal</t>
  </si>
  <si>
    <t>Staff augmentation contractor(s) at NYSERDA or a sister agency estimated at 0.5 FTE to support project management, reporting, and evaluation</t>
  </si>
  <si>
    <t>Staff augmentation contractor(s) at NYSERDA or a sister agency estimated at 1.25 FTE to support project management, reporting, and evaluation</t>
  </si>
  <si>
    <t>Staff augmentation contractor(s) at NYSERDA or a sister agency estimated at 1.5 FTE to support project management, reporting, and evaluation</t>
  </si>
  <si>
    <t>Budget Reference Sheet - Personnel and Staff Aug</t>
  </si>
  <si>
    <t>Budget Reference Sheet - NYSERDA Indirect Costs</t>
  </si>
  <si>
    <t>Truck Voucher Incentive Program - Municipal Track</t>
  </si>
  <si>
    <t xml:space="preserve">TOTAL INDIRECT </t>
  </si>
  <si>
    <t>Consolidated Budget Table - Clean and Connected Communities</t>
  </si>
  <si>
    <t>Detailed Budget Table - Clean and Connected Communities</t>
  </si>
  <si>
    <t>Subaward: Subaward from NYSERDA to Department of State to administer the Smart Growth Acceleration Program, including $15,000,000 in grant funding for 60-70 smart growth projects, and $2,000,000 for a program support contractor, staff time, fringe, and overhead costs</t>
  </si>
  <si>
    <r>
      <t>Subaward: Incentives for municipality-owned medium/heavy duty vehicles and non-road equipment, funding an estimate</t>
    </r>
    <r>
      <rPr>
        <sz val="11"/>
        <rFont val="Calibri"/>
        <family val="2"/>
        <scheme val="minor"/>
      </rPr>
      <t>d 420</t>
    </r>
    <r>
      <rPr>
        <sz val="11"/>
        <color theme="1"/>
        <rFont val="Calibri"/>
        <family val="2"/>
        <scheme val="minor"/>
      </rPr>
      <t xml:space="preserve"> total vehicles/equipment assuming 30% municipal cost share</t>
    </r>
  </si>
  <si>
    <t>Year 1 Cost per FTE*</t>
  </si>
  <si>
    <t>NYTVIP-Municipal Track</t>
  </si>
  <si>
    <t>NYTVIP Municipal Track</t>
  </si>
  <si>
    <t>Smart Growth Acceleration</t>
  </si>
  <si>
    <t>Clean Mobility Expansion</t>
  </si>
  <si>
    <t>`</t>
  </si>
  <si>
    <t>Prorated for each measure</t>
  </si>
  <si>
    <t>Budget Reference Sheet - Compensation for community-based organization stakeholders</t>
  </si>
  <si>
    <t>Attachment C. OptionalBudget Spreadsheet</t>
  </si>
  <si>
    <t>Attachment C. Optional Budget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</si>
</sst>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5" fillId="4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6" fontId="5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7" fillId="0" borderId="8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left" wrapText="1" indent="4"/>
    </xf>
    <xf numFmtId="0" fontId="9" fillId="0" borderId="0" xfId="0" applyFont="1"/>
    <xf numFmtId="6" fontId="5" fillId="0" borderId="0" xfId="0" applyNumberFormat="1" applyFont="1"/>
    <xf numFmtId="0" fontId="8" fillId="5" borderId="7" xfId="0" applyFont="1" applyFill="1" applyBorder="1"/>
    <xf numFmtId="0" fontId="1" fillId="5" borderId="6" xfId="0" applyFont="1" applyFill="1" applyBorder="1" applyAlignment="1">
      <alignment wrapText="1"/>
    </xf>
    <xf numFmtId="0" fontId="7" fillId="6" borderId="10" xfId="0" applyFont="1" applyFill="1" applyBorder="1" applyAlignment="1">
      <alignment wrapText="1"/>
    </xf>
    <xf numFmtId="0" fontId="7" fillId="6" borderId="11" xfId="0" applyFont="1" applyFill="1" applyBorder="1" applyAlignment="1">
      <alignment wrapText="1"/>
    </xf>
    <xf numFmtId="0" fontId="7" fillId="6" borderId="12" xfId="0" applyFont="1" applyFill="1" applyBorder="1" applyAlignment="1">
      <alignment wrapText="1"/>
    </xf>
    <xf numFmtId="0" fontId="7" fillId="6" borderId="6" xfId="0" applyFont="1" applyFill="1" applyBorder="1" applyAlignment="1">
      <alignment wrapText="1"/>
    </xf>
    <xf numFmtId="6" fontId="10" fillId="0" borderId="1" xfId="0" applyNumberFormat="1" applyFont="1" applyBorder="1" applyAlignment="1">
      <alignment wrapText="1"/>
    </xf>
    <xf numFmtId="0" fontId="8" fillId="2" borderId="7" xfId="0" applyFont="1" applyFill="1" applyBorder="1"/>
    <xf numFmtId="0" fontId="1" fillId="2" borderId="6" xfId="0" applyFont="1" applyFill="1" applyBorder="1" applyAlignment="1">
      <alignment wrapText="1"/>
    </xf>
    <xf numFmtId="0" fontId="7" fillId="3" borderId="10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6" fontId="6" fillId="7" borderId="1" xfId="0" applyNumberFormat="1" applyFont="1" applyFill="1" applyBorder="1" applyAlignment="1">
      <alignment wrapText="1"/>
    </xf>
    <xf numFmtId="0" fontId="5" fillId="8" borderId="0" xfId="0" applyFont="1" applyFill="1"/>
    <xf numFmtId="0" fontId="7" fillId="3" borderId="14" xfId="0" applyFont="1" applyFill="1" applyBorder="1" applyAlignment="1">
      <alignment wrapText="1"/>
    </xf>
    <xf numFmtId="0" fontId="11" fillId="0" borderId="0" xfId="0" applyFont="1"/>
    <xf numFmtId="0" fontId="7" fillId="0" borderId="15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7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165" fontId="0" fillId="0" borderId="0" xfId="3" applyNumberFormat="1" applyFont="1" applyBorder="1"/>
    <xf numFmtId="165" fontId="0" fillId="0" borderId="1" xfId="3" applyNumberFormat="1" applyFont="1" applyBorder="1"/>
    <xf numFmtId="43" fontId="0" fillId="0" borderId="1" xfId="3" applyFont="1" applyBorder="1"/>
    <xf numFmtId="10" fontId="0" fillId="0" borderId="0" xfId="0" applyNumberFormat="1"/>
    <xf numFmtId="9" fontId="0" fillId="0" borderId="1" xfId="0" applyNumberForma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/>
    </xf>
    <xf numFmtId="44" fontId="0" fillId="0" borderId="1" xfId="0" applyNumberFormat="1" applyBorder="1" applyAlignment="1">
      <alignment vertical="top"/>
    </xf>
    <xf numFmtId="44" fontId="5" fillId="0" borderId="0" xfId="0" applyNumberFormat="1" applyFont="1"/>
    <xf numFmtId="0" fontId="12" fillId="0" borderId="1" xfId="0" applyFont="1" applyBorder="1" applyAlignment="1">
      <alignment wrapText="1"/>
    </xf>
    <xf numFmtId="44" fontId="12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2" fontId="0" fillId="0" borderId="0" xfId="0" applyNumberFormat="1"/>
    <xf numFmtId="0" fontId="2" fillId="9" borderId="1" xfId="0" applyFont="1" applyFill="1" applyBorder="1"/>
    <xf numFmtId="0" fontId="13" fillId="3" borderId="1" xfId="0" applyFont="1" applyFill="1" applyBorder="1"/>
    <xf numFmtId="6" fontId="12" fillId="7" borderId="7" xfId="0" applyNumberFormat="1" applyFont="1" applyFill="1" applyBorder="1" applyAlignment="1">
      <alignment wrapText="1"/>
    </xf>
    <xf numFmtId="0" fontId="12" fillId="7" borderId="1" xfId="0" applyFont="1" applyFill="1" applyBorder="1" applyAlignment="1">
      <alignment wrapText="1"/>
    </xf>
    <xf numFmtId="6" fontId="12" fillId="7" borderId="1" xfId="0" applyNumberFormat="1" applyFont="1" applyFill="1" applyBorder="1" applyAlignment="1">
      <alignment wrapText="1"/>
    </xf>
    <xf numFmtId="0" fontId="12" fillId="0" borderId="0" xfId="0" applyFont="1"/>
    <xf numFmtId="0" fontId="12" fillId="0" borderId="1" xfId="0" applyFont="1" applyBorder="1"/>
    <xf numFmtId="0" fontId="14" fillId="0" borderId="1" xfId="0" applyFont="1" applyBorder="1"/>
    <xf numFmtId="10" fontId="12" fillId="0" borderId="1" xfId="0" applyNumberFormat="1" applyFont="1" applyBorder="1"/>
    <xf numFmtId="6" fontId="12" fillId="0" borderId="1" xfId="0" applyNumberFormat="1" applyFont="1" applyBorder="1" applyAlignment="1">
      <alignment wrapText="1"/>
    </xf>
    <xf numFmtId="0" fontId="0" fillId="10" borderId="0" xfId="0" applyFill="1"/>
    <xf numFmtId="2" fontId="0" fillId="0" borderId="1" xfId="0" applyNumberFormat="1" applyBorder="1"/>
    <xf numFmtId="164" fontId="0" fillId="0" borderId="1" xfId="1" applyNumberFormat="1" applyFont="1" applyBorder="1"/>
    <xf numFmtId="165" fontId="0" fillId="0" borderId="1" xfId="0" applyNumberFormat="1" applyBorder="1"/>
    <xf numFmtId="0" fontId="14" fillId="5" borderId="5" xfId="0" applyFont="1" applyFill="1" applyBorder="1" applyAlignment="1">
      <alignment wrapText="1"/>
    </xf>
    <xf numFmtId="0" fontId="14" fillId="6" borderId="3" xfId="0" applyFont="1" applyFill="1" applyBorder="1"/>
    <xf numFmtId="49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vertical="top"/>
    </xf>
    <xf numFmtId="164" fontId="5" fillId="0" borderId="0" xfId="0" applyNumberFormat="1" applyFont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wrapText="1"/>
    </xf>
    <xf numFmtId="6" fontId="14" fillId="0" borderId="9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164" fontId="4" fillId="0" borderId="0" xfId="1" applyNumberFormat="1" applyFont="1" applyBorder="1"/>
    <xf numFmtId="164" fontId="12" fillId="4" borderId="1" xfId="0" applyNumberFormat="1" applyFont="1" applyFill="1" applyBorder="1" applyAlignment="1">
      <alignment wrapText="1"/>
    </xf>
    <xf numFmtId="0" fontId="7" fillId="6" borderId="10" xfId="0" applyFont="1" applyFill="1" applyBorder="1"/>
    <xf numFmtId="0" fontId="5" fillId="0" borderId="1" xfId="0" applyFont="1" applyBorder="1" applyAlignment="1">
      <alignment horizontal="left" wrapText="1"/>
    </xf>
    <xf numFmtId="9" fontId="2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9" borderId="2" xfId="0" applyFont="1" applyFill="1" applyBorder="1" applyAlignment="1">
      <alignment wrapText="1"/>
    </xf>
    <xf numFmtId="0" fontId="15" fillId="0" borderId="1" xfId="0" applyFont="1" applyBorder="1"/>
    <xf numFmtId="43" fontId="15" fillId="0" borderId="1" xfId="0" applyNumberFormat="1" applyFont="1" applyBorder="1" applyAlignment="1">
      <alignment horizontal="center" wrapText="1"/>
    </xf>
    <xf numFmtId="0" fontId="2" fillId="9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9" borderId="16" xfId="0" applyFont="1" applyFill="1" applyBorder="1" applyAlignment="1">
      <alignment wrapText="1"/>
    </xf>
    <xf numFmtId="164" fontId="12" fillId="7" borderId="1" xfId="0" applyNumberFormat="1" applyFont="1" applyFill="1" applyBorder="1" applyAlignment="1">
      <alignment wrapText="1"/>
    </xf>
    <xf numFmtId="9" fontId="16" fillId="0" borderId="1" xfId="0" applyNumberFormat="1" applyFont="1" applyBorder="1"/>
    <xf numFmtId="164" fontId="0" fillId="0" borderId="1" xfId="3" applyNumberFormat="1" applyFont="1" applyFill="1" applyBorder="1"/>
    <xf numFmtId="9" fontId="12" fillId="0" borderId="1" xfId="0" applyNumberFormat="1" applyFont="1" applyBorder="1"/>
    <xf numFmtId="164" fontId="0" fillId="0" borderId="1" xfId="3" applyNumberFormat="1" applyFont="1" applyBorder="1"/>
    <xf numFmtId="0" fontId="0" fillId="0" borderId="17" xfId="0" applyBorder="1" applyAlignment="1">
      <alignment vertical="center" wrapText="1"/>
    </xf>
    <xf numFmtId="165" fontId="0" fillId="0" borderId="0" xfId="0" applyNumberFormat="1"/>
    <xf numFmtId="10" fontId="0" fillId="0" borderId="0" xfId="0" applyNumberFormat="1" applyAlignment="1">
      <alignment wrapText="1"/>
    </xf>
    <xf numFmtId="0" fontId="17" fillId="0" borderId="0" xfId="0" applyFont="1"/>
    <xf numFmtId="164" fontId="12" fillId="0" borderId="0" xfId="0" applyNumberFormat="1" applyFont="1"/>
    <xf numFmtId="6" fontId="12" fillId="0" borderId="0" xfId="0" applyNumberFormat="1" applyFont="1"/>
    <xf numFmtId="0" fontId="7" fillId="0" borderId="18" xfId="0" applyFont="1" applyBorder="1" applyAlignment="1">
      <alignment wrapText="1"/>
    </xf>
    <xf numFmtId="164" fontId="14" fillId="0" borderId="8" xfId="0" applyNumberFormat="1" applyFont="1" applyBorder="1" applyAlignment="1">
      <alignment wrapText="1"/>
    </xf>
    <xf numFmtId="164" fontId="14" fillId="0" borderId="9" xfId="0" applyNumberFormat="1" applyFont="1" applyBorder="1" applyAlignment="1">
      <alignment wrapText="1"/>
    </xf>
    <xf numFmtId="164" fontId="14" fillId="0" borderId="19" xfId="0" applyNumberFormat="1" applyFont="1" applyBorder="1" applyAlignment="1">
      <alignment wrapText="1"/>
    </xf>
    <xf numFmtId="164" fontId="14" fillId="0" borderId="13" xfId="0" applyNumberFormat="1" applyFont="1" applyBorder="1" applyAlignment="1">
      <alignment wrapText="1"/>
    </xf>
    <xf numFmtId="44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wrapText="1"/>
    </xf>
    <xf numFmtId="0" fontId="12" fillId="4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2" fillId="4" borderId="2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 indent="2"/>
    </xf>
    <xf numFmtId="0" fontId="14" fillId="0" borderId="8" xfId="0" applyFont="1" applyBorder="1" applyAlignment="1">
      <alignment wrapText="1"/>
    </xf>
    <xf numFmtId="165" fontId="0" fillId="0" borderId="1" xfId="3" applyNumberFormat="1" applyFont="1" applyFill="1" applyBorder="1"/>
    <xf numFmtId="0" fontId="0" fillId="0" borderId="2" xfId="0" applyBorder="1"/>
    <xf numFmtId="164" fontId="12" fillId="7" borderId="0" xfId="0" applyNumberFormat="1" applyFont="1" applyFill="1" applyAlignment="1">
      <alignment wrapText="1"/>
    </xf>
    <xf numFmtId="164" fontId="12" fillId="7" borderId="8" xfId="0" applyNumberFormat="1" applyFont="1" applyFill="1" applyBorder="1" applyAlignment="1">
      <alignment wrapText="1"/>
    </xf>
    <xf numFmtId="164" fontId="12" fillId="7" borderId="9" xfId="0" applyNumberFormat="1" applyFont="1" applyFill="1" applyBorder="1" applyAlignment="1">
      <alignment wrapText="1"/>
    </xf>
    <xf numFmtId="164" fontId="12" fillId="7" borderId="19" xfId="0" applyNumberFormat="1" applyFont="1" applyFill="1" applyBorder="1" applyAlignment="1">
      <alignment wrapText="1"/>
    </xf>
    <xf numFmtId="164" fontId="12" fillId="7" borderId="13" xfId="0" applyNumberFormat="1" applyFont="1" applyFill="1" applyBorder="1" applyAlignment="1">
      <alignment wrapText="1"/>
    </xf>
    <xf numFmtId="44" fontId="0" fillId="0" borderId="0" xfId="0" applyNumberFormat="1"/>
    <xf numFmtId="0" fontId="3" fillId="0" borderId="0" xfId="0" applyFont="1" applyAlignment="1">
      <alignment horizontal="left" wrapText="1"/>
    </xf>
    <xf numFmtId="9" fontId="12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1:AL29"/>
  <sheetViews>
    <sheetView showGridLines="0" tabSelected="1" zoomScale="83" zoomScaleNormal="85" workbookViewId="0">
      <selection activeCell="L18" sqref="L1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49.85546875" customWidth="1"/>
    <col min="4" max="4" width="17.7109375" style="4" customWidth="1"/>
    <col min="5" max="5" width="17.85546875" style="2" customWidth="1"/>
    <col min="6" max="6" width="18.5703125" customWidth="1"/>
    <col min="7" max="7" width="14.85546875" customWidth="1"/>
    <col min="8" max="8" width="16.7109375" style="2" customWidth="1"/>
    <col min="9" max="9" width="3.5703125" style="5" customWidth="1"/>
    <col min="10" max="10" width="20.28515625" customWidth="1"/>
    <col min="12" max="12" width="17.140625" customWidth="1"/>
  </cols>
  <sheetData>
    <row r="1" spans="2:38" ht="15" customHeight="1" x14ac:dyDescent="0.25">
      <c r="B1" t="s">
        <v>115</v>
      </c>
    </row>
    <row r="2" spans="2:38" ht="23.25" x14ac:dyDescent="0.35">
      <c r="B2" s="19" t="s">
        <v>103</v>
      </c>
    </row>
    <row r="3" spans="2:38" ht="26.45" customHeight="1" x14ac:dyDescent="0.25">
      <c r="B3" s="127"/>
      <c r="C3" s="127"/>
      <c r="D3" s="127"/>
      <c r="E3" s="127"/>
      <c r="F3" s="127"/>
      <c r="G3" s="127"/>
      <c r="H3" s="127"/>
      <c r="I3" s="127"/>
      <c r="J3" s="127"/>
    </row>
    <row r="4" spans="2:38" ht="15" customHeight="1" x14ac:dyDescent="0.25">
      <c r="B4" s="3"/>
    </row>
    <row r="5" spans="2:38" ht="18.75" x14ac:dyDescent="0.3">
      <c r="B5" s="28" t="s">
        <v>0</v>
      </c>
      <c r="C5" s="29"/>
      <c r="D5" s="29"/>
      <c r="E5" s="29"/>
      <c r="F5" s="29"/>
      <c r="G5" s="29"/>
      <c r="H5" s="29"/>
      <c r="I5" s="29"/>
      <c r="J5" s="41"/>
    </row>
    <row r="6" spans="2:38" ht="17.100000000000001" customHeight="1" x14ac:dyDescent="0.25">
      <c r="B6" s="30" t="s">
        <v>1</v>
      </c>
      <c r="C6" s="30" t="s">
        <v>2</v>
      </c>
      <c r="D6" s="30" t="s">
        <v>3</v>
      </c>
      <c r="E6" s="31" t="s">
        <v>4</v>
      </c>
      <c r="F6" s="31" t="s">
        <v>5</v>
      </c>
      <c r="G6" s="31" t="s">
        <v>6</v>
      </c>
      <c r="H6" s="32" t="s">
        <v>7</v>
      </c>
      <c r="I6" s="33"/>
      <c r="J6" s="42" t="s">
        <v>8</v>
      </c>
    </row>
    <row r="7" spans="2:38" s="3" customFormat="1" x14ac:dyDescent="0.25">
      <c r="B7" s="13" t="s">
        <v>9</v>
      </c>
      <c r="C7" s="34" t="s">
        <v>93</v>
      </c>
      <c r="D7" s="95">
        <f>'1-Smart Growth Acceleration'!D13+'4-Bid Specs + Group Purchasing'!D15+'2-Clean Mobility'!D18+'3-NYTVIP-MunicipalTrack'!D17</f>
        <v>169538.85</v>
      </c>
      <c r="E7" s="95">
        <f>'1-Smart Growth Acceleration'!E13+'4-Bid Specs + Group Purchasing'!E15+'2-Clean Mobility'!E18+'3-NYTVIP-MunicipalTrack'!E17</f>
        <v>174625.01550000001</v>
      </c>
      <c r="F7" s="95">
        <f>'1-Smart Growth Acceleration'!F13+'4-Bid Specs + Group Purchasing'!F15+'2-Clean Mobility'!F18+'3-NYTVIP-MunicipalTrack'!F17</f>
        <v>179863.76596500003</v>
      </c>
      <c r="G7" s="95">
        <f>'1-Smart Growth Acceleration'!G13+'4-Bid Specs + Group Purchasing'!G15+'2-Clean Mobility'!G18+'3-NYTVIP-MunicipalTrack'!G17</f>
        <v>185259.67894395001</v>
      </c>
      <c r="H7" s="95">
        <f>'1-Smart Growth Acceleration'!H13+'4-Bid Specs + Group Purchasing'!H15+'2-Clean Mobility'!H18+'3-NYTVIP-MunicipalTrack'!H17</f>
        <v>190817.46931226854</v>
      </c>
      <c r="I7" s="36"/>
      <c r="J7" s="95">
        <f>SUM(D7:I7)</f>
        <v>900104.77972121863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x14ac:dyDescent="0.25">
      <c r="B8" s="14"/>
      <c r="C8" s="34" t="s">
        <v>11</v>
      </c>
      <c r="D8" s="95">
        <f>'1-Smart Growth Acceleration'!D20+'4-Bid Specs + Group Purchasing'!D24+'2-Clean Mobility'!D30+'3-NYTVIP-MunicipalTrack'!D28</f>
        <v>116727.49822499999</v>
      </c>
      <c r="E8" s="95">
        <f>'1-Smart Growth Acceleration'!E20+'4-Bid Specs + Group Purchasing'!E24+'2-Clean Mobility'!E30+'3-NYTVIP-MunicipalTrack'!E28</f>
        <v>120229.32317175</v>
      </c>
      <c r="F8" s="95">
        <f>'1-Smart Growth Acceleration'!F20+'4-Bid Specs + Group Purchasing'!F24+'2-Clean Mobility'!F30+'3-NYTVIP-MunicipalTrack'!F28</f>
        <v>123836.20286690252</v>
      </c>
      <c r="G8" s="95">
        <f>'1-Smart Growth Acceleration'!G20+'4-Bid Specs + Group Purchasing'!G24+'2-Clean Mobility'!G30+'3-NYTVIP-MunicipalTrack'!G28</f>
        <v>127551.28895290961</v>
      </c>
      <c r="H8" s="95">
        <f>'1-Smart Growth Acceleration'!H20+'4-Bid Specs + Group Purchasing'!H24+'2-Clean Mobility'!H30+'3-NYTVIP-MunicipalTrack'!H28</f>
        <v>131377.82762149689</v>
      </c>
      <c r="I8" s="36"/>
      <c r="J8" s="95">
        <f t="shared" ref="J8:J13" si="0">SUM(D8:I8)</f>
        <v>619722.14083805901</v>
      </c>
    </row>
    <row r="9" spans="2:38" x14ac:dyDescent="0.25">
      <c r="B9" s="14"/>
      <c r="C9" s="34" t="s">
        <v>12</v>
      </c>
      <c r="D9" s="95">
        <f>'1-Smart Growth Acceleration'!D23+'4-Bid Specs + Group Purchasing'!D27+'2-Clean Mobility'!D33+'3-NYTVIP-MunicipalTrack'!D31</f>
        <v>0</v>
      </c>
      <c r="E9" s="95">
        <f>'1-Smart Growth Acceleration'!E23+'4-Bid Specs + Group Purchasing'!E27+'2-Clean Mobility'!E33+'3-NYTVIP-MunicipalTrack'!E31</f>
        <v>0</v>
      </c>
      <c r="F9" s="95">
        <f>'1-Smart Growth Acceleration'!F23+'4-Bid Specs + Group Purchasing'!F27+'2-Clean Mobility'!F33+'3-NYTVIP-MunicipalTrack'!F31</f>
        <v>0</v>
      </c>
      <c r="G9" s="95">
        <f>'1-Smart Growth Acceleration'!G23+'4-Bid Specs + Group Purchasing'!G27+'2-Clean Mobility'!G33+'3-NYTVIP-MunicipalTrack'!G31</f>
        <v>0</v>
      </c>
      <c r="H9" s="95">
        <f>'1-Smart Growth Acceleration'!H23+'4-Bid Specs + Group Purchasing'!H27+'2-Clean Mobility'!H33+'3-NYTVIP-MunicipalTrack'!H31</f>
        <v>0</v>
      </c>
      <c r="I9" s="36"/>
      <c r="J9" s="95">
        <f t="shared" si="0"/>
        <v>0</v>
      </c>
    </row>
    <row r="10" spans="2:38" x14ac:dyDescent="0.25">
      <c r="B10" s="14"/>
      <c r="C10" s="34" t="s">
        <v>13</v>
      </c>
      <c r="D10" s="95">
        <f>'1-Smart Growth Acceleration'!D26+'4-Bid Specs + Group Purchasing'!D30+'2-Clean Mobility'!D36+'3-NYTVIP-MunicipalTrack'!D34</f>
        <v>0</v>
      </c>
      <c r="E10" s="95">
        <f>'1-Smart Growth Acceleration'!E26+'4-Bid Specs + Group Purchasing'!E30+'2-Clean Mobility'!E36+'3-NYTVIP-MunicipalTrack'!E34</f>
        <v>0</v>
      </c>
      <c r="F10" s="95">
        <f>'1-Smart Growth Acceleration'!F26+'4-Bid Specs + Group Purchasing'!F30+'2-Clean Mobility'!F36+'3-NYTVIP-MunicipalTrack'!F34</f>
        <v>0</v>
      </c>
      <c r="G10" s="95">
        <f>'1-Smart Growth Acceleration'!G26+'4-Bid Specs + Group Purchasing'!G30+'2-Clean Mobility'!G36+'3-NYTVIP-MunicipalTrack'!G34</f>
        <v>0</v>
      </c>
      <c r="H10" s="95">
        <f>'1-Smart Growth Acceleration'!H26+'4-Bid Specs + Group Purchasing'!H30+'2-Clean Mobility'!H36+'3-NYTVIP-MunicipalTrack'!H34</f>
        <v>0</v>
      </c>
      <c r="I10" s="36"/>
      <c r="J10" s="95">
        <f t="shared" si="0"/>
        <v>0</v>
      </c>
    </row>
    <row r="11" spans="2:38" x14ac:dyDescent="0.25">
      <c r="B11" s="14"/>
      <c r="C11" s="34" t="s">
        <v>14</v>
      </c>
      <c r="D11" s="95">
        <f>'1-Smart Growth Acceleration'!D29+'4-Bid Specs + Group Purchasing'!D33+'2-Clean Mobility'!D39+'3-NYTVIP-MunicipalTrack'!D37</f>
        <v>0</v>
      </c>
      <c r="E11" s="95">
        <f>'1-Smart Growth Acceleration'!E29+'4-Bid Specs + Group Purchasing'!E33+'2-Clean Mobility'!E39+'3-NYTVIP-MunicipalTrack'!E37</f>
        <v>0</v>
      </c>
      <c r="F11" s="95">
        <f>'1-Smart Growth Acceleration'!F29+'4-Bid Specs + Group Purchasing'!F33+'2-Clean Mobility'!F39+'3-NYTVIP-MunicipalTrack'!F37</f>
        <v>0</v>
      </c>
      <c r="G11" s="95">
        <f>'1-Smart Growth Acceleration'!G29+'4-Bid Specs + Group Purchasing'!G33+'2-Clean Mobility'!G39+'3-NYTVIP-MunicipalTrack'!G37</f>
        <v>0</v>
      </c>
      <c r="H11" s="95">
        <f>'1-Smart Growth Acceleration'!H29+'4-Bid Specs + Group Purchasing'!H33+'2-Clean Mobility'!H39+'3-NYTVIP-MunicipalTrack'!H37</f>
        <v>0</v>
      </c>
      <c r="I11" s="36"/>
      <c r="J11" s="95">
        <f t="shared" si="0"/>
        <v>0</v>
      </c>
    </row>
    <row r="12" spans="2:38" x14ac:dyDescent="0.25">
      <c r="B12" s="14"/>
      <c r="C12" s="34" t="s">
        <v>15</v>
      </c>
      <c r="D12" s="95">
        <f>'1-Smart Growth Acceleration'!D34+'4-Bid Specs + Group Purchasing'!D39+'2-Clean Mobility'!D45+'3-NYTVIP-MunicipalTrack'!D43</f>
        <v>2284775</v>
      </c>
      <c r="E12" s="95">
        <f>'1-Smart Growth Acceleration'!E34+'4-Bid Specs + Group Purchasing'!E39+'2-Clean Mobility'!E45+'3-NYTVIP-MunicipalTrack'!E43</f>
        <v>2301526.25</v>
      </c>
      <c r="F12" s="95">
        <f>'1-Smart Growth Acceleration'!F34+'4-Bid Specs + Group Purchasing'!F39+'2-Clean Mobility'!F45+'3-NYTVIP-MunicipalTrack'!F43</f>
        <v>2333612.0375000001</v>
      </c>
      <c r="G12" s="95">
        <f>'1-Smart Growth Acceleration'!G34+'4-Bid Specs + Group Purchasing'!G39+'2-Clean Mobility'!G45+'3-NYTVIP-MunicipalTrack'!G43</f>
        <v>2366660.3986249999</v>
      </c>
      <c r="H12" s="95">
        <f>'1-Smart Growth Acceleration'!H34+'4-Bid Specs + Group Purchasing'!H39+'2-Clean Mobility'!H45+'3-NYTVIP-MunicipalTrack'!H43</f>
        <v>2407900.2105837502</v>
      </c>
      <c r="I12" s="36"/>
      <c r="J12" s="95">
        <f t="shared" si="0"/>
        <v>11694473.896708749</v>
      </c>
    </row>
    <row r="13" spans="2:38" x14ac:dyDescent="0.25">
      <c r="B13" s="14"/>
      <c r="C13" s="7" t="s">
        <v>94</v>
      </c>
      <c r="D13" s="79">
        <f>'1-Smart Growth Acceleration'!D38+'4-Bid Specs + Group Purchasing'!D42+'2-Clean Mobility'!D49+'3-NYTVIP-MunicipalTrack'!D47</f>
        <v>29120000</v>
      </c>
      <c r="E13" s="79">
        <f>'1-Smart Growth Acceleration'!E38+'4-Bid Specs + Group Purchasing'!E42+'2-Clean Mobility'!E49+'3-NYTVIP-MunicipalTrack'!E47</f>
        <v>29120000</v>
      </c>
      <c r="F13" s="79">
        <f>'1-Smart Growth Acceleration'!F38+'4-Bid Specs + Group Purchasing'!F42+'2-Clean Mobility'!F49+'3-NYTVIP-MunicipalTrack'!F47</f>
        <v>12200000</v>
      </c>
      <c r="G13" s="79">
        <f>'1-Smart Growth Acceleration'!G38+'4-Bid Specs + Group Purchasing'!G42+'2-Clean Mobility'!G49+'3-NYTVIP-MunicipalTrack'!G47</f>
        <v>7200000</v>
      </c>
      <c r="H13" s="79">
        <f>'1-Smart Growth Acceleration'!H38+'4-Bid Specs + Group Purchasing'!H42+'2-Clean Mobility'!H49+'3-NYTVIP-MunicipalTrack'!H47</f>
        <v>7200000</v>
      </c>
      <c r="J13" s="95">
        <f t="shared" si="0"/>
        <v>84840000</v>
      </c>
    </row>
    <row r="14" spans="2:38" x14ac:dyDescent="0.25">
      <c r="B14" s="15"/>
      <c r="C14" s="6" t="s">
        <v>17</v>
      </c>
      <c r="D14" s="83">
        <f>SUM(D7:D13)</f>
        <v>31691041.348225001</v>
      </c>
      <c r="E14" s="83">
        <f t="shared" ref="E14:J14" si="1">SUM(E7:E13)</f>
        <v>31716380.588671751</v>
      </c>
      <c r="F14" s="83">
        <f t="shared" si="1"/>
        <v>14837312.006331902</v>
      </c>
      <c r="G14" s="83">
        <f t="shared" si="1"/>
        <v>9879471.3665218595</v>
      </c>
      <c r="H14" s="83">
        <f t="shared" si="1"/>
        <v>9930095.5075175166</v>
      </c>
      <c r="I14" s="64"/>
      <c r="J14" s="83">
        <f t="shared" si="1"/>
        <v>98054300.817268029</v>
      </c>
    </row>
    <row r="15" spans="2:38" x14ac:dyDescent="0.25">
      <c r="B15" s="40"/>
      <c r="D15" s="64"/>
      <c r="E15" s="64"/>
      <c r="F15" s="64"/>
      <c r="G15" s="64"/>
      <c r="H15" s="64"/>
      <c r="I15" s="64"/>
      <c r="J15" s="65" t="s">
        <v>18</v>
      </c>
    </row>
    <row r="16" spans="2:38" ht="20.100000000000001" customHeight="1" x14ac:dyDescent="0.25">
      <c r="B16" s="40"/>
      <c r="C16" s="6" t="s">
        <v>102</v>
      </c>
      <c r="D16" s="83">
        <f>'1-Smart Growth Acceleration'!D45+'4-Bid Specs + Group Purchasing'!D49+'2-Clean Mobility'!D56+'3-NYTVIP-MunicipalTrack'!D54</f>
        <v>480404.83392790949</v>
      </c>
      <c r="E16" s="83">
        <f>'1-Smart Growth Acceleration'!E45+'4-Bid Specs + Group Purchasing'!E49+'2-Clean Mobility'!E56+'3-NYTVIP-MunicipalTrack'!E54</f>
        <v>485470.52124574676</v>
      </c>
      <c r="F16" s="83">
        <f>'1-Smart Growth Acceleration'!F45+'4-Bid Specs + Group Purchasing'!F49+'2-Clean Mobility'!F56+'3-NYTVIP-MunicipalTrack'!F54</f>
        <v>319945.98238311918</v>
      </c>
      <c r="G16" s="83">
        <f>'1-Smart Growth Acceleration'!G45+'4-Bid Specs + Group Purchasing'!G49+'2-Clean Mobility'!G56+'3-NYTVIP-MunicipalTrack'!G54</f>
        <v>274974.46735461277</v>
      </c>
      <c r="H16" s="83">
        <f>'1-Smart Growth Acceleration'!H45+'4-Bid Specs + Group Purchasing'!H49+'2-Clean Mobility'!H56+'3-NYTVIP-MunicipalTrack'!H54</f>
        <v>280741.52687525121</v>
      </c>
      <c r="I16" s="64"/>
      <c r="J16" s="83">
        <f>SUM(D16:H16)</f>
        <v>1841537.3317866393</v>
      </c>
    </row>
    <row r="17" spans="2:12" ht="15.75" thickBot="1" x14ac:dyDescent="0.3">
      <c r="B17" s="40"/>
      <c r="D17"/>
      <c r="E17"/>
      <c r="H17"/>
      <c r="I17"/>
      <c r="J17" s="120" t="s">
        <v>18</v>
      </c>
    </row>
    <row r="18" spans="2:12" ht="30.95" customHeight="1" thickBot="1" x14ac:dyDescent="0.3">
      <c r="B18" s="39" t="s">
        <v>20</v>
      </c>
      <c r="C18" s="106"/>
      <c r="D18" s="122">
        <f>D14+D16</f>
        <v>32171446.182152912</v>
      </c>
      <c r="E18" s="123">
        <f>E14+E16</f>
        <v>32201851.109917499</v>
      </c>
      <c r="F18" s="123">
        <f>F14+F16</f>
        <v>15157257.988715021</v>
      </c>
      <c r="G18" s="123">
        <f>G14+G16</f>
        <v>10154445.833876472</v>
      </c>
      <c r="H18" s="124">
        <f>H14+H16</f>
        <v>10210837.034392769</v>
      </c>
      <c r="I18" s="121"/>
      <c r="J18" s="125">
        <f>J14+J16</f>
        <v>99895838.149054661</v>
      </c>
      <c r="K18" s="103" t="str">
        <f>IF(J18&gt;99999999, "ERROR - Budget Exceeds Maximum", " ")</f>
        <v xml:space="preserve"> </v>
      </c>
      <c r="L18" s="126"/>
    </row>
    <row r="19" spans="2:12" s="1" customFormat="1" x14ac:dyDescent="0.25">
      <c r="B19" s="4"/>
      <c r="C19"/>
      <c r="D19" s="4"/>
      <c r="E19" s="2"/>
      <c r="F19"/>
      <c r="G19"/>
      <c r="H19" s="2"/>
      <c r="I19" s="5"/>
      <c r="J19"/>
    </row>
    <row r="20" spans="2:12" ht="15" customHeight="1" x14ac:dyDescent="0.25">
      <c r="B20" s="4"/>
    </row>
    <row r="21" spans="2:12" ht="15" customHeight="1" x14ac:dyDescent="0.3">
      <c r="B21" s="28" t="s">
        <v>21</v>
      </c>
      <c r="C21" s="29"/>
      <c r="D21" s="29"/>
      <c r="E21" s="129"/>
      <c r="F21" s="129"/>
      <c r="H21"/>
      <c r="I21"/>
    </row>
    <row r="22" spans="2:12" ht="29.1" customHeight="1" x14ac:dyDescent="0.25">
      <c r="B22" s="30" t="s">
        <v>22</v>
      </c>
      <c r="C22" s="30" t="s">
        <v>23</v>
      </c>
      <c r="D22" s="37" t="s">
        <v>24</v>
      </c>
      <c r="E22" s="130" t="s">
        <v>25</v>
      </c>
      <c r="F22" s="130"/>
      <c r="H22"/>
      <c r="I22"/>
    </row>
    <row r="23" spans="2:12" ht="15" customHeight="1" x14ac:dyDescent="0.25">
      <c r="B23" s="62">
        <v>1</v>
      </c>
      <c r="C23" s="62" t="str">
        <f>'1-Smart Growth Acceleration'!C4</f>
        <v>Smart Growth Acceleration Program</v>
      </c>
      <c r="D23" s="61">
        <f>'1-Smart Growth Acceleration'!J47</f>
        <v>17850412.700809125</v>
      </c>
      <c r="E23" s="128">
        <f>D23/D$28</f>
        <v>0.1786902540842043</v>
      </c>
      <c r="F23" s="128"/>
      <c r="H23"/>
      <c r="I23"/>
    </row>
    <row r="24" spans="2:12" ht="15" customHeight="1" x14ac:dyDescent="0.25">
      <c r="B24" s="62">
        <v>2</v>
      </c>
      <c r="C24" s="63" t="str">
        <f>'2-Clean Mobility'!C4</f>
        <v>Clean Mobility Program Expansion</v>
      </c>
      <c r="D24" s="61">
        <f>'2-Clean Mobility'!J58</f>
        <v>38616717.882421769</v>
      </c>
      <c r="E24" s="128">
        <f t="shared" ref="E24:E25" si="2">D24/D$28</f>
        <v>0.38656983712176013</v>
      </c>
      <c r="F24" s="128"/>
      <c r="H24"/>
      <c r="I24"/>
    </row>
    <row r="25" spans="2:12" ht="15" customHeight="1" x14ac:dyDescent="0.25">
      <c r="B25" s="62">
        <v>3</v>
      </c>
      <c r="C25" s="63" t="str">
        <f>'3-NYTVIP-MunicipalTrack'!C4</f>
        <v>Truck Voucher Incentive Program - Municipal Track</v>
      </c>
      <c r="D25" s="61">
        <f>'3-NYTVIP-MunicipalTrack'!J56</f>
        <v>37548679.347266756</v>
      </c>
      <c r="E25" s="128">
        <f t="shared" si="2"/>
        <v>0.37587831528316873</v>
      </c>
      <c r="F25" s="128"/>
      <c r="H25"/>
      <c r="I25"/>
    </row>
    <row r="26" spans="2:12" ht="15" customHeight="1" x14ac:dyDescent="0.25">
      <c r="B26" s="62">
        <v>4</v>
      </c>
      <c r="C26" s="63" t="str">
        <f>'4-Bid Specs + Group Purchasing'!C4</f>
        <v>Bid Specs and Group Purchasing Program</v>
      </c>
      <c r="D26" s="61">
        <f>'4-Bid Specs + Group Purchasing'!J51</f>
        <v>5880028.2185570076</v>
      </c>
      <c r="E26" s="128">
        <f>D26/D$28</f>
        <v>5.8861593510866922E-2</v>
      </c>
      <c r="F26" s="128"/>
      <c r="H26"/>
      <c r="I26"/>
    </row>
    <row r="27" spans="2:12" ht="15" customHeight="1" x14ac:dyDescent="0.25">
      <c r="B27" s="34"/>
      <c r="C27" s="35"/>
      <c r="D27" s="61"/>
      <c r="E27" s="128"/>
      <c r="F27" s="128"/>
      <c r="H27"/>
      <c r="I27"/>
    </row>
    <row r="28" spans="2:12" ht="15" customHeight="1" x14ac:dyDescent="0.25">
      <c r="B28" s="34" t="s">
        <v>26</v>
      </c>
      <c r="C28" s="35"/>
      <c r="D28" s="61">
        <f>SUM(D23:D27)</f>
        <v>99895838.149054646</v>
      </c>
      <c r="E28" s="128">
        <f t="shared" ref="E28" si="3">SUM(E23:E27)</f>
        <v>1</v>
      </c>
      <c r="F28" s="128"/>
      <c r="H28"/>
      <c r="I28"/>
    </row>
    <row r="29" spans="2:12" ht="15" customHeight="1" x14ac:dyDescent="0.25">
      <c r="H29"/>
      <c r="I29"/>
    </row>
  </sheetData>
  <sheetProtection algorithmName="SHA-512" hashValue="HO8fTC/An9zfae02aX6ocDs3jUUeceoe9Wu59liB9HqWD+9NwhHM/SeiXtgRDDyRiT3zXF3v/wdWIC0V8zLpOg==" saltValue="oYUoq3uO2FGYM+Cvt1BQXg==" spinCount="100000" sheet="1" objects="1" scenarios="1"/>
  <mergeCells count="9">
    <mergeCell ref="B3:J3"/>
    <mergeCell ref="E27:F27"/>
    <mergeCell ref="E28:F28"/>
    <mergeCell ref="E21:F21"/>
    <mergeCell ref="E22:F22"/>
    <mergeCell ref="E23:F23"/>
    <mergeCell ref="E26:F26"/>
    <mergeCell ref="E24:F24"/>
    <mergeCell ref="E25:F25"/>
  </mergeCells>
  <pageMargins left="0.7" right="0.7" top="0.75" bottom="0.75" header="0.3" footer="0.3"/>
  <pageSetup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1:AI62"/>
  <sheetViews>
    <sheetView showGridLines="0" zoomScale="85" zoomScaleNormal="85" workbookViewId="0">
      <selection activeCell="C10" sqref="C10"/>
    </sheetView>
  </sheetViews>
  <sheetFormatPr defaultColWidth="9.140625" defaultRowHeight="15" x14ac:dyDescent="0.25"/>
  <cols>
    <col min="1" max="1" width="3.140625" customWidth="1"/>
    <col min="2" max="2" width="12.7109375" customWidth="1"/>
    <col min="3" max="3" width="60.7109375" customWidth="1"/>
    <col min="4" max="4" width="12.7109375" style="4" customWidth="1"/>
    <col min="5" max="5" width="12.7109375" style="2" customWidth="1"/>
    <col min="6" max="7" width="12.7109375" customWidth="1"/>
    <col min="8" max="8" width="12.7109375" style="2" customWidth="1"/>
    <col min="9" max="9" width="1.7109375" style="5" customWidth="1"/>
    <col min="10" max="10" width="12.7109375" style="64" customWidth="1"/>
    <col min="11" max="11" width="12.7109375" customWidth="1"/>
    <col min="12" max="12" width="22.85546875" hidden="1" customWidth="1"/>
    <col min="13" max="13" width="21" hidden="1" customWidth="1"/>
    <col min="14" max="14" width="10.28515625" hidden="1" customWidth="1"/>
  </cols>
  <sheetData>
    <row r="1" spans="2:35" x14ac:dyDescent="0.25">
      <c r="B1" t="s">
        <v>116</v>
      </c>
    </row>
    <row r="2" spans="2:35" ht="23.25" x14ac:dyDescent="0.35">
      <c r="B2" s="19" t="s">
        <v>104</v>
      </c>
    </row>
    <row r="3" spans="2:35" x14ac:dyDescent="0.25">
      <c r="B3" s="3"/>
    </row>
    <row r="4" spans="2:35" ht="18.75" x14ac:dyDescent="0.3">
      <c r="B4" s="60" t="s">
        <v>27</v>
      </c>
      <c r="C4" s="60" t="s">
        <v>89</v>
      </c>
    </row>
    <row r="5" spans="2:35" ht="18.75" x14ac:dyDescent="0.3">
      <c r="B5" s="21" t="s">
        <v>0</v>
      </c>
      <c r="C5" s="22"/>
      <c r="D5" s="22"/>
      <c r="E5" s="22"/>
      <c r="F5" s="22"/>
      <c r="G5" s="22"/>
      <c r="H5" s="22"/>
      <c r="I5" s="22"/>
      <c r="J5" s="73"/>
      <c r="L5" s="10" t="s">
        <v>28</v>
      </c>
      <c r="M5" s="10" t="s">
        <v>29</v>
      </c>
      <c r="N5" s="10" t="s">
        <v>30</v>
      </c>
    </row>
    <row r="6" spans="2:35" ht="15" customHeight="1" x14ac:dyDescent="0.25">
      <c r="B6" s="23" t="s">
        <v>1</v>
      </c>
      <c r="C6" s="23" t="s">
        <v>2</v>
      </c>
      <c r="D6" s="23" t="s">
        <v>3</v>
      </c>
      <c r="E6" s="24" t="s">
        <v>4</v>
      </c>
      <c r="F6" s="24" t="s">
        <v>5</v>
      </c>
      <c r="G6" s="24" t="s">
        <v>6</v>
      </c>
      <c r="H6" s="25" t="s">
        <v>7</v>
      </c>
      <c r="I6" s="26"/>
      <c r="J6" s="74" t="s">
        <v>8</v>
      </c>
      <c r="L6" s="11" t="s">
        <v>31</v>
      </c>
      <c r="M6" s="47">
        <v>15000000</v>
      </c>
      <c r="N6" s="11">
        <v>3</v>
      </c>
    </row>
    <row r="7" spans="2:35" s="3" customFormat="1" x14ac:dyDescent="0.25">
      <c r="B7" s="131" t="s">
        <v>9</v>
      </c>
      <c r="C7" s="17" t="s">
        <v>32</v>
      </c>
      <c r="D7" s="7" t="s">
        <v>33</v>
      </c>
      <c r="E7" s="7" t="s">
        <v>33</v>
      </c>
      <c r="F7" s="7" t="s">
        <v>33</v>
      </c>
      <c r="G7" s="7"/>
      <c r="H7" s="7" t="s">
        <v>33</v>
      </c>
      <c r="I7" s="5"/>
      <c r="J7" s="65" t="s">
        <v>33</v>
      </c>
      <c r="K7"/>
      <c r="L7" s="11" t="s">
        <v>34</v>
      </c>
      <c r="M7" s="47">
        <v>2000000</v>
      </c>
      <c r="N7" s="11">
        <v>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2:35" s="3" customFormat="1" x14ac:dyDescent="0.25">
      <c r="B8" s="132"/>
      <c r="C8" s="7" t="str">
        <f>CONCATENATE('Reference- Personnel&amp;Staff Aug'!H6, " at $",'Reference- Personnel&amp;Staff Aug'!C21,"/yr, ",'Reference- Personnel&amp;Staff Aug'!C6," FTE with salary increase")</f>
        <v>Program Manager at $123600/yr, 0.02 FTE with salary increase</v>
      </c>
      <c r="D8" s="76">
        <f>'Reference- Personnel&amp;Staff Aug'!$C21*'Reference- Personnel&amp;Staff Aug'!$C6</f>
        <v>2472</v>
      </c>
      <c r="E8" s="76">
        <f>D8*'Reference- Personnel&amp;Staff Aug'!$D$21</f>
        <v>2546.16</v>
      </c>
      <c r="F8" s="76">
        <f>E8*'Reference- Personnel&amp;Staff Aug'!$D$21</f>
        <v>2622.5448000000001</v>
      </c>
      <c r="G8" s="76">
        <f>F8*'Reference- Personnel&amp;Staff Aug'!$D$21</f>
        <v>2701.2211440000001</v>
      </c>
      <c r="H8" s="76">
        <f>G8*'Reference- Personnel&amp;Staff Aug'!$D$21</f>
        <v>2782.2577783199999</v>
      </c>
      <c r="I8" s="54"/>
      <c r="J8" s="78">
        <f>SUM(D8:H8)</f>
        <v>13124.183722319998</v>
      </c>
      <c r="K8"/>
      <c r="L8"/>
      <c r="M8" s="46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2:35" s="3" customFormat="1" x14ac:dyDescent="0.25">
      <c r="B9" s="51"/>
      <c r="C9" s="7" t="str">
        <f>CONCATENATE('Reference- Personnel&amp;Staff Aug'!H9, " at $",'Reference- Personnel&amp;Staff Aug'!C24,"/yr, ",'Reference- Personnel&amp;Staff Aug'!C9," FTE with salary increase")</f>
        <v>Project Manager at $151674/yr, 0.01 FTE with salary increase</v>
      </c>
      <c r="D9" s="76">
        <f>'Reference- Personnel&amp;Staff Aug'!$C24*'Reference- Personnel&amp;Staff Aug'!$C9</f>
        <v>1516.74</v>
      </c>
      <c r="E9" s="76">
        <f>D9*'Reference- Personnel&amp;Staff Aug'!$D$21</f>
        <v>1562.2422000000001</v>
      </c>
      <c r="F9" s="76">
        <f>E9*'Reference- Personnel&amp;Staff Aug'!$D$21</f>
        <v>1609.1094660000001</v>
      </c>
      <c r="G9" s="76">
        <f>F9*'Reference- Personnel&amp;Staff Aug'!$D$21</f>
        <v>1657.3827499800002</v>
      </c>
      <c r="H9" s="76">
        <f>G9*'Reference- Personnel&amp;Staff Aug'!$D$21</f>
        <v>1707.1042324794003</v>
      </c>
      <c r="I9" s="54"/>
      <c r="J9" s="78">
        <f t="shared" ref="J9:J11" si="0">SUM(D9:H9)</f>
        <v>8052.5786484594009</v>
      </c>
      <c r="K9"/>
      <c r="L9"/>
      <c r="M9" s="46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2:35" s="3" customFormat="1" x14ac:dyDescent="0.25">
      <c r="B10" s="51"/>
      <c r="C10" s="7" t="str">
        <f>CONCATENATE('Reference- Personnel&amp;Staff Aug'!H10, " at $",'Reference- Personnel&amp;Staff Aug'!C25,"/yr, ",'Reference- Personnel&amp;Staff Aug'!C10," FTE with salary increase")</f>
        <v>Project Manager at $84460/yr, 0.01 FTE with salary increase</v>
      </c>
      <c r="D10" s="76">
        <f>'Reference- Personnel&amp;Staff Aug'!$C25*'Reference- Personnel&amp;Staff Aug'!$C10</f>
        <v>844.6</v>
      </c>
      <c r="E10" s="76">
        <f>D10*'Reference- Personnel&amp;Staff Aug'!$D$21</f>
        <v>869.9380000000001</v>
      </c>
      <c r="F10" s="76">
        <f>E10*'Reference- Personnel&amp;Staff Aug'!$D$21</f>
        <v>896.03614000000016</v>
      </c>
      <c r="G10" s="76">
        <f>F10*'Reference- Personnel&amp;Staff Aug'!$D$21</f>
        <v>922.91722420000019</v>
      </c>
      <c r="H10" s="76">
        <f>G10*'Reference- Personnel&amp;Staff Aug'!$D$21</f>
        <v>950.6047409260002</v>
      </c>
      <c r="I10" s="54"/>
      <c r="J10" s="78">
        <f t="shared" si="0"/>
        <v>4484.0961051260001</v>
      </c>
      <c r="K10"/>
      <c r="L10"/>
      <c r="M10" s="46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2:35" s="3" customFormat="1" x14ac:dyDescent="0.25">
      <c r="B11" s="51"/>
      <c r="C11" s="7" t="str">
        <f>CONCATENATE('Reference- Personnel&amp;Staff Aug'!H16, " at $",'Reference- Personnel&amp;Staff Aug'!C31,"/yr, ",'Reference- Personnel&amp;Staff Aug'!C16," FTE with salary increase")</f>
        <v>Project Manager at $94763/yr, 0.01 FTE with salary increase</v>
      </c>
      <c r="D11" s="76">
        <f>'Reference- Personnel&amp;Staff Aug'!$C31*'Reference- Personnel&amp;Staff Aug'!$C16</f>
        <v>947.63</v>
      </c>
      <c r="E11" s="76">
        <f>D11*'Reference- Personnel&amp;Staff Aug'!$D$21</f>
        <v>976.05889999999999</v>
      </c>
      <c r="F11" s="76">
        <f>E11*'Reference- Personnel&amp;Staff Aug'!$D$21</f>
        <v>1005.3406670000001</v>
      </c>
      <c r="G11" s="76">
        <f>F11*'Reference- Personnel&amp;Staff Aug'!$D$21</f>
        <v>1035.50088701</v>
      </c>
      <c r="H11" s="76">
        <f>G11*'Reference- Personnel&amp;Staff Aug'!$D$21</f>
        <v>1066.5659136203001</v>
      </c>
      <c r="I11" s="54"/>
      <c r="J11" s="78">
        <f t="shared" si="0"/>
        <v>5031.0963676302999</v>
      </c>
      <c r="K11"/>
      <c r="L11"/>
      <c r="M11" s="46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2:35" x14ac:dyDescent="0.25">
      <c r="B12" s="14"/>
      <c r="C12" s="85"/>
      <c r="D12" s="76"/>
      <c r="E12" s="76"/>
      <c r="F12" s="76"/>
      <c r="G12" s="76"/>
      <c r="H12" s="76"/>
      <c r="I12" s="54"/>
      <c r="J12" s="79"/>
    </row>
    <row r="13" spans="2:35" x14ac:dyDescent="0.25">
      <c r="B13" s="14"/>
      <c r="C13" s="6" t="s">
        <v>10</v>
      </c>
      <c r="D13" s="83">
        <f>SUM(D7:D12)</f>
        <v>5780.97</v>
      </c>
      <c r="E13" s="83">
        <f>SUM(E7:E12)</f>
        <v>5954.3991000000005</v>
      </c>
      <c r="F13" s="83">
        <f>SUM(F7:F12)</f>
        <v>6133.031073000001</v>
      </c>
      <c r="G13" s="83">
        <f>SUM(G7:G12)</f>
        <v>6317.0220051900005</v>
      </c>
      <c r="H13" s="83">
        <f>SUM(H7:H12)</f>
        <v>6506.5326653457005</v>
      </c>
      <c r="I13" s="54">
        <f>SUM(I12:I12)</f>
        <v>0</v>
      </c>
      <c r="J13" s="83">
        <f>SUM(J7:J12)</f>
        <v>30691.954843535699</v>
      </c>
    </row>
    <row r="14" spans="2:35" x14ac:dyDescent="0.25">
      <c r="B14" s="14"/>
      <c r="C14" s="9" t="s">
        <v>35</v>
      </c>
      <c r="D14" s="79" t="s">
        <v>33</v>
      </c>
      <c r="E14" s="79"/>
      <c r="F14" s="79"/>
      <c r="G14" s="79"/>
      <c r="H14" s="79"/>
      <c r="J14" s="79"/>
    </row>
    <row r="15" spans="2:35" x14ac:dyDescent="0.25">
      <c r="B15" s="14"/>
      <c r="C15" s="7" t="str">
        <f>CONCATENATE("Fringe Benefits for ", 'Reference- Personnel&amp;Staff Aug'!H6," at ", 'Reference- NYSERDA Indirects'!$C$6)</f>
        <v>Fringe Benefits for Program Manager at 0.6885</v>
      </c>
      <c r="D15" s="79">
        <f>D8*'Reference- NYSERDA Indirects'!C6</f>
        <v>1701.972</v>
      </c>
      <c r="E15" s="79">
        <f>E8*'Reference- NYSERDA Indirects'!$C$6</f>
        <v>1753.03116</v>
      </c>
      <c r="F15" s="79">
        <f>F8*'Reference- NYSERDA Indirects'!$C$6</f>
        <v>1805.6220948</v>
      </c>
      <c r="G15" s="79">
        <f>G8*'Reference- NYSERDA Indirects'!$C$6</f>
        <v>1859.790757644</v>
      </c>
      <c r="H15" s="79">
        <f>H8*'Reference- NYSERDA Indirects'!$C$6</f>
        <v>1915.58448037332</v>
      </c>
      <c r="I15" s="54"/>
      <c r="J15" s="79">
        <f t="shared" ref="J15:J18" si="1">SUM(D15:H15)</f>
        <v>9036.0004928173203</v>
      </c>
    </row>
    <row r="16" spans="2:35" x14ac:dyDescent="0.25">
      <c r="B16" s="14"/>
      <c r="C16" s="7" t="str">
        <f>CONCATENATE("Fringe Benefits for ", 'Reference- Personnel&amp;Staff Aug'!H9," at ", 'Reference- NYSERDA Indirects'!$C$6)</f>
        <v>Fringe Benefits for Project Manager at 0.6885</v>
      </c>
      <c r="D16" s="79">
        <f>D9*'Reference- NYSERDA Indirects'!$C$6</f>
        <v>1044.27549</v>
      </c>
      <c r="E16" s="79">
        <f>E9*'Reference- NYSERDA Indirects'!$C$6</f>
        <v>1075.6037547000001</v>
      </c>
      <c r="F16" s="79">
        <f>F9*'Reference- NYSERDA Indirects'!$C$6</f>
        <v>1107.8718673410001</v>
      </c>
      <c r="G16" s="79">
        <f>G9*'Reference- NYSERDA Indirects'!$C$6</f>
        <v>1141.1080233612302</v>
      </c>
      <c r="H16" s="79">
        <f>H9*'Reference- NYSERDA Indirects'!$C$6</f>
        <v>1175.341264062067</v>
      </c>
      <c r="I16" s="54"/>
      <c r="J16" s="79">
        <f t="shared" si="1"/>
        <v>5544.2003994642973</v>
      </c>
    </row>
    <row r="17" spans="2:10" x14ac:dyDescent="0.25">
      <c r="B17" s="14"/>
      <c r="C17" s="7" t="str">
        <f>CONCATENATE("Fringe Benefits for ", 'Reference- Personnel&amp;Staff Aug'!H10," at ", 'Reference- NYSERDA Indirects'!$C$6)</f>
        <v>Fringe Benefits for Project Manager at 0.6885</v>
      </c>
      <c r="D17" s="79">
        <f>D10*'Reference- NYSERDA Indirects'!$C$6</f>
        <v>581.50710000000004</v>
      </c>
      <c r="E17" s="79">
        <f>E10*'Reference- NYSERDA Indirects'!$C$6</f>
        <v>598.95231300000012</v>
      </c>
      <c r="F17" s="79">
        <f>F10*'Reference- NYSERDA Indirects'!$C$6</f>
        <v>616.92088239000009</v>
      </c>
      <c r="G17" s="79">
        <f>G10*'Reference- NYSERDA Indirects'!$C$6</f>
        <v>635.42850886170015</v>
      </c>
      <c r="H17" s="79">
        <f>H10*'Reference- NYSERDA Indirects'!$C$6</f>
        <v>654.49136412755115</v>
      </c>
      <c r="I17" s="54"/>
      <c r="J17" s="79">
        <f t="shared" si="1"/>
        <v>3087.3001683792513</v>
      </c>
    </row>
    <row r="18" spans="2:10" x14ac:dyDescent="0.25">
      <c r="B18" s="14"/>
      <c r="C18" s="7" t="str">
        <f>CONCATENATE("Fringe Benefits for ", 'Reference- Personnel&amp;Staff Aug'!H16," at ", 'Reference- NYSERDA Indirects'!$C$6)</f>
        <v>Fringe Benefits for Project Manager at 0.6885</v>
      </c>
      <c r="D18" s="79">
        <f>D11*'Reference- NYSERDA Indirects'!$C$6</f>
        <v>652.44325500000002</v>
      </c>
      <c r="E18" s="79">
        <f>E11*'Reference- NYSERDA Indirects'!$C$6</f>
        <v>672.01655264999999</v>
      </c>
      <c r="F18" s="79">
        <f>F11*'Reference- NYSERDA Indirects'!$C$6</f>
        <v>692.17704922950008</v>
      </c>
      <c r="G18" s="79">
        <f>G11*'Reference- NYSERDA Indirects'!$C$6</f>
        <v>712.94236070638499</v>
      </c>
      <c r="H18" s="79">
        <f>H11*'Reference- NYSERDA Indirects'!$C$6</f>
        <v>734.33063152757666</v>
      </c>
      <c r="I18" s="54"/>
      <c r="J18" s="79">
        <f t="shared" si="1"/>
        <v>3463.9098491134619</v>
      </c>
    </row>
    <row r="19" spans="2:10" x14ac:dyDescent="0.25">
      <c r="B19" s="14"/>
      <c r="C19" s="85"/>
      <c r="D19" s="56"/>
      <c r="E19" s="56"/>
      <c r="F19" s="56"/>
      <c r="G19" s="56"/>
      <c r="H19" s="56"/>
      <c r="I19" s="54"/>
      <c r="J19" s="79"/>
    </row>
    <row r="20" spans="2:10" x14ac:dyDescent="0.25">
      <c r="B20" s="14"/>
      <c r="C20" s="6" t="s">
        <v>11</v>
      </c>
      <c r="D20" s="83">
        <f>SUM(D14:D19)</f>
        <v>3980.1978449999997</v>
      </c>
      <c r="E20" s="83">
        <f>SUM(E14:E19)</f>
        <v>4099.6037803500003</v>
      </c>
      <c r="F20" s="83">
        <f>SUM(F14:F19)</f>
        <v>4222.5918937605002</v>
      </c>
      <c r="G20" s="83">
        <f>SUM(G14:G19)</f>
        <v>4349.2696505733156</v>
      </c>
      <c r="H20" s="83">
        <f>SUM(H14:H19)</f>
        <v>4479.7477400905145</v>
      </c>
      <c r="J20" s="83">
        <f>SUM(J14:J19)</f>
        <v>21131.410909774328</v>
      </c>
    </row>
    <row r="21" spans="2:10" x14ac:dyDescent="0.25">
      <c r="B21" s="14"/>
      <c r="C21" s="9" t="s">
        <v>36</v>
      </c>
      <c r="D21" s="81" t="s">
        <v>33</v>
      </c>
      <c r="E21" s="7"/>
      <c r="F21" s="7"/>
      <c r="G21" s="7"/>
      <c r="H21" s="7"/>
      <c r="J21" s="79" t="s">
        <v>33</v>
      </c>
    </row>
    <row r="22" spans="2:10" x14ac:dyDescent="0.25">
      <c r="B22" s="14"/>
      <c r="C22" s="18"/>
      <c r="D22" s="27"/>
      <c r="E22" s="8"/>
      <c r="F22" s="8"/>
      <c r="G22" s="8"/>
      <c r="H22" s="8"/>
      <c r="J22" s="79"/>
    </row>
    <row r="23" spans="2:10" x14ac:dyDescent="0.25">
      <c r="B23" s="14"/>
      <c r="C23" s="6" t="s">
        <v>12</v>
      </c>
      <c r="D23" s="83">
        <f>SUM(D21:D22)</f>
        <v>0</v>
      </c>
      <c r="E23" s="83">
        <f>SUM(E21:E22)</f>
        <v>0</v>
      </c>
      <c r="F23" s="83">
        <f>SUM(F21:F22)</f>
        <v>0</v>
      </c>
      <c r="G23" s="83">
        <f>SUM(G21:G22)</f>
        <v>0</v>
      </c>
      <c r="H23" s="83">
        <f>SUM(H21:H22)</f>
        <v>0</v>
      </c>
      <c r="J23" s="83">
        <f>SUM(J22:J22)</f>
        <v>0</v>
      </c>
    </row>
    <row r="24" spans="2:10" x14ac:dyDescent="0.25">
      <c r="B24" s="14"/>
      <c r="C24" s="9" t="s">
        <v>37</v>
      </c>
      <c r="D24" s="27"/>
      <c r="E24" s="7"/>
      <c r="F24" s="7"/>
      <c r="G24" s="7"/>
      <c r="H24" s="7"/>
      <c r="J24" s="79" t="s">
        <v>18</v>
      </c>
    </row>
    <row r="25" spans="2:10" x14ac:dyDescent="0.25">
      <c r="B25" s="14"/>
      <c r="C25" s="16"/>
      <c r="D25" s="27"/>
      <c r="E25" s="7"/>
      <c r="F25" s="7"/>
      <c r="G25" s="7"/>
      <c r="H25" s="7"/>
      <c r="J25" s="79"/>
    </row>
    <row r="26" spans="2:10" x14ac:dyDescent="0.25">
      <c r="B26" s="14"/>
      <c r="C26" s="6" t="s">
        <v>13</v>
      </c>
      <c r="D26" s="83">
        <f>SUM(D24:D25)</f>
        <v>0</v>
      </c>
      <c r="E26" s="83">
        <f>SUM(E24:E25)</f>
        <v>0</v>
      </c>
      <c r="F26" s="83">
        <f>SUM(F24:F25)</f>
        <v>0</v>
      </c>
      <c r="G26" s="83">
        <f>SUM(G24:G25)</f>
        <v>0</v>
      </c>
      <c r="H26" s="83">
        <f>SUM(H24:H25)</f>
        <v>0</v>
      </c>
      <c r="J26" s="83">
        <f>SUM(J25:J25)</f>
        <v>0</v>
      </c>
    </row>
    <row r="27" spans="2:10" x14ac:dyDescent="0.25">
      <c r="B27" s="14"/>
      <c r="C27" s="9" t="s">
        <v>38</v>
      </c>
      <c r="D27" s="81" t="s">
        <v>33</v>
      </c>
      <c r="E27" s="7"/>
      <c r="F27" s="7"/>
      <c r="G27" s="7"/>
      <c r="H27" s="7"/>
      <c r="J27" s="79"/>
    </row>
    <row r="28" spans="2:10" x14ac:dyDescent="0.25">
      <c r="B28" s="14"/>
      <c r="C28" s="16"/>
      <c r="D28" s="27"/>
      <c r="E28" s="27"/>
      <c r="F28" s="27"/>
      <c r="G28" s="27"/>
      <c r="H28" s="27"/>
      <c r="I28" s="20"/>
      <c r="J28" s="79"/>
    </row>
    <row r="29" spans="2:10" x14ac:dyDescent="0.25">
      <c r="B29" s="14"/>
      <c r="C29" s="6" t="s">
        <v>14</v>
      </c>
      <c r="D29" s="83">
        <f>SUM(D27:D28)</f>
        <v>0</v>
      </c>
      <c r="E29" s="83">
        <f>SUM(E27:E28)</f>
        <v>0</v>
      </c>
      <c r="F29" s="83">
        <f>SUM(F27:F28)</f>
        <v>0</v>
      </c>
      <c r="G29" s="83">
        <f>SUM(G27:G28)</f>
        <v>0</v>
      </c>
      <c r="H29" s="83">
        <f>SUM(H27:H28)</f>
        <v>0</v>
      </c>
      <c r="J29" s="83">
        <f>SUM(J28:J28)</f>
        <v>0</v>
      </c>
    </row>
    <row r="30" spans="2:10" x14ac:dyDescent="0.25">
      <c r="B30" s="14"/>
      <c r="C30" s="9" t="s">
        <v>39</v>
      </c>
      <c r="D30" s="81" t="s">
        <v>33</v>
      </c>
      <c r="E30" s="7"/>
      <c r="F30" s="7"/>
      <c r="G30" s="7"/>
      <c r="H30" s="7"/>
      <c r="J30" s="79"/>
    </row>
    <row r="31" spans="2:10" ht="75" x14ac:dyDescent="0.25">
      <c r="B31" s="14"/>
      <c r="C31" s="45" t="s">
        <v>95</v>
      </c>
      <c r="D31" s="79">
        <f>'Reference- CBO Stakeholders'!B13</f>
        <v>3600</v>
      </c>
      <c r="E31" s="79">
        <f>'Reference- CBO Stakeholders'!C13</f>
        <v>0</v>
      </c>
      <c r="F31" s="79">
        <f>'Reference- CBO Stakeholders'!D13</f>
        <v>0</v>
      </c>
      <c r="G31" s="79">
        <f>'Reference- CBO Stakeholders'!E13</f>
        <v>0</v>
      </c>
      <c r="H31" s="79">
        <f>'Reference- CBO Stakeholders'!F13</f>
        <v>1800</v>
      </c>
      <c r="I31" s="20"/>
      <c r="J31" s="79">
        <f>SUM(D31:H31)</f>
        <v>5400</v>
      </c>
    </row>
    <row r="32" spans="2:10" ht="45" x14ac:dyDescent="0.25">
      <c r="B32" s="14"/>
      <c r="C32" s="45" t="s">
        <v>96</v>
      </c>
      <c r="D32" s="79">
        <f>SUMPRODUCT('Reference- Personnel&amp;Staff Aug'!K6:K7,'Reference- Personnel&amp;Staff Aug'!P6:P7)</f>
        <v>110370</v>
      </c>
      <c r="E32" s="79">
        <f>D32*'Reference- Personnel&amp;Staff Aug'!$J$16</f>
        <v>113681.1</v>
      </c>
      <c r="F32" s="79">
        <f>E32*'Reference- Personnel&amp;Staff Aug'!$J$16</f>
        <v>117091.53300000001</v>
      </c>
      <c r="G32" s="79">
        <f>F32*'Reference- Personnel&amp;Staff Aug'!$J$16</f>
        <v>120604.27899000002</v>
      </c>
      <c r="H32" s="79">
        <f>G32*'Reference- Personnel&amp;Staff Aug'!$J$16</f>
        <v>124222.40735970002</v>
      </c>
      <c r="I32" s="20"/>
      <c r="J32" s="79">
        <f>SUM(D32:H32)</f>
        <v>585969.31934970012</v>
      </c>
    </row>
    <row r="33" spans="2:10" x14ac:dyDescent="0.25">
      <c r="B33" s="14"/>
      <c r="C33" s="45"/>
      <c r="D33" s="79"/>
      <c r="E33" s="79"/>
      <c r="F33" s="79"/>
      <c r="G33" s="79"/>
      <c r="H33" s="79"/>
      <c r="I33" s="20"/>
      <c r="J33" s="79"/>
    </row>
    <row r="34" spans="2:10" x14ac:dyDescent="0.25">
      <c r="B34" s="14"/>
      <c r="C34" s="6" t="s">
        <v>15</v>
      </c>
      <c r="D34" s="83">
        <f>SUM(D30:D33)</f>
        <v>113970</v>
      </c>
      <c r="E34" s="83">
        <f>SUM(E30:E33)</f>
        <v>113681.1</v>
      </c>
      <c r="F34" s="83">
        <f>SUM(F30:F33)</f>
        <v>117091.53300000001</v>
      </c>
      <c r="G34" s="83">
        <f>SUM(G30:G33)</f>
        <v>120604.27899000002</v>
      </c>
      <c r="H34" s="83">
        <f>SUM(H30:H33)</f>
        <v>126022.40735970002</v>
      </c>
      <c r="J34" s="83">
        <f>SUM(J31:J33)</f>
        <v>591369.31934970012</v>
      </c>
    </row>
    <row r="35" spans="2:10" x14ac:dyDescent="0.25">
      <c r="B35" s="14"/>
      <c r="C35" s="9" t="s">
        <v>40</v>
      </c>
      <c r="D35" s="55" t="s">
        <v>33</v>
      </c>
      <c r="E35" s="55"/>
      <c r="F35" s="55"/>
      <c r="G35" s="55"/>
      <c r="H35" s="55"/>
      <c r="J35" s="68"/>
    </row>
    <row r="36" spans="2:10" ht="75" x14ac:dyDescent="0.25">
      <c r="B36" s="14"/>
      <c r="C36" s="45" t="s">
        <v>105</v>
      </c>
      <c r="D36" s="79">
        <f>IF($N$6&gt;0,$M$6/$N$6,0)+IF($N$7&gt;0,$M$7/$N$7,0)</f>
        <v>5400000</v>
      </c>
      <c r="E36" s="79">
        <f>IF($N$6&gt;1,$M$6/$N$6,0)+IF($N$7&gt;1,$M$7/$N$7,0)</f>
        <v>5400000</v>
      </c>
      <c r="F36" s="79">
        <f>IF($N$6&gt;2,$M$6/$N$6,0)+IF($N$7&gt;2,$M$7/$N$7,0)</f>
        <v>5400000</v>
      </c>
      <c r="G36" s="79">
        <f>IF($N$6&gt;3,$M$6/$N$6,0)+IF($N$7&gt;3,$M$7/$N$7,0)</f>
        <v>400000</v>
      </c>
      <c r="H36" s="79">
        <f>IF(N6&gt;4,$M$6/$N$6,0)+ IF($N$7&gt;0,$M$7/$N$7,0)</f>
        <v>400000</v>
      </c>
      <c r="J36" s="79">
        <f t="shared" ref="J36" si="2">SUM(D36:H36)</f>
        <v>17000000</v>
      </c>
    </row>
    <row r="37" spans="2:10" x14ac:dyDescent="0.25">
      <c r="B37" s="14"/>
      <c r="D37" s="79"/>
      <c r="E37" s="79"/>
      <c r="F37" s="79"/>
      <c r="G37" s="79"/>
      <c r="H37" s="79"/>
      <c r="J37" s="79"/>
    </row>
    <row r="38" spans="2:10" x14ac:dyDescent="0.25">
      <c r="B38" s="15"/>
      <c r="C38" s="6" t="s">
        <v>16</v>
      </c>
      <c r="D38" s="83">
        <f>SUM(D35:D37)</f>
        <v>5400000</v>
      </c>
      <c r="E38" s="83">
        <f>SUM(E35:E37)</f>
        <v>5400000</v>
      </c>
      <c r="F38" s="83">
        <f>SUM(F35:F37)</f>
        <v>5400000</v>
      </c>
      <c r="G38" s="83">
        <f>SUM(G35:G37)</f>
        <v>400000</v>
      </c>
      <c r="H38" s="83">
        <f>SUM(H35:H37)</f>
        <v>400000</v>
      </c>
      <c r="J38" s="83">
        <f>SUM(J36:J37)</f>
        <v>17000000</v>
      </c>
    </row>
    <row r="39" spans="2:10" x14ac:dyDescent="0.25">
      <c r="B39" s="15"/>
      <c r="C39" s="6" t="s">
        <v>17</v>
      </c>
      <c r="D39" s="83">
        <f>SUM(D38,D34,D29,D26,D23,D20,D13)</f>
        <v>5523731.1678449996</v>
      </c>
      <c r="E39" s="83">
        <f>SUM(E38,E34,E29,E26,E23,E20,E13)</f>
        <v>5523735.1028803494</v>
      </c>
      <c r="F39" s="83">
        <f>SUM(F38,F34,F29,F26,F23,F20,F13)</f>
        <v>5527447.1559667606</v>
      </c>
      <c r="G39" s="83">
        <f>SUM(G38,G34,G29,G26,G23,G20,G13)</f>
        <v>531270.57064576331</v>
      </c>
      <c r="H39" s="83">
        <f>SUM(H38,H34,H29,H26,H23,H20,H13)</f>
        <v>537008.68776513624</v>
      </c>
      <c r="J39" s="83">
        <f>SUM(D39:H39)</f>
        <v>17643192.68510301</v>
      </c>
    </row>
    <row r="40" spans="2:10" x14ac:dyDescent="0.25">
      <c r="B40" s="4"/>
      <c r="D40"/>
      <c r="E40"/>
      <c r="H40"/>
      <c r="I40"/>
      <c r="J40" s="64" t="s">
        <v>18</v>
      </c>
    </row>
    <row r="41" spans="2:10" ht="15" customHeight="1" x14ac:dyDescent="0.25">
      <c r="B41" s="43" t="s">
        <v>41</v>
      </c>
      <c r="C41" s="10" t="s">
        <v>41</v>
      </c>
      <c r="D41" s="11"/>
      <c r="E41" s="11"/>
      <c r="F41" s="11"/>
      <c r="G41" s="11"/>
      <c r="H41" s="11"/>
      <c r="I41"/>
      <c r="J41" s="65" t="s">
        <v>18</v>
      </c>
    </row>
    <row r="42" spans="2:10" x14ac:dyDescent="0.25">
      <c r="B42" s="14"/>
      <c r="C42" s="45" t="str">
        <f>'Reference- NYSERDA Indirects'!B7</f>
        <v>NYSERDA Labor Overhead at 41.65%</v>
      </c>
      <c r="D42" s="79">
        <f>D$13*'Reference- NYSERDA Indirects'!$C7</f>
        <v>2407.7740050000002</v>
      </c>
      <c r="E42" s="79">
        <f>E$13*'Reference- NYSERDA Indirects'!$C7</f>
        <v>2480.0072251500001</v>
      </c>
      <c r="F42" s="79">
        <f>F$13*'Reference- NYSERDA Indirects'!$C7</f>
        <v>2554.4074419045005</v>
      </c>
      <c r="G42" s="79">
        <f>G$13*'Reference- NYSERDA Indirects'!$C7</f>
        <v>2631.0396651616352</v>
      </c>
      <c r="H42" s="79">
        <f>H$13*'Reference- NYSERDA Indirects'!$C7</f>
        <v>2709.970855116484</v>
      </c>
      <c r="J42" s="79">
        <f>SUM(D42:H42)</f>
        <v>12783.19919233262</v>
      </c>
    </row>
    <row r="43" spans="2:10" x14ac:dyDescent="0.25">
      <c r="B43" s="14"/>
      <c r="C43" s="45" t="str">
        <f>'Reference- NYSERDA Indirects'!B8</f>
        <v>NYSERDA G&amp;A Expense at 51.97%</v>
      </c>
      <c r="D43" s="79">
        <f>D$13*'Reference- NYSERDA Indirects'!$C8</f>
        <v>3004.3701090000004</v>
      </c>
      <c r="E43" s="79">
        <f>E$13*'Reference- NYSERDA Indirects'!$C8</f>
        <v>3094.5012122700005</v>
      </c>
      <c r="F43" s="79">
        <f>F$13*'Reference- NYSERDA Indirects'!$C8</f>
        <v>3187.3362486381006</v>
      </c>
      <c r="G43" s="79">
        <f>G$13*'Reference- NYSERDA Indirects'!$C8</f>
        <v>3282.9563360972438</v>
      </c>
      <c r="H43" s="79">
        <f>H$13*'Reference- NYSERDA Indirects'!$C8</f>
        <v>3381.4450261801608</v>
      </c>
      <c r="J43" s="79">
        <f>SUM(D43:H43)</f>
        <v>15950.608932185507</v>
      </c>
    </row>
    <row r="44" spans="2:10" x14ac:dyDescent="0.25">
      <c r="B44" s="14"/>
      <c r="C44" s="45" t="str">
        <f>'Reference- NYSERDA Indirects'!B9</f>
        <v>NYSERDA Cost Recovery Fee at 1.01%</v>
      </c>
      <c r="D44" s="79">
        <f>SUM(D39, D42, D43)*'Reference- NYSERDA Indirects'!$C9-0.05</f>
        <v>55844.297450785889</v>
      </c>
      <c r="E44" s="79">
        <f>SUM(E39, E42, E43)*'Reference- NYSERDA Indirects'!$C9-0.05</f>
        <v>55845.97707430947</v>
      </c>
      <c r="F44" s="79">
        <f>SUM(F39, F42, F43)*'Reference- NYSERDA Indirects'!$C9-0.05</f>
        <v>55885.157886538756</v>
      </c>
      <c r="G44" s="79">
        <f>SUM(G39, G42, G43)*'Reference- NYSERDA Indirects'!$C9-0.05</f>
        <v>5425.5141231349235</v>
      </c>
      <c r="H44" s="79">
        <f>SUM(H39, H42, H43)*'Reference- NYSERDA Indirects'!$C9-0.05</f>
        <v>5485.2610468289713</v>
      </c>
      <c r="J44" s="79">
        <f t="shared" ref="J44" si="3">SUM(D44:H44)</f>
        <v>178486.20758159802</v>
      </c>
    </row>
    <row r="45" spans="2:10" x14ac:dyDescent="0.25">
      <c r="B45" s="15"/>
      <c r="C45" s="7" t="s">
        <v>19</v>
      </c>
      <c r="D45" s="83">
        <f>SUM(D42:D44)</f>
        <v>61256.441564785891</v>
      </c>
      <c r="E45" s="83">
        <f>SUM(E42:E44)</f>
        <v>61420.485511729472</v>
      </c>
      <c r="F45" s="83">
        <f>SUM(F42:F44)</f>
        <v>61626.901577081357</v>
      </c>
      <c r="G45" s="83">
        <f>SUM(G42:G44)</f>
        <v>11339.510124393802</v>
      </c>
      <c r="H45" s="83">
        <f>SUM(H42:H44)</f>
        <v>11576.676928125617</v>
      </c>
      <c r="J45" s="83">
        <f>SUM(J42:J44)</f>
        <v>207220.01570611616</v>
      </c>
    </row>
    <row r="46" spans="2:10" ht="15.75" thickBot="1" x14ac:dyDescent="0.3">
      <c r="B46" s="4"/>
      <c r="D46" s="64"/>
      <c r="E46" s="64"/>
      <c r="F46" s="64"/>
      <c r="G46" s="64"/>
      <c r="H46" s="64"/>
      <c r="I46"/>
      <c r="J46" s="64" t="s">
        <v>18</v>
      </c>
    </row>
    <row r="47" spans="2:10" s="1" customFormat="1" ht="30.75" thickBot="1" x14ac:dyDescent="0.3">
      <c r="B47" s="12" t="s">
        <v>20</v>
      </c>
      <c r="C47" s="12"/>
      <c r="D47" s="107">
        <f>SUM(D45,D39)</f>
        <v>5584987.6094097858</v>
      </c>
      <c r="E47" s="108">
        <f>SUM(E45,E39)</f>
        <v>5585155.5883920789</v>
      </c>
      <c r="F47" s="108">
        <f>SUM(F45,F39)</f>
        <v>5589074.0575438421</v>
      </c>
      <c r="G47" s="108">
        <f>SUM(G45,G39)</f>
        <v>542610.08077015716</v>
      </c>
      <c r="H47" s="109">
        <f>SUM(H45,H39)</f>
        <v>548585.36469326192</v>
      </c>
      <c r="I47" s="5"/>
      <c r="J47" s="110">
        <f>SUM(J45,J39)</f>
        <v>17850412.700809125</v>
      </c>
    </row>
    <row r="48" spans="2:10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</sheetData>
  <sheetProtection algorithmName="SHA-512" hashValue="4sT0ieYzFypcKE13EZP5zvA20d9fEDxINKxNzdsTbrrghzkvQMSj8haQYxEpy2DsyRDqOwThXeymxJr/oHvyag==" saltValue="/qk5GWqyB+108tBVqJ3H8w==" spinCount="100000" sheet="1" objects="1" scenarios="1"/>
  <mergeCells count="1">
    <mergeCell ref="B7:B8"/>
  </mergeCells>
  <pageMargins left="0.7" right="0.7" top="0.75" bottom="0.75" header="0.3" footer="0.3"/>
  <pageSetup scale="79" fitToHeight="0" orientation="landscape" r:id="rId1"/>
  <ignoredErrors>
    <ignoredError sqref="J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1:AI73"/>
  <sheetViews>
    <sheetView showGridLines="0" zoomScale="85" zoomScaleNormal="85" workbookViewId="0">
      <selection activeCell="F26" sqref="F26"/>
    </sheetView>
  </sheetViews>
  <sheetFormatPr defaultColWidth="9.140625" defaultRowHeight="15" x14ac:dyDescent="0.25"/>
  <cols>
    <col min="1" max="1" width="3.140625" customWidth="1"/>
    <col min="2" max="2" width="12.7109375" customWidth="1"/>
    <col min="3" max="3" width="60.7109375" customWidth="1"/>
    <col min="4" max="4" width="12.7109375" style="4" customWidth="1"/>
    <col min="5" max="5" width="12.7109375" style="2" customWidth="1"/>
    <col min="6" max="7" width="12.7109375" customWidth="1"/>
    <col min="8" max="8" width="12.7109375" style="2" customWidth="1"/>
    <col min="9" max="9" width="1.7109375" style="5" customWidth="1"/>
    <col min="10" max="10" width="12.7109375" style="64" customWidth="1"/>
    <col min="11" max="11" width="12.7109375" customWidth="1"/>
    <col min="12" max="12" width="22.85546875" hidden="1" customWidth="1"/>
    <col min="13" max="13" width="21" hidden="1" customWidth="1"/>
    <col min="14" max="14" width="10.28515625" hidden="1" customWidth="1"/>
  </cols>
  <sheetData>
    <row r="1" spans="2:35" x14ac:dyDescent="0.25">
      <c r="B1" t="s">
        <v>116</v>
      </c>
    </row>
    <row r="2" spans="2:35" ht="23.25" x14ac:dyDescent="0.35">
      <c r="B2" s="19" t="s">
        <v>104</v>
      </c>
      <c r="E2" s="82"/>
      <c r="H2" s="82"/>
    </row>
    <row r="3" spans="2:35" x14ac:dyDescent="0.25">
      <c r="B3" s="64"/>
      <c r="E3" s="82"/>
      <c r="H3" s="82"/>
    </row>
    <row r="4" spans="2:35" ht="18.75" x14ac:dyDescent="0.3">
      <c r="B4" s="60" t="s">
        <v>27</v>
      </c>
      <c r="C4" s="60" t="s">
        <v>90</v>
      </c>
      <c r="E4" s="82"/>
      <c r="H4" s="82"/>
    </row>
    <row r="5" spans="2:35" ht="18.75" x14ac:dyDescent="0.3">
      <c r="B5" s="21" t="s">
        <v>0</v>
      </c>
      <c r="C5" s="22"/>
      <c r="D5" s="22"/>
      <c r="E5" s="22"/>
      <c r="F5" s="22"/>
      <c r="G5" s="22"/>
      <c r="H5" s="22"/>
      <c r="I5" s="22"/>
      <c r="J5" s="73"/>
      <c r="L5" s="10" t="s">
        <v>28</v>
      </c>
      <c r="M5" s="10" t="s">
        <v>29</v>
      </c>
      <c r="N5" s="10" t="s">
        <v>30</v>
      </c>
    </row>
    <row r="6" spans="2:35" x14ac:dyDescent="0.25">
      <c r="B6" s="23" t="s">
        <v>1</v>
      </c>
      <c r="C6" s="23" t="s">
        <v>2</v>
      </c>
      <c r="D6" s="23" t="s">
        <v>3</v>
      </c>
      <c r="E6" s="24" t="s">
        <v>4</v>
      </c>
      <c r="F6" s="24" t="s">
        <v>5</v>
      </c>
      <c r="G6" s="24" t="s">
        <v>6</v>
      </c>
      <c r="H6" s="25" t="s">
        <v>7</v>
      </c>
      <c r="I6" s="26"/>
      <c r="J6" s="74" t="s">
        <v>8</v>
      </c>
      <c r="L6" s="11" t="s">
        <v>31</v>
      </c>
      <c r="M6" s="47">
        <f>M8-M7</f>
        <v>33840000</v>
      </c>
      <c r="N6" s="11">
        <v>2</v>
      </c>
    </row>
    <row r="7" spans="2:35" s="3" customFormat="1" x14ac:dyDescent="0.25">
      <c r="B7" s="13" t="s">
        <v>9</v>
      </c>
      <c r="C7" s="17" t="s">
        <v>32</v>
      </c>
      <c r="D7" s="7" t="s">
        <v>33</v>
      </c>
      <c r="E7" s="7" t="s">
        <v>33</v>
      </c>
      <c r="F7" s="7" t="s">
        <v>33</v>
      </c>
      <c r="G7" s="7"/>
      <c r="H7" s="7" t="s">
        <v>33</v>
      </c>
      <c r="I7" s="5"/>
      <c r="J7" s="65" t="s">
        <v>33</v>
      </c>
      <c r="K7"/>
      <c r="L7" s="11" t="s">
        <v>34</v>
      </c>
      <c r="M7" s="47">
        <f>M8*0.06</f>
        <v>2160000</v>
      </c>
      <c r="N7" s="11">
        <v>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2:35" s="3" customFormat="1" x14ac:dyDescent="0.25">
      <c r="B8" s="52"/>
      <c r="C8" s="53" t="str">
        <f>CONCATENATE('Reference- Personnel&amp;Staff Aug'!H6, " at $",'Reference- Personnel&amp;Staff Aug'!C21,"/yr, ",'Reference- Personnel&amp;Staff Aug'!D6," FTE with salary increase")</f>
        <v>Program Manager at $123600/yr, 0.05 FTE with salary increase</v>
      </c>
      <c r="D8" s="76">
        <f>'Reference- Personnel&amp;Staff Aug'!$D6*'Reference- Personnel&amp;Staff Aug'!$C21</f>
        <v>6180</v>
      </c>
      <c r="E8" s="76">
        <f>D8*'Reference- Personnel&amp;Staff Aug'!$D$21</f>
        <v>6365.4000000000005</v>
      </c>
      <c r="F8" s="76">
        <f>E8*'Reference- Personnel&amp;Staff Aug'!$D$21</f>
        <v>6556.362000000001</v>
      </c>
      <c r="G8" s="76">
        <f>F8*'Reference- Personnel&amp;Staff Aug'!$D$21</f>
        <v>6753.0528600000016</v>
      </c>
      <c r="H8" s="76">
        <f>G8*'Reference- Personnel&amp;Staff Aug'!$D$21</f>
        <v>6955.6444458000014</v>
      </c>
      <c r="I8" s="77"/>
      <c r="J8" s="78">
        <f>SUM(D8:H8)</f>
        <v>32810.45930580001</v>
      </c>
      <c r="K8"/>
      <c r="L8"/>
      <c r="M8" s="101">
        <v>36000000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2:35" s="3" customFormat="1" x14ac:dyDescent="0.25">
      <c r="B9" s="52"/>
      <c r="C9" s="53" t="str">
        <f>CONCATENATE('Reference- Personnel&amp;Staff Aug'!H7, " at $",'Reference- Personnel&amp;Staff Aug'!C22,"/yr, ",'Reference- Personnel&amp;Staff Aug'!D7," FTE with salary increase")</f>
        <v>Director at $185851/yr, 0.02 FTE with salary increase</v>
      </c>
      <c r="D9" s="76">
        <f>'Reference- Personnel&amp;Staff Aug'!$D7*'Reference- Personnel&amp;Staff Aug'!$C22</f>
        <v>3717.02</v>
      </c>
      <c r="E9" s="76">
        <f>D9*'Reference- Personnel&amp;Staff Aug'!$D$21</f>
        <v>3828.5306</v>
      </c>
      <c r="F9" s="76">
        <f>E9*'Reference- Personnel&amp;Staff Aug'!$D$21</f>
        <v>3943.3865180000003</v>
      </c>
      <c r="G9" s="76">
        <f>F9*'Reference- Personnel&amp;Staff Aug'!$D$21</f>
        <v>4061.6881135400004</v>
      </c>
      <c r="H9" s="76">
        <f>G9*'Reference- Personnel&amp;Staff Aug'!$D$21</f>
        <v>4183.5387569462009</v>
      </c>
      <c r="I9" s="77"/>
      <c r="J9" s="78">
        <f t="shared" ref="J9:J16" si="0">SUM(D9:H9)</f>
        <v>19734.163988486202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2:35" s="3" customFormat="1" x14ac:dyDescent="0.25">
      <c r="B10" s="52"/>
      <c r="C10" s="53" t="str">
        <f>CONCATENATE('Reference- Personnel&amp;Staff Aug'!H8, " at $",'Reference- Personnel&amp;Staff Aug'!C23,"/yr, ",'Reference- Personnel&amp;Staff Aug'!D8," FTE with salary increase")</f>
        <v>Vice President at $201710/yr, 0.01 FTE with salary increase</v>
      </c>
      <c r="D10" s="76">
        <f>'Reference- Personnel&amp;Staff Aug'!$D8*'Reference- Personnel&amp;Staff Aug'!$C23</f>
        <v>2017.1000000000001</v>
      </c>
      <c r="E10" s="76">
        <f>D10*'Reference- Personnel&amp;Staff Aug'!$D$21</f>
        <v>2077.6130000000003</v>
      </c>
      <c r="F10" s="76">
        <f>E10*'Reference- Personnel&amp;Staff Aug'!$D$21</f>
        <v>2139.9413900000004</v>
      </c>
      <c r="G10" s="76">
        <f>F10*'Reference- Personnel&amp;Staff Aug'!$D$21</f>
        <v>2204.1396317000003</v>
      </c>
      <c r="H10" s="76">
        <f>G10*'Reference- Personnel&amp;Staff Aug'!$D$21</f>
        <v>2270.2638206510005</v>
      </c>
      <c r="I10" s="77"/>
      <c r="J10" s="78">
        <f t="shared" si="0"/>
        <v>10709.057842351001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2:35" s="3" customFormat="1" x14ac:dyDescent="0.25">
      <c r="B11" s="52"/>
      <c r="C11" s="53" t="str">
        <f>CONCATENATE('Reference- Personnel&amp;Staff Aug'!H9, " at $",'Reference- Personnel&amp;Staff Aug'!C24,"/yr, ",'Reference- Personnel&amp;Staff Aug'!D9," FTE with salary increase")</f>
        <v>Project Manager at $151674/yr, 0.01 FTE with salary increase</v>
      </c>
      <c r="D11" s="76">
        <f>'Reference- Personnel&amp;Staff Aug'!$D9*'Reference- Personnel&amp;Staff Aug'!$C24</f>
        <v>1516.74</v>
      </c>
      <c r="E11" s="76">
        <f>D11*'Reference- Personnel&amp;Staff Aug'!$D$21</f>
        <v>1562.2422000000001</v>
      </c>
      <c r="F11" s="76">
        <f>E11*'Reference- Personnel&amp;Staff Aug'!$D$21</f>
        <v>1609.1094660000001</v>
      </c>
      <c r="G11" s="76">
        <f>F11*'Reference- Personnel&amp;Staff Aug'!$D$21</f>
        <v>1657.3827499800002</v>
      </c>
      <c r="H11" s="76">
        <f>G11*'Reference- Personnel&amp;Staff Aug'!$D$21</f>
        <v>1707.1042324794003</v>
      </c>
      <c r="I11" s="77"/>
      <c r="J11" s="78">
        <f t="shared" si="0"/>
        <v>8052.5786484594009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2:35" s="3" customFormat="1" x14ac:dyDescent="0.25">
      <c r="B12" s="52"/>
      <c r="C12" s="53" t="str">
        <f>CONCATENATE('Reference- Personnel&amp;Staff Aug'!H10, " at $",'Reference- Personnel&amp;Staff Aug'!C25,"/yr, ",'Reference- Personnel&amp;Staff Aug'!D10," FTE with salary increase")</f>
        <v>Project Manager at $84460/yr, 0.01 FTE with salary increase</v>
      </c>
      <c r="D12" s="76">
        <f>'Reference- Personnel&amp;Staff Aug'!$D10*'Reference- Personnel&amp;Staff Aug'!$C25</f>
        <v>844.6</v>
      </c>
      <c r="E12" s="76">
        <f>D12*'Reference- Personnel&amp;Staff Aug'!$D$21</f>
        <v>869.9380000000001</v>
      </c>
      <c r="F12" s="76">
        <f>E12*'Reference- Personnel&amp;Staff Aug'!$D$21</f>
        <v>896.03614000000016</v>
      </c>
      <c r="G12" s="76">
        <f>F12*'Reference- Personnel&amp;Staff Aug'!$D$21</f>
        <v>922.91722420000019</v>
      </c>
      <c r="H12" s="76">
        <f>G12*'Reference- Personnel&amp;Staff Aug'!$D$21</f>
        <v>950.6047409260002</v>
      </c>
      <c r="I12" s="77"/>
      <c r="J12" s="78">
        <f t="shared" si="0"/>
        <v>4484.0961051260001</v>
      </c>
      <c r="K12"/>
      <c r="L12"/>
      <c r="M12" s="46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2:35" s="3" customFormat="1" x14ac:dyDescent="0.25">
      <c r="B13" s="52"/>
      <c r="C13" s="53" t="str">
        <f>CONCATENATE('Reference- Personnel&amp;Staff Aug'!H12, " at $",'Reference- Personnel&amp;Staff Aug'!C27,"/yr, ",'Reference- Personnel&amp;Staff Aug'!D12," FTE with salary increase")</f>
        <v>Program Manager at $149350/yr, 0.1 FTE with salary increase</v>
      </c>
      <c r="D13" s="76">
        <f>'Reference- Personnel&amp;Staff Aug'!$D12*'Reference- Personnel&amp;Staff Aug'!$C27</f>
        <v>14935</v>
      </c>
      <c r="E13" s="76">
        <f>D13*'Reference- Personnel&amp;Staff Aug'!$D$21</f>
        <v>15383.050000000001</v>
      </c>
      <c r="F13" s="76">
        <f>E13*'Reference- Personnel&amp;Staff Aug'!$D$21</f>
        <v>15844.541500000001</v>
      </c>
      <c r="G13" s="76">
        <f>F13*'Reference- Personnel&amp;Staff Aug'!$D$21</f>
        <v>16319.877745000002</v>
      </c>
      <c r="H13" s="76">
        <f>G13*'Reference- Personnel&amp;Staff Aug'!$D$21</f>
        <v>16809.474077350002</v>
      </c>
      <c r="I13" s="77"/>
      <c r="J13" s="78">
        <f t="shared" si="0"/>
        <v>79291.943322350009</v>
      </c>
      <c r="K13"/>
      <c r="L13"/>
      <c r="M13" s="46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2:35" s="3" customFormat="1" x14ac:dyDescent="0.25">
      <c r="B14" s="52"/>
      <c r="C14" s="53" t="str">
        <f>CONCATENATE('Reference- Personnel&amp;Staff Aug'!H13, " at $",'Reference- Personnel&amp;Staff Aug'!C28,"/yr, ",'Reference- Personnel&amp;Staff Aug'!D13," FTE with salary increase")</f>
        <v>Senior Project Manager at $111653/yr, 0.1 FTE with salary increase</v>
      </c>
      <c r="D14" s="76">
        <f>'Reference- Personnel&amp;Staff Aug'!$D13*'Reference- Personnel&amp;Staff Aug'!$C28</f>
        <v>11165.300000000001</v>
      </c>
      <c r="E14" s="76">
        <f>D14*'Reference- Personnel&amp;Staff Aug'!$D$21</f>
        <v>11500.259000000002</v>
      </c>
      <c r="F14" s="76">
        <f>E14*'Reference- Personnel&amp;Staff Aug'!$D$21</f>
        <v>11845.266770000002</v>
      </c>
      <c r="G14" s="76">
        <f>F14*'Reference- Personnel&amp;Staff Aug'!$D$21</f>
        <v>12200.624773100002</v>
      </c>
      <c r="H14" s="76">
        <f>G14*'Reference- Personnel&amp;Staff Aug'!$D$21</f>
        <v>12566.643516293003</v>
      </c>
      <c r="I14" s="77"/>
      <c r="J14" s="78">
        <f t="shared" si="0"/>
        <v>59278.094059393014</v>
      </c>
      <c r="K14"/>
      <c r="L14"/>
      <c r="M14" s="46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2:35" s="3" customFormat="1" x14ac:dyDescent="0.25">
      <c r="B15" s="52"/>
      <c r="C15" s="53" t="str">
        <f>CONCATENATE('Reference- Personnel&amp;Staff Aug'!H14, " at $",'Reference- Personnel&amp;Staff Aug'!C29,"/yr, ",'Reference- Personnel&amp;Staff Aug'!D14," FTE with salary increase")</f>
        <v>Project Manager at $98357/yr, 0.1 FTE with salary increase</v>
      </c>
      <c r="D15" s="76">
        <f>'Reference- Personnel&amp;Staff Aug'!$D14*'Reference- Personnel&amp;Staff Aug'!$C29</f>
        <v>9835.7000000000007</v>
      </c>
      <c r="E15" s="76">
        <f>D15*'Reference- Personnel&amp;Staff Aug'!$D$21</f>
        <v>10130.771000000001</v>
      </c>
      <c r="F15" s="76">
        <f>E15*'Reference- Personnel&amp;Staff Aug'!$D$21</f>
        <v>10434.694130000002</v>
      </c>
      <c r="G15" s="76">
        <f>F15*'Reference- Personnel&amp;Staff Aug'!$D$21</f>
        <v>10747.734953900002</v>
      </c>
      <c r="H15" s="76">
        <f>G15*'Reference- Personnel&amp;Staff Aug'!$D$21</f>
        <v>11070.167002517002</v>
      </c>
      <c r="I15" s="77"/>
      <c r="J15" s="78">
        <f t="shared" si="0"/>
        <v>52219.06708641701</v>
      </c>
      <c r="K15"/>
      <c r="L15"/>
      <c r="M15" s="46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2:35" s="3" customFormat="1" x14ac:dyDescent="0.25">
      <c r="B16" s="52"/>
      <c r="C16" s="53" t="str">
        <f>CONCATENATE('Reference- Personnel&amp;Staff Aug'!H16, " at $",'Reference- Personnel&amp;Staff Aug'!C31,"/yr, ",'Reference- Personnel&amp;Staff Aug'!D16," FTE with salary increase")</f>
        <v>Project Manager at $94763/yr, 0.02 FTE with salary increase</v>
      </c>
      <c r="D16" s="76">
        <f>'Reference- Personnel&amp;Staff Aug'!$D16*'Reference- Personnel&amp;Staff Aug'!$C31</f>
        <v>1895.26</v>
      </c>
      <c r="E16" s="76">
        <f>D16*'Reference- Personnel&amp;Staff Aug'!$D$21</f>
        <v>1952.1178</v>
      </c>
      <c r="F16" s="76">
        <f>E16*'Reference- Personnel&amp;Staff Aug'!$D$21</f>
        <v>2010.6813340000001</v>
      </c>
      <c r="G16" s="76">
        <f>F16*'Reference- Personnel&amp;Staff Aug'!$D$21</f>
        <v>2071.0017740200001</v>
      </c>
      <c r="H16" s="76">
        <f>G16*'Reference- Personnel&amp;Staff Aug'!$D$21</f>
        <v>2133.1318272406002</v>
      </c>
      <c r="I16" s="77"/>
      <c r="J16" s="78">
        <f t="shared" si="0"/>
        <v>10062.1927352606</v>
      </c>
      <c r="K16"/>
      <c r="L16"/>
      <c r="M16" s="4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2:11" x14ac:dyDescent="0.25">
      <c r="B17" s="14"/>
      <c r="C17" s="85"/>
      <c r="D17" s="76"/>
      <c r="E17" s="76"/>
      <c r="F17" s="76"/>
      <c r="G17" s="76"/>
      <c r="H17" s="76"/>
      <c r="I17" s="77"/>
      <c r="J17" s="79"/>
    </row>
    <row r="18" spans="2:11" x14ac:dyDescent="0.25">
      <c r="B18" s="14"/>
      <c r="C18" s="6" t="s">
        <v>10</v>
      </c>
      <c r="D18" s="83">
        <f>SUM(D7:D17)</f>
        <v>52106.720000000008</v>
      </c>
      <c r="E18" s="83">
        <f>SUM(E7:E17)</f>
        <v>53669.921600000001</v>
      </c>
      <c r="F18" s="83">
        <f>SUM(F7:F17)</f>
        <v>55280.019248000004</v>
      </c>
      <c r="G18" s="83">
        <f>SUM(G7:G17)</f>
        <v>56938.419825440011</v>
      </c>
      <c r="H18" s="83">
        <f>SUM(H7:H17)</f>
        <v>58646.572420203207</v>
      </c>
      <c r="I18" s="104"/>
      <c r="J18" s="83">
        <f>SUM(J7:J17)</f>
        <v>276641.65309364325</v>
      </c>
      <c r="K18" s="64"/>
    </row>
    <row r="19" spans="2:11" x14ac:dyDescent="0.25">
      <c r="B19" s="14"/>
      <c r="C19" s="9" t="s">
        <v>35</v>
      </c>
      <c r="D19" s="79" t="s">
        <v>33</v>
      </c>
      <c r="E19" s="79"/>
      <c r="F19" s="79"/>
      <c r="G19" s="79"/>
      <c r="H19" s="79"/>
      <c r="I19" s="104"/>
      <c r="J19" s="79"/>
      <c r="K19" s="64"/>
    </row>
    <row r="20" spans="2:11" x14ac:dyDescent="0.25">
      <c r="B20" s="14"/>
      <c r="C20" s="7" t="str">
        <f>CONCATENATE("Fringe Benefits for ", 'Reference- Personnel&amp;Staff Aug'!H6," at ", 'Reference- NYSERDA Indirects'!$C$6)</f>
        <v>Fringe Benefits for Program Manager at 0.6885</v>
      </c>
      <c r="D20" s="79">
        <f>D8*'Reference- NYSERDA Indirects'!$C$6</f>
        <v>4254.93</v>
      </c>
      <c r="E20" s="79">
        <f>E8*'Reference- NYSERDA Indirects'!$C$6</f>
        <v>4382.5779000000002</v>
      </c>
      <c r="F20" s="79">
        <f>F8*'Reference- NYSERDA Indirects'!$C$6</f>
        <v>4514.0552370000005</v>
      </c>
      <c r="G20" s="79">
        <f>G8*'Reference- NYSERDA Indirects'!$C$6</f>
        <v>4649.476894110001</v>
      </c>
      <c r="H20" s="79">
        <f>H8*'Reference- NYSERDA Indirects'!$C$6</f>
        <v>4788.9612009333014</v>
      </c>
      <c r="I20" s="104"/>
      <c r="J20" s="79">
        <f t="shared" ref="J20:J28" si="1">SUM(D20:H20)</f>
        <v>22590.001232043302</v>
      </c>
      <c r="K20" s="64"/>
    </row>
    <row r="21" spans="2:11" x14ac:dyDescent="0.25">
      <c r="B21" s="14"/>
      <c r="C21" s="7" t="str">
        <f>CONCATENATE("Fringe Benefits for ", 'Reference- Personnel&amp;Staff Aug'!H7," at ", 'Reference- NYSERDA Indirects'!$C$6)</f>
        <v>Fringe Benefits for Director at 0.6885</v>
      </c>
      <c r="D21" s="79">
        <f>D9*'Reference- NYSERDA Indirects'!$C$6</f>
        <v>2559.1682700000001</v>
      </c>
      <c r="E21" s="79">
        <f>E9*'Reference- NYSERDA Indirects'!$C$6</f>
        <v>2635.9433180999999</v>
      </c>
      <c r="F21" s="79">
        <f>F9*'Reference- NYSERDA Indirects'!$C$6</f>
        <v>2715.0216176430004</v>
      </c>
      <c r="G21" s="79">
        <f>G9*'Reference- NYSERDA Indirects'!$C$6</f>
        <v>2796.4722661722903</v>
      </c>
      <c r="H21" s="79">
        <f>H9*'Reference- NYSERDA Indirects'!$C$6</f>
        <v>2880.3664341574595</v>
      </c>
      <c r="I21" s="104"/>
      <c r="J21" s="79">
        <f t="shared" si="1"/>
        <v>13586.971906072751</v>
      </c>
      <c r="K21" s="64"/>
    </row>
    <row r="22" spans="2:11" x14ac:dyDescent="0.25">
      <c r="B22" s="14"/>
      <c r="C22" s="7" t="str">
        <f>CONCATENATE("Fringe Benefits for ", 'Reference- Personnel&amp;Staff Aug'!H8," at ", 'Reference- NYSERDA Indirects'!$C$6)</f>
        <v>Fringe Benefits for Vice President at 0.6885</v>
      </c>
      <c r="D22" s="79">
        <f>D10*'Reference- NYSERDA Indirects'!$C$6</f>
        <v>1388.7733500000002</v>
      </c>
      <c r="E22" s="79">
        <f>E10*'Reference- NYSERDA Indirects'!$C$6</f>
        <v>1430.4365505000003</v>
      </c>
      <c r="F22" s="79">
        <f>F10*'Reference- NYSERDA Indirects'!$C$6</f>
        <v>1473.3496470150003</v>
      </c>
      <c r="G22" s="79">
        <f>G10*'Reference- NYSERDA Indirects'!$C$6</f>
        <v>1517.5501364254503</v>
      </c>
      <c r="H22" s="79">
        <f>H10*'Reference- NYSERDA Indirects'!$C$6</f>
        <v>1563.0766405182139</v>
      </c>
      <c r="I22" s="104"/>
      <c r="J22" s="79">
        <f t="shared" si="1"/>
        <v>7373.1863244586648</v>
      </c>
      <c r="K22" s="64"/>
    </row>
    <row r="23" spans="2:11" x14ac:dyDescent="0.25">
      <c r="B23" s="14"/>
      <c r="C23" s="7" t="str">
        <f>CONCATENATE("Fringe Benefits for ", 'Reference- Personnel&amp;Staff Aug'!H9," at ", 'Reference- NYSERDA Indirects'!$C$6)</f>
        <v>Fringe Benefits for Project Manager at 0.6885</v>
      </c>
      <c r="D23" s="79">
        <f>D11*'Reference- NYSERDA Indirects'!$C$6</f>
        <v>1044.27549</v>
      </c>
      <c r="E23" s="79">
        <f>E11*'Reference- NYSERDA Indirects'!$C$6</f>
        <v>1075.6037547000001</v>
      </c>
      <c r="F23" s="79">
        <f>F11*'Reference- NYSERDA Indirects'!$C$6</f>
        <v>1107.8718673410001</v>
      </c>
      <c r="G23" s="79">
        <f>G11*'Reference- NYSERDA Indirects'!$C$6</f>
        <v>1141.1080233612302</v>
      </c>
      <c r="H23" s="79">
        <f>H11*'Reference- NYSERDA Indirects'!$C$6</f>
        <v>1175.341264062067</v>
      </c>
      <c r="I23" s="104"/>
      <c r="J23" s="79">
        <f t="shared" si="1"/>
        <v>5544.2003994642973</v>
      </c>
      <c r="K23" s="64"/>
    </row>
    <row r="24" spans="2:11" x14ac:dyDescent="0.25">
      <c r="B24" s="14"/>
      <c r="C24" s="7" t="str">
        <f>CONCATENATE("Fringe Benefits for ", 'Reference- Personnel&amp;Staff Aug'!H10," at ", 'Reference- NYSERDA Indirects'!$C$6)</f>
        <v>Fringe Benefits for Project Manager at 0.6885</v>
      </c>
      <c r="D24" s="79">
        <f>D12*'Reference- NYSERDA Indirects'!$C$6</f>
        <v>581.50710000000004</v>
      </c>
      <c r="E24" s="79">
        <f>E12*'Reference- NYSERDA Indirects'!$C$6</f>
        <v>598.95231300000012</v>
      </c>
      <c r="F24" s="79">
        <f>F12*'Reference- NYSERDA Indirects'!$C$6</f>
        <v>616.92088239000009</v>
      </c>
      <c r="G24" s="79">
        <f>G12*'Reference- NYSERDA Indirects'!$C$6</f>
        <v>635.42850886170015</v>
      </c>
      <c r="H24" s="79">
        <f>H12*'Reference- NYSERDA Indirects'!$C$6</f>
        <v>654.49136412755115</v>
      </c>
      <c r="I24" s="104"/>
      <c r="J24" s="79">
        <f t="shared" si="1"/>
        <v>3087.3001683792513</v>
      </c>
      <c r="K24" s="64"/>
    </row>
    <row r="25" spans="2:11" x14ac:dyDescent="0.25">
      <c r="B25" s="14"/>
      <c r="C25" s="7" t="str">
        <f>CONCATENATE("Fringe Benefits for ", 'Reference- Personnel&amp;Staff Aug'!H12," at ", 'Reference- NYSERDA Indirects'!$C$6)</f>
        <v>Fringe Benefits for Program Manager at 0.6885</v>
      </c>
      <c r="D25" s="79">
        <f>D13*'Reference- NYSERDA Indirects'!$C$6</f>
        <v>10282.747499999999</v>
      </c>
      <c r="E25" s="79">
        <f>E13*'Reference- NYSERDA Indirects'!$C$6</f>
        <v>10591.229925000001</v>
      </c>
      <c r="F25" s="79">
        <f>F13*'Reference- NYSERDA Indirects'!$C$6</f>
        <v>10908.966822750001</v>
      </c>
      <c r="G25" s="79">
        <f>G13*'Reference- NYSERDA Indirects'!$C$6</f>
        <v>11236.235827432502</v>
      </c>
      <c r="H25" s="79">
        <f>H13*'Reference- NYSERDA Indirects'!$C$6</f>
        <v>11573.322902255477</v>
      </c>
      <c r="I25" s="104"/>
      <c r="J25" s="79">
        <f t="shared" si="1"/>
        <v>54592.50297743798</v>
      </c>
      <c r="K25" s="64"/>
    </row>
    <row r="26" spans="2:11" x14ac:dyDescent="0.25">
      <c r="B26" s="14"/>
      <c r="C26" s="7" t="str">
        <f>CONCATENATE("Fringe Benefits for ", 'Reference- Personnel&amp;Staff Aug'!H13," at ", 'Reference- NYSERDA Indirects'!$C$6)</f>
        <v>Fringe Benefits for Senior Project Manager at 0.6885</v>
      </c>
      <c r="D26" s="79">
        <f>D14*'Reference- NYSERDA Indirects'!$C$6</f>
        <v>7687.3090500000008</v>
      </c>
      <c r="E26" s="79">
        <f>E14*'Reference- NYSERDA Indirects'!$C$6</f>
        <v>7917.9283215000014</v>
      </c>
      <c r="F26" s="79">
        <f>F14*'Reference- NYSERDA Indirects'!$C$6</f>
        <v>8155.4661711450017</v>
      </c>
      <c r="G26" s="79">
        <f>G14*'Reference- NYSERDA Indirects'!$C$6</f>
        <v>8400.1301562793524</v>
      </c>
      <c r="H26" s="79">
        <f>H14*'Reference- NYSERDA Indirects'!$C$6</f>
        <v>8652.1340609677318</v>
      </c>
      <c r="I26" s="104"/>
      <c r="J26" s="79">
        <f t="shared" si="1"/>
        <v>40812.96775989209</v>
      </c>
      <c r="K26" s="64"/>
    </row>
    <row r="27" spans="2:11" x14ac:dyDescent="0.25">
      <c r="B27" s="14"/>
      <c r="C27" s="7" t="str">
        <f>CONCATENATE("Fringe Benefits for ", 'Reference- Personnel&amp;Staff Aug'!H14," at ", 'Reference- NYSERDA Indirects'!$C$6)</f>
        <v>Fringe Benefits for Project Manager at 0.6885</v>
      </c>
      <c r="D27" s="79">
        <f>D15*'Reference- NYSERDA Indirects'!$C$6</f>
        <v>6771.8794500000004</v>
      </c>
      <c r="E27" s="79">
        <f>E15*'Reference- NYSERDA Indirects'!$C$6</f>
        <v>6975.0358335000001</v>
      </c>
      <c r="F27" s="79">
        <f>F15*'Reference- NYSERDA Indirects'!$C$6</f>
        <v>7184.2869085050015</v>
      </c>
      <c r="G27" s="79">
        <f>G15*'Reference- NYSERDA Indirects'!$C$6</f>
        <v>7399.8155157601514</v>
      </c>
      <c r="H27" s="79">
        <f>H15*'Reference- NYSERDA Indirects'!$C$6</f>
        <v>7621.8099812329565</v>
      </c>
      <c r="I27" s="104"/>
      <c r="J27" s="79">
        <f t="shared" si="1"/>
        <v>35952.827688998106</v>
      </c>
      <c r="K27" s="64"/>
    </row>
    <row r="28" spans="2:11" x14ac:dyDescent="0.25">
      <c r="B28" s="14"/>
      <c r="C28" s="7" t="str">
        <f>CONCATENATE("Fringe Benefits for ", 'Reference- Personnel&amp;Staff Aug'!H16," at ", 'Reference- NYSERDA Indirects'!$C$6)</f>
        <v>Fringe Benefits for Project Manager at 0.6885</v>
      </c>
      <c r="D28" s="79">
        <f>D16*'Reference- NYSERDA Indirects'!$C$6</f>
        <v>1304.88651</v>
      </c>
      <c r="E28" s="79">
        <f>E16*'Reference- NYSERDA Indirects'!$C$6</f>
        <v>1344.0331053</v>
      </c>
      <c r="F28" s="79">
        <f>F16*'Reference- NYSERDA Indirects'!$C$6</f>
        <v>1384.3540984590002</v>
      </c>
      <c r="G28" s="79">
        <f>G16*'Reference- NYSERDA Indirects'!$C$6</f>
        <v>1425.88472141277</v>
      </c>
      <c r="H28" s="79">
        <f>H16*'Reference- NYSERDA Indirects'!$C$6</f>
        <v>1468.6612630551533</v>
      </c>
      <c r="I28" s="104"/>
      <c r="J28" s="79">
        <f t="shared" si="1"/>
        <v>6927.8196982269237</v>
      </c>
      <c r="K28" s="64"/>
    </row>
    <row r="29" spans="2:11" x14ac:dyDescent="0.25">
      <c r="B29" s="14"/>
      <c r="C29" s="85"/>
      <c r="D29" s="79"/>
      <c r="E29" s="79"/>
      <c r="F29" s="79"/>
      <c r="G29" s="79"/>
      <c r="H29" s="79"/>
      <c r="I29" s="104"/>
      <c r="J29" s="79"/>
      <c r="K29" s="64"/>
    </row>
    <row r="30" spans="2:11" x14ac:dyDescent="0.25">
      <c r="B30" s="14"/>
      <c r="C30" s="6" t="s">
        <v>11</v>
      </c>
      <c r="D30" s="83">
        <f>SUM(D19:D29)</f>
        <v>35875.476719999991</v>
      </c>
      <c r="E30" s="83">
        <f>SUM(E19:E29)</f>
        <v>36951.741021599999</v>
      </c>
      <c r="F30" s="83">
        <f>SUM(F19:F29)</f>
        <v>38060.293252248011</v>
      </c>
      <c r="G30" s="83">
        <f>SUM(G19:G29)</f>
        <v>39202.102049815447</v>
      </c>
      <c r="H30" s="83">
        <f>SUM(H19:H29)</f>
        <v>40378.165111309907</v>
      </c>
      <c r="I30" s="104"/>
      <c r="J30" s="83">
        <f>SUM(J19:J29)</f>
        <v>190467.77815497338</v>
      </c>
      <c r="K30" s="64"/>
    </row>
    <row r="31" spans="2:11" x14ac:dyDescent="0.25">
      <c r="B31" s="14"/>
      <c r="C31" s="9" t="s">
        <v>36</v>
      </c>
      <c r="D31" s="81" t="s">
        <v>33</v>
      </c>
      <c r="E31" s="7"/>
      <c r="F31" s="7"/>
      <c r="G31" s="7"/>
      <c r="H31" s="7"/>
      <c r="J31" s="65" t="s">
        <v>33</v>
      </c>
    </row>
    <row r="32" spans="2:11" x14ac:dyDescent="0.25">
      <c r="B32" s="14"/>
      <c r="C32" s="44"/>
      <c r="D32" s="81"/>
      <c r="E32" s="7"/>
      <c r="F32" s="7"/>
      <c r="G32" s="7"/>
      <c r="H32" s="7"/>
      <c r="J32" s="79"/>
    </row>
    <row r="33" spans="2:10" x14ac:dyDescent="0.25">
      <c r="B33" s="14"/>
      <c r="C33" s="6" t="s">
        <v>12</v>
      </c>
      <c r="D33" s="83">
        <f>SUM(D31:D32)</f>
        <v>0</v>
      </c>
      <c r="E33" s="83">
        <f t="shared" ref="E33:H33" si="2">SUM(E31:E32)</f>
        <v>0</v>
      </c>
      <c r="F33" s="83">
        <f t="shared" si="2"/>
        <v>0</v>
      </c>
      <c r="G33" s="83">
        <f t="shared" si="2"/>
        <v>0</v>
      </c>
      <c r="H33" s="83">
        <f t="shared" si="2"/>
        <v>0</v>
      </c>
      <c r="J33" s="83">
        <f>SUM(D33:H33)</f>
        <v>0</v>
      </c>
    </row>
    <row r="34" spans="2:10" x14ac:dyDescent="0.25">
      <c r="B34" s="14"/>
      <c r="C34" s="9" t="s">
        <v>37</v>
      </c>
      <c r="D34" s="27"/>
      <c r="E34" s="7"/>
      <c r="F34" s="7"/>
      <c r="G34" s="7"/>
      <c r="H34" s="7"/>
      <c r="J34" s="68" t="s">
        <v>18</v>
      </c>
    </row>
    <row r="35" spans="2:10" x14ac:dyDescent="0.25">
      <c r="B35" s="14"/>
      <c r="C35" s="44"/>
      <c r="D35" s="27"/>
      <c r="E35" s="7"/>
      <c r="F35" s="7"/>
      <c r="G35" s="7"/>
      <c r="H35" s="7"/>
      <c r="J35" s="79"/>
    </row>
    <row r="36" spans="2:10" x14ac:dyDescent="0.25">
      <c r="B36" s="14"/>
      <c r="C36" s="6" t="s">
        <v>13</v>
      </c>
      <c r="D36" s="83">
        <f>SUM(D35:D35)</f>
        <v>0</v>
      </c>
      <c r="E36" s="83">
        <f>SUM(E35:E35)</f>
        <v>0</v>
      </c>
      <c r="F36" s="83">
        <f>SUM(F35:F35)</f>
        <v>0</v>
      </c>
      <c r="G36" s="83">
        <f>SUM(G35:G35)</f>
        <v>0</v>
      </c>
      <c r="H36" s="83">
        <f>SUM(H35:H35)</f>
        <v>0</v>
      </c>
      <c r="J36" s="83">
        <f t="shared" ref="J36:J47" si="3">SUM(D36:H36)</f>
        <v>0</v>
      </c>
    </row>
    <row r="37" spans="2:10" x14ac:dyDescent="0.25">
      <c r="B37" s="14"/>
      <c r="C37" s="9" t="s">
        <v>38</v>
      </c>
      <c r="D37" s="81" t="s">
        <v>33</v>
      </c>
      <c r="E37" s="7"/>
      <c r="F37" s="7"/>
      <c r="G37" s="7"/>
      <c r="H37" s="7"/>
      <c r="J37" s="68"/>
    </row>
    <row r="38" spans="2:10" x14ac:dyDescent="0.25">
      <c r="B38" s="14"/>
      <c r="C38" s="44"/>
      <c r="D38" s="27"/>
      <c r="E38" s="27"/>
      <c r="F38" s="27"/>
      <c r="G38" s="27"/>
      <c r="H38" s="27"/>
      <c r="I38" s="20"/>
      <c r="J38" s="79"/>
    </row>
    <row r="39" spans="2:10" x14ac:dyDescent="0.25">
      <c r="B39" s="14"/>
      <c r="C39" s="6" t="s">
        <v>14</v>
      </c>
      <c r="D39" s="83">
        <f>SUM(D38:D38)</f>
        <v>0</v>
      </c>
      <c r="E39" s="83">
        <f>SUM(E38:E38)</f>
        <v>0</v>
      </c>
      <c r="F39" s="83">
        <f>SUM(F38:F38)</f>
        <v>0</v>
      </c>
      <c r="G39" s="83">
        <f>SUM(G38:G38)</f>
        <v>0</v>
      </c>
      <c r="H39" s="83">
        <f>SUM(H38:H38)</f>
        <v>0</v>
      </c>
      <c r="J39" s="83">
        <f t="shared" si="3"/>
        <v>0</v>
      </c>
    </row>
    <row r="40" spans="2:10" x14ac:dyDescent="0.25">
      <c r="B40" s="14"/>
      <c r="C40" s="9" t="s">
        <v>39</v>
      </c>
      <c r="D40" s="81" t="s">
        <v>33</v>
      </c>
      <c r="E40" s="7"/>
      <c r="F40" s="7"/>
      <c r="G40" s="7"/>
      <c r="H40" s="7"/>
      <c r="J40" s="68"/>
    </row>
    <row r="41" spans="2:10" ht="75" x14ac:dyDescent="0.25">
      <c r="B41" s="14"/>
      <c r="C41" s="45" t="s">
        <v>95</v>
      </c>
      <c r="D41" s="79">
        <f>'Reference- CBO Stakeholders'!B13</f>
        <v>3600</v>
      </c>
      <c r="E41" s="79">
        <f>'Reference- CBO Stakeholders'!C13</f>
        <v>0</v>
      </c>
      <c r="F41" s="79">
        <f>'Reference- CBO Stakeholders'!D13</f>
        <v>0</v>
      </c>
      <c r="G41" s="79">
        <f>'Reference- CBO Stakeholders'!E13</f>
        <v>0</v>
      </c>
      <c r="H41" s="79">
        <f>'Reference- CBO Stakeholders'!F13</f>
        <v>1800</v>
      </c>
      <c r="I41" s="105"/>
      <c r="J41" s="79">
        <f t="shared" si="3"/>
        <v>5400</v>
      </c>
    </row>
    <row r="42" spans="2:10" ht="45" x14ac:dyDescent="0.25">
      <c r="B42" s="14"/>
      <c r="C42" s="45" t="s">
        <v>97</v>
      </c>
      <c r="D42" s="79">
        <f>SUMPRODUCT('Reference- Personnel&amp;Staff Aug'!L6:L7,'Reference- Personnel&amp;Staff Aug'!P6:P7)</f>
        <v>282360</v>
      </c>
      <c r="E42" s="79">
        <f>D42*'Reference- Personnel&amp;Staff Aug'!$J$16</f>
        <v>290830.8</v>
      </c>
      <c r="F42" s="79">
        <f>E42*'Reference- Personnel&amp;Staff Aug'!$J$16</f>
        <v>299555.72399999999</v>
      </c>
      <c r="G42" s="79">
        <f>F42*'Reference- Personnel&amp;Staff Aug'!$J$16</f>
        <v>308542.39571999997</v>
      </c>
      <c r="H42" s="79">
        <f>G42*'Reference- Personnel&amp;Staff Aug'!$J$16</f>
        <v>317798.66759159998</v>
      </c>
      <c r="I42" s="105"/>
      <c r="J42" s="79">
        <f>SUM(D42:H42)</f>
        <v>1499087.5873115999</v>
      </c>
    </row>
    <row r="43" spans="2:10" ht="30" x14ac:dyDescent="0.25">
      <c r="B43" s="14"/>
      <c r="C43" s="45" t="s">
        <v>45</v>
      </c>
      <c r="D43" s="79">
        <f>IF($N$7&gt;0,$M$7/$N$7,0)</f>
        <v>432000</v>
      </c>
      <c r="E43" s="79">
        <f>IF($N$7&gt;1,$M$7/$N$7,0)</f>
        <v>432000</v>
      </c>
      <c r="F43" s="79">
        <f>IF($N$7&gt;2,$M$7/$N$7,0)</f>
        <v>432000</v>
      </c>
      <c r="G43" s="79">
        <f>IF($N$7&gt;3,$M$7/$N$7,0)</f>
        <v>432000</v>
      </c>
      <c r="H43" s="79">
        <f>IF($N$7&gt;4,$M$7/$N$7,0)</f>
        <v>432000</v>
      </c>
      <c r="I43" s="105"/>
      <c r="J43" s="79">
        <f t="shared" si="3"/>
        <v>2160000</v>
      </c>
    </row>
    <row r="44" spans="2:10" x14ac:dyDescent="0.25">
      <c r="B44" s="14"/>
      <c r="C44" s="44"/>
      <c r="D44" s="79"/>
      <c r="E44" s="79"/>
      <c r="F44" s="79"/>
      <c r="G44" s="79"/>
      <c r="H44" s="79"/>
      <c r="I44" s="64"/>
      <c r="J44" s="79">
        <f t="shared" si="3"/>
        <v>0</v>
      </c>
    </row>
    <row r="45" spans="2:10" x14ac:dyDescent="0.25">
      <c r="B45" s="14"/>
      <c r="C45" s="6" t="s">
        <v>15</v>
      </c>
      <c r="D45" s="83">
        <f>SUM(D41:D44)</f>
        <v>717960</v>
      </c>
      <c r="E45" s="83">
        <f>SUM(E41:E44)</f>
        <v>722830.8</v>
      </c>
      <c r="F45" s="83">
        <f>SUM(F41:F44)</f>
        <v>731555.72399999993</v>
      </c>
      <c r="G45" s="83">
        <f>SUM(G41:G44)</f>
        <v>740542.39571999991</v>
      </c>
      <c r="H45" s="83">
        <f>SUM(H41:H44)</f>
        <v>751598.66759159998</v>
      </c>
      <c r="I45" s="64"/>
      <c r="J45" s="83">
        <f t="shared" si="3"/>
        <v>3664487.5873116003</v>
      </c>
    </row>
    <row r="46" spans="2:10" x14ac:dyDescent="0.25">
      <c r="B46" s="14"/>
      <c r="C46" s="9" t="s">
        <v>40</v>
      </c>
      <c r="D46" s="79" t="s">
        <v>33</v>
      </c>
      <c r="E46" s="79"/>
      <c r="F46" s="79"/>
      <c r="G46" s="79"/>
      <c r="H46" s="79"/>
      <c r="I46" s="64"/>
      <c r="J46" s="68"/>
    </row>
    <row r="47" spans="2:10" ht="30" x14ac:dyDescent="0.25">
      <c r="B47" s="14"/>
      <c r="C47" s="45" t="s">
        <v>46</v>
      </c>
      <c r="D47" s="79">
        <f>IF($N$6&gt;0,$M$6/$N$6,0)</f>
        <v>16920000</v>
      </c>
      <c r="E47" s="79">
        <f>IF($N$6&gt;1,$M$6/$N$6,0)</f>
        <v>16920000</v>
      </c>
      <c r="F47" s="79">
        <f>IF($N$6&gt;2,$M$6/$N$6,0)</f>
        <v>0</v>
      </c>
      <c r="G47" s="79">
        <f>IF($N$6&gt;3,$M$6/$N$6,0)</f>
        <v>0</v>
      </c>
      <c r="H47" s="79">
        <f>IF($N$6&gt;4,$M$6/$N$6,0)</f>
        <v>0</v>
      </c>
      <c r="I47" s="105"/>
      <c r="J47" s="79">
        <f t="shared" si="3"/>
        <v>33840000</v>
      </c>
    </row>
    <row r="48" spans="2:10" x14ac:dyDescent="0.25">
      <c r="B48" s="14"/>
      <c r="C48" s="45"/>
      <c r="D48" s="79"/>
      <c r="E48" s="79"/>
      <c r="F48" s="79"/>
      <c r="G48" s="79"/>
      <c r="H48" s="79"/>
      <c r="I48" s="105"/>
      <c r="J48" s="79"/>
    </row>
    <row r="49" spans="2:10" x14ac:dyDescent="0.25">
      <c r="B49" s="15"/>
      <c r="C49" s="6" t="s">
        <v>16</v>
      </c>
      <c r="D49" s="83">
        <f>SUM(D46:D48)</f>
        <v>16920000</v>
      </c>
      <c r="E49" s="83">
        <f>SUM(E46:E48)</f>
        <v>16920000</v>
      </c>
      <c r="F49" s="83">
        <f>SUM(F46:F48)</f>
        <v>0</v>
      </c>
      <c r="G49" s="83">
        <f>SUM(G46:G48)</f>
        <v>0</v>
      </c>
      <c r="H49" s="83">
        <f>SUM(H46:H48)</f>
        <v>0</v>
      </c>
      <c r="I49" s="64"/>
      <c r="J49" s="83">
        <f>SUM(D49:H49)</f>
        <v>33840000</v>
      </c>
    </row>
    <row r="50" spans="2:10" x14ac:dyDescent="0.25">
      <c r="B50" s="15"/>
      <c r="C50" s="6" t="s">
        <v>17</v>
      </c>
      <c r="D50" s="83">
        <f>SUM(D49,D45,D39,D36,D33,D30,D18)</f>
        <v>17725942.19672</v>
      </c>
      <c r="E50" s="83">
        <f>SUM(E49,E45,E39,E36,E33,E30,E18)</f>
        <v>17733452.462621599</v>
      </c>
      <c r="F50" s="83">
        <f>SUM(F49,F45,F39,F36,F33,F30,F18)</f>
        <v>824896.03650024789</v>
      </c>
      <c r="G50" s="83">
        <f>SUM(G49,G45,G39,G36,G33,G30,G18)</f>
        <v>836682.91759525542</v>
      </c>
      <c r="H50" s="83">
        <f>SUM(H49,H45,H39,H36,H33,H30,H18)</f>
        <v>850623.40512311307</v>
      </c>
      <c r="I50" s="64"/>
      <c r="J50" s="83">
        <f>SUM(D50:H50)</f>
        <v>37971597.018560216</v>
      </c>
    </row>
    <row r="51" spans="2:10" x14ac:dyDescent="0.25">
      <c r="B51" s="4"/>
      <c r="D51"/>
      <c r="E51"/>
      <c r="H51"/>
      <c r="I51"/>
      <c r="J51" s="64" t="s">
        <v>18</v>
      </c>
    </row>
    <row r="52" spans="2:10" ht="15" customHeight="1" x14ac:dyDescent="0.25">
      <c r="B52" s="43" t="s">
        <v>41</v>
      </c>
      <c r="C52" s="10" t="s">
        <v>41</v>
      </c>
      <c r="D52" s="11"/>
      <c r="E52" s="11"/>
      <c r="F52" s="11"/>
      <c r="G52" s="11"/>
      <c r="H52" s="11"/>
      <c r="I52"/>
      <c r="J52" s="65" t="s">
        <v>18</v>
      </c>
    </row>
    <row r="53" spans="2:10" x14ac:dyDescent="0.25">
      <c r="B53" s="14"/>
      <c r="C53" s="45" t="str">
        <f>'Reference- NYSERDA Indirects'!B7</f>
        <v>NYSERDA Labor Overhead at 41.65%</v>
      </c>
      <c r="D53" s="79">
        <f>D$18*'Reference- NYSERDA Indirects'!$C7</f>
        <v>21702.448880000004</v>
      </c>
      <c r="E53" s="79">
        <f>E$18*'Reference- NYSERDA Indirects'!$C7</f>
        <v>22353.522346400001</v>
      </c>
      <c r="F53" s="79">
        <f>F$18*'Reference- NYSERDA Indirects'!$C7</f>
        <v>23024.128016792001</v>
      </c>
      <c r="G53" s="79">
        <f>G$18*'Reference- NYSERDA Indirects'!$C7</f>
        <v>23714.851857295762</v>
      </c>
      <c r="H53" s="79">
        <f>H$18*'Reference- NYSERDA Indirects'!$C7</f>
        <v>24426.297413014636</v>
      </c>
      <c r="J53" s="79">
        <f>SUM(D53:H53)</f>
        <v>115221.24851350239</v>
      </c>
    </row>
    <row r="54" spans="2:10" x14ac:dyDescent="0.25">
      <c r="B54" s="14"/>
      <c r="C54" s="45" t="str">
        <f>'Reference- NYSERDA Indirects'!B8</f>
        <v>NYSERDA G&amp;A Expense at 51.97%</v>
      </c>
      <c r="D54" s="79">
        <f>D$18*'Reference- NYSERDA Indirects'!$C8</f>
        <v>27079.862384000007</v>
      </c>
      <c r="E54" s="79">
        <f>E$18*'Reference- NYSERDA Indirects'!$C8</f>
        <v>27892.258255520002</v>
      </c>
      <c r="F54" s="79">
        <f>F$18*'Reference- NYSERDA Indirects'!$C8</f>
        <v>28729.026003185605</v>
      </c>
      <c r="G54" s="79">
        <f>G$18*'Reference- NYSERDA Indirects'!$C8</f>
        <v>29590.896783281176</v>
      </c>
      <c r="H54" s="79">
        <f>H$18*'Reference- NYSERDA Indirects'!$C8</f>
        <v>30478.623686779611</v>
      </c>
      <c r="J54" s="79">
        <f>SUM(D54:H54)</f>
        <v>143770.66711276642</v>
      </c>
    </row>
    <row r="55" spans="2:10" x14ac:dyDescent="0.25">
      <c r="B55" s="14"/>
      <c r="C55" s="45" t="str">
        <f>'Reference- NYSERDA Indirects'!B9</f>
        <v>NYSERDA Cost Recovery Fee at 1.01%</v>
      </c>
      <c r="D55" s="79">
        <f>SUM(D50, D53, D54)*'Reference- NYSERDA Indirects'!$C9</f>
        <v>179524.71753063836</v>
      </c>
      <c r="E55" s="79">
        <f>SUM(E50, E53, E54)*'Reference- NYSERDA Indirects'!$C9</f>
        <v>179615.35225655753</v>
      </c>
      <c r="F55" s="79">
        <f>SUM(F50, F53, F54)*'Reference- NYSERDA Indirects'!$C9</f>
        <v>8854.156824254278</v>
      </c>
      <c r="G55" s="79">
        <f>SUM(G50, G53, G54)*'Reference- NYSERDA Indirects'!$C9</f>
        <v>8988.8855289819057</v>
      </c>
      <c r="H55" s="79">
        <f>SUM(H50, H53, H54)*'Reference- NYSERDA Indirects'!$C9</f>
        <v>9145.8360948513637</v>
      </c>
      <c r="J55" s="79">
        <f t="shared" ref="J55" si="4">SUM(D55:H55)</f>
        <v>386128.94823528343</v>
      </c>
    </row>
    <row r="56" spans="2:10" x14ac:dyDescent="0.25">
      <c r="B56" s="15"/>
      <c r="C56" s="6" t="s">
        <v>19</v>
      </c>
      <c r="D56" s="83">
        <f>SUM(D52:D55)</f>
        <v>228307.02879463838</v>
      </c>
      <c r="E56" s="83">
        <f t="shared" ref="E56:H56" si="5">SUM(E52:E55)</f>
        <v>229861.13285847753</v>
      </c>
      <c r="F56" s="83">
        <f t="shared" si="5"/>
        <v>60607.310844231884</v>
      </c>
      <c r="G56" s="83">
        <f t="shared" si="5"/>
        <v>62294.634169558842</v>
      </c>
      <c r="H56" s="83">
        <f t="shared" si="5"/>
        <v>64050.757194645608</v>
      </c>
      <c r="J56" s="83">
        <f>SUM(D56:H56)</f>
        <v>645120.86386155221</v>
      </c>
    </row>
    <row r="57" spans="2:10" ht="15.75" thickBot="1" x14ac:dyDescent="0.3">
      <c r="B57" s="4"/>
      <c r="D57" s="64"/>
      <c r="E57" s="64"/>
      <c r="F57" s="64"/>
      <c r="G57" s="64"/>
      <c r="H57" s="64"/>
      <c r="I57"/>
      <c r="J57" s="64" t="s">
        <v>18</v>
      </c>
    </row>
    <row r="58" spans="2:10" s="1" customFormat="1" ht="30.75" thickBot="1" x14ac:dyDescent="0.3">
      <c r="B58" s="12" t="s">
        <v>20</v>
      </c>
      <c r="C58" s="106"/>
      <c r="D58" s="107">
        <f>SUM(D56,D50)</f>
        <v>17954249.225514639</v>
      </c>
      <c r="E58" s="108">
        <f t="shared" ref="E58:J58" si="6">SUM(E56,E50)</f>
        <v>17963313.595480077</v>
      </c>
      <c r="F58" s="108">
        <f t="shared" si="6"/>
        <v>885503.34734447976</v>
      </c>
      <c r="G58" s="108">
        <f t="shared" si="6"/>
        <v>898977.5517648143</v>
      </c>
      <c r="H58" s="109">
        <f t="shared" si="6"/>
        <v>914674.16231775866</v>
      </c>
      <c r="I58" s="5"/>
      <c r="J58" s="110">
        <f t="shared" si="6"/>
        <v>38616717.882421769</v>
      </c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</sheetData>
  <sheetProtection algorithmName="SHA-512" hashValue="RE7/N0qPzHk3ZbZRGZ/g5HhCwg/tIVCpwsPIwInbQLzM0FL0jrsXicbLmQJMso19+hHtXP2j0RLdzHFwudhfkg==" saltValue="bxGR+nt7JROuEuu+fxeDNQ==" spinCount="100000" sheet="1" objects="1" scenarios="1"/>
  <pageMargins left="0.7" right="0.7" top="0.75" bottom="0.75" header="0.3" footer="0.3"/>
  <pageSetup scale="79" fitToHeight="0" orientation="landscape" r:id="rId1"/>
  <ignoredErrors>
    <ignoredError sqref="J43 J4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A1:AG71"/>
  <sheetViews>
    <sheetView showGridLines="0" topLeftCell="A6" zoomScale="85" zoomScaleNormal="85" workbookViewId="0">
      <selection activeCell="S28" sqref="S28"/>
    </sheetView>
  </sheetViews>
  <sheetFormatPr defaultColWidth="9.140625" defaultRowHeight="15" x14ac:dyDescent="0.25"/>
  <cols>
    <col min="1" max="1" width="3.140625" customWidth="1"/>
    <col min="2" max="2" width="12.7109375" customWidth="1"/>
    <col min="3" max="3" width="60.7109375" customWidth="1"/>
    <col min="4" max="4" width="12.7109375" style="4" customWidth="1"/>
    <col min="5" max="5" width="12.7109375" style="2" customWidth="1"/>
    <col min="6" max="7" width="12.7109375" customWidth="1"/>
    <col min="8" max="8" width="12.7109375" style="2" customWidth="1"/>
    <col min="9" max="9" width="1.7109375" style="5" customWidth="1"/>
    <col min="10" max="10" width="12.7109375" style="64" bestFit="1" customWidth="1"/>
    <col min="11" max="11" width="12.7109375" customWidth="1"/>
    <col min="12" max="12" width="22.85546875" hidden="1" customWidth="1"/>
    <col min="13" max="13" width="21" hidden="1" customWidth="1"/>
    <col min="14" max="14" width="10.28515625" hidden="1" customWidth="1"/>
  </cols>
  <sheetData>
    <row r="1" spans="1:33" x14ac:dyDescent="0.25">
      <c r="B1" t="s">
        <v>116</v>
      </c>
    </row>
    <row r="2" spans="1:33" ht="23.25" x14ac:dyDescent="0.35">
      <c r="B2" s="19" t="s">
        <v>104</v>
      </c>
    </row>
    <row r="3" spans="1:33" x14ac:dyDescent="0.25">
      <c r="B3" s="38"/>
    </row>
    <row r="4" spans="1:33" ht="18.75" x14ac:dyDescent="0.3">
      <c r="B4" s="60" t="s">
        <v>27</v>
      </c>
      <c r="C4" s="60" t="s">
        <v>101</v>
      </c>
      <c r="E4" s="82"/>
      <c r="H4" s="82"/>
    </row>
    <row r="5" spans="1:33" ht="18.75" x14ac:dyDescent="0.3">
      <c r="B5" s="21" t="s">
        <v>0</v>
      </c>
      <c r="C5" s="22"/>
      <c r="D5" s="22"/>
      <c r="E5" s="22"/>
      <c r="F5" s="22"/>
      <c r="G5" s="22"/>
      <c r="H5" s="22"/>
      <c r="I5" s="22"/>
      <c r="J5" s="73"/>
      <c r="L5" s="10" t="s">
        <v>28</v>
      </c>
      <c r="M5" s="10" t="s">
        <v>29</v>
      </c>
      <c r="N5" s="10" t="s">
        <v>30</v>
      </c>
    </row>
    <row r="6" spans="1:33" x14ac:dyDescent="0.25">
      <c r="B6" s="84" t="s">
        <v>1</v>
      </c>
      <c r="C6" s="23" t="s">
        <v>2</v>
      </c>
      <c r="D6" s="23" t="s">
        <v>3</v>
      </c>
      <c r="E6" s="24" t="s">
        <v>4</v>
      </c>
      <c r="F6" s="24" t="s">
        <v>5</v>
      </c>
      <c r="G6" s="24" t="s">
        <v>6</v>
      </c>
      <c r="H6" s="25" t="s">
        <v>7</v>
      </c>
      <c r="I6" s="26"/>
      <c r="J6" s="74" t="s">
        <v>8</v>
      </c>
      <c r="L6" s="11" t="s">
        <v>31</v>
      </c>
      <c r="M6" s="47">
        <v>34000000</v>
      </c>
      <c r="N6" s="11">
        <v>5</v>
      </c>
    </row>
    <row r="7" spans="1:33" s="3" customFormat="1" x14ac:dyDescent="0.25">
      <c r="A7"/>
      <c r="B7" s="13" t="s">
        <v>9</v>
      </c>
      <c r="C7" s="17" t="s">
        <v>32</v>
      </c>
      <c r="D7" s="7" t="s">
        <v>33</v>
      </c>
      <c r="E7" s="7" t="s">
        <v>33</v>
      </c>
      <c r="F7" s="7" t="s">
        <v>33</v>
      </c>
      <c r="G7" s="7"/>
      <c r="H7" s="7" t="s">
        <v>33</v>
      </c>
      <c r="I7" s="5"/>
      <c r="J7" s="65" t="s">
        <v>33</v>
      </c>
      <c r="K7"/>
      <c r="L7" s="11" t="s">
        <v>34</v>
      </c>
      <c r="M7" s="47">
        <v>1000000</v>
      </c>
      <c r="N7" s="11">
        <v>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</row>
    <row r="8" spans="1:33" x14ac:dyDescent="0.25">
      <c r="B8" s="14"/>
      <c r="C8" s="53" t="str">
        <f>CONCATENATE('Reference- Personnel&amp;Staff Aug'!H6, " at $",'Reference- Personnel&amp;Staff Aug'!C21,"/yr, ",'Reference- Personnel&amp;Staff Aug'!E6," FTE with salary increase")</f>
        <v>Program Manager at $123600/yr, 0.05 FTE with salary increase</v>
      </c>
      <c r="D8" s="76">
        <f>'Reference- Personnel&amp;Staff Aug'!$E6*'Reference- Personnel&amp;Staff Aug'!$C21</f>
        <v>6180</v>
      </c>
      <c r="E8" s="76">
        <f>D8*'Reference- Personnel&amp;Staff Aug'!$D$21</f>
        <v>6365.4000000000005</v>
      </c>
      <c r="F8" s="76">
        <f>E8*'Reference- Personnel&amp;Staff Aug'!$D$21</f>
        <v>6556.362000000001</v>
      </c>
      <c r="G8" s="76">
        <f>F8*'Reference- Personnel&amp;Staff Aug'!$D$21</f>
        <v>6753.0528600000016</v>
      </c>
      <c r="H8" s="76">
        <f>G8*'Reference- Personnel&amp;Staff Aug'!$D$21</f>
        <v>6955.6444458000014</v>
      </c>
      <c r="I8" s="77"/>
      <c r="J8" s="78">
        <f>SUM(D8:H8)</f>
        <v>32810.45930580001</v>
      </c>
    </row>
    <row r="9" spans="1:33" x14ac:dyDescent="0.25">
      <c r="B9" s="14"/>
      <c r="C9" s="53" t="str">
        <f>CONCATENATE('Reference- Personnel&amp;Staff Aug'!H7, " at $",'Reference- Personnel&amp;Staff Aug'!C22,"/yr, ",'Reference- Personnel&amp;Staff Aug'!E7," FTE with salary increase")</f>
        <v>Director at $185851/yr, 0.02 FTE with salary increase</v>
      </c>
      <c r="D9" s="76">
        <f>'Reference- Personnel&amp;Staff Aug'!$E7*'Reference- Personnel&amp;Staff Aug'!$C22</f>
        <v>3717.02</v>
      </c>
      <c r="E9" s="76">
        <f>D9*'Reference- Personnel&amp;Staff Aug'!$D$21</f>
        <v>3828.5306</v>
      </c>
      <c r="F9" s="76">
        <f>E9*'Reference- Personnel&amp;Staff Aug'!$D$21</f>
        <v>3943.3865180000003</v>
      </c>
      <c r="G9" s="76">
        <f>F9*'Reference- Personnel&amp;Staff Aug'!$D$21</f>
        <v>4061.6881135400004</v>
      </c>
      <c r="H9" s="76">
        <f>G9*'Reference- Personnel&amp;Staff Aug'!$D$21</f>
        <v>4183.5387569462009</v>
      </c>
      <c r="I9" s="77"/>
      <c r="J9" s="78">
        <f t="shared" ref="J9:J15" si="0">SUM(D9:H9)</f>
        <v>19734.163988486202</v>
      </c>
    </row>
    <row r="10" spans="1:33" x14ac:dyDescent="0.25">
      <c r="B10" s="14"/>
      <c r="C10" s="53" t="str">
        <f>CONCATENATE('Reference- Personnel&amp;Staff Aug'!H8, " at $",'Reference- Personnel&amp;Staff Aug'!C23,"/yr, ",'Reference- Personnel&amp;Staff Aug'!E8," FTE with salary increase")</f>
        <v>Vice President at $201710/yr, 0.01 FTE with salary increase</v>
      </c>
      <c r="D10" s="76">
        <f>'Reference- Personnel&amp;Staff Aug'!$E8*'Reference- Personnel&amp;Staff Aug'!$C23</f>
        <v>2017.1000000000001</v>
      </c>
      <c r="E10" s="76">
        <f>D10*'Reference- Personnel&amp;Staff Aug'!$D$21</f>
        <v>2077.6130000000003</v>
      </c>
      <c r="F10" s="76">
        <f>E10*'Reference- Personnel&amp;Staff Aug'!$D$21</f>
        <v>2139.9413900000004</v>
      </c>
      <c r="G10" s="76">
        <f>F10*'Reference- Personnel&amp;Staff Aug'!$D$21</f>
        <v>2204.1396317000003</v>
      </c>
      <c r="H10" s="76">
        <f>G10*'Reference- Personnel&amp;Staff Aug'!$D$21</f>
        <v>2270.2638206510005</v>
      </c>
      <c r="I10" s="77"/>
      <c r="J10" s="78">
        <f t="shared" si="0"/>
        <v>10709.057842351001</v>
      </c>
    </row>
    <row r="11" spans="1:33" x14ac:dyDescent="0.25">
      <c r="B11" s="14"/>
      <c r="C11" s="53" t="str">
        <f>CONCATENATE('Reference- Personnel&amp;Staff Aug'!H9, " at $",'Reference- Personnel&amp;Staff Aug'!C24,"/yr, ",'Reference- Personnel&amp;Staff Aug'!E9," FTE with salary increase")</f>
        <v>Project Manager at $151674/yr, 0.01 FTE with salary increase</v>
      </c>
      <c r="D11" s="76">
        <f>'Reference- Personnel&amp;Staff Aug'!$E9*'Reference- Personnel&amp;Staff Aug'!$C24</f>
        <v>1516.74</v>
      </c>
      <c r="E11" s="76">
        <f>D11*'Reference- Personnel&amp;Staff Aug'!$D$21</f>
        <v>1562.2422000000001</v>
      </c>
      <c r="F11" s="76">
        <f>E11*'Reference- Personnel&amp;Staff Aug'!$D$21</f>
        <v>1609.1094660000001</v>
      </c>
      <c r="G11" s="76">
        <f>F11*'Reference- Personnel&amp;Staff Aug'!$D$21</f>
        <v>1657.3827499800002</v>
      </c>
      <c r="H11" s="76">
        <f>G11*'Reference- Personnel&amp;Staff Aug'!$D$21</f>
        <v>1707.1042324794003</v>
      </c>
      <c r="I11" s="77"/>
      <c r="J11" s="78">
        <f t="shared" si="0"/>
        <v>8052.5786484594009</v>
      </c>
    </row>
    <row r="12" spans="1:33" x14ac:dyDescent="0.25">
      <c r="B12" s="14"/>
      <c r="C12" s="53" t="str">
        <f>CONCATENATE('Reference- Personnel&amp;Staff Aug'!H10, " at $",'Reference- Personnel&amp;Staff Aug'!C25,"/yr, ",'Reference- Personnel&amp;Staff Aug'!E10," FTE with salary increase")</f>
        <v>Project Manager at $84460/yr, 0.01 FTE with salary increase</v>
      </c>
      <c r="D12" s="76">
        <f>'Reference- Personnel&amp;Staff Aug'!$E10*'Reference- Personnel&amp;Staff Aug'!$C25</f>
        <v>844.6</v>
      </c>
      <c r="E12" s="76">
        <f>D12*'Reference- Personnel&amp;Staff Aug'!$D$21</f>
        <v>869.9380000000001</v>
      </c>
      <c r="F12" s="76">
        <f>E12*'Reference- Personnel&amp;Staff Aug'!$D$21</f>
        <v>896.03614000000016</v>
      </c>
      <c r="G12" s="76">
        <f>F12*'Reference- Personnel&amp;Staff Aug'!$D$21</f>
        <v>922.91722420000019</v>
      </c>
      <c r="H12" s="76">
        <f>G12*'Reference- Personnel&amp;Staff Aug'!$D$21</f>
        <v>950.6047409260002</v>
      </c>
      <c r="I12" s="77"/>
      <c r="J12" s="78">
        <f t="shared" si="0"/>
        <v>4484.0961051260001</v>
      </c>
    </row>
    <row r="13" spans="1:33" x14ac:dyDescent="0.25">
      <c r="B13" s="14"/>
      <c r="C13" s="53" t="str">
        <f>CONCATENATE('Reference- Personnel&amp;Staff Aug'!H11, " at $",'Reference- Personnel&amp;Staff Aug'!C26,"/yr, ",'Reference- Personnel&amp;Staff Aug'!E11," FTE with salary increase")</f>
        <v>Project Manager at $88000/yr, 0.2 FTE with salary increase</v>
      </c>
      <c r="D13" s="76">
        <f>'Reference- Personnel&amp;Staff Aug'!$E11*'Reference- Personnel&amp;Staff Aug'!$C26</f>
        <v>17600</v>
      </c>
      <c r="E13" s="76">
        <f>D13*'Reference- Personnel&amp;Staff Aug'!$D$21</f>
        <v>18128</v>
      </c>
      <c r="F13" s="76">
        <f>E13*'Reference- Personnel&amp;Staff Aug'!$D$21</f>
        <v>18671.84</v>
      </c>
      <c r="G13" s="76">
        <f>F13*'Reference- Personnel&amp;Staff Aug'!$D$21</f>
        <v>19231.995200000001</v>
      </c>
      <c r="H13" s="76">
        <f>G13*'Reference- Personnel&amp;Staff Aug'!$D$21</f>
        <v>19808.955056000003</v>
      </c>
      <c r="I13" s="77"/>
      <c r="J13" s="78">
        <f t="shared" si="0"/>
        <v>93440.790256000008</v>
      </c>
    </row>
    <row r="14" spans="1:33" x14ac:dyDescent="0.25">
      <c r="B14" s="14"/>
      <c r="C14" s="53" t="str">
        <f>CONCATENATE('Reference- Personnel&amp;Staff Aug'!H15, " at $",'Reference- Personnel&amp;Staff Aug'!C30,"/yr, ",'Reference- Personnel&amp;Staff Aug'!E15," FTE with salary increase")</f>
        <v>Program Manager at $151674/yr, 0.1 FTE with salary increase</v>
      </c>
      <c r="D14" s="76">
        <f>'Reference- Personnel&amp;Staff Aug'!$E15*'Reference- Personnel&amp;Staff Aug'!$C30</f>
        <v>15167.400000000001</v>
      </c>
      <c r="E14" s="76">
        <f>D14*'Reference- Personnel&amp;Staff Aug'!$D$21</f>
        <v>15622.422000000002</v>
      </c>
      <c r="F14" s="76">
        <f>E14*'Reference- Personnel&amp;Staff Aug'!$D$21</f>
        <v>16091.094660000002</v>
      </c>
      <c r="G14" s="76">
        <f>F14*'Reference- Personnel&amp;Staff Aug'!$D$21</f>
        <v>16573.827499800002</v>
      </c>
      <c r="H14" s="76">
        <f>G14*'Reference- Personnel&amp;Staff Aug'!$D$21</f>
        <v>17071.042324794002</v>
      </c>
      <c r="I14" s="77"/>
      <c r="J14" s="78">
        <f t="shared" si="0"/>
        <v>80525.786484594006</v>
      </c>
    </row>
    <row r="15" spans="1:33" x14ac:dyDescent="0.25">
      <c r="B15" s="14"/>
      <c r="C15" s="53" t="str">
        <f>CONCATENATE('Reference- Personnel&amp;Staff Aug'!H16, " at $",'Reference- Personnel&amp;Staff Aug'!C31,"/yr, ",'Reference- Personnel&amp;Staff Aug'!E16," FTE with salary increase")</f>
        <v>Project Manager at $94763/yr, 0.01 FTE with salary increase</v>
      </c>
      <c r="D15" s="76">
        <f>'Reference- Personnel&amp;Staff Aug'!$E16*'Reference- Personnel&amp;Staff Aug'!$C31</f>
        <v>947.63</v>
      </c>
      <c r="E15" s="76">
        <f>D15*'Reference- Personnel&amp;Staff Aug'!$D$21</f>
        <v>976.05889999999999</v>
      </c>
      <c r="F15" s="76">
        <f>E15*'Reference- Personnel&amp;Staff Aug'!$D$21</f>
        <v>1005.3406670000001</v>
      </c>
      <c r="G15" s="76">
        <f>F15*'Reference- Personnel&amp;Staff Aug'!$D$21</f>
        <v>1035.50088701</v>
      </c>
      <c r="H15" s="76">
        <f>G15*'Reference- Personnel&amp;Staff Aug'!$D$21</f>
        <v>1066.5659136203001</v>
      </c>
      <c r="I15" s="77"/>
      <c r="J15" s="78">
        <f t="shared" si="0"/>
        <v>5031.0963676302999</v>
      </c>
    </row>
    <row r="16" spans="1:33" x14ac:dyDescent="0.25">
      <c r="B16" s="14"/>
      <c r="C16" s="75"/>
      <c r="D16" s="76"/>
      <c r="E16" s="76"/>
      <c r="F16" s="76"/>
      <c r="G16" s="76"/>
      <c r="H16" s="76"/>
      <c r="I16" s="77"/>
      <c r="J16" s="78"/>
    </row>
    <row r="17" spans="2:10" x14ac:dyDescent="0.25">
      <c r="B17" s="14"/>
      <c r="C17" s="6" t="s">
        <v>10</v>
      </c>
      <c r="D17" s="83">
        <f>SUM(D7:D16)</f>
        <v>47990.49</v>
      </c>
      <c r="E17" s="83">
        <f>SUM(E7:E16)</f>
        <v>49430.204700000002</v>
      </c>
      <c r="F17" s="83">
        <f>SUM(F7:F16)</f>
        <v>50913.110841000002</v>
      </c>
      <c r="G17" s="83">
        <f>SUM(G7:G16)</f>
        <v>52440.504166230006</v>
      </c>
      <c r="H17" s="83">
        <f>SUM(H7:H16)</f>
        <v>54013.719291216912</v>
      </c>
      <c r="I17" s="104">
        <f>SUM(I16:I16)</f>
        <v>0</v>
      </c>
      <c r="J17" s="83">
        <f>SUM(J7:J16)</f>
        <v>254788.02899844688</v>
      </c>
    </row>
    <row r="18" spans="2:10" x14ac:dyDescent="0.25">
      <c r="B18" s="14"/>
      <c r="C18" s="9" t="s">
        <v>35</v>
      </c>
      <c r="D18" s="55" t="s">
        <v>33</v>
      </c>
      <c r="E18" s="55"/>
      <c r="F18" s="55"/>
      <c r="G18" s="55"/>
      <c r="H18" s="55"/>
      <c r="I18" s="64"/>
      <c r="J18" s="56"/>
    </row>
    <row r="19" spans="2:10" x14ac:dyDescent="0.25">
      <c r="B19" s="14"/>
      <c r="C19" s="7" t="str">
        <f>CONCATENATE("Fringe Benefits for ", 'Reference- Personnel&amp;Staff Aug'!H6," at ", 'Reference- NYSERDA Indirects'!$C$6)</f>
        <v>Fringe Benefits for Program Manager at 0.6885</v>
      </c>
      <c r="D19" s="79">
        <f>D8*'Reference- NYSERDA Indirects'!$C$6</f>
        <v>4254.93</v>
      </c>
      <c r="E19" s="79">
        <f>E8*'Reference- NYSERDA Indirects'!$C$6</f>
        <v>4382.5779000000002</v>
      </c>
      <c r="F19" s="79">
        <f>F8*'Reference- NYSERDA Indirects'!$C$6</f>
        <v>4514.0552370000005</v>
      </c>
      <c r="G19" s="79">
        <f>G8*'Reference- NYSERDA Indirects'!$C$6</f>
        <v>4649.476894110001</v>
      </c>
      <c r="H19" s="79">
        <f>H8*'Reference- NYSERDA Indirects'!$C$6</f>
        <v>4788.9612009333014</v>
      </c>
      <c r="I19" s="104"/>
      <c r="J19" s="79">
        <f t="shared" ref="J19:J26" si="1">SUM(D19:H19)</f>
        <v>22590.001232043302</v>
      </c>
    </row>
    <row r="20" spans="2:10" x14ac:dyDescent="0.25">
      <c r="B20" s="14"/>
      <c r="C20" s="7" t="str">
        <f>CONCATENATE("Fringe Benefits for ", 'Reference- Personnel&amp;Staff Aug'!H7," at ", 'Reference- NYSERDA Indirects'!$C$6)</f>
        <v>Fringe Benefits for Director at 0.6885</v>
      </c>
      <c r="D20" s="79">
        <f>D9*'Reference- NYSERDA Indirects'!$C$6</f>
        <v>2559.1682700000001</v>
      </c>
      <c r="E20" s="79">
        <f>E9*'Reference- NYSERDA Indirects'!$C$6</f>
        <v>2635.9433180999999</v>
      </c>
      <c r="F20" s="79">
        <f>F9*'Reference- NYSERDA Indirects'!$C$6</f>
        <v>2715.0216176430004</v>
      </c>
      <c r="G20" s="79">
        <f>G9*'Reference- NYSERDA Indirects'!$C$6</f>
        <v>2796.4722661722903</v>
      </c>
      <c r="H20" s="79">
        <f>H9*'Reference- NYSERDA Indirects'!$C$6</f>
        <v>2880.3664341574595</v>
      </c>
      <c r="I20" s="104"/>
      <c r="J20" s="79">
        <f t="shared" si="1"/>
        <v>13586.971906072751</v>
      </c>
    </row>
    <row r="21" spans="2:10" x14ac:dyDescent="0.25">
      <c r="B21" s="14"/>
      <c r="C21" s="7" t="str">
        <f>CONCATENATE("Fringe Benefits for ", 'Reference- Personnel&amp;Staff Aug'!H8," at ", 'Reference- NYSERDA Indirects'!$C$6)</f>
        <v>Fringe Benefits for Vice President at 0.6885</v>
      </c>
      <c r="D21" s="79">
        <f>D10*'Reference- NYSERDA Indirects'!$C$6</f>
        <v>1388.7733500000002</v>
      </c>
      <c r="E21" s="79">
        <f>E10*'Reference- NYSERDA Indirects'!$C$6</f>
        <v>1430.4365505000003</v>
      </c>
      <c r="F21" s="79">
        <f>F10*'Reference- NYSERDA Indirects'!$C$6</f>
        <v>1473.3496470150003</v>
      </c>
      <c r="G21" s="79">
        <f>G10*'Reference- NYSERDA Indirects'!$C$6</f>
        <v>1517.5501364254503</v>
      </c>
      <c r="H21" s="79">
        <f>H10*'Reference- NYSERDA Indirects'!$C$6</f>
        <v>1563.0766405182139</v>
      </c>
      <c r="I21" s="104"/>
      <c r="J21" s="79">
        <f t="shared" si="1"/>
        <v>7373.1863244586648</v>
      </c>
    </row>
    <row r="22" spans="2:10" x14ac:dyDescent="0.25">
      <c r="B22" s="14"/>
      <c r="C22" s="7" t="str">
        <f>CONCATENATE("Fringe Benefits for ", 'Reference- Personnel&amp;Staff Aug'!H9," at ", 'Reference- NYSERDA Indirects'!$C$6)</f>
        <v>Fringe Benefits for Project Manager at 0.6885</v>
      </c>
      <c r="D22" s="79">
        <f>D11*'Reference- NYSERDA Indirects'!$C$6</f>
        <v>1044.27549</v>
      </c>
      <c r="E22" s="79">
        <f>E11*'Reference- NYSERDA Indirects'!$C$6</f>
        <v>1075.6037547000001</v>
      </c>
      <c r="F22" s="79">
        <f>F11*'Reference- NYSERDA Indirects'!$C$6</f>
        <v>1107.8718673410001</v>
      </c>
      <c r="G22" s="79">
        <f>G11*'Reference- NYSERDA Indirects'!$C$6</f>
        <v>1141.1080233612302</v>
      </c>
      <c r="H22" s="79">
        <f>H11*'Reference- NYSERDA Indirects'!$C$6</f>
        <v>1175.341264062067</v>
      </c>
      <c r="I22" s="104"/>
      <c r="J22" s="79">
        <f t="shared" si="1"/>
        <v>5544.2003994642973</v>
      </c>
    </row>
    <row r="23" spans="2:10" x14ac:dyDescent="0.25">
      <c r="B23" s="14"/>
      <c r="C23" s="7" t="str">
        <f>CONCATENATE("Fringe Benefits for ", 'Reference- Personnel&amp;Staff Aug'!H10," at ", 'Reference- NYSERDA Indirects'!$C$6)</f>
        <v>Fringe Benefits for Project Manager at 0.6885</v>
      </c>
      <c r="D23" s="79">
        <f>D12*'Reference- NYSERDA Indirects'!$C$6</f>
        <v>581.50710000000004</v>
      </c>
      <c r="E23" s="79">
        <f>E12*'Reference- NYSERDA Indirects'!$C$6</f>
        <v>598.95231300000012</v>
      </c>
      <c r="F23" s="79">
        <f>F12*'Reference- NYSERDA Indirects'!$C$6</f>
        <v>616.92088239000009</v>
      </c>
      <c r="G23" s="79">
        <f>G12*'Reference- NYSERDA Indirects'!$C$6</f>
        <v>635.42850886170015</v>
      </c>
      <c r="H23" s="79">
        <f>H12*'Reference- NYSERDA Indirects'!$C$6</f>
        <v>654.49136412755115</v>
      </c>
      <c r="I23" s="104"/>
      <c r="J23" s="79">
        <f t="shared" si="1"/>
        <v>3087.3001683792513</v>
      </c>
    </row>
    <row r="24" spans="2:10" x14ac:dyDescent="0.25">
      <c r="B24" s="14"/>
      <c r="C24" s="7" t="str">
        <f>CONCATENATE("Fringe Benefits for ", 'Reference- Personnel&amp;Staff Aug'!H11," at ", 'Reference- NYSERDA Indirects'!$C$6)</f>
        <v>Fringe Benefits for Project Manager at 0.6885</v>
      </c>
      <c r="D24" s="79">
        <f>D13*'Reference- NYSERDA Indirects'!$C$6</f>
        <v>12117.6</v>
      </c>
      <c r="E24" s="79">
        <f>E13*'Reference- NYSERDA Indirects'!$C$6</f>
        <v>12481.128000000001</v>
      </c>
      <c r="F24" s="79">
        <f>F13*'Reference- NYSERDA Indirects'!$C$6</f>
        <v>12855.56184</v>
      </c>
      <c r="G24" s="79">
        <f>G13*'Reference- NYSERDA Indirects'!$C$6</f>
        <v>13241.228695200001</v>
      </c>
      <c r="H24" s="79">
        <f>H13*'Reference- NYSERDA Indirects'!$C$6</f>
        <v>13638.465556056002</v>
      </c>
      <c r="I24" s="104"/>
      <c r="J24" s="79">
        <f t="shared" si="1"/>
        <v>64333.984091256003</v>
      </c>
    </row>
    <row r="25" spans="2:10" x14ac:dyDescent="0.25">
      <c r="B25" s="14"/>
      <c r="C25" s="7" t="str">
        <f>CONCATENATE("Fringe Benefits for ", 'Reference- Personnel&amp;Staff Aug'!H15," at ", 'Reference- NYSERDA Indirects'!$C$6)</f>
        <v>Fringe Benefits for Program Manager at 0.6885</v>
      </c>
      <c r="D25" s="79">
        <f>D14*'Reference- NYSERDA Indirects'!$C$6</f>
        <v>10442.754900000002</v>
      </c>
      <c r="E25" s="79">
        <f>E14*'Reference- NYSERDA Indirects'!$C$6</f>
        <v>10756.037547000002</v>
      </c>
      <c r="F25" s="79">
        <f>F14*'Reference- NYSERDA Indirects'!$C$6</f>
        <v>11078.718673410001</v>
      </c>
      <c r="G25" s="79">
        <f>G14*'Reference- NYSERDA Indirects'!$C$6</f>
        <v>11411.080233612302</v>
      </c>
      <c r="H25" s="79">
        <f>H14*'Reference- NYSERDA Indirects'!$C$6</f>
        <v>11753.412640620671</v>
      </c>
      <c r="I25" s="104"/>
      <c r="J25" s="79">
        <f t="shared" si="1"/>
        <v>55442.003994642975</v>
      </c>
    </row>
    <row r="26" spans="2:10" x14ac:dyDescent="0.25">
      <c r="B26" s="14"/>
      <c r="C26" s="7" t="str">
        <f>CONCATENATE("Fringe Benefits for ", 'Reference- Personnel&amp;Staff Aug'!H16," at ", 'Reference- NYSERDA Indirects'!$C$6)</f>
        <v>Fringe Benefits for Project Manager at 0.6885</v>
      </c>
      <c r="D26" s="79">
        <f>D15*'Reference- NYSERDA Indirects'!$C$6</f>
        <v>652.44325500000002</v>
      </c>
      <c r="E26" s="79">
        <f>E15*'Reference- NYSERDA Indirects'!$C$6</f>
        <v>672.01655264999999</v>
      </c>
      <c r="F26" s="79">
        <f>F15*'Reference- NYSERDA Indirects'!$C$6</f>
        <v>692.17704922950008</v>
      </c>
      <c r="G26" s="79">
        <f>G15*'Reference- NYSERDA Indirects'!$C$6</f>
        <v>712.94236070638499</v>
      </c>
      <c r="H26" s="79">
        <f>H15*'Reference- NYSERDA Indirects'!$C$6</f>
        <v>734.33063152757666</v>
      </c>
      <c r="I26" s="104"/>
      <c r="J26" s="79">
        <f t="shared" si="1"/>
        <v>3463.9098491134619</v>
      </c>
    </row>
    <row r="27" spans="2:10" x14ac:dyDescent="0.25">
      <c r="B27" s="14"/>
      <c r="C27" s="85"/>
      <c r="D27" s="79"/>
      <c r="E27" s="79"/>
      <c r="F27" s="79"/>
      <c r="G27" s="79"/>
      <c r="H27" s="79"/>
      <c r="I27" s="104"/>
      <c r="J27" s="79"/>
    </row>
    <row r="28" spans="2:10" x14ac:dyDescent="0.25">
      <c r="B28" s="14"/>
      <c r="C28" s="6" t="s">
        <v>11</v>
      </c>
      <c r="D28" s="83">
        <f>SUM(D18:D27)</f>
        <v>33041.452364999997</v>
      </c>
      <c r="E28" s="83">
        <f>SUM(E18:E27)</f>
        <v>34032.695935950003</v>
      </c>
      <c r="F28" s="83">
        <f>SUM(F18:F27)</f>
        <v>35053.676814028506</v>
      </c>
      <c r="G28" s="83">
        <f>SUM(G18:G27)</f>
        <v>36105.287118449363</v>
      </c>
      <c r="H28" s="83">
        <f>SUM(H18:H27)</f>
        <v>37188.445732002838</v>
      </c>
      <c r="I28" s="104"/>
      <c r="J28" s="83">
        <f>SUM(J18:J27)</f>
        <v>175421.55796543069</v>
      </c>
    </row>
    <row r="29" spans="2:10" x14ac:dyDescent="0.25">
      <c r="B29" s="14"/>
      <c r="C29" s="9" t="s">
        <v>36</v>
      </c>
      <c r="D29" s="81" t="s">
        <v>33</v>
      </c>
      <c r="E29" s="7"/>
      <c r="F29" s="7"/>
      <c r="G29" s="7"/>
      <c r="H29" s="7"/>
      <c r="J29" s="65" t="s">
        <v>33</v>
      </c>
    </row>
    <row r="30" spans="2:10" x14ac:dyDescent="0.25">
      <c r="B30" s="14"/>
      <c r="C30" s="44"/>
      <c r="D30" s="55"/>
      <c r="E30" s="55"/>
      <c r="F30" s="55"/>
      <c r="G30" s="55"/>
      <c r="H30" s="55"/>
      <c r="I30" s="64"/>
      <c r="J30" s="79"/>
    </row>
    <row r="31" spans="2:10" x14ac:dyDescent="0.25">
      <c r="B31" s="14"/>
      <c r="C31" s="6" t="s">
        <v>12</v>
      </c>
      <c r="D31" s="83">
        <f>SUM(D29:D30)</f>
        <v>0</v>
      </c>
      <c r="E31" s="83">
        <f>SUM(E29:E30)</f>
        <v>0</v>
      </c>
      <c r="F31" s="83">
        <f>SUM(F29:F30)</f>
        <v>0</v>
      </c>
      <c r="G31" s="83">
        <f>SUM(G29:G30)</f>
        <v>0</v>
      </c>
      <c r="H31" s="83">
        <f>SUM(H29:H30)</f>
        <v>0</v>
      </c>
      <c r="I31" s="64"/>
      <c r="J31" s="83">
        <f>SUM(D31:H31)</f>
        <v>0</v>
      </c>
    </row>
    <row r="32" spans="2:10" x14ac:dyDescent="0.25">
      <c r="B32" s="14"/>
      <c r="C32" s="9" t="s">
        <v>37</v>
      </c>
      <c r="D32" s="68"/>
      <c r="E32" s="55"/>
      <c r="F32" s="55"/>
      <c r="G32" s="55"/>
      <c r="H32" s="55"/>
      <c r="I32" s="64"/>
      <c r="J32" s="68" t="s">
        <v>18</v>
      </c>
    </row>
    <row r="33" spans="2:10" x14ac:dyDescent="0.25">
      <c r="B33" s="14"/>
      <c r="C33" s="44"/>
      <c r="D33" s="68"/>
      <c r="E33" s="55"/>
      <c r="F33" s="55"/>
      <c r="G33" s="55"/>
      <c r="H33" s="55"/>
      <c r="I33" s="64"/>
      <c r="J33" s="79"/>
    </row>
    <row r="34" spans="2:10" x14ac:dyDescent="0.25">
      <c r="B34" s="14"/>
      <c r="C34" s="6" t="s">
        <v>13</v>
      </c>
      <c r="D34" s="83">
        <f>SUM(D32:D33)</f>
        <v>0</v>
      </c>
      <c r="E34" s="83">
        <f>SUM(E32:E33)</f>
        <v>0</v>
      </c>
      <c r="F34" s="83">
        <f>SUM(F32:F33)</f>
        <v>0</v>
      </c>
      <c r="G34" s="83">
        <f>SUM(G32:G33)</f>
        <v>0</v>
      </c>
      <c r="H34" s="83">
        <f>SUM(H32:H33)</f>
        <v>0</v>
      </c>
      <c r="I34" s="64"/>
      <c r="J34" s="83">
        <f t="shared" ref="J34:J48" si="2">SUM(D34:H34)</f>
        <v>0</v>
      </c>
    </row>
    <row r="35" spans="2:10" x14ac:dyDescent="0.25">
      <c r="B35" s="14"/>
      <c r="C35" s="9" t="s">
        <v>38</v>
      </c>
      <c r="D35" s="55" t="s">
        <v>33</v>
      </c>
      <c r="E35" s="55"/>
      <c r="F35" s="55"/>
      <c r="G35" s="55"/>
      <c r="H35" s="55"/>
      <c r="I35" s="64"/>
      <c r="J35" s="68"/>
    </row>
    <row r="36" spans="2:10" x14ac:dyDescent="0.25">
      <c r="B36" s="14"/>
      <c r="C36" s="44"/>
      <c r="D36" s="68"/>
      <c r="E36" s="68"/>
      <c r="F36" s="68"/>
      <c r="G36" s="68"/>
      <c r="H36" s="68"/>
      <c r="I36" s="105"/>
      <c r="J36" s="79"/>
    </row>
    <row r="37" spans="2:10" x14ac:dyDescent="0.25">
      <c r="B37" s="14"/>
      <c r="C37" s="6" t="s">
        <v>14</v>
      </c>
      <c r="D37" s="83">
        <f>SUM(D35:D36)</f>
        <v>0</v>
      </c>
      <c r="E37" s="83">
        <f>SUM(E35:E36)</f>
        <v>0</v>
      </c>
      <c r="F37" s="83">
        <f>SUM(F35:F36)</f>
        <v>0</v>
      </c>
      <c r="G37" s="83">
        <f>SUM(G35:G36)</f>
        <v>0</v>
      </c>
      <c r="H37" s="83">
        <f>SUM(H35:H36)</f>
        <v>0</v>
      </c>
      <c r="I37" s="64"/>
      <c r="J37" s="83">
        <f t="shared" si="2"/>
        <v>0</v>
      </c>
    </row>
    <row r="38" spans="2:10" x14ac:dyDescent="0.25">
      <c r="B38" s="14"/>
      <c r="C38" s="9" t="s">
        <v>39</v>
      </c>
      <c r="D38" s="55" t="s">
        <v>33</v>
      </c>
      <c r="E38" s="55"/>
      <c r="F38" s="55"/>
      <c r="G38" s="55"/>
      <c r="H38" s="55"/>
      <c r="I38" s="64"/>
      <c r="J38" s="68"/>
    </row>
    <row r="39" spans="2:10" ht="75" x14ac:dyDescent="0.25">
      <c r="B39" s="14"/>
      <c r="C39" s="45" t="s">
        <v>95</v>
      </c>
      <c r="D39" s="79">
        <f>'Reference- CBO Stakeholders'!B13</f>
        <v>3600</v>
      </c>
      <c r="E39" s="79">
        <f>'Reference- CBO Stakeholders'!C13</f>
        <v>0</v>
      </c>
      <c r="F39" s="79">
        <f>'Reference- CBO Stakeholders'!D13</f>
        <v>0</v>
      </c>
      <c r="G39" s="79">
        <f>'Reference- CBO Stakeholders'!E13</f>
        <v>0</v>
      </c>
      <c r="H39" s="79">
        <f>'Reference- CBO Stakeholders'!F13</f>
        <v>1800</v>
      </c>
      <c r="I39" s="105"/>
      <c r="J39" s="79">
        <f t="shared" si="2"/>
        <v>5400</v>
      </c>
    </row>
    <row r="40" spans="2:10" ht="45" x14ac:dyDescent="0.25">
      <c r="B40" s="14"/>
      <c r="C40" s="45" t="s">
        <v>97</v>
      </c>
      <c r="D40" s="79">
        <f>SUMPRODUCT('Reference- Personnel&amp;Staff Aug'!M6:M7,'Reference- Personnel&amp;Staff Aug'!P6:P7)</f>
        <v>282360</v>
      </c>
      <c r="E40" s="79">
        <f>D40*'Reference- Personnel&amp;Staff Aug'!$J$16</f>
        <v>290830.8</v>
      </c>
      <c r="F40" s="79">
        <f>E40*'Reference- Personnel&amp;Staff Aug'!$J$16</f>
        <v>299555.72399999999</v>
      </c>
      <c r="G40" s="79">
        <f>F40*'Reference- Personnel&amp;Staff Aug'!$J$16</f>
        <v>308542.39571999997</v>
      </c>
      <c r="H40" s="79">
        <f>G40*'Reference- Personnel&amp;Staff Aug'!$J$16</f>
        <v>317798.66759159998</v>
      </c>
      <c r="I40" s="105"/>
      <c r="J40" s="79">
        <f t="shared" si="2"/>
        <v>1499087.5873115999</v>
      </c>
    </row>
    <row r="41" spans="2:10" ht="45" x14ac:dyDescent="0.25">
      <c r="B41" s="14"/>
      <c r="C41" s="45" t="s">
        <v>47</v>
      </c>
      <c r="D41" s="79">
        <f>IF($N$7&gt;0,$M$7/$N$7,0)</f>
        <v>200000</v>
      </c>
      <c r="E41" s="79">
        <f>IF($N$7&gt;1,$M$7/$N$7,0)</f>
        <v>200000</v>
      </c>
      <c r="F41" s="79">
        <f>IF($N$7&gt;2,$M$7/$N$7,0)</f>
        <v>200000</v>
      </c>
      <c r="G41" s="79">
        <f>IF($N$7&gt;3,$M$7/$N$7,0)</f>
        <v>200000</v>
      </c>
      <c r="H41" s="79">
        <f>IF($N$7&gt;4,$M$7/$N$7,0)</f>
        <v>200000</v>
      </c>
      <c r="I41" s="105"/>
      <c r="J41" s="79">
        <f t="shared" si="2"/>
        <v>1000000</v>
      </c>
    </row>
    <row r="42" spans="2:10" x14ac:dyDescent="0.25">
      <c r="B42" s="14"/>
      <c r="C42" s="45"/>
      <c r="D42" s="79"/>
      <c r="E42" s="79"/>
      <c r="F42" s="79"/>
      <c r="G42" s="79"/>
      <c r="H42" s="79"/>
      <c r="I42" s="64"/>
      <c r="J42" s="79"/>
    </row>
    <row r="43" spans="2:10" x14ac:dyDescent="0.25">
      <c r="B43" s="14"/>
      <c r="C43" s="6" t="s">
        <v>48</v>
      </c>
      <c r="D43" s="83">
        <f>SUM(D38:D42)</f>
        <v>485960</v>
      </c>
      <c r="E43" s="83">
        <f t="shared" ref="E43:H43" si="3">SUM(E38:E42)</f>
        <v>490830.8</v>
      </c>
      <c r="F43" s="83">
        <f t="shared" si="3"/>
        <v>499555.72399999999</v>
      </c>
      <c r="G43" s="83">
        <f>SUM(G38:G42)</f>
        <v>508542.39571999997</v>
      </c>
      <c r="H43" s="83">
        <f t="shared" si="3"/>
        <v>519598.66759159998</v>
      </c>
      <c r="I43" s="64"/>
      <c r="J43" s="83">
        <f t="shared" si="2"/>
        <v>2504487.5873115999</v>
      </c>
    </row>
    <row r="44" spans="2:10" x14ac:dyDescent="0.25">
      <c r="B44" s="14"/>
      <c r="C44" s="9" t="s">
        <v>49</v>
      </c>
      <c r="D44" s="55" t="s">
        <v>33</v>
      </c>
      <c r="E44" s="55"/>
      <c r="F44" s="55"/>
      <c r="G44" s="55"/>
      <c r="H44" s="55"/>
      <c r="I44" s="64"/>
      <c r="J44" s="68"/>
    </row>
    <row r="45" spans="2:10" ht="60" x14ac:dyDescent="0.25">
      <c r="B45" s="14"/>
      <c r="C45" s="45" t="s">
        <v>106</v>
      </c>
      <c r="D45" s="79">
        <f>IF($N$6&gt;0,$M$6/$N$6,0)</f>
        <v>6800000</v>
      </c>
      <c r="E45" s="79">
        <f>IF($N$6&gt;1,$M$6/$N$6,0)</f>
        <v>6800000</v>
      </c>
      <c r="F45" s="79">
        <f>IF($N$6&gt;2,$M$6/$N$6,0)</f>
        <v>6800000</v>
      </c>
      <c r="G45" s="79">
        <f>IF($N$6&gt;3,$M$6/$N$6,0)</f>
        <v>6800000</v>
      </c>
      <c r="H45" s="79">
        <f>IF(N6&gt;4,$M$6/$N$6,0)</f>
        <v>6800000</v>
      </c>
      <c r="I45" s="105"/>
      <c r="J45" s="79">
        <f t="shared" si="2"/>
        <v>34000000</v>
      </c>
    </row>
    <row r="46" spans="2:10" x14ac:dyDescent="0.25">
      <c r="B46" s="14"/>
      <c r="C46" s="45"/>
      <c r="D46" s="79"/>
      <c r="E46" s="79"/>
      <c r="F46" s="79"/>
      <c r="G46" s="79"/>
      <c r="H46" s="79"/>
      <c r="I46" s="105"/>
      <c r="J46" s="79">
        <f t="shared" si="2"/>
        <v>0</v>
      </c>
    </row>
    <row r="47" spans="2:10" x14ac:dyDescent="0.25">
      <c r="B47" s="15"/>
      <c r="C47" s="6" t="s">
        <v>16</v>
      </c>
      <c r="D47" s="83">
        <f>SUM(D44:D46)</f>
        <v>6800000</v>
      </c>
      <c r="E47" s="83">
        <f>SUM(E44:E46)</f>
        <v>6800000</v>
      </c>
      <c r="F47" s="83">
        <f>SUM(F44:F46)</f>
        <v>6800000</v>
      </c>
      <c r="G47" s="83">
        <f>SUM(G44:G46)</f>
        <v>6800000</v>
      </c>
      <c r="H47" s="83">
        <f>SUM(H44:H46)</f>
        <v>6800000</v>
      </c>
      <c r="I47" s="64"/>
      <c r="J47" s="83">
        <f t="shared" si="2"/>
        <v>34000000</v>
      </c>
    </row>
    <row r="48" spans="2:10" x14ac:dyDescent="0.25">
      <c r="B48" s="15"/>
      <c r="C48" s="6" t="s">
        <v>17</v>
      </c>
      <c r="D48" s="83">
        <f>SUM(D47,D43,D37,D34,D31,D28,D17)</f>
        <v>7366991.942365</v>
      </c>
      <c r="E48" s="83">
        <f>SUM(E47,E43,E37,E34,E31,E28,E17)</f>
        <v>7374293.7006359491</v>
      </c>
      <c r="F48" s="83">
        <f>SUM(F47,F43,F37,F34,F31,F28,F17)</f>
        <v>7385522.5116550289</v>
      </c>
      <c r="G48" s="83">
        <f>SUM(G47,G43,G37,G34,G31,G28,G17)</f>
        <v>7397088.1870046798</v>
      </c>
      <c r="H48" s="83">
        <f>SUM(H47,H43,H37,H34,H31,H28,H17)</f>
        <v>7410800.8326148195</v>
      </c>
      <c r="I48" s="64"/>
      <c r="J48" s="83">
        <f t="shared" si="2"/>
        <v>36934697.174275473</v>
      </c>
    </row>
    <row r="49" spans="2:10" x14ac:dyDescent="0.25">
      <c r="B49" s="4"/>
      <c r="D49" s="64"/>
      <c r="E49" s="64"/>
      <c r="F49" s="64"/>
      <c r="G49" s="64"/>
      <c r="H49" s="64"/>
      <c r="I49" s="64"/>
      <c r="J49" s="64" t="s">
        <v>18</v>
      </c>
    </row>
    <row r="50" spans="2:10" ht="15" customHeight="1" x14ac:dyDescent="0.25">
      <c r="B50" s="43" t="s">
        <v>41</v>
      </c>
      <c r="C50" s="10" t="s">
        <v>41</v>
      </c>
      <c r="D50" s="65"/>
      <c r="E50" s="65"/>
      <c r="F50" s="65"/>
      <c r="G50" s="65"/>
      <c r="H50" s="65"/>
      <c r="I50" s="64"/>
      <c r="J50" s="65" t="s">
        <v>18</v>
      </c>
    </row>
    <row r="51" spans="2:10" x14ac:dyDescent="0.25">
      <c r="B51" s="14"/>
      <c r="C51" s="45" t="str">
        <f>'Reference- NYSERDA Indirects'!B7</f>
        <v>NYSERDA Labor Overhead at 41.65%</v>
      </c>
      <c r="D51" s="79">
        <f>D$17*'Reference- NYSERDA Indirects'!$C7</f>
        <v>19988.039084999997</v>
      </c>
      <c r="E51" s="79">
        <f>E$17*'Reference- NYSERDA Indirects'!$C7</f>
        <v>20587.680257550001</v>
      </c>
      <c r="F51" s="79">
        <f>F$17*'Reference- NYSERDA Indirects'!$C7</f>
        <v>21205.310665276498</v>
      </c>
      <c r="G51" s="79">
        <f>G$17*'Reference- NYSERDA Indirects'!$C7</f>
        <v>21841.469985234795</v>
      </c>
      <c r="H51" s="79">
        <f>H$17*'Reference- NYSERDA Indirects'!$C7</f>
        <v>22496.714084791842</v>
      </c>
      <c r="I51" s="64"/>
      <c r="J51" s="79">
        <f>SUM(D51:H51)</f>
        <v>106119.21407785313</v>
      </c>
    </row>
    <row r="52" spans="2:10" x14ac:dyDescent="0.25">
      <c r="B52" s="14"/>
      <c r="C52" s="45" t="str">
        <f>'Reference- NYSERDA Indirects'!B8</f>
        <v>NYSERDA G&amp;A Expense at 51.97%</v>
      </c>
      <c r="D52" s="79">
        <f>D$17*'Reference- NYSERDA Indirects'!$C8</f>
        <v>24940.657653000002</v>
      </c>
      <c r="E52" s="79">
        <f>E$17*'Reference- NYSERDA Indirects'!$C8</f>
        <v>25688.877382590003</v>
      </c>
      <c r="F52" s="79">
        <f>F$17*'Reference- NYSERDA Indirects'!$C8</f>
        <v>26459.543704067702</v>
      </c>
      <c r="G52" s="79">
        <f>G$17*'Reference- NYSERDA Indirects'!$C8</f>
        <v>27253.330015189738</v>
      </c>
      <c r="H52" s="79">
        <f>H$17*'Reference- NYSERDA Indirects'!$C8</f>
        <v>28070.929915645433</v>
      </c>
      <c r="I52" s="64"/>
      <c r="J52" s="79">
        <f>SUM(D52:H52)</f>
        <v>132413.33867049287</v>
      </c>
    </row>
    <row r="53" spans="2:10" x14ac:dyDescent="0.25">
      <c r="B53" s="14"/>
      <c r="C53" s="45" t="str">
        <f>'Reference- NYSERDA Indirects'!B9</f>
        <v>NYSERDA Cost Recovery Fee at 1.01%</v>
      </c>
      <c r="D53" s="79">
        <f>SUM(D48, D51, D52)*'Reference- NYSERDA Indirects'!$C9</f>
        <v>74860.398454940296</v>
      </c>
      <c r="E53" s="79">
        <f>SUM(E48, E51, E52)*'Reference- NYSERDA Indirects'!$C9</f>
        <v>74947.759608588502</v>
      </c>
      <c r="F53" s="79">
        <f>SUM(F48, F51, F52)*'Reference- NYSERDA Indirects'!$C9</f>
        <v>75075.192396846163</v>
      </c>
      <c r="G53" s="79">
        <f>SUM(G48, G51, G52)*'Reference- NYSERDA Indirects'!$C9</f>
        <v>75206.448168751551</v>
      </c>
      <c r="H53" s="79">
        <f>SUM(H48, H51, H52)*'Reference- NYSERDA Indirects'!$C9</f>
        <v>75359.821613814085</v>
      </c>
      <c r="I53" s="64"/>
      <c r="J53" s="79">
        <f t="shared" ref="J53:J54" si="4">SUM(D53:H53)</f>
        <v>375449.62024294061</v>
      </c>
    </row>
    <row r="54" spans="2:10" x14ac:dyDescent="0.25">
      <c r="B54" s="15"/>
      <c r="C54" s="6" t="s">
        <v>19</v>
      </c>
      <c r="D54" s="83">
        <f>SUM(D50:D53)</f>
        <v>119789.09519294029</v>
      </c>
      <c r="E54" s="83">
        <f t="shared" ref="E54:H54" si="5">SUM(E50:E53)</f>
        <v>121224.3172487285</v>
      </c>
      <c r="F54" s="83">
        <f t="shared" si="5"/>
        <v>122740.04676619037</v>
      </c>
      <c r="G54" s="83">
        <f t="shared" si="5"/>
        <v>124301.24816917608</v>
      </c>
      <c r="H54" s="83">
        <f t="shared" si="5"/>
        <v>125927.46561425136</v>
      </c>
      <c r="I54" s="64"/>
      <c r="J54" s="83">
        <f t="shared" si="4"/>
        <v>613982.17299128661</v>
      </c>
    </row>
    <row r="55" spans="2:10" ht="15.75" thickBot="1" x14ac:dyDescent="0.3">
      <c r="B55" s="4"/>
      <c r="D55"/>
      <c r="E55"/>
      <c r="H55"/>
      <c r="I55"/>
      <c r="J55" s="64" t="s">
        <v>18</v>
      </c>
    </row>
    <row r="56" spans="2:10" s="1" customFormat="1" ht="30.75" thickBot="1" x14ac:dyDescent="0.3">
      <c r="B56" s="12" t="s">
        <v>20</v>
      </c>
      <c r="C56" s="12"/>
      <c r="D56" s="107">
        <f>SUM(D54,D48)</f>
        <v>7486781.03755794</v>
      </c>
      <c r="E56" s="108">
        <f t="shared" ref="E56:J56" si="6">SUM(E54,E48)</f>
        <v>7495518.0178846773</v>
      </c>
      <c r="F56" s="108">
        <f t="shared" si="6"/>
        <v>7508262.5584212197</v>
      </c>
      <c r="G56" s="108">
        <f t="shared" si="6"/>
        <v>7521389.4351738561</v>
      </c>
      <c r="H56" s="109">
        <f t="shared" si="6"/>
        <v>7536728.2982290713</v>
      </c>
      <c r="I56" s="5"/>
      <c r="J56" s="110">
        <f t="shared" si="6"/>
        <v>37548679.347266756</v>
      </c>
    </row>
    <row r="57" spans="2:10" x14ac:dyDescent="0.25">
      <c r="B57" s="4"/>
    </row>
    <row r="58" spans="2:10" x14ac:dyDescent="0.25">
      <c r="B58" s="4"/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</sheetData>
  <sheetProtection algorithmName="SHA-512" hashValue="wiEpEAxLoXkmZxnZFd9kEd3jMK7wgforN1aE1q1K1+9XvfGzxvY7FjRVVyif7KdYwb3yk6Rg7zoDStp7BWyWpQ==" saltValue="+TPRDFm5GNhHG9a0uvDT9A==" spinCount="100000" sheet="1" objects="1" scenarios="1"/>
  <pageMargins left="0.7" right="0.7" top="0.75" bottom="0.75" header="0.3" footer="0.3"/>
  <pageSetup scale="79" fitToHeight="0" orientation="landscape" r:id="rId1"/>
  <ignoredErrors>
    <ignoredError sqref="J39:J41 J45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1:AG65"/>
  <sheetViews>
    <sheetView showGridLines="0" topLeftCell="A21" zoomScale="85" zoomScaleNormal="85" workbookViewId="0">
      <selection activeCell="C10" sqref="C10"/>
    </sheetView>
  </sheetViews>
  <sheetFormatPr defaultColWidth="9.140625" defaultRowHeight="15" x14ac:dyDescent="0.25"/>
  <cols>
    <col min="1" max="1" width="3.140625" customWidth="1"/>
    <col min="2" max="2" width="12.7109375" customWidth="1"/>
    <col min="3" max="3" width="60.7109375" customWidth="1"/>
    <col min="4" max="4" width="12.7109375" style="4" customWidth="1"/>
    <col min="5" max="5" width="12.7109375" style="2" customWidth="1"/>
    <col min="6" max="7" width="12.7109375" customWidth="1"/>
    <col min="8" max="8" width="12.7109375" style="2" customWidth="1"/>
    <col min="9" max="9" width="1.7109375" style="5" customWidth="1"/>
    <col min="10" max="10" width="12.7109375" style="64" customWidth="1"/>
    <col min="11" max="11" width="12.7109375" customWidth="1"/>
    <col min="12" max="12" width="28.42578125" hidden="1" customWidth="1"/>
    <col min="13" max="13" width="21" hidden="1" customWidth="1"/>
    <col min="14" max="14" width="10.28515625" hidden="1" customWidth="1"/>
  </cols>
  <sheetData>
    <row r="1" spans="2:33" x14ac:dyDescent="0.25">
      <c r="B1" t="s">
        <v>116</v>
      </c>
    </row>
    <row r="2" spans="2:33" ht="23.25" x14ac:dyDescent="0.35">
      <c r="B2" s="19" t="s">
        <v>104</v>
      </c>
    </row>
    <row r="3" spans="2:33" x14ac:dyDescent="0.25">
      <c r="B3" s="3"/>
    </row>
    <row r="4" spans="2:33" ht="18.75" x14ac:dyDescent="0.3">
      <c r="B4" s="60" t="s">
        <v>27</v>
      </c>
      <c r="C4" s="60" t="s">
        <v>91</v>
      </c>
    </row>
    <row r="5" spans="2:33" ht="18.75" x14ac:dyDescent="0.3">
      <c r="B5" s="21" t="s">
        <v>0</v>
      </c>
      <c r="C5" s="22"/>
      <c r="D5" s="22"/>
      <c r="E5" s="22"/>
      <c r="F5" s="22"/>
      <c r="G5" s="22"/>
      <c r="H5" s="22"/>
      <c r="I5" s="22"/>
      <c r="J5" s="73"/>
      <c r="L5" s="10" t="s">
        <v>28</v>
      </c>
      <c r="M5" s="10" t="s">
        <v>29</v>
      </c>
      <c r="N5" s="10" t="s">
        <v>30</v>
      </c>
    </row>
    <row r="6" spans="2:33" x14ac:dyDescent="0.25">
      <c r="B6" s="84" t="s">
        <v>1</v>
      </c>
      <c r="C6" s="23" t="s">
        <v>2</v>
      </c>
      <c r="D6" s="23" t="s">
        <v>3</v>
      </c>
      <c r="E6" s="24" t="s">
        <v>4</v>
      </c>
      <c r="F6" s="24" t="s">
        <v>5</v>
      </c>
      <c r="G6" s="24" t="s">
        <v>6</v>
      </c>
      <c r="H6" s="25" t="s">
        <v>7</v>
      </c>
      <c r="I6" s="26"/>
      <c r="J6" s="74" t="s">
        <v>8</v>
      </c>
      <c r="L6" s="11" t="s">
        <v>31</v>
      </c>
      <c r="M6" s="47">
        <v>0</v>
      </c>
      <c r="N6" s="11">
        <v>0</v>
      </c>
    </row>
    <row r="7" spans="2:33" s="3" customFormat="1" x14ac:dyDescent="0.25">
      <c r="B7" s="136" t="s">
        <v>9</v>
      </c>
      <c r="C7" s="17" t="s">
        <v>32</v>
      </c>
      <c r="D7" s="7" t="s">
        <v>33</v>
      </c>
      <c r="E7" s="7" t="s">
        <v>33</v>
      </c>
      <c r="F7" s="7" t="s">
        <v>33</v>
      </c>
      <c r="G7" s="7"/>
      <c r="H7" s="7" t="s">
        <v>33</v>
      </c>
      <c r="I7" s="5"/>
      <c r="J7" s="65" t="s">
        <v>33</v>
      </c>
      <c r="K7"/>
      <c r="L7" s="11" t="s">
        <v>34</v>
      </c>
      <c r="M7" s="47">
        <v>3000000</v>
      </c>
      <c r="N7" s="11">
        <v>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</row>
    <row r="8" spans="2:33" x14ac:dyDescent="0.25">
      <c r="B8" s="137"/>
      <c r="C8" s="111" t="str">
        <f>CONCATENATE('Reference- Personnel&amp;Staff Aug'!H6, " at $",'Reference- Personnel&amp;Staff Aug'!C21,"/yr, ",'Reference- Personnel&amp;Staff Aug'!F6," FTE with salary increase")</f>
        <v>Program Manager at $123600/yr, 0.33 FTE with salary increase</v>
      </c>
      <c r="D8" s="112">
        <f>'Reference- Personnel&amp;Staff Aug'!F6*'Reference- Personnel&amp;Staff Aug'!C21</f>
        <v>40788</v>
      </c>
      <c r="E8" s="112">
        <f>D8*'Reference- Personnel&amp;Staff Aug'!$D$21</f>
        <v>42011.64</v>
      </c>
      <c r="F8" s="112">
        <f>E8*'Reference- Personnel&amp;Staff Aug'!$D$21</f>
        <v>43271.989200000004</v>
      </c>
      <c r="G8" s="112">
        <f>F8*'Reference- Personnel&amp;Staff Aug'!$D$21</f>
        <v>44570.148876000007</v>
      </c>
      <c r="H8" s="112">
        <f>G8*'Reference- Personnel&amp;Staff Aug'!$D$21</f>
        <v>45907.253342280012</v>
      </c>
      <c r="I8" s="104"/>
      <c r="J8" s="78">
        <f>SUM(D8:H8)</f>
        <v>216549.03141828001</v>
      </c>
    </row>
    <row r="9" spans="2:33" x14ac:dyDescent="0.25">
      <c r="B9" s="137"/>
      <c r="C9" s="111" t="str">
        <f>CONCATENATE('Reference- Personnel&amp;Staff Aug'!H7, " at $",'Reference- Personnel&amp;Staff Aug'!C22,"/yr, ",'Reference- Personnel&amp;Staff Aug'!F7," FTE with salary increase")</f>
        <v>Director at $185851/yr, 0.06 FTE with salary increase</v>
      </c>
      <c r="D9" s="112">
        <f>'Reference- Personnel&amp;Staff Aug'!F7*'Reference- Personnel&amp;Staff Aug'!C22</f>
        <v>11151.06</v>
      </c>
      <c r="E9" s="112">
        <f>D9*'Reference- Personnel&amp;Staff Aug'!$D$21</f>
        <v>11485.5918</v>
      </c>
      <c r="F9" s="112">
        <f>E9*'Reference- Personnel&amp;Staff Aug'!$D$21</f>
        <v>11830.159554</v>
      </c>
      <c r="G9" s="112">
        <f>F9*'Reference- Personnel&amp;Staff Aug'!$D$21</f>
        <v>12185.06434062</v>
      </c>
      <c r="H9" s="112">
        <f>G9*'Reference- Personnel&amp;Staff Aug'!$D$21</f>
        <v>12550.6162708386</v>
      </c>
      <c r="I9" s="104"/>
      <c r="J9" s="78">
        <f t="shared" ref="J9:J13" si="0">SUM(D9:H9)</f>
        <v>59202.491965458597</v>
      </c>
    </row>
    <row r="10" spans="2:33" x14ac:dyDescent="0.25">
      <c r="B10" s="137"/>
      <c r="C10" s="111" t="str">
        <f>CONCATENATE('Reference- Personnel&amp;Staff Aug'!H8, " at $",'Reference- Personnel&amp;Staff Aug'!C23,"/yr, ",'Reference- Personnel&amp;Staff Aug'!F8," FTE with salary increase")</f>
        <v>Vice President at $201710/yr, 0.03 FTE with salary increase</v>
      </c>
      <c r="D10" s="112">
        <f>'Reference- Personnel&amp;Staff Aug'!F8*'Reference- Personnel&amp;Staff Aug'!C23</f>
        <v>6051.3</v>
      </c>
      <c r="E10" s="112">
        <f>D10*'Reference- Personnel&amp;Staff Aug'!$D$21</f>
        <v>6232.8389999999999</v>
      </c>
      <c r="F10" s="112">
        <f>E10*'Reference- Personnel&amp;Staff Aug'!$D$21</f>
        <v>6419.8241699999999</v>
      </c>
      <c r="G10" s="112">
        <f>F10*'Reference- Personnel&amp;Staff Aug'!$D$21</f>
        <v>6612.4188950999996</v>
      </c>
      <c r="H10" s="112">
        <f>G10*'Reference- Personnel&amp;Staff Aug'!$D$21</f>
        <v>6810.7914619530002</v>
      </c>
      <c r="I10" s="104"/>
      <c r="J10" s="78">
        <f t="shared" si="0"/>
        <v>32127.173527052997</v>
      </c>
    </row>
    <row r="11" spans="2:33" x14ac:dyDescent="0.25">
      <c r="B11" s="137"/>
      <c r="C11" s="111" t="str">
        <f>CONCATENATE('Reference- Personnel&amp;Staff Aug'!H9, " at $",'Reference- Personnel&amp;Staff Aug'!C24,"/yr, ",'Reference- Personnel&amp;Staff Aug'!F9," FTE with salary increase")</f>
        <v>Project Manager at $151674/yr, 0.02 FTE with salary increase</v>
      </c>
      <c r="D11" s="112">
        <f>'Reference- Personnel&amp;Staff Aug'!F9*'Reference- Personnel&amp;Staff Aug'!C24</f>
        <v>3033.48</v>
      </c>
      <c r="E11" s="112">
        <f>D11*'Reference- Personnel&amp;Staff Aug'!$D$21</f>
        <v>3124.4844000000003</v>
      </c>
      <c r="F11" s="112">
        <f>E11*'Reference- Personnel&amp;Staff Aug'!$D$21</f>
        <v>3218.2189320000002</v>
      </c>
      <c r="G11" s="112">
        <f>F11*'Reference- Personnel&amp;Staff Aug'!$D$21</f>
        <v>3314.7654999600004</v>
      </c>
      <c r="H11" s="112">
        <f>G11*'Reference- Personnel&amp;Staff Aug'!$D$21</f>
        <v>3414.2084649588005</v>
      </c>
      <c r="I11" s="104"/>
      <c r="J11" s="78">
        <f t="shared" si="0"/>
        <v>16105.157296918802</v>
      </c>
    </row>
    <row r="12" spans="2:33" x14ac:dyDescent="0.25">
      <c r="B12" s="137"/>
      <c r="C12" s="111" t="str">
        <f>CONCATENATE('Reference- Personnel&amp;Staff Aug'!H10, " at $",'Reference- Personnel&amp;Staff Aug'!C25,"/yr, ",'Reference- Personnel&amp;Staff Aug'!F10," FTE with salary increase")</f>
        <v>Project Manager at $84460/yr, 0.02 FTE with salary increase</v>
      </c>
      <c r="D12" s="112">
        <f>'Reference- Personnel&amp;Staff Aug'!F10*'Reference- Personnel&amp;Staff Aug'!C25</f>
        <v>1689.2</v>
      </c>
      <c r="E12" s="112">
        <f>D12*'Reference- Personnel&amp;Staff Aug'!$D$21</f>
        <v>1739.8760000000002</v>
      </c>
      <c r="F12" s="112">
        <f>E12*'Reference- Personnel&amp;Staff Aug'!$D$21</f>
        <v>1792.0722800000003</v>
      </c>
      <c r="G12" s="112">
        <f>F12*'Reference- Personnel&amp;Staff Aug'!$D$21</f>
        <v>1845.8344484000004</v>
      </c>
      <c r="H12" s="112">
        <f>G12*'Reference- Personnel&amp;Staff Aug'!$D$21</f>
        <v>1901.2094818520004</v>
      </c>
      <c r="I12" s="104"/>
      <c r="J12" s="78">
        <f t="shared" si="0"/>
        <v>8968.1922102520002</v>
      </c>
    </row>
    <row r="13" spans="2:33" x14ac:dyDescent="0.25">
      <c r="B13" s="137"/>
      <c r="C13" s="111" t="str">
        <f>CONCATENATE('Reference- Personnel&amp;Staff Aug'!H16, " at $",'Reference- Personnel&amp;Staff Aug'!C31,"/yr, ",'Reference- Personnel&amp;Staff Aug'!F16," FTE with salary increase")</f>
        <v>Project Manager at $94763/yr, 0.01 FTE with salary increase</v>
      </c>
      <c r="D13" s="112">
        <f>'Reference- Personnel&amp;Staff Aug'!F16*'Reference- Personnel&amp;Staff Aug'!C31</f>
        <v>947.63</v>
      </c>
      <c r="E13" s="112">
        <f>D13*'Reference- Personnel&amp;Staff Aug'!$D$21</f>
        <v>976.05889999999999</v>
      </c>
      <c r="F13" s="112">
        <f>E13*'Reference- Personnel&amp;Staff Aug'!$D$21</f>
        <v>1005.3406670000001</v>
      </c>
      <c r="G13" s="112">
        <f>F13*'Reference- Personnel&amp;Staff Aug'!$D$21</f>
        <v>1035.50088701</v>
      </c>
      <c r="H13" s="112">
        <f>G13*'Reference- Personnel&amp;Staff Aug'!$D$21</f>
        <v>1066.5659136203001</v>
      </c>
      <c r="I13" s="104"/>
      <c r="J13" s="78">
        <f t="shared" si="0"/>
        <v>5031.0963676302999</v>
      </c>
    </row>
    <row r="14" spans="2:33" x14ac:dyDescent="0.25">
      <c r="B14" s="137"/>
      <c r="C14" s="113"/>
      <c r="D14" s="112"/>
      <c r="E14" s="112"/>
      <c r="F14" s="112"/>
      <c r="G14" s="112"/>
      <c r="H14" s="112"/>
      <c r="I14" s="104"/>
      <c r="J14" s="79"/>
    </row>
    <row r="15" spans="2:33" x14ac:dyDescent="0.25">
      <c r="B15" s="137"/>
      <c r="C15" s="114" t="s">
        <v>10</v>
      </c>
      <c r="D15" s="83">
        <f>SUM(D7:D14)</f>
        <v>63660.67</v>
      </c>
      <c r="E15" s="83">
        <f>SUM(E7:E14)</f>
        <v>65570.49010000001</v>
      </c>
      <c r="F15" s="83">
        <f>SUM(F7:F14)</f>
        <v>67537.604803000009</v>
      </c>
      <c r="G15" s="83">
        <f>SUM(G7:G14)</f>
        <v>69563.73294709</v>
      </c>
      <c r="H15" s="83">
        <f>SUM(H7:H14)</f>
        <v>71650.644935502714</v>
      </c>
      <c r="I15" s="104">
        <f>SUM(I14:I14)</f>
        <v>0</v>
      </c>
      <c r="J15" s="83">
        <f>SUM(J7:J14)</f>
        <v>337983.14278559264</v>
      </c>
    </row>
    <row r="16" spans="2:33" x14ac:dyDescent="0.25">
      <c r="B16" s="137"/>
      <c r="C16" s="115" t="s">
        <v>35</v>
      </c>
      <c r="D16" s="55" t="s">
        <v>33</v>
      </c>
      <c r="E16" s="55"/>
      <c r="F16" s="55"/>
      <c r="G16" s="55"/>
      <c r="H16" s="55"/>
      <c r="I16" s="64"/>
      <c r="J16" s="56"/>
    </row>
    <row r="17" spans="2:10" x14ac:dyDescent="0.25">
      <c r="B17" s="137"/>
      <c r="C17" s="55" t="str">
        <f>CONCATENATE("Fringe Benefits for ", 'Reference- Personnel&amp;Staff Aug'!H6," at ", 'Reference- NYSERDA Indirects'!$C$6)</f>
        <v>Fringe Benefits for Program Manager at 0.6885</v>
      </c>
      <c r="D17" s="79">
        <f>D8*'Reference- NYSERDA Indirects'!$C$6</f>
        <v>28082.538</v>
      </c>
      <c r="E17" s="79">
        <f>E8*'Reference- NYSERDA Indirects'!$C$6</f>
        <v>28925.014139999999</v>
      </c>
      <c r="F17" s="79">
        <f>F8*'Reference- NYSERDA Indirects'!$C$6</f>
        <v>29792.764564200002</v>
      </c>
      <c r="G17" s="79">
        <f>G8*'Reference- NYSERDA Indirects'!$C$6</f>
        <v>30686.547501126006</v>
      </c>
      <c r="H17" s="79">
        <f>H8*'Reference- NYSERDA Indirects'!$C$6</f>
        <v>31607.143926159788</v>
      </c>
      <c r="I17" s="104"/>
      <c r="J17" s="79">
        <f t="shared" ref="J17:J22" si="1">SUM(D17:H17)</f>
        <v>149094.00813148581</v>
      </c>
    </row>
    <row r="18" spans="2:10" x14ac:dyDescent="0.25">
      <c r="B18" s="137"/>
      <c r="C18" s="55" t="str">
        <f>CONCATENATE("Fringe Benefits for ", 'Reference- Personnel&amp;Staff Aug'!H7," at ", 'Reference- NYSERDA Indirects'!$C$6)</f>
        <v>Fringe Benefits for Director at 0.6885</v>
      </c>
      <c r="D18" s="79">
        <f>D9*'Reference- NYSERDA Indirects'!$C$6</f>
        <v>7677.5048099999995</v>
      </c>
      <c r="E18" s="79">
        <f>E9*'Reference- NYSERDA Indirects'!$C$6</f>
        <v>7907.8299543000003</v>
      </c>
      <c r="F18" s="79">
        <f>F9*'Reference- NYSERDA Indirects'!$C$6</f>
        <v>8145.0648529290002</v>
      </c>
      <c r="G18" s="79">
        <f>G9*'Reference- NYSERDA Indirects'!$C$6</f>
        <v>8389.4167985168697</v>
      </c>
      <c r="H18" s="79">
        <f>H9*'Reference- NYSERDA Indirects'!$C$6</f>
        <v>8641.0993024723757</v>
      </c>
      <c r="I18" s="104"/>
      <c r="J18" s="79">
        <f t="shared" si="1"/>
        <v>40760.915718218239</v>
      </c>
    </row>
    <row r="19" spans="2:10" x14ac:dyDescent="0.25">
      <c r="B19" s="137"/>
      <c r="C19" s="55" t="str">
        <f>CONCATENATE("Fringe Benefits for ", 'Reference- Personnel&amp;Staff Aug'!H8," at ", 'Reference- NYSERDA Indirects'!$C$6)</f>
        <v>Fringe Benefits for Vice President at 0.6885</v>
      </c>
      <c r="D19" s="79">
        <f>D10*'Reference- NYSERDA Indirects'!$C$6</f>
        <v>4166.3200500000003</v>
      </c>
      <c r="E19" s="79">
        <f>E10*'Reference- NYSERDA Indirects'!$C$6</f>
        <v>4291.3096514999997</v>
      </c>
      <c r="F19" s="79">
        <f>F10*'Reference- NYSERDA Indirects'!$C$6</f>
        <v>4420.048941045</v>
      </c>
      <c r="G19" s="79">
        <f>G10*'Reference- NYSERDA Indirects'!$C$6</f>
        <v>4552.6504092763498</v>
      </c>
      <c r="H19" s="79">
        <f>H10*'Reference- NYSERDA Indirects'!$C$6</f>
        <v>4689.2299215546409</v>
      </c>
      <c r="I19" s="104"/>
      <c r="J19" s="79">
        <f t="shared" si="1"/>
        <v>22119.558973375992</v>
      </c>
    </row>
    <row r="20" spans="2:10" x14ac:dyDescent="0.25">
      <c r="B20" s="137"/>
      <c r="C20" s="55" t="str">
        <f>CONCATENATE("Fringe Benefits for ", 'Reference- Personnel&amp;Staff Aug'!H9," at ", 'Reference- NYSERDA Indirects'!$C$6)</f>
        <v>Fringe Benefits for Project Manager at 0.6885</v>
      </c>
      <c r="D20" s="79">
        <f>D11*'Reference- NYSERDA Indirects'!$C$6</f>
        <v>2088.55098</v>
      </c>
      <c r="E20" s="79">
        <f>E11*'Reference- NYSERDA Indirects'!$C$6</f>
        <v>2151.2075094000002</v>
      </c>
      <c r="F20" s="79">
        <f>F11*'Reference- NYSERDA Indirects'!$C$6</f>
        <v>2215.7437346820002</v>
      </c>
      <c r="G20" s="79">
        <f>G11*'Reference- NYSERDA Indirects'!$C$6</f>
        <v>2282.2160467224603</v>
      </c>
      <c r="H20" s="79">
        <f>H11*'Reference- NYSERDA Indirects'!$C$6</f>
        <v>2350.682528124134</v>
      </c>
      <c r="I20" s="104"/>
      <c r="J20" s="79">
        <f t="shared" si="1"/>
        <v>11088.400798928595</v>
      </c>
    </row>
    <row r="21" spans="2:10" x14ac:dyDescent="0.25">
      <c r="B21" s="137"/>
      <c r="C21" s="55" t="str">
        <f>CONCATENATE("Fringe Benefits for ", 'Reference- Personnel&amp;Staff Aug'!H10," at ", 'Reference- NYSERDA Indirects'!$C$6)</f>
        <v>Fringe Benefits for Project Manager at 0.6885</v>
      </c>
      <c r="D21" s="79">
        <f>D12*'Reference- NYSERDA Indirects'!$C$6</f>
        <v>1163.0142000000001</v>
      </c>
      <c r="E21" s="79">
        <f>E12*'Reference- NYSERDA Indirects'!$C$6</f>
        <v>1197.9046260000002</v>
      </c>
      <c r="F21" s="79">
        <f>F12*'Reference- NYSERDA Indirects'!$C$6</f>
        <v>1233.8417647800002</v>
      </c>
      <c r="G21" s="79">
        <f>G12*'Reference- NYSERDA Indirects'!$C$6</f>
        <v>1270.8570177234003</v>
      </c>
      <c r="H21" s="79">
        <f>H12*'Reference- NYSERDA Indirects'!$C$6</f>
        <v>1308.9827282551023</v>
      </c>
      <c r="I21" s="104"/>
      <c r="J21" s="79">
        <f t="shared" si="1"/>
        <v>6174.6003367585026</v>
      </c>
    </row>
    <row r="22" spans="2:10" x14ac:dyDescent="0.25">
      <c r="B22" s="137"/>
      <c r="C22" s="55" t="str">
        <f>CONCATENATE("Fringe Benefits for ", 'Reference- Personnel&amp;Staff Aug'!H16," at ", 'Reference- NYSERDA Indirects'!$C$6)</f>
        <v>Fringe Benefits for Project Manager at 0.6885</v>
      </c>
      <c r="D22" s="79">
        <f>D13*'Reference- NYSERDA Indirects'!$C$6</f>
        <v>652.44325500000002</v>
      </c>
      <c r="E22" s="79">
        <f>E13*'Reference- NYSERDA Indirects'!$C$6</f>
        <v>672.01655264999999</v>
      </c>
      <c r="F22" s="79">
        <f>F13*'Reference- NYSERDA Indirects'!$C$6</f>
        <v>692.17704922950008</v>
      </c>
      <c r="G22" s="79">
        <f>G13*'Reference- NYSERDA Indirects'!$C$6</f>
        <v>712.94236070638499</v>
      </c>
      <c r="H22" s="79">
        <f>H13*'Reference- NYSERDA Indirects'!$C$6</f>
        <v>734.33063152757666</v>
      </c>
      <c r="I22"/>
      <c r="J22" s="79">
        <f t="shared" si="1"/>
        <v>3463.9098491134619</v>
      </c>
    </row>
    <row r="23" spans="2:10" x14ac:dyDescent="0.25">
      <c r="B23" s="137"/>
      <c r="C23" s="113"/>
      <c r="D23" s="79"/>
      <c r="E23" s="79"/>
      <c r="F23" s="79"/>
      <c r="G23" s="79"/>
      <c r="H23" s="79"/>
      <c r="I23"/>
      <c r="J23" s="79"/>
    </row>
    <row r="24" spans="2:10" x14ac:dyDescent="0.25">
      <c r="B24" s="137"/>
      <c r="C24" s="114" t="s">
        <v>11</v>
      </c>
      <c r="D24" s="83">
        <f>SUM(D16:D23)</f>
        <v>43830.371294999997</v>
      </c>
      <c r="E24" s="83">
        <f>SUM(E16:E23)</f>
        <v>45145.282433850007</v>
      </c>
      <c r="F24" s="83">
        <f>SUM(F16:F23)</f>
        <v>46499.640906865512</v>
      </c>
      <c r="G24" s="83">
        <f>SUM(G16:G23)</f>
        <v>47894.630134071471</v>
      </c>
      <c r="H24" s="83">
        <f>SUM(H16:H23)</f>
        <v>49331.469038093623</v>
      </c>
      <c r="I24"/>
      <c r="J24" s="83">
        <f>SUM(J16:J23)</f>
        <v>232701.39380788061</v>
      </c>
    </row>
    <row r="25" spans="2:10" x14ac:dyDescent="0.25">
      <c r="B25" s="137"/>
      <c r="C25" s="115" t="s">
        <v>42</v>
      </c>
      <c r="D25" s="79"/>
      <c r="E25" s="79"/>
      <c r="F25" s="79"/>
      <c r="G25" s="79"/>
      <c r="H25" s="79"/>
      <c r="I25"/>
      <c r="J25" s="79"/>
    </row>
    <row r="26" spans="2:10" x14ac:dyDescent="0.25">
      <c r="B26" s="137"/>
      <c r="C26" s="115"/>
      <c r="D26" s="79"/>
      <c r="E26" s="79"/>
      <c r="F26" s="79"/>
      <c r="G26" s="79"/>
      <c r="H26" s="79"/>
      <c r="I26"/>
      <c r="J26" s="79"/>
    </row>
    <row r="27" spans="2:10" x14ac:dyDescent="0.25">
      <c r="B27" s="137"/>
      <c r="C27" s="116" t="s">
        <v>12</v>
      </c>
      <c r="D27" s="83">
        <f>SUM(D25:D26)</f>
        <v>0</v>
      </c>
      <c r="E27" s="83">
        <f>SUM(E25:E26)</f>
        <v>0</v>
      </c>
      <c r="F27" s="83">
        <f>SUM(F25:F26)</f>
        <v>0</v>
      </c>
      <c r="G27" s="83">
        <f>SUM(G25:G26)</f>
        <v>0</v>
      </c>
      <c r="H27" s="83">
        <f>SUM(H25:H26)</f>
        <v>0</v>
      </c>
      <c r="I27"/>
      <c r="J27" s="83">
        <f>SUM(J25:J26)</f>
        <v>0</v>
      </c>
    </row>
    <row r="28" spans="2:10" x14ac:dyDescent="0.25">
      <c r="B28" s="137"/>
      <c r="C28" s="115" t="s">
        <v>43</v>
      </c>
      <c r="D28" s="68"/>
      <c r="E28" s="68"/>
      <c r="F28" s="68"/>
      <c r="G28" s="68"/>
      <c r="H28" s="68"/>
      <c r="I28"/>
      <c r="J28" s="79"/>
    </row>
    <row r="29" spans="2:10" x14ac:dyDescent="0.25">
      <c r="B29" s="137"/>
      <c r="C29" s="55"/>
      <c r="D29" s="68"/>
      <c r="E29" s="68"/>
      <c r="F29" s="68"/>
      <c r="G29" s="68"/>
      <c r="H29" s="68"/>
      <c r="I29"/>
      <c r="J29" s="79"/>
    </row>
    <row r="30" spans="2:10" x14ac:dyDescent="0.25">
      <c r="B30" s="137"/>
      <c r="C30" s="114" t="s">
        <v>13</v>
      </c>
      <c r="D30" s="83">
        <f>SUM(D28:D29)</f>
        <v>0</v>
      </c>
      <c r="E30" s="83">
        <f>SUM(E28:E29)</f>
        <v>0</v>
      </c>
      <c r="F30" s="83">
        <f>SUM(F28:F29)</f>
        <v>0</v>
      </c>
      <c r="G30" s="83">
        <f>SUM(G28:G29)</f>
        <v>0</v>
      </c>
      <c r="H30" s="83">
        <f>SUM(H28:H29)</f>
        <v>0</v>
      </c>
      <c r="I30"/>
      <c r="J30" s="83">
        <f>SUM(J28:J29)</f>
        <v>0</v>
      </c>
    </row>
    <row r="31" spans="2:10" x14ac:dyDescent="0.25">
      <c r="B31" s="137"/>
      <c r="C31" s="115" t="s">
        <v>38</v>
      </c>
      <c r="D31" s="55" t="s">
        <v>33</v>
      </c>
      <c r="E31" s="55"/>
      <c r="F31" s="55"/>
      <c r="G31" s="55"/>
      <c r="H31" s="55"/>
      <c r="I31"/>
      <c r="J31" s="68"/>
    </row>
    <row r="32" spans="2:10" x14ac:dyDescent="0.25">
      <c r="B32" s="137"/>
      <c r="C32" s="117"/>
      <c r="D32" s="68"/>
      <c r="E32" s="68"/>
      <c r="F32" s="68"/>
      <c r="G32" s="68"/>
      <c r="H32" s="68"/>
      <c r="I32"/>
      <c r="J32" s="79"/>
    </row>
    <row r="33" spans="2:10" x14ac:dyDescent="0.25">
      <c r="B33" s="137"/>
      <c r="C33" s="114" t="s">
        <v>14</v>
      </c>
      <c r="D33" s="83">
        <f>SUM(D31:D32)</f>
        <v>0</v>
      </c>
      <c r="E33" s="83">
        <f>SUM(E31:E32)</f>
        <v>0</v>
      </c>
      <c r="F33" s="83">
        <f>SUM(F31:F32)</f>
        <v>0</v>
      </c>
      <c r="G33" s="83">
        <f>SUM(G31:G32)</f>
        <v>0</v>
      </c>
      <c r="H33" s="83">
        <f>SUM(H31:H32)</f>
        <v>0</v>
      </c>
      <c r="I33"/>
      <c r="J33" s="83">
        <f>SUM(J32:J32)</f>
        <v>0</v>
      </c>
    </row>
    <row r="34" spans="2:10" x14ac:dyDescent="0.25">
      <c r="B34" s="137"/>
      <c r="C34" s="115" t="s">
        <v>39</v>
      </c>
      <c r="D34" s="55" t="s">
        <v>33</v>
      </c>
      <c r="E34" s="55"/>
      <c r="F34" s="55"/>
      <c r="G34" s="55"/>
      <c r="H34" s="55"/>
      <c r="I34"/>
      <c r="J34" s="68"/>
    </row>
    <row r="35" spans="2:10" ht="75" x14ac:dyDescent="0.25">
      <c r="B35" s="137"/>
      <c r="C35" s="45" t="s">
        <v>95</v>
      </c>
      <c r="D35" s="79">
        <f>'Reference- CBO Stakeholders'!B13</f>
        <v>3600</v>
      </c>
      <c r="E35" s="79">
        <f>'Reference- CBO Stakeholders'!C13</f>
        <v>0</v>
      </c>
      <c r="F35" s="79">
        <f>'Reference- CBO Stakeholders'!D13</f>
        <v>0</v>
      </c>
      <c r="G35" s="79">
        <f>'Reference- CBO Stakeholders'!E13</f>
        <v>0</v>
      </c>
      <c r="H35" s="79">
        <f>'Reference- CBO Stakeholders'!F13</f>
        <v>1800</v>
      </c>
      <c r="I35"/>
      <c r="J35" s="79">
        <f>SUM(D35:H35)</f>
        <v>5400</v>
      </c>
    </row>
    <row r="36" spans="2:10" ht="45" x14ac:dyDescent="0.25">
      <c r="B36" s="137"/>
      <c r="C36" s="117" t="s">
        <v>98</v>
      </c>
      <c r="D36" s="79">
        <f>SUMPRODUCT('Reference- Personnel&amp;Staff Aug'!N6:N7,'Reference- Personnel&amp;Staff Aug'!P6:P7)</f>
        <v>363285</v>
      </c>
      <c r="E36" s="79">
        <f>D36*'Reference- Personnel&amp;Staff Aug'!$J$16</f>
        <v>374183.55</v>
      </c>
      <c r="F36" s="79">
        <f>E36*'Reference- Personnel&amp;Staff Aug'!$J$16</f>
        <v>385409.05650000001</v>
      </c>
      <c r="G36" s="79">
        <f>F36*'Reference- Personnel&amp;Staff Aug'!$J$16</f>
        <v>396971.32819500001</v>
      </c>
      <c r="H36" s="79">
        <f>G36*'Reference- Personnel&amp;Staff Aug'!$J$16</f>
        <v>408880.46804085001</v>
      </c>
      <c r="I36"/>
      <c r="J36" s="79">
        <f t="shared" ref="J36" si="2">SUM(D36:H36)</f>
        <v>1928729.4027358501</v>
      </c>
    </row>
    <row r="37" spans="2:10" ht="45" x14ac:dyDescent="0.25">
      <c r="B37" s="137"/>
      <c r="C37" s="117" t="s">
        <v>44</v>
      </c>
      <c r="D37" s="79">
        <f>IF($N$7&gt;0,$M$7/$N$7,0)</f>
        <v>600000</v>
      </c>
      <c r="E37" s="79">
        <f>IF($N$7&gt;1,$M$7/$N$7,0)</f>
        <v>600000</v>
      </c>
      <c r="F37" s="79">
        <f>IF($N$7&gt;2,$M$7/$N$7,0)</f>
        <v>600000</v>
      </c>
      <c r="G37" s="79">
        <f>IF($N$7&gt;3,$M$7/$N$7,0)</f>
        <v>600000</v>
      </c>
      <c r="H37" s="79">
        <f>IF($N$7&gt;4,$M$7/$N$7,0)</f>
        <v>600000</v>
      </c>
      <c r="I37"/>
      <c r="J37" s="79">
        <f>SUM(D37:H37)</f>
        <v>3000000</v>
      </c>
    </row>
    <row r="38" spans="2:10" x14ac:dyDescent="0.25">
      <c r="B38" s="137"/>
      <c r="C38" s="117"/>
      <c r="D38" s="79"/>
      <c r="E38" s="79"/>
      <c r="F38" s="79"/>
      <c r="G38" s="79"/>
      <c r="H38" s="79"/>
      <c r="I38"/>
      <c r="J38" s="79">
        <f>SUM(D38:H38)</f>
        <v>0</v>
      </c>
    </row>
    <row r="39" spans="2:10" x14ac:dyDescent="0.25">
      <c r="B39" s="137"/>
      <c r="C39" s="114" t="s">
        <v>15</v>
      </c>
      <c r="D39" s="83">
        <f>SUM(D34:D38)</f>
        <v>966885</v>
      </c>
      <c r="E39" s="83">
        <f t="shared" ref="E39:H39" si="3">SUM(E34:E38)</f>
        <v>974183.55</v>
      </c>
      <c r="F39" s="83">
        <f t="shared" si="3"/>
        <v>985409.05649999995</v>
      </c>
      <c r="G39" s="83">
        <f>SUM(G34:G38)</f>
        <v>996971.32819500007</v>
      </c>
      <c r="H39" s="83">
        <f t="shared" si="3"/>
        <v>1010680.46804085</v>
      </c>
      <c r="I39"/>
      <c r="J39" s="83">
        <f>SUM(J34:J38)</f>
        <v>4934129.4027358498</v>
      </c>
    </row>
    <row r="40" spans="2:10" x14ac:dyDescent="0.25">
      <c r="B40" s="137"/>
      <c r="C40" s="115" t="s">
        <v>40</v>
      </c>
      <c r="D40" s="55" t="s">
        <v>33</v>
      </c>
      <c r="E40" s="55"/>
      <c r="F40" s="55"/>
      <c r="G40" s="55"/>
      <c r="H40" s="55"/>
      <c r="I40"/>
      <c r="J40" s="68"/>
    </row>
    <row r="41" spans="2:10" x14ac:dyDescent="0.25">
      <c r="B41" s="137"/>
      <c r="C41" s="117"/>
      <c r="D41" s="68"/>
      <c r="E41" s="68"/>
      <c r="F41" s="68"/>
      <c r="G41" s="68"/>
      <c r="H41" s="68"/>
      <c r="I41"/>
      <c r="J41" s="79"/>
    </row>
    <row r="42" spans="2:10" x14ac:dyDescent="0.25">
      <c r="B42" s="138"/>
      <c r="C42" s="114" t="s">
        <v>16</v>
      </c>
      <c r="D42" s="83">
        <f>SUM(D40:D41)</f>
        <v>0</v>
      </c>
      <c r="E42" s="83">
        <f>SUM(E40:E41)</f>
        <v>0</v>
      </c>
      <c r="F42" s="83">
        <f>SUM(F40:F41)</f>
        <v>0</v>
      </c>
      <c r="G42" s="83">
        <f>SUM(G40:G41)</f>
        <v>0</v>
      </c>
      <c r="H42" s="83">
        <f>SUM(H40:H41)</f>
        <v>0</v>
      </c>
      <c r="I42"/>
      <c r="J42" s="83">
        <f>SUM(J41:J41)</f>
        <v>0</v>
      </c>
    </row>
    <row r="43" spans="2:10" x14ac:dyDescent="0.25">
      <c r="B43" s="15"/>
      <c r="C43" s="114" t="s">
        <v>17</v>
      </c>
      <c r="D43" s="83">
        <f>SUM(D42,D39,D33,D30,D27,D24,D15)</f>
        <v>1074376.0412949999</v>
      </c>
      <c r="E43" s="83">
        <f>SUM(E42,E39,E33,E30,E27,E24,E15)</f>
        <v>1084899.3225338501</v>
      </c>
      <c r="F43" s="83">
        <f>SUM(F42,F39,F33,F30,F27,F24,F15)</f>
        <v>1099446.3022098655</v>
      </c>
      <c r="G43" s="83">
        <f>SUM(G42,G39,G33,G30,G27,G24,G15)</f>
        <v>1114429.6912761615</v>
      </c>
      <c r="H43" s="83">
        <f>SUM(H42,H39,H33,H30,H27,H24,H15)</f>
        <v>1131662.5820144464</v>
      </c>
      <c r="I43"/>
      <c r="J43" s="83">
        <f t="shared" ref="J43" si="4">SUM(D43:H43)</f>
        <v>5504813.9393293234</v>
      </c>
    </row>
    <row r="44" spans="2:10" x14ac:dyDescent="0.25">
      <c r="B44" s="4"/>
      <c r="C44" s="64"/>
      <c r="D44" s="64"/>
      <c r="E44" s="64"/>
      <c r="F44" s="64"/>
      <c r="G44" s="64"/>
      <c r="H44" s="64"/>
      <c r="I44"/>
      <c r="J44" s="64" t="s">
        <v>18</v>
      </c>
    </row>
    <row r="45" spans="2:10" x14ac:dyDescent="0.25">
      <c r="B45" s="133" t="s">
        <v>41</v>
      </c>
      <c r="C45" s="66" t="s">
        <v>41</v>
      </c>
      <c r="D45" s="65"/>
      <c r="E45" s="65"/>
      <c r="F45" s="65"/>
      <c r="G45" s="65"/>
      <c r="H45" s="65"/>
      <c r="I45"/>
      <c r="J45" s="65" t="s">
        <v>18</v>
      </c>
    </row>
    <row r="46" spans="2:10" x14ac:dyDescent="0.25">
      <c r="B46" s="134"/>
      <c r="C46" s="117" t="str">
        <f>'Reference- NYSERDA Indirects'!B7</f>
        <v>NYSERDA Labor Overhead at 41.65%</v>
      </c>
      <c r="D46" s="79">
        <f>D$15*'Reference- NYSERDA Indirects'!$C7</f>
        <v>26514.669054999998</v>
      </c>
      <c r="E46" s="79">
        <f>E$15*'Reference- NYSERDA Indirects'!$C7</f>
        <v>27310.109126650004</v>
      </c>
      <c r="F46" s="79">
        <f>F$15*'Reference- NYSERDA Indirects'!$C7</f>
        <v>28129.412400449502</v>
      </c>
      <c r="G46" s="79">
        <f>G$15*'Reference- NYSERDA Indirects'!$C7</f>
        <v>28973.294772462985</v>
      </c>
      <c r="H46" s="79">
        <f>H$15*'Reference- NYSERDA Indirects'!$C7</f>
        <v>29842.493615636879</v>
      </c>
      <c r="I46"/>
      <c r="J46" s="79">
        <f>SUM(D46:H46)</f>
        <v>140769.97897019936</v>
      </c>
    </row>
    <row r="47" spans="2:10" x14ac:dyDescent="0.25">
      <c r="B47" s="134"/>
      <c r="C47" s="117" t="str">
        <f>'Reference- NYSERDA Indirects'!B8</f>
        <v>NYSERDA G&amp;A Expense at 51.97%</v>
      </c>
      <c r="D47" s="79">
        <f>D$15*'Reference- NYSERDA Indirects'!$C8</f>
        <v>33084.450198999999</v>
      </c>
      <c r="E47" s="79">
        <f>E$15*'Reference- NYSERDA Indirects'!$C8</f>
        <v>34076.983704970007</v>
      </c>
      <c r="F47" s="79">
        <f>F$15*'Reference- NYSERDA Indirects'!$C8</f>
        <v>35099.293216119106</v>
      </c>
      <c r="G47" s="79">
        <f>G$15*'Reference- NYSERDA Indirects'!$C8</f>
        <v>36152.272012602676</v>
      </c>
      <c r="H47" s="79">
        <f>H$15*'Reference- NYSERDA Indirects'!$C8</f>
        <v>37236.840172980767</v>
      </c>
      <c r="I47"/>
      <c r="J47" s="79">
        <f>SUM(D47:H47)</f>
        <v>175649.83930567256</v>
      </c>
    </row>
    <row r="48" spans="2:10" x14ac:dyDescent="0.25">
      <c r="B48" s="135"/>
      <c r="C48" s="117" t="str">
        <f>'Reference- NYSERDA Indirects'!B9</f>
        <v>NYSERDA Cost Recovery Fee at 1.01%</v>
      </c>
      <c r="D48" s="79">
        <f>SUM(D43, D46, D47)*'Reference- NYSERDA Indirects'!$C9</f>
        <v>11453.149121544899</v>
      </c>
      <c r="E48" s="79">
        <f>SUM(E43, E46, E47)*'Reference- NYSERDA Indirects'!$C9</f>
        <v>11577.492795191247</v>
      </c>
      <c r="F48" s="79">
        <f>SUM(F43, F46, F47)*'Reference- NYSERDA Indirects'!$C9</f>
        <v>11743.017579046982</v>
      </c>
      <c r="G48" s="79">
        <f>SUM(G43, G46, G47)*'Reference- NYSERDA Indirects'!$C9</f>
        <v>11913.508106418394</v>
      </c>
      <c r="H48" s="79">
        <f>SUM(H43, H46, H47)*'Reference- NYSERDA Indirects'!$C9</f>
        <v>12107.293349610945</v>
      </c>
      <c r="I48"/>
      <c r="J48" s="79">
        <f t="shared" ref="J48" si="5">SUM(D48:H48)</f>
        <v>58794.460951812463</v>
      </c>
    </row>
    <row r="49" spans="2:10" x14ac:dyDescent="0.25">
      <c r="B49" s="4"/>
      <c r="C49" s="114" t="s">
        <v>19</v>
      </c>
      <c r="D49" s="83">
        <f>SUM(D45:D48)</f>
        <v>71052.268375544896</v>
      </c>
      <c r="E49" s="83">
        <f t="shared" ref="E49:H49" si="6">SUM(E45:E48)</f>
        <v>72964.585626811255</v>
      </c>
      <c r="F49" s="83">
        <f t="shared" si="6"/>
        <v>74971.723195615588</v>
      </c>
      <c r="G49" s="83">
        <f t="shared" si="6"/>
        <v>77039.074891484051</v>
      </c>
      <c r="H49" s="83">
        <f t="shared" si="6"/>
        <v>79186.627138228592</v>
      </c>
      <c r="I49"/>
      <c r="J49" s="83">
        <f>SUM(D49:H49)</f>
        <v>375214.27922768437</v>
      </c>
    </row>
    <row r="50" spans="2:10" s="1" customFormat="1" ht="15.75" thickBot="1" x14ac:dyDescent="0.3">
      <c r="C50" s="64"/>
      <c r="D50" s="64"/>
      <c r="E50" s="64"/>
      <c r="F50" s="64"/>
      <c r="G50" s="64"/>
      <c r="H50" s="64"/>
      <c r="I50"/>
      <c r="J50" s="64" t="s">
        <v>18</v>
      </c>
    </row>
    <row r="51" spans="2:10" ht="30.75" thickBot="1" x14ac:dyDescent="0.3">
      <c r="B51" s="12" t="s">
        <v>20</v>
      </c>
      <c r="C51" s="118"/>
      <c r="D51" s="80">
        <f t="shared" ref="D51:J51" si="7">SUM(D49,D43)</f>
        <v>1145428.3096705447</v>
      </c>
      <c r="E51" s="80">
        <f t="shared" si="7"/>
        <v>1157863.9081606613</v>
      </c>
      <c r="F51" s="80">
        <f t="shared" si="7"/>
        <v>1174418.0254054812</v>
      </c>
      <c r="G51" s="80">
        <f t="shared" si="7"/>
        <v>1191468.7661676456</v>
      </c>
      <c r="H51" s="80">
        <f t="shared" si="7"/>
        <v>1210849.209152675</v>
      </c>
      <c r="I51"/>
      <c r="J51" s="80">
        <f t="shared" si="7"/>
        <v>5880028.2185570076</v>
      </c>
    </row>
    <row r="52" spans="2:10" x14ac:dyDescent="0.25">
      <c r="B52" s="4"/>
      <c r="E52" s="82"/>
      <c r="H52" s="82"/>
      <c r="I52"/>
    </row>
    <row r="53" spans="2:10" x14ac:dyDescent="0.25">
      <c r="B53" s="4"/>
      <c r="E53" s="82"/>
      <c r="H53" s="82"/>
    </row>
    <row r="54" spans="2:10" x14ac:dyDescent="0.25">
      <c r="B54" s="4"/>
    </row>
    <row r="55" spans="2:10" x14ac:dyDescent="0.25">
      <c r="B55" s="4"/>
    </row>
    <row r="56" spans="2:10" x14ac:dyDescent="0.25">
      <c r="B56" s="4"/>
    </row>
    <row r="57" spans="2:10" x14ac:dyDescent="0.25">
      <c r="B57" s="4"/>
    </row>
    <row r="58" spans="2:10" x14ac:dyDescent="0.25">
      <c r="B58" s="4"/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</sheetData>
  <sheetProtection algorithmName="SHA-512" hashValue="CCyxODtY57od+r5YSXoFgpGJMvm1p8O7E4Ch20uSztMUvd3n/jYWB4409wMzxwzKMbvspSIV54KLfPP6YJStvg==" saltValue="xsS/bc2uArM5waEbOgrGbQ==" spinCount="100000" sheet="1" objects="1" scenarios="1"/>
  <mergeCells count="2">
    <mergeCell ref="B45:B48"/>
    <mergeCell ref="B7:B42"/>
  </mergeCells>
  <pageMargins left="0.7" right="0.7" top="0.75" bottom="0.75" header="0.3" footer="0.3"/>
  <pageSetup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AA1BC-2342-48E1-9DDD-F16EA6F937D8}">
  <sheetPr>
    <tabColor theme="8"/>
    <pageSetUpPr fitToPage="1"/>
  </sheetPr>
  <dimension ref="A1:Q31"/>
  <sheetViews>
    <sheetView zoomScale="80" zoomScaleNormal="80" workbookViewId="0">
      <selection activeCell="F9" sqref="F9"/>
    </sheetView>
  </sheetViews>
  <sheetFormatPr defaultRowHeight="15" x14ac:dyDescent="0.25"/>
  <cols>
    <col min="2" max="2" width="64.140625" customWidth="1"/>
    <col min="3" max="3" width="15.85546875" customWidth="1"/>
    <col min="4" max="4" width="14" customWidth="1"/>
    <col min="5" max="5" width="16" customWidth="1"/>
    <col min="6" max="6" width="17.5703125" customWidth="1"/>
    <col min="7" max="7" width="9.140625" customWidth="1"/>
    <col min="8" max="8" width="23.42578125" customWidth="1"/>
    <col min="10" max="10" width="26.5703125" customWidth="1"/>
    <col min="11" max="12" width="15.140625" customWidth="1"/>
    <col min="13" max="13" width="15.5703125" customWidth="1"/>
    <col min="14" max="14" width="17.5703125" customWidth="1"/>
    <col min="15" max="15" width="13" customWidth="1"/>
    <col min="16" max="16" width="12.28515625" customWidth="1"/>
    <col min="17" max="17" width="13.5703125" customWidth="1"/>
  </cols>
  <sheetData>
    <row r="1" spans="1:17" x14ac:dyDescent="0.25">
      <c r="B1" t="s">
        <v>99</v>
      </c>
    </row>
    <row r="3" spans="1:17" x14ac:dyDescent="0.25">
      <c r="B3" s="69" t="s">
        <v>50</v>
      </c>
      <c r="J3" s="69" t="s">
        <v>51</v>
      </c>
    </row>
    <row r="5" spans="1:17" ht="31.5" customHeight="1" x14ac:dyDescent="0.25">
      <c r="B5" s="59" t="s">
        <v>52</v>
      </c>
      <c r="C5" s="92" t="s">
        <v>110</v>
      </c>
      <c r="D5" s="92" t="s">
        <v>111</v>
      </c>
      <c r="E5" s="92" t="s">
        <v>108</v>
      </c>
      <c r="F5" s="92" t="s">
        <v>92</v>
      </c>
      <c r="G5" s="59" t="s">
        <v>26</v>
      </c>
      <c r="H5" s="92" t="s">
        <v>53</v>
      </c>
      <c r="J5" s="89" t="s">
        <v>87</v>
      </c>
      <c r="K5" s="92" t="s">
        <v>110</v>
      </c>
      <c r="L5" s="92" t="s">
        <v>111</v>
      </c>
      <c r="M5" s="92" t="s">
        <v>109</v>
      </c>
      <c r="N5" s="92" t="s">
        <v>92</v>
      </c>
      <c r="O5" s="94" t="s">
        <v>54</v>
      </c>
      <c r="P5" s="92" t="s">
        <v>107</v>
      </c>
      <c r="Q5" s="93"/>
    </row>
    <row r="6" spans="1:17" x14ac:dyDescent="0.25">
      <c r="B6" s="87" t="str">
        <f>CONCATENATE(H6, " at $",C21,"/yr, ",G6," FTE with salary increase")</f>
        <v>Program Manager at $123600/yr, 0.45 FTE with salary increase</v>
      </c>
      <c r="C6" s="50">
        <v>0.02</v>
      </c>
      <c r="D6" s="50">
        <v>0.05</v>
      </c>
      <c r="E6" s="50">
        <v>0.05</v>
      </c>
      <c r="F6" s="50">
        <v>0.33</v>
      </c>
      <c r="G6" s="86">
        <f>SUM(C6:F6)</f>
        <v>0.45</v>
      </c>
      <c r="H6" s="11" t="s">
        <v>55</v>
      </c>
      <c r="J6" s="87" t="s">
        <v>88</v>
      </c>
      <c r="K6" s="48">
        <v>0.3</v>
      </c>
      <c r="L6" s="48">
        <v>0.65</v>
      </c>
      <c r="M6" s="48">
        <v>0.65</v>
      </c>
      <c r="N6" s="48">
        <v>0.4</v>
      </c>
      <c r="O6" s="48">
        <f>SUM(K6:N6)</f>
        <v>2</v>
      </c>
      <c r="P6" s="119">
        <f>100*37.5*52</f>
        <v>195000</v>
      </c>
    </row>
    <row r="7" spans="1:17" x14ac:dyDescent="0.25">
      <c r="B7" s="87" t="str">
        <f t="shared" ref="B7:B16" si="0">CONCATENATE(H7, " at $",C22,"/yr, ",G7," FTE with salary increase")</f>
        <v>Director at $185851/yr, 0.1 FTE with salary increase</v>
      </c>
      <c r="C7" s="11"/>
      <c r="D7" s="50">
        <v>0.02</v>
      </c>
      <c r="E7" s="50">
        <v>0.02</v>
      </c>
      <c r="F7" s="50">
        <v>0.06</v>
      </c>
      <c r="G7" s="86">
        <f t="shared" ref="G7:G16" si="1">SUM(C7:F7)</f>
        <v>0.1</v>
      </c>
      <c r="H7" s="11" t="s">
        <v>56</v>
      </c>
      <c r="J7" s="88" t="s">
        <v>59</v>
      </c>
      <c r="K7" s="48">
        <v>0.2</v>
      </c>
      <c r="L7" s="48">
        <v>0.6</v>
      </c>
      <c r="M7" s="48">
        <v>0.6</v>
      </c>
      <c r="N7" s="48">
        <f>0.6+0.5</f>
        <v>1.1000000000000001</v>
      </c>
      <c r="O7" s="48">
        <f>SUM(K7:N7)</f>
        <v>2.5</v>
      </c>
      <c r="P7" s="119">
        <f>133*37.5*52</f>
        <v>259350</v>
      </c>
    </row>
    <row r="8" spans="1:17" x14ac:dyDescent="0.25">
      <c r="B8" s="87" t="str">
        <f t="shared" si="0"/>
        <v>Vice President at $201710/yr, 0.05 FTE with salary increase</v>
      </c>
      <c r="C8" s="11"/>
      <c r="D8" s="50">
        <v>0.01</v>
      </c>
      <c r="E8" s="50">
        <v>0.01</v>
      </c>
      <c r="F8" s="50">
        <v>0.03</v>
      </c>
      <c r="G8" s="86">
        <f t="shared" si="1"/>
        <v>0.05</v>
      </c>
      <c r="H8" s="11" t="s">
        <v>57</v>
      </c>
      <c r="J8" s="90" t="s">
        <v>26</v>
      </c>
      <c r="K8" s="91">
        <f t="shared" ref="K8:M8" si="2">SUM(K6:K7)</f>
        <v>0.5</v>
      </c>
      <c r="L8" s="91">
        <f t="shared" si="2"/>
        <v>1.25</v>
      </c>
      <c r="M8" s="91">
        <f t="shared" si="2"/>
        <v>1.25</v>
      </c>
      <c r="N8" s="91">
        <f t="shared" ref="N8" si="3">SUM(N6:N7)</f>
        <v>1.5</v>
      </c>
      <c r="O8" s="91">
        <f>SUM(O6:O7)</f>
        <v>4.5</v>
      </c>
    </row>
    <row r="9" spans="1:17" x14ac:dyDescent="0.25">
      <c r="B9" s="87" t="str">
        <f t="shared" si="0"/>
        <v>Project Manager at $151674/yr, 0.05 FTE with salary increase</v>
      </c>
      <c r="C9" s="50">
        <v>0.01</v>
      </c>
      <c r="D9" s="50">
        <v>0.01</v>
      </c>
      <c r="E9" s="50">
        <v>0.01</v>
      </c>
      <c r="F9" s="50">
        <v>0.02</v>
      </c>
      <c r="G9" s="86">
        <f t="shared" si="1"/>
        <v>0.05</v>
      </c>
      <c r="H9" s="11" t="s">
        <v>58</v>
      </c>
    </row>
    <row r="10" spans="1:17" x14ac:dyDescent="0.25">
      <c r="B10" s="87" t="str">
        <f t="shared" si="0"/>
        <v>Project Manager at $84460/yr, 0.05 FTE with salary increase</v>
      </c>
      <c r="C10" s="50">
        <v>0.01</v>
      </c>
      <c r="D10" s="50">
        <v>0.01</v>
      </c>
      <c r="E10" s="50">
        <v>0.01</v>
      </c>
      <c r="F10" s="50">
        <v>0.02</v>
      </c>
      <c r="G10" s="86">
        <f t="shared" si="1"/>
        <v>0.05</v>
      </c>
      <c r="H10" s="11" t="s">
        <v>58</v>
      </c>
    </row>
    <row r="11" spans="1:17" x14ac:dyDescent="0.25">
      <c r="A11" s="100"/>
      <c r="B11" s="87" t="str">
        <f t="shared" si="0"/>
        <v>Project Manager at $88000/yr, 0.2 FTE with salary increase</v>
      </c>
      <c r="C11" s="96"/>
      <c r="D11" s="96"/>
      <c r="E11" s="98">
        <v>0.2</v>
      </c>
      <c r="F11" s="96"/>
      <c r="G11" s="86">
        <f t="shared" si="1"/>
        <v>0.2</v>
      </c>
      <c r="H11" s="11" t="s">
        <v>58</v>
      </c>
    </row>
    <row r="12" spans="1:17" x14ac:dyDescent="0.25">
      <c r="A12" s="100"/>
      <c r="B12" s="87" t="str">
        <f t="shared" si="0"/>
        <v>Program Manager at $149350/yr, 0.1 FTE with salary increase</v>
      </c>
      <c r="C12" s="11"/>
      <c r="D12" s="50">
        <v>0.1</v>
      </c>
      <c r="E12" s="11"/>
      <c r="F12" s="11"/>
      <c r="G12" s="86">
        <f t="shared" si="1"/>
        <v>0.1</v>
      </c>
      <c r="H12" s="11" t="s">
        <v>55</v>
      </c>
    </row>
    <row r="13" spans="1:17" x14ac:dyDescent="0.25">
      <c r="A13" s="100"/>
      <c r="B13" s="87" t="str">
        <f t="shared" si="0"/>
        <v>Senior Project Manager at $111653/yr, 0.1 FTE with salary increase</v>
      </c>
      <c r="C13" s="11"/>
      <c r="D13" s="50">
        <v>0.1</v>
      </c>
      <c r="E13" s="11"/>
      <c r="F13" s="11"/>
      <c r="G13" s="86">
        <f t="shared" si="1"/>
        <v>0.1</v>
      </c>
      <c r="H13" s="11" t="s">
        <v>59</v>
      </c>
    </row>
    <row r="14" spans="1:17" x14ac:dyDescent="0.25">
      <c r="A14" s="100"/>
      <c r="B14" s="87" t="str">
        <f t="shared" si="0"/>
        <v>Project Manager at $98357/yr, 0.1 FTE with salary increase</v>
      </c>
      <c r="C14" s="11"/>
      <c r="D14" s="50">
        <v>0.1</v>
      </c>
      <c r="E14" s="11"/>
      <c r="F14" s="11"/>
      <c r="G14" s="86">
        <f t="shared" si="1"/>
        <v>0.1</v>
      </c>
      <c r="H14" s="11" t="s">
        <v>58</v>
      </c>
    </row>
    <row r="15" spans="1:17" x14ac:dyDescent="0.25">
      <c r="A15" s="100"/>
      <c r="B15" s="87" t="str">
        <f t="shared" si="0"/>
        <v>Program Manager at $151674/yr, 0.1 FTE with salary increase</v>
      </c>
      <c r="C15" s="11"/>
      <c r="D15" s="50"/>
      <c r="E15" s="50">
        <v>0.1</v>
      </c>
      <c r="F15" s="11"/>
      <c r="G15" s="86">
        <f t="shared" si="1"/>
        <v>0.1</v>
      </c>
      <c r="H15" s="11" t="s">
        <v>55</v>
      </c>
      <c r="J15" s="59" t="s">
        <v>60</v>
      </c>
    </row>
    <row r="16" spans="1:17" x14ac:dyDescent="0.25">
      <c r="B16" s="87" t="str">
        <f t="shared" si="0"/>
        <v>Project Manager at $94763/yr, 0.05 FTE with salary increase</v>
      </c>
      <c r="C16" s="50">
        <v>0.01</v>
      </c>
      <c r="D16" s="50">
        <v>0.02</v>
      </c>
      <c r="E16" s="50">
        <v>0.01</v>
      </c>
      <c r="F16" s="50">
        <v>0.01</v>
      </c>
      <c r="G16" s="86">
        <f t="shared" si="1"/>
        <v>0.05</v>
      </c>
      <c r="H16" s="11" t="s">
        <v>58</v>
      </c>
      <c r="J16" s="70">
        <v>1.03</v>
      </c>
      <c r="K16" t="s">
        <v>61</v>
      </c>
    </row>
    <row r="17" spans="2:12" x14ac:dyDescent="0.25">
      <c r="B17" s="102"/>
      <c r="E17" s="57"/>
      <c r="F17" s="57"/>
      <c r="G17" s="58"/>
    </row>
    <row r="18" spans="2:12" x14ac:dyDescent="0.25">
      <c r="B18" s="102"/>
    </row>
    <row r="19" spans="2:12" x14ac:dyDescent="0.25">
      <c r="L19" t="s">
        <v>112</v>
      </c>
    </row>
    <row r="20" spans="2:12" x14ac:dyDescent="0.25">
      <c r="B20" s="92" t="s">
        <v>62</v>
      </c>
      <c r="C20" s="59" t="s">
        <v>63</v>
      </c>
      <c r="D20" s="59" t="s">
        <v>60</v>
      </c>
    </row>
    <row r="21" spans="2:12" x14ac:dyDescent="0.25">
      <c r="B21" s="87" t="str">
        <f t="shared" ref="B21:B31" si="4">H6</f>
        <v>Program Manager</v>
      </c>
      <c r="C21" s="97">
        <v>123600</v>
      </c>
      <c r="D21" s="70">
        <v>1.03</v>
      </c>
      <c r="E21" t="s">
        <v>61</v>
      </c>
    </row>
    <row r="22" spans="2:12" x14ac:dyDescent="0.25">
      <c r="B22" s="87" t="str">
        <f t="shared" si="4"/>
        <v>Director</v>
      </c>
      <c r="C22" s="99">
        <v>185851</v>
      </c>
    </row>
    <row r="23" spans="2:12" x14ac:dyDescent="0.25">
      <c r="B23" s="87" t="str">
        <f t="shared" si="4"/>
        <v>Vice President</v>
      </c>
      <c r="C23" s="99">
        <v>201710</v>
      </c>
    </row>
    <row r="24" spans="2:12" x14ac:dyDescent="0.25">
      <c r="B24" s="87" t="str">
        <f t="shared" si="4"/>
        <v>Project Manager</v>
      </c>
      <c r="C24" s="99">
        <v>151674</v>
      </c>
    </row>
    <row r="25" spans="2:12" x14ac:dyDescent="0.25">
      <c r="B25" s="87" t="str">
        <f t="shared" si="4"/>
        <v>Project Manager</v>
      </c>
      <c r="C25" s="99">
        <v>84460</v>
      </c>
    </row>
    <row r="26" spans="2:12" x14ac:dyDescent="0.25">
      <c r="B26" s="87" t="str">
        <f t="shared" si="4"/>
        <v>Project Manager</v>
      </c>
      <c r="C26" s="99">
        <v>88000</v>
      </c>
    </row>
    <row r="27" spans="2:12" x14ac:dyDescent="0.25">
      <c r="B27" s="87" t="str">
        <f t="shared" si="4"/>
        <v>Program Manager</v>
      </c>
      <c r="C27" s="99">
        <v>149350</v>
      </c>
    </row>
    <row r="28" spans="2:12" x14ac:dyDescent="0.25">
      <c r="B28" s="87" t="str">
        <f t="shared" si="4"/>
        <v>Senior Project Manager</v>
      </c>
      <c r="C28" s="99">
        <v>111653</v>
      </c>
    </row>
    <row r="29" spans="2:12" x14ac:dyDescent="0.25">
      <c r="B29" s="87" t="str">
        <f t="shared" si="4"/>
        <v>Project Manager</v>
      </c>
      <c r="C29" s="99">
        <v>98357</v>
      </c>
    </row>
    <row r="30" spans="2:12" x14ac:dyDescent="0.25">
      <c r="B30" s="87" t="str">
        <f t="shared" si="4"/>
        <v>Program Manager</v>
      </c>
      <c r="C30" s="99">
        <v>151674</v>
      </c>
    </row>
    <row r="31" spans="2:12" x14ac:dyDescent="0.25">
      <c r="B31" s="87" t="str">
        <f t="shared" si="4"/>
        <v>Project Manager</v>
      </c>
      <c r="C31" s="99">
        <v>94763</v>
      </c>
    </row>
  </sheetData>
  <sheetProtection algorithmName="SHA-512" hashValue="EgceMzXVZ0EOv04i7WF71In7vxFLpvs9nj4Zb1eJzdhmC8Xk/ktdW8Xj3kJaAIW7Kzf/5HAYTmc+dK7Si3IJ3A==" saltValue="oHqiEMS2tbBkmMkEyp4sqg==" spinCount="100000" sheet="1" objects="1" scenarios="1"/>
  <pageMargins left="0.7" right="0.7" top="0.75" bottom="0.75" header="0.3" footer="0.3"/>
  <pageSetup paperSize="5" scale="5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41C9-D3FC-484A-A9E2-41E8203145E9}">
  <sheetPr>
    <tabColor theme="8"/>
    <pageSetUpPr fitToPage="1"/>
  </sheetPr>
  <dimension ref="B1:D24"/>
  <sheetViews>
    <sheetView workbookViewId="0">
      <selection activeCell="C29" sqref="C29"/>
    </sheetView>
  </sheetViews>
  <sheetFormatPr defaultRowHeight="15" x14ac:dyDescent="0.25"/>
  <cols>
    <col min="2" max="2" width="34.28515625" customWidth="1"/>
    <col min="3" max="3" width="23.42578125" customWidth="1"/>
  </cols>
  <sheetData>
    <row r="1" spans="2:4" x14ac:dyDescent="0.25">
      <c r="B1" t="s">
        <v>100</v>
      </c>
    </row>
    <row r="3" spans="2:4" x14ac:dyDescent="0.25">
      <c r="B3" t="s">
        <v>64</v>
      </c>
    </row>
    <row r="4" spans="2:4" x14ac:dyDescent="0.25">
      <c r="B4" s="139" t="s">
        <v>65</v>
      </c>
      <c r="C4" s="66" t="s">
        <v>66</v>
      </c>
      <c r="D4" s="139" t="s">
        <v>67</v>
      </c>
    </row>
    <row r="5" spans="2:4" x14ac:dyDescent="0.25">
      <c r="B5" s="139"/>
      <c r="C5" s="66" t="s">
        <v>68</v>
      </c>
      <c r="D5" s="139"/>
    </row>
    <row r="6" spans="2:4" x14ac:dyDescent="0.25">
      <c r="B6" s="11" t="s">
        <v>69</v>
      </c>
      <c r="C6" s="67">
        <v>0.6885</v>
      </c>
      <c r="D6" s="11" t="s">
        <v>70</v>
      </c>
    </row>
    <row r="7" spans="2:4" x14ac:dyDescent="0.25">
      <c r="B7" s="11" t="s">
        <v>71</v>
      </c>
      <c r="C7" s="67">
        <v>0.41649999999999998</v>
      </c>
      <c r="D7" s="11" t="s">
        <v>70</v>
      </c>
    </row>
    <row r="8" spans="2:4" x14ac:dyDescent="0.25">
      <c r="B8" s="11" t="s">
        <v>72</v>
      </c>
      <c r="C8" s="67">
        <v>0.51970000000000005</v>
      </c>
      <c r="D8" s="11" t="s">
        <v>70</v>
      </c>
    </row>
    <row r="9" spans="2:4" x14ac:dyDescent="0.25">
      <c r="B9" s="11" t="s">
        <v>73</v>
      </c>
      <c r="C9" s="67">
        <v>1.01E-2</v>
      </c>
      <c r="D9" s="11" t="s">
        <v>74</v>
      </c>
    </row>
    <row r="10" spans="2:4" x14ac:dyDescent="0.25">
      <c r="C10" s="49"/>
    </row>
    <row r="11" spans="2:4" x14ac:dyDescent="0.25">
      <c r="B11" s="49"/>
      <c r="D11" t="s">
        <v>75</v>
      </c>
    </row>
    <row r="12" spans="2:4" x14ac:dyDescent="0.25">
      <c r="B12" s="49"/>
      <c r="D12" t="s">
        <v>76</v>
      </c>
    </row>
    <row r="15" spans="2:4" x14ac:dyDescent="0.25">
      <c r="B15" s="49"/>
    </row>
    <row r="16" spans="2:4" x14ac:dyDescent="0.25">
      <c r="B16" s="49"/>
    </row>
    <row r="19" spans="2:2" x14ac:dyDescent="0.25">
      <c r="B19" s="49"/>
    </row>
    <row r="20" spans="2:2" x14ac:dyDescent="0.25">
      <c r="B20" s="49"/>
    </row>
    <row r="23" spans="2:2" x14ac:dyDescent="0.25">
      <c r="B23" s="49"/>
    </row>
    <row r="24" spans="2:2" x14ac:dyDescent="0.25">
      <c r="B24" s="49"/>
    </row>
  </sheetData>
  <sheetProtection algorithmName="SHA-512" hashValue="OI7qhsmX35boueo59dYnNf/A7ftEGthBmucv5/flpgKLFCwgiwGD11Mpj3iJhbTx0f2ucEey335WfMQgE8Q1QA==" saltValue="H5P8LCUo+07oyFm0b+8HBA==" spinCount="100000" sheet="1" objects="1" scenarios="1"/>
  <mergeCells count="2">
    <mergeCell ref="D4:D5"/>
    <mergeCell ref="B4:B5"/>
  </mergeCells>
  <pageMargins left="0.7" right="0.7" top="0.75" bottom="0.75" header="0.3" footer="0.3"/>
  <pageSetup scale="9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E6E2B-5FF8-4D0F-8111-DBFED845DBD3}">
  <sheetPr>
    <tabColor theme="8"/>
    <pageSetUpPr fitToPage="1"/>
  </sheetPr>
  <dimension ref="A1:G13"/>
  <sheetViews>
    <sheetView workbookViewId="0">
      <selection activeCell="D26" sqref="D26"/>
    </sheetView>
  </sheetViews>
  <sheetFormatPr defaultRowHeight="15" x14ac:dyDescent="0.25"/>
  <cols>
    <col min="1" max="1" width="28" customWidth="1"/>
    <col min="2" max="2" width="31.5703125" customWidth="1"/>
    <col min="3" max="3" width="18.140625" customWidth="1"/>
    <col min="4" max="4" width="17.5703125" customWidth="1"/>
    <col min="5" max="5" width="16.7109375" customWidth="1"/>
    <col min="6" max="6" width="15.42578125" customWidth="1"/>
    <col min="7" max="7" width="19.5703125" customWidth="1"/>
    <col min="8" max="11" width="12.5703125" customWidth="1"/>
    <col min="12" max="12" width="16.85546875" customWidth="1"/>
    <col min="14" max="14" width="29.5703125" customWidth="1"/>
    <col min="17" max="17" width="14.5703125" customWidth="1"/>
  </cols>
  <sheetData>
    <row r="1" spans="1:7" x14ac:dyDescent="0.25">
      <c r="A1" t="s">
        <v>114</v>
      </c>
    </row>
    <row r="5" spans="1:7" x14ac:dyDescent="0.25">
      <c r="A5" s="59"/>
      <c r="B5" s="59"/>
    </row>
    <row r="6" spans="1:7" x14ac:dyDescent="0.25">
      <c r="A6" s="47" t="s">
        <v>77</v>
      </c>
      <c r="B6" s="47">
        <v>12</v>
      </c>
    </row>
    <row r="7" spans="1:7" x14ac:dyDescent="0.25">
      <c r="A7" s="47" t="s">
        <v>78</v>
      </c>
      <c r="B7" s="71">
        <v>300</v>
      </c>
    </row>
    <row r="10" spans="1:7" x14ac:dyDescent="0.25">
      <c r="A10" s="59"/>
      <c r="B10" s="59" t="s">
        <v>79</v>
      </c>
      <c r="C10" s="59" t="s">
        <v>80</v>
      </c>
      <c r="D10" s="59" t="s">
        <v>81</v>
      </c>
      <c r="E10" s="59" t="s">
        <v>82</v>
      </c>
      <c r="F10" s="59" t="s">
        <v>83</v>
      </c>
      <c r="G10" s="59" t="s">
        <v>84</v>
      </c>
    </row>
    <row r="11" spans="1:7" x14ac:dyDescent="0.25">
      <c r="A11" s="11" t="s">
        <v>85</v>
      </c>
      <c r="B11" s="47">
        <v>4</v>
      </c>
      <c r="C11" s="47">
        <v>0</v>
      </c>
      <c r="D11" s="47">
        <v>0</v>
      </c>
      <c r="E11" s="47">
        <v>0</v>
      </c>
      <c r="F11" s="47">
        <v>2</v>
      </c>
      <c r="G11" s="72">
        <f>SUM(B11:F11)</f>
        <v>6</v>
      </c>
    </row>
    <row r="12" spans="1:7" x14ac:dyDescent="0.25">
      <c r="A12" s="11" t="s">
        <v>86</v>
      </c>
      <c r="B12" s="47">
        <f>B11*$B$6*$B$7</f>
        <v>14400</v>
      </c>
      <c r="C12" s="47">
        <f t="shared" ref="C12:F12" si="0">C11*$B$6*$B$7</f>
        <v>0</v>
      </c>
      <c r="D12" s="47">
        <f t="shared" si="0"/>
        <v>0</v>
      </c>
      <c r="E12" s="47">
        <f t="shared" si="0"/>
        <v>0</v>
      </c>
      <c r="F12" s="47">
        <f t="shared" si="0"/>
        <v>7200</v>
      </c>
      <c r="G12" s="72">
        <f>SUM(B12:F12)</f>
        <v>21600</v>
      </c>
    </row>
    <row r="13" spans="1:7" x14ac:dyDescent="0.25">
      <c r="A13" s="11" t="s">
        <v>113</v>
      </c>
      <c r="B13" s="71">
        <f>B12/4</f>
        <v>3600</v>
      </c>
      <c r="C13" s="71">
        <f t="shared" ref="C13:F13" si="1">C12/4</f>
        <v>0</v>
      </c>
      <c r="D13" s="71">
        <f t="shared" si="1"/>
        <v>0</v>
      </c>
      <c r="E13" s="71">
        <f t="shared" si="1"/>
        <v>0</v>
      </c>
      <c r="F13" s="71">
        <f t="shared" si="1"/>
        <v>1800</v>
      </c>
      <c r="G13" s="72">
        <f>SUM(B13:F13)</f>
        <v>5400</v>
      </c>
    </row>
  </sheetData>
  <sheetProtection algorithmName="SHA-512" hashValue="pkWaPMd+TN31yl0bpBh9hXL1lJv5HtaZ7WTfsTTEMxcDdGpXlpIPHaQ95c1CAkv1CEB4WcL4s1rwsSsQrZ2iMw==" saltValue="onzevdwvYHdQ4Jqa/naF/A==" spinCount="100000" sheet="1" objects="1" scenarios="1"/>
  <pageMargins left="0.7" right="0.7" top="0.75" bottom="0.75" header="0.3" footer="0.3"/>
  <pageSetup scale="8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/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38dd806-a5b7-46a5-9c55-c2d3786c84e5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f84ce77c-2890-4532-9e70-6c4c8523faa4">
      <Terms xmlns="http://schemas.microsoft.com/office/infopath/2007/PartnerControls"/>
    </lcf76f155ced4ddcb4097134ff3c332f>
    <TaxCatchAll xmlns="238dd806-a5b7-46a5-9c55-c2d3786c84e5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0AFCBA25B6F49A6FF4F049274A38B" ma:contentTypeVersion="12" ma:contentTypeDescription="Create a new document." ma:contentTypeScope="" ma:versionID="918bddff457615213984a958f25a0287">
  <xsd:schema xmlns:xsd="http://www.w3.org/2001/XMLSchema" xmlns:xs="http://www.w3.org/2001/XMLSchema" xmlns:p="http://schemas.microsoft.com/office/2006/metadata/properties" xmlns:ns2="238dd806-a5b7-46a5-9c55-c2d3786c84e5" xmlns:ns3="f84ce77c-2890-4532-9e70-6c4c8523faa4" targetNamespace="http://schemas.microsoft.com/office/2006/metadata/properties" ma:root="true" ma:fieldsID="18ab85641accceac8c08378431f8eb48" ns2:_="" ns3:_="">
    <xsd:import namespace="238dd806-a5b7-46a5-9c55-c2d3786c84e5"/>
    <xsd:import namespace="f84ce77c-2890-4532-9e70-6c4c8523fa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dd806-a5b7-46a5-9c55-c2d3786c84e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b34abca-2261-4c4d-83be-4c47f5826515}" ma:internalName="TaxCatchAll" ma:showField="CatchAllData" ma:web="238dd806-a5b7-46a5-9c55-c2d3786c84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ce77c-2890-4532-9e70-6c4c8523f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39e25b7-0a97-41c9-a156-d5f3062356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13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CC7113-7A8F-4E02-A14C-DBF4490E8F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4A3C128-C102-4CBE-ADD7-D497C4BF05C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f84ce77c-2890-4532-9e70-6c4c8523faa4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238dd806-a5b7-46a5-9c55-c2d3786c84e5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D418FD0C-5CFC-4222-B788-960722779D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dd806-a5b7-46a5-9c55-c2d3786c84e5"/>
    <ds:schemaRef ds:uri="f84ce77c-2890-4532-9e70-6c4c8523f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Consolidated Budget</vt:lpstr>
      <vt:lpstr>1-Smart Growth Acceleration</vt:lpstr>
      <vt:lpstr>2-Clean Mobility</vt:lpstr>
      <vt:lpstr>3-NYTVIP-MunicipalTrack</vt:lpstr>
      <vt:lpstr>4-Bid Specs + Group Purchasing</vt:lpstr>
      <vt:lpstr>Reference- Personnel&amp;Staff Aug</vt:lpstr>
      <vt:lpstr>Reference- NYSERDA Indirects</vt:lpstr>
      <vt:lpstr>Reference- CBO Stakeholders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2024-04-01T20:35:33Z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0x01010036D0AFCBA25B6F49A6FF4F049274A38B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