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d.docs.live.net/ced2736405f4a789/Documents/Work/"/>
    </mc:Choice>
  </mc:AlternateContent>
  <xr:revisionPtr revIDLastSave="8" documentId="8_{356A6D0F-F662-44B9-B7BC-D92C7C255054}" xr6:coauthVersionLast="47" xr6:coauthVersionMax="47" xr10:uidLastSave="{530A6459-F002-4F1A-9C78-F0F7504ECE94}"/>
  <bookViews>
    <workbookView xWindow="-108" yWindow="-108" windowWidth="23256" windowHeight="12576" firstSheet="1" activeTab="5" xr2:uid="{CA568A6A-06BB-FE4F-B259-60F00A91DDC0}"/>
  </bookViews>
  <sheets>
    <sheet name="All Measure Summary" sheetId="6" r:id="rId1"/>
    <sheet name="Measure 1 Summary" sheetId="3" r:id="rId2"/>
    <sheet name="M1 Energy Efficiency" sheetId="1" r:id="rId3"/>
    <sheet name="M1 Woodstoves" sheetId="2" r:id="rId4"/>
    <sheet name="Measure 2" sheetId="4" r:id="rId5"/>
    <sheet name="Measure 3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6" l="1"/>
  <c r="J17" i="6"/>
  <c r="G18" i="6"/>
  <c r="H17" i="6"/>
  <c r="G17" i="6"/>
  <c r="F17" i="6"/>
  <c r="E17" i="6"/>
  <c r="D17" i="6"/>
  <c r="C17" i="6"/>
  <c r="B17" i="6"/>
  <c r="J15" i="6"/>
  <c r="K13" i="6"/>
  <c r="J13" i="6"/>
  <c r="H5" i="6"/>
  <c r="H9" i="6"/>
  <c r="H14" i="6"/>
  <c r="H13" i="6"/>
  <c r="G14" i="6"/>
  <c r="F14" i="6"/>
  <c r="E14" i="6"/>
  <c r="D14" i="6"/>
  <c r="C14" i="6"/>
  <c r="G13" i="6"/>
  <c r="F13" i="6"/>
  <c r="E13" i="6"/>
  <c r="D13" i="6"/>
  <c r="C13" i="6"/>
  <c r="B14" i="6"/>
  <c r="B13" i="6"/>
  <c r="K9" i="6"/>
  <c r="J9" i="6"/>
  <c r="G10" i="6"/>
  <c r="G9" i="6"/>
  <c r="F9" i="6"/>
  <c r="E9" i="6"/>
  <c r="D9" i="6"/>
  <c r="C9" i="6"/>
  <c r="B9" i="6"/>
  <c r="K5" i="6"/>
  <c r="J5" i="6"/>
  <c r="G6" i="6"/>
  <c r="G5" i="6"/>
  <c r="F5" i="6"/>
  <c r="E5" i="6"/>
  <c r="D5" i="6"/>
  <c r="C5" i="6"/>
  <c r="B5" i="6"/>
  <c r="A5" i="6"/>
  <c r="B7" i="1"/>
  <c r="J16" i="5" l="1"/>
  <c r="I16" i="5"/>
  <c r="H16" i="5"/>
  <c r="G16" i="5"/>
  <c r="F16" i="5"/>
  <c r="E16" i="5"/>
  <c r="D16" i="5"/>
  <c r="G20" i="5"/>
  <c r="H20" i="5" s="1"/>
  <c r="I20" i="5" s="1"/>
  <c r="E21" i="5"/>
  <c r="F19" i="5"/>
  <c r="G19" i="5" s="1"/>
  <c r="F18" i="5"/>
  <c r="G18" i="5" s="1"/>
  <c r="H18" i="5" s="1"/>
  <c r="I18" i="5" s="1"/>
  <c r="D18" i="5"/>
  <c r="D21" i="5" s="1"/>
  <c r="J15" i="5"/>
  <c r="J14" i="5"/>
  <c r="J13" i="5"/>
  <c r="G21" i="5" l="1"/>
  <c r="H19" i="5"/>
  <c r="I19" i="5" s="1"/>
  <c r="F21" i="5"/>
  <c r="J18" i="5"/>
  <c r="J20" i="5"/>
  <c r="H21" i="5"/>
  <c r="J19" i="5"/>
  <c r="I21" i="5"/>
  <c r="J21" i="5" l="1"/>
  <c r="J18" i="2" l="1"/>
  <c r="E6" i="5" l="1"/>
  <c r="F6" i="5" s="1"/>
  <c r="G6" i="5" s="1"/>
  <c r="H6" i="5" l="1"/>
  <c r="B9" i="5"/>
  <c r="D24" i="4"/>
  <c r="D9" i="5" l="1"/>
  <c r="D23" i="5" s="1"/>
  <c r="F9" i="5"/>
  <c r="F23" i="5" s="1"/>
  <c r="I6" i="5"/>
  <c r="H9" i="5"/>
  <c r="H23" i="5" s="1"/>
  <c r="G9" i="5"/>
  <c r="G23" i="5" s="1"/>
  <c r="E9" i="5"/>
  <c r="E23" i="5" s="1"/>
  <c r="J16" i="4"/>
  <c r="I18" i="4"/>
  <c r="I22" i="4" s="1"/>
  <c r="H18" i="4"/>
  <c r="H22" i="4" s="1"/>
  <c r="G18" i="4"/>
  <c r="G22" i="4" s="1"/>
  <c r="F18" i="4"/>
  <c r="F22" i="4" s="1"/>
  <c r="E18" i="4"/>
  <c r="E22" i="4" s="1"/>
  <c r="D18" i="4"/>
  <c r="E12" i="4"/>
  <c r="I8" i="4"/>
  <c r="H8" i="4"/>
  <c r="G8" i="4"/>
  <c r="F8" i="4"/>
  <c r="E8" i="4"/>
  <c r="D8" i="4"/>
  <c r="J6" i="4"/>
  <c r="J5" i="4"/>
  <c r="I9" i="5" l="1"/>
  <c r="J6" i="5"/>
  <c r="J18" i="4"/>
  <c r="J22" i="4"/>
  <c r="L22" i="4" s="1"/>
  <c r="M22" i="4" s="1"/>
  <c r="E13" i="4"/>
  <c r="E24" i="4" s="1"/>
  <c r="F12" i="4"/>
  <c r="J8" i="4"/>
  <c r="J9" i="5" l="1"/>
  <c r="J23" i="5" s="1"/>
  <c r="L23" i="5" s="1"/>
  <c r="M23" i="5" s="1"/>
  <c r="I23" i="5"/>
  <c r="F13" i="4"/>
  <c r="F24" i="4" s="1"/>
  <c r="G12" i="4"/>
  <c r="H12" i="4" l="1"/>
  <c r="G13" i="4"/>
  <c r="G24" i="4" s="1"/>
  <c r="I12" i="4" l="1"/>
  <c r="I13" i="4" s="1"/>
  <c r="I24" i="4" s="1"/>
  <c r="H13" i="4"/>
  <c r="H24" i="4" s="1"/>
  <c r="J28" i="5" l="1"/>
  <c r="L24" i="5" s="1"/>
  <c r="J24" i="4"/>
  <c r="L24" i="4" s="1"/>
  <c r="G13" i="2" l="1"/>
  <c r="F13" i="2"/>
  <c r="E13" i="2"/>
  <c r="J13" i="2" s="1"/>
  <c r="J9" i="1"/>
  <c r="I30" i="4" l="1"/>
  <c r="I29" i="4"/>
  <c r="B5" i="3"/>
  <c r="A5" i="3"/>
  <c r="I28" i="2"/>
  <c r="G10" i="3" s="1"/>
  <c r="F10" i="3"/>
  <c r="E10" i="3"/>
  <c r="D10" i="3"/>
  <c r="B10" i="3"/>
  <c r="I20" i="2"/>
  <c r="H20" i="2"/>
  <c r="G20" i="2"/>
  <c r="F20" i="2"/>
  <c r="E20" i="2"/>
  <c r="D20" i="2"/>
  <c r="E15" i="2"/>
  <c r="D15" i="2"/>
  <c r="C10" i="3"/>
  <c r="H20" i="1"/>
  <c r="F20" i="1"/>
  <c r="E20" i="1"/>
  <c r="D10" i="1"/>
  <c r="E10" i="1" s="1"/>
  <c r="F10" i="1" s="1"/>
  <c r="G10" i="1" s="1"/>
  <c r="H10" i="1" s="1"/>
  <c r="G20" i="1" l="1"/>
  <c r="E6" i="3" s="1"/>
  <c r="E14" i="3" s="1"/>
  <c r="E6" i="6" s="1"/>
  <c r="D20" i="1"/>
  <c r="F31" i="4"/>
  <c r="D10" i="6" s="1"/>
  <c r="G31" i="4"/>
  <c r="E10" i="6" s="1"/>
  <c r="I31" i="4"/>
  <c r="H31" i="4"/>
  <c r="F10" i="6" s="1"/>
  <c r="I10" i="1"/>
  <c r="I20" i="1"/>
  <c r="G6" i="3" s="1"/>
  <c r="G14" i="3" s="1"/>
  <c r="D6" i="3"/>
  <c r="D14" i="3" s="1"/>
  <c r="D6" i="6" s="1"/>
  <c r="C6" i="3"/>
  <c r="C14" i="3" s="1"/>
  <c r="C6" i="6" s="1"/>
  <c r="D22" i="2"/>
  <c r="B9" i="3" s="1"/>
  <c r="B13" i="3" s="1"/>
  <c r="E22" i="2"/>
  <c r="C9" i="3" s="1"/>
  <c r="J30" i="4"/>
  <c r="J29" i="4"/>
  <c r="E31" i="4"/>
  <c r="C10" i="6" s="1"/>
  <c r="D31" i="4"/>
  <c r="B10" i="6" s="1"/>
  <c r="J28" i="2"/>
  <c r="H10" i="3" s="1"/>
  <c r="J20" i="2"/>
  <c r="L20" i="2" s="1"/>
  <c r="M20" i="2" s="1"/>
  <c r="F14" i="2"/>
  <c r="G14" i="2" s="1"/>
  <c r="H14" i="2" s="1"/>
  <c r="I14" i="2" s="1"/>
  <c r="F6" i="3"/>
  <c r="F14" i="3" s="1"/>
  <c r="F6" i="6" s="1"/>
  <c r="J18" i="1"/>
  <c r="J17" i="1"/>
  <c r="H11" i="1"/>
  <c r="F5" i="3" s="1"/>
  <c r="G11" i="1"/>
  <c r="E5" i="3" s="1"/>
  <c r="E11" i="1"/>
  <c r="C5" i="3" s="1"/>
  <c r="F11" i="1"/>
  <c r="D5" i="3" s="1"/>
  <c r="F18" i="6" l="1"/>
  <c r="E18" i="6"/>
  <c r="D18" i="6"/>
  <c r="C18" i="6"/>
  <c r="J31" i="4"/>
  <c r="I11" i="1"/>
  <c r="G5" i="3" s="1"/>
  <c r="J19" i="1"/>
  <c r="C13" i="3"/>
  <c r="J20" i="1"/>
  <c r="H6" i="3" s="1"/>
  <c r="H14" i="3" s="1"/>
  <c r="H6" i="6" s="1"/>
  <c r="B6" i="3"/>
  <c r="B14" i="3" s="1"/>
  <c r="B6" i="6" s="1"/>
  <c r="B18" i="6" s="1"/>
  <c r="F15" i="2"/>
  <c r="J11" i="1"/>
  <c r="L25" i="4" l="1"/>
  <c r="J11" i="6" s="1"/>
  <c r="H10" i="6"/>
  <c r="H18" i="6" s="1"/>
  <c r="J19" i="6" s="1"/>
  <c r="L11" i="1"/>
  <c r="L13" i="1" s="1"/>
  <c r="H5" i="3"/>
  <c r="G15" i="2"/>
  <c r="G22" i="2" s="1"/>
  <c r="E9" i="3" s="1"/>
  <c r="E13" i="3" s="1"/>
  <c r="F22" i="2"/>
  <c r="D9" i="3" s="1"/>
  <c r="D13" i="3" s="1"/>
  <c r="M11" i="1" l="1"/>
  <c r="K5" i="3" s="1"/>
  <c r="J5" i="3"/>
  <c r="J13" i="4"/>
  <c r="L13" i="4" s="1"/>
  <c r="H15" i="2"/>
  <c r="M13" i="4" l="1"/>
  <c r="M24" i="4" s="1"/>
  <c r="J14" i="2"/>
  <c r="I15" i="2"/>
  <c r="J15" i="2" s="1"/>
  <c r="H22" i="2"/>
  <c r="F9" i="3" s="1"/>
  <c r="F13" i="3" s="1"/>
  <c r="J22" i="2" l="1"/>
  <c r="H9" i="3" s="1"/>
  <c r="H13" i="3" s="1"/>
  <c r="L15" i="2"/>
  <c r="L22" i="2" s="1"/>
  <c r="I22" i="2"/>
  <c r="G9" i="3" s="1"/>
  <c r="G13" i="3" s="1"/>
  <c r="M15" i="2" l="1"/>
  <c r="M22" i="2" s="1"/>
  <c r="K9" i="3" s="1"/>
  <c r="K13" i="3" s="1"/>
  <c r="L24" i="2"/>
  <c r="J9" i="3"/>
  <c r="J13" i="3" s="1"/>
  <c r="J15" i="3" s="1"/>
  <c r="J7" i="6" s="1"/>
</calcChain>
</file>

<file path=xl/sharedStrings.xml><?xml version="1.0" encoding="utf-8"?>
<sst xmlns="http://schemas.openxmlformats.org/spreadsheetml/2006/main" count="157" uniqueCount="74">
  <si>
    <t>Homes</t>
  </si>
  <si>
    <t>Total</t>
  </si>
  <si>
    <t># Implemented</t>
  </si>
  <si>
    <t>MTCO2e Reduction</t>
  </si>
  <si>
    <t>2025-2030</t>
  </si>
  <si>
    <t>2025-2050</t>
  </si>
  <si>
    <t># Implemented (cumulative)</t>
  </si>
  <si>
    <t>Sources:</t>
  </si>
  <si>
    <t>Homes - Nez Perce Tribal data</t>
  </si>
  <si>
    <t>MTCO2e - CARB Weatherization of Low-Income Dwellings</t>
  </si>
  <si>
    <t>Cost</t>
  </si>
  <si>
    <t>kWh per yr improvement</t>
  </si>
  <si>
    <t>Amount</t>
  </si>
  <si>
    <t>Metric</t>
  </si>
  <si>
    <t>Costs</t>
  </si>
  <si>
    <t>$ / MTCO2e</t>
  </si>
  <si>
    <t>MTCO2e - CARB Woodsmoke Reduction</t>
  </si>
  <si>
    <t>Non-certified wood stoves replacement</t>
  </si>
  <si>
    <t>Total MTCO2e Reduction</t>
  </si>
  <si>
    <t>EPA certified woodstoves installed</t>
  </si>
  <si>
    <t>EPA certified woodstoves installed (cumulative)</t>
  </si>
  <si>
    <t>Non-certified woodstoves replacement</t>
  </si>
  <si>
    <t>EPA certified woodstoves</t>
  </si>
  <si>
    <t>Fireplaces &amp; Woodstoves - Nez Perce Tribal data</t>
  </si>
  <si>
    <t>Energy Efficiency</t>
  </si>
  <si>
    <t>Woodstoves</t>
  </si>
  <si>
    <t>$/MTCO2e</t>
  </si>
  <si>
    <t>MTCO2e baseline</t>
  </si>
  <si>
    <t>Measure 1 Summary</t>
  </si>
  <si>
    <t>Measure 1 - Project 1 Detail</t>
  </si>
  <si>
    <t>Measure 1 - Project 2 Detail</t>
  </si>
  <si>
    <t>Admin and other costs</t>
  </si>
  <si>
    <t>Joseph Field Office (kWh)</t>
  </si>
  <si>
    <t>Solar capacity installed (% of kWh)</t>
  </si>
  <si>
    <t>Solar capacity installed (cumulative)</t>
  </si>
  <si>
    <t>MTCO2e per gallon - EPA Emission Factors for GHG Inventories 2024</t>
  </si>
  <si>
    <t xml:space="preserve">eGRID NWPP MTCO2e - EPA eGRID summary data </t>
  </si>
  <si>
    <t>Tesla Powerwalls and Megapacks</t>
  </si>
  <si>
    <t>Total MTCO2e reduction</t>
  </si>
  <si>
    <t>Solar Installation</t>
  </si>
  <si>
    <t>Measure 2</t>
  </si>
  <si>
    <t>Measure 3</t>
  </si>
  <si>
    <t>Installed (cumulative)</t>
  </si>
  <si>
    <t>EV charging stations</t>
  </si>
  <si>
    <t>2022 Baseline emissions from 1 charging station - Nez Perce Charge Station report</t>
  </si>
  <si>
    <t>Light-duty trucks</t>
  </si>
  <si>
    <t>SUVs</t>
  </si>
  <si>
    <t>Sedans</t>
  </si>
  <si>
    <t>MTCO2e</t>
  </si>
  <si>
    <t>MTCO2e per year per home</t>
  </si>
  <si>
    <t>N/A</t>
  </si>
  <si>
    <t>Heat Pump cost</t>
  </si>
  <si>
    <t>Audit &amp; Weatherization cost</t>
  </si>
  <si>
    <t>Clearwater River Casino &amp; Lodge (kWh)</t>
  </si>
  <si>
    <t>2022 eGRID NWPP factor (MTCO2e/MWh)</t>
  </si>
  <si>
    <t>Emission reduction from solar electricity</t>
  </si>
  <si>
    <t>Propane emissions factor per gallon (MTCO2e)</t>
  </si>
  <si>
    <t>Propane at Joseph Field Office - Baseline</t>
  </si>
  <si>
    <t>Chargers Installed</t>
  </si>
  <si>
    <t xml:space="preserve">MTCO2e Reduction </t>
  </si>
  <si>
    <t>Vehicle Transition (# of vehicles)</t>
  </si>
  <si>
    <t>MTCO2e Reductions per year per vehicle</t>
  </si>
  <si>
    <t>Public &amp; Employee personal vehicles charging</t>
  </si>
  <si>
    <t>Joseph Field Office fleet vehicle charging</t>
  </si>
  <si>
    <t>Charging station installations</t>
  </si>
  <si>
    <t>Baseline Electricity (2023 data)</t>
  </si>
  <si>
    <t>Propane use in gallons - 2023 baseline</t>
  </si>
  <si>
    <t>Transition rate (% reduction in propane use)</t>
  </si>
  <si>
    <t>Fireplace replacement</t>
  </si>
  <si>
    <t>Fireplaces replaced</t>
  </si>
  <si>
    <t>Woodstoves replaced</t>
  </si>
  <si>
    <t>All Measures Summary</t>
  </si>
  <si>
    <t>Measure 1</t>
  </si>
  <si>
    <t>All Measures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</si>
</sst>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&quot;$&quot;* #,##0_);_(&quot;$&quot;* \(#,##0\);_(&quot;$&quot;* &quot;-&quot;??_);_(@_)"/>
    <numFmt numFmtId="167" formatCode="_(* #,##0.000_);_(* \(#,##0.000\);_(* &quot;-&quot;??_);_(@_)"/>
    <numFmt numFmtId="168" formatCode="0.000"/>
  </numFmts>
  <fonts count="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theme="1"/>
      <name val="Aptos"/>
    </font>
    <font>
      <b/>
      <sz val="12"/>
      <color theme="1"/>
      <name val="Aptos Narrow"/>
      <scheme val="minor"/>
    </font>
    <font>
      <sz val="12"/>
      <color theme="1"/>
      <name val="Aptos Narrow"/>
      <scheme val="minor"/>
    </font>
    <font>
      <u/>
      <sz val="12"/>
      <color theme="10"/>
      <name val="Aptos Narrow"/>
      <family val="2"/>
      <scheme val="minor"/>
    </font>
    <font>
      <b/>
      <sz val="16"/>
      <color theme="1"/>
      <name val="Aptos Narrow"/>
      <scheme val="minor"/>
    </font>
    <font>
      <b/>
      <sz val="16"/>
      <color rgb="FF000000"/>
      <name val="Aptos Narrow"/>
      <scheme val="minor"/>
    </font>
    <font>
      <b/>
      <i/>
      <sz val="12"/>
      <color theme="1"/>
      <name val="Aptos Narrow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darkUp">
        <fgColor theme="0" tint="-0.14996795556505021"/>
        <bgColor indexed="65"/>
      </patternFill>
    </fill>
    <fill>
      <patternFill patternType="solid">
        <fgColor theme="0"/>
        <bgColor indexed="64"/>
      </patternFill>
    </fill>
    <fill>
      <patternFill patternType="darkUp">
        <fgColor theme="0" tint="-0.14996795556505021"/>
        <bgColor theme="0" tint="-0.1499984740745262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165" fontId="0" fillId="0" borderId="1" xfId="1" applyNumberFormat="1" applyFont="1" applyBorder="1" applyAlignment="1">
      <alignment vertical="top" wrapText="1"/>
    </xf>
    <xf numFmtId="165" fontId="0" fillId="3" borderId="1" xfId="1" applyNumberFormat="1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164" fontId="4" fillId="0" borderId="1" xfId="1" applyNumberFormat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vertical="top" wrapText="1"/>
    </xf>
    <xf numFmtId="166" fontId="0" fillId="0" borderId="1" xfId="2" applyNumberFormat="1" applyFont="1" applyBorder="1" applyAlignment="1">
      <alignment vertical="top" wrapText="1"/>
    </xf>
    <xf numFmtId="0" fontId="0" fillId="0" borderId="1" xfId="0" applyBorder="1" applyAlignment="1">
      <alignment vertical="top"/>
    </xf>
    <xf numFmtId="166" fontId="0" fillId="0" borderId="1" xfId="2" applyNumberFormat="1" applyFont="1" applyBorder="1" applyAlignment="1">
      <alignment vertical="top"/>
    </xf>
    <xf numFmtId="166" fontId="0" fillId="0" borderId="1" xfId="0" applyNumberFormat="1" applyBorder="1" applyAlignment="1">
      <alignment vertical="top" wrapText="1"/>
    </xf>
    <xf numFmtId="165" fontId="4" fillId="3" borderId="1" xfId="1" applyNumberFormat="1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165" fontId="0" fillId="0" borderId="1" xfId="1" applyNumberFormat="1" applyFont="1" applyFill="1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horizontal="left" vertical="top" wrapText="1" indent="2"/>
    </xf>
    <xf numFmtId="0" fontId="0" fillId="0" borderId="1" xfId="0" applyBorder="1" applyAlignment="1">
      <alignment horizontal="left" vertical="top" wrapText="1" indent="2"/>
    </xf>
    <xf numFmtId="0" fontId="2" fillId="0" borderId="0" xfId="0" applyFont="1"/>
    <xf numFmtId="2" fontId="0" fillId="0" borderId="1" xfId="0" applyNumberFormat="1" applyBorder="1"/>
    <xf numFmtId="166" fontId="1" fillId="4" borderId="1" xfId="2" applyNumberFormat="1" applyFont="1" applyFill="1" applyBorder="1" applyAlignment="1">
      <alignment vertical="top" wrapText="1"/>
    </xf>
    <xf numFmtId="166" fontId="0" fillId="4" borderId="1" xfId="2" applyNumberFormat="1" applyFont="1" applyFill="1" applyBorder="1" applyAlignment="1">
      <alignment vertical="top" wrapText="1"/>
    </xf>
    <xf numFmtId="167" fontId="4" fillId="0" borderId="1" xfId="1" applyNumberFormat="1" applyFont="1" applyFill="1" applyBorder="1" applyAlignment="1">
      <alignment vertical="top" wrapText="1"/>
    </xf>
    <xf numFmtId="165" fontId="4" fillId="5" borderId="1" xfId="1" applyNumberFormat="1" applyFont="1" applyFill="1" applyBorder="1" applyAlignment="1">
      <alignment vertical="top" wrapText="1"/>
    </xf>
    <xf numFmtId="165" fontId="0" fillId="0" borderId="1" xfId="1" applyNumberFormat="1" applyFont="1" applyBorder="1"/>
    <xf numFmtId="166" fontId="0" fillId="0" borderId="1" xfId="2" applyNumberFormat="1" applyFont="1" applyBorder="1"/>
    <xf numFmtId="165" fontId="0" fillId="0" borderId="1" xfId="0" applyNumberFormat="1" applyBorder="1"/>
    <xf numFmtId="0" fontId="3" fillId="0" borderId="1" xfId="0" applyFont="1" applyBorder="1"/>
    <xf numFmtId="0" fontId="3" fillId="3" borderId="1" xfId="0" applyFont="1" applyFill="1" applyBorder="1"/>
    <xf numFmtId="0" fontId="0" fillId="3" borderId="1" xfId="0" applyFill="1" applyBorder="1"/>
    <xf numFmtId="0" fontId="3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6" fillId="0" borderId="0" xfId="0" applyFont="1"/>
    <xf numFmtId="0" fontId="6" fillId="0" borderId="0" xfId="0" applyFont="1" applyAlignment="1">
      <alignment vertical="top"/>
    </xf>
    <xf numFmtId="0" fontId="0" fillId="6" borderId="0" xfId="0" applyFill="1"/>
    <xf numFmtId="165" fontId="4" fillId="6" borderId="1" xfId="1" applyNumberFormat="1" applyFont="1" applyFill="1" applyBorder="1" applyAlignment="1">
      <alignment vertical="top" wrapText="1"/>
    </xf>
    <xf numFmtId="9" fontId="0" fillId="0" borderId="1" xfId="3" applyFont="1" applyBorder="1" applyAlignment="1">
      <alignment vertical="top" wrapText="1"/>
    </xf>
    <xf numFmtId="165" fontId="0" fillId="6" borderId="1" xfId="1" applyNumberFormat="1" applyFont="1" applyFill="1" applyBorder="1" applyAlignment="1">
      <alignment vertical="top" wrapText="1"/>
    </xf>
    <xf numFmtId="165" fontId="0" fillId="6" borderId="0" xfId="1" applyNumberFormat="1" applyFont="1" applyFill="1" applyAlignment="1">
      <alignment vertical="top" wrapText="1"/>
    </xf>
    <xf numFmtId="43" fontId="0" fillId="0" borderId="1" xfId="0" applyNumberFormat="1" applyBorder="1"/>
    <xf numFmtId="0" fontId="5" fillId="0" borderId="0" xfId="4" applyFill="1" applyBorder="1" applyAlignment="1">
      <alignment vertical="top"/>
    </xf>
    <xf numFmtId="0" fontId="5" fillId="0" borderId="0" xfId="4"/>
    <xf numFmtId="9" fontId="0" fillId="0" borderId="1" xfId="3" applyFont="1" applyBorder="1"/>
    <xf numFmtId="168" fontId="0" fillId="0" borderId="1" xfId="0" applyNumberFormat="1" applyBorder="1"/>
    <xf numFmtId="0" fontId="4" fillId="6" borderId="0" xfId="0" applyFont="1" applyFill="1" applyAlignment="1">
      <alignment vertical="top" wrapText="1"/>
    </xf>
    <xf numFmtId="6" fontId="0" fillId="0" borderId="0" xfId="0" applyNumberFormat="1"/>
    <xf numFmtId="43" fontId="2" fillId="0" borderId="0" xfId="1" applyFont="1" applyFill="1" applyBorder="1" applyAlignment="1">
      <alignment horizontal="right" vertical="center" wrapText="1"/>
    </xf>
    <xf numFmtId="6" fontId="2" fillId="0" borderId="0" xfId="0" applyNumberFormat="1" applyFont="1" applyAlignment="1">
      <alignment horizontal="right" vertical="center" wrapText="1"/>
    </xf>
    <xf numFmtId="10" fontId="2" fillId="0" borderId="0" xfId="3" applyNumberFormat="1" applyFont="1" applyBorder="1" applyAlignment="1">
      <alignment horizontal="right" vertical="center" wrapText="1"/>
    </xf>
    <xf numFmtId="9" fontId="0" fillId="0" borderId="1" xfId="3" applyFont="1" applyFill="1" applyBorder="1" applyAlignment="1">
      <alignment vertical="top" wrapText="1"/>
    </xf>
    <xf numFmtId="0" fontId="7" fillId="0" borderId="0" xfId="0" applyFont="1"/>
    <xf numFmtId="165" fontId="4" fillId="0" borderId="1" xfId="0" applyNumberFormat="1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0" fillId="6" borderId="0" xfId="0" applyFill="1" applyAlignment="1">
      <alignment vertical="top" wrapText="1"/>
    </xf>
    <xf numFmtId="0" fontId="3" fillId="6" borderId="0" xfId="0" applyFont="1" applyFill="1" applyAlignment="1">
      <alignment vertical="top" wrapText="1"/>
    </xf>
    <xf numFmtId="165" fontId="0" fillId="6" borderId="0" xfId="1" applyNumberFormat="1" applyFont="1" applyFill="1"/>
    <xf numFmtId="165" fontId="4" fillId="0" borderId="2" xfId="1" applyNumberFormat="1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left" vertical="top" wrapText="1"/>
    </xf>
    <xf numFmtId="165" fontId="4" fillId="7" borderId="1" xfId="1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3" fontId="0" fillId="0" borderId="0" xfId="0" applyNumberFormat="1"/>
    <xf numFmtId="0" fontId="3" fillId="6" borderId="1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166" fontId="0" fillId="0" borderId="1" xfId="2" applyNumberFormat="1" applyFont="1" applyBorder="1" applyAlignment="1">
      <alignment horizontal="right" vertical="top" wrapText="1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epa.gov/egrid/summary-dat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epa.gov/system/files/documents/2024-02/ghg-emission-factors-hub-2024.pdf" TargetMode="External"/><Relationship Id="rId1" Type="http://schemas.openxmlformats.org/officeDocument/2006/relationships/hyperlink" Target="https://www.epa.gov/egrid/summary-dat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19448-2506-F24C-8FEE-2E28BC977A11}">
  <dimension ref="A1:K19"/>
  <sheetViews>
    <sheetView workbookViewId="0">
      <selection activeCell="C22" sqref="C22"/>
    </sheetView>
  </sheetViews>
  <sheetFormatPr defaultColWidth="11" defaultRowHeight="15.6" x14ac:dyDescent="0.3"/>
  <cols>
    <col min="1" max="1" width="26.3984375" bestFit="1" customWidth="1"/>
    <col min="2" max="6" width="11.5" bestFit="1" customWidth="1"/>
    <col min="7" max="7" width="11.5" customWidth="1"/>
    <col min="8" max="8" width="12.5" bestFit="1" customWidth="1"/>
    <col min="9" max="9" width="2.796875" customWidth="1"/>
  </cols>
  <sheetData>
    <row r="1" spans="1:11" ht="21" x14ac:dyDescent="0.4">
      <c r="A1" s="41" t="s">
        <v>71</v>
      </c>
    </row>
    <row r="3" spans="1:11" x14ac:dyDescent="0.3">
      <c r="A3" s="7" t="s">
        <v>13</v>
      </c>
      <c r="B3" s="21">
        <v>2025</v>
      </c>
      <c r="C3" s="21">
        <v>2026</v>
      </c>
      <c r="D3" s="21">
        <v>2027</v>
      </c>
      <c r="E3" s="21">
        <v>2028</v>
      </c>
      <c r="F3" s="21">
        <v>2029</v>
      </c>
      <c r="G3" s="21">
        <v>2030</v>
      </c>
      <c r="H3" s="21" t="s">
        <v>1</v>
      </c>
      <c r="I3" s="63"/>
      <c r="J3" s="7" t="s">
        <v>4</v>
      </c>
      <c r="K3" s="7" t="s">
        <v>5</v>
      </c>
    </row>
    <row r="4" spans="1:11" ht="0.6" customHeight="1" x14ac:dyDescent="0.3">
      <c r="A4" s="38" t="s">
        <v>72</v>
      </c>
      <c r="B4" s="39"/>
      <c r="C4" s="39"/>
      <c r="D4" s="39"/>
      <c r="E4" s="39"/>
      <c r="F4" s="39"/>
      <c r="G4" s="39"/>
      <c r="H4" s="39"/>
      <c r="I4" s="53"/>
      <c r="J4" s="18"/>
      <c r="K4" s="18"/>
    </row>
    <row r="5" spans="1:11" x14ac:dyDescent="0.3">
      <c r="A5" s="40" t="str">
        <f>'M1 Energy Efficiency'!A11</f>
        <v>MTCO2e Reduction</v>
      </c>
      <c r="B5" s="32">
        <f>'Measure 1 Summary'!B13</f>
        <v>0</v>
      </c>
      <c r="C5" s="32">
        <f>'Measure 1 Summary'!C13</f>
        <v>188.68625</v>
      </c>
      <c r="D5" s="32">
        <f>'Measure 1 Summary'!D13</f>
        <v>654.80074999999999</v>
      </c>
      <c r="E5" s="32">
        <f>'Measure 1 Summary'!E13</f>
        <v>988.91525000000001</v>
      </c>
      <c r="F5" s="32">
        <f>'Measure 1 Summary'!F13</f>
        <v>1323.0297500000001</v>
      </c>
      <c r="G5" s="32">
        <f>'Measure 1 Summary'!G13</f>
        <v>1653.6625000000004</v>
      </c>
      <c r="H5" s="32">
        <f>'Measure 1 Summary'!H13</f>
        <v>4809.0945000000011</v>
      </c>
      <c r="I5" s="64"/>
      <c r="J5" s="32">
        <f>'Measure 1 Summary'!J13</f>
        <v>4809.0945000000011</v>
      </c>
      <c r="K5" s="32">
        <f>'Measure 1 Summary'!K13</f>
        <v>37882.344500000007</v>
      </c>
    </row>
    <row r="6" spans="1:11" x14ac:dyDescent="0.3">
      <c r="A6" s="40" t="s">
        <v>10</v>
      </c>
      <c r="B6" s="33">
        <f>'Measure 1 Summary'!B14</f>
        <v>2053332</v>
      </c>
      <c r="C6" s="33">
        <f>'Measure 1 Summary'!C14</f>
        <v>4156839</v>
      </c>
      <c r="D6" s="33">
        <f>'Measure 1 Summary'!D14</f>
        <v>4269267</v>
      </c>
      <c r="E6" s="33">
        <f>'Measure 1 Summary'!E14</f>
        <v>4156839</v>
      </c>
      <c r="F6" s="33">
        <f>'Measure 1 Summary'!F14</f>
        <v>4156839</v>
      </c>
      <c r="G6" s="33">
        <f>'Measure 1 Summary'!G14</f>
        <v>0</v>
      </c>
      <c r="H6" s="33">
        <f>'Measure 1 Summary'!H14</f>
        <v>18793116</v>
      </c>
      <c r="I6" s="43"/>
      <c r="J6" s="31"/>
      <c r="K6" s="31"/>
    </row>
    <row r="7" spans="1:11" x14ac:dyDescent="0.3">
      <c r="A7" s="40" t="s">
        <v>26</v>
      </c>
      <c r="B7" s="22"/>
      <c r="C7" s="22"/>
      <c r="D7" s="22"/>
      <c r="E7" s="22"/>
      <c r="F7" s="22"/>
      <c r="G7" s="22"/>
      <c r="H7" s="22"/>
      <c r="I7" s="43"/>
      <c r="J7" s="29">
        <f>'Measure 1 Summary'!J15</f>
        <v>3907.8283864041341</v>
      </c>
      <c r="K7" s="31"/>
    </row>
    <row r="8" spans="1:11" x14ac:dyDescent="0.3">
      <c r="A8" s="36" t="s">
        <v>40</v>
      </c>
      <c r="B8" s="37"/>
      <c r="C8" s="37"/>
      <c r="D8" s="37"/>
      <c r="E8" s="37"/>
      <c r="F8" s="37"/>
      <c r="G8" s="37"/>
      <c r="H8" s="37"/>
      <c r="I8" s="43"/>
      <c r="J8" s="37"/>
      <c r="K8" s="37"/>
    </row>
    <row r="9" spans="1:11" x14ac:dyDescent="0.3">
      <c r="A9" s="40" t="s">
        <v>3</v>
      </c>
      <c r="B9" s="32">
        <f>'Measure 2'!D24</f>
        <v>0</v>
      </c>
      <c r="C9" s="32">
        <f>'Measure 2'!E24</f>
        <v>65.142104501362695</v>
      </c>
      <c r="D9" s="32">
        <f>'Measure 2'!F24</f>
        <v>322.10717849917728</v>
      </c>
      <c r="E9" s="32">
        <f>'Measure 2'!G24</f>
        <v>518.13880504690906</v>
      </c>
      <c r="F9" s="32">
        <f>'Measure 2'!H24</f>
        <v>715.10011245226838</v>
      </c>
      <c r="G9" s="32">
        <f>'Measure 2'!I24</f>
        <v>911.13173900000004</v>
      </c>
      <c r="H9" s="32">
        <f>'Measure 2'!J24</f>
        <v>2531.6199394997175</v>
      </c>
      <c r="I9" s="64"/>
      <c r="J9" s="32">
        <f>'Measure 2'!L24</f>
        <v>2531.6199394997175</v>
      </c>
      <c r="K9" s="32">
        <f>'Measure 2'!M24</f>
        <v>20754.254719499717</v>
      </c>
    </row>
    <row r="10" spans="1:11" x14ac:dyDescent="0.3">
      <c r="A10" s="40" t="s">
        <v>10</v>
      </c>
      <c r="B10" s="33">
        <f>'Measure 2'!D31</f>
        <v>1308914</v>
      </c>
      <c r="C10" s="33">
        <f>'Measure 2'!E31</f>
        <v>5490316</v>
      </c>
      <c r="D10" s="33">
        <f>'Measure 2'!F31</f>
        <v>3210316</v>
      </c>
      <c r="E10" s="33">
        <f>'Measure 2'!G31</f>
        <v>3210316</v>
      </c>
      <c r="F10" s="33">
        <f>'Measure 2'!H31</f>
        <v>5210316</v>
      </c>
      <c r="G10" s="33">
        <f>'Measure 2'!I31</f>
        <v>0</v>
      </c>
      <c r="H10" s="33">
        <f>'Measure 2'!J31</f>
        <v>18430178</v>
      </c>
      <c r="I10" s="43"/>
      <c r="J10" s="31"/>
      <c r="K10" s="31"/>
    </row>
    <row r="11" spans="1:11" x14ac:dyDescent="0.3">
      <c r="A11" s="40" t="s">
        <v>26</v>
      </c>
      <c r="B11" s="22"/>
      <c r="C11" s="22"/>
      <c r="D11" s="22"/>
      <c r="E11" s="22"/>
      <c r="F11" s="22"/>
      <c r="G11" s="22"/>
      <c r="H11" s="22"/>
      <c r="I11" s="43"/>
      <c r="J11" s="29">
        <f>'Measure 2'!L25</f>
        <v>7279.9940119139901</v>
      </c>
      <c r="K11" s="31"/>
    </row>
    <row r="12" spans="1:11" x14ac:dyDescent="0.3">
      <c r="A12" s="36" t="s">
        <v>41</v>
      </c>
      <c r="B12" s="37"/>
      <c r="C12" s="37"/>
      <c r="D12" s="37"/>
      <c r="E12" s="37"/>
      <c r="F12" s="37"/>
      <c r="G12" s="37"/>
      <c r="H12" s="37"/>
      <c r="I12" s="43"/>
      <c r="J12" s="37"/>
      <c r="K12" s="37"/>
    </row>
    <row r="13" spans="1:11" x14ac:dyDescent="0.3">
      <c r="A13" s="40" t="s">
        <v>3</v>
      </c>
      <c r="B13" s="34">
        <f>'Measure 3'!D23</f>
        <v>0</v>
      </c>
      <c r="C13" s="34">
        <f>'Measure 3'!E23</f>
        <v>11.013999999999999</v>
      </c>
      <c r="D13" s="34">
        <f>'Measure 3'!F23</f>
        <v>50.442</v>
      </c>
      <c r="E13" s="34">
        <f>'Measure 3'!G23</f>
        <v>81.942000000000007</v>
      </c>
      <c r="F13" s="34">
        <f>'Measure 3'!H23</f>
        <v>99.341999999999999</v>
      </c>
      <c r="G13" s="34">
        <f>'Measure 3'!I23</f>
        <v>99.341999999999999</v>
      </c>
      <c r="H13" s="34">
        <f>'Measure 3'!J23</f>
        <v>342.08199999999999</v>
      </c>
      <c r="I13" s="43"/>
      <c r="J13" s="34">
        <f>'Measure 3'!L23</f>
        <v>342.08199999999999</v>
      </c>
      <c r="K13" s="34">
        <f>'Measure 3'!M23</f>
        <v>7183.7219999999998</v>
      </c>
    </row>
    <row r="14" spans="1:11" x14ac:dyDescent="0.3">
      <c r="A14" s="40" t="s">
        <v>10</v>
      </c>
      <c r="B14" s="33">
        <f>'Measure 3'!D28</f>
        <v>33234</v>
      </c>
      <c r="C14" s="33">
        <f>'Measure 3'!E28</f>
        <v>89962</v>
      </c>
      <c r="D14" s="33">
        <f>'Measure 3'!F28</f>
        <v>0</v>
      </c>
      <c r="E14" s="33">
        <f>'Measure 3'!G28</f>
        <v>0</v>
      </c>
      <c r="F14" s="33">
        <f>'Measure 3'!H28</f>
        <v>0</v>
      </c>
      <c r="G14" s="33">
        <f>'Measure 3'!I28</f>
        <v>0</v>
      </c>
      <c r="H14" s="33">
        <f>'Measure 3'!J28</f>
        <v>123196</v>
      </c>
      <c r="I14" s="43"/>
      <c r="J14" s="31"/>
      <c r="K14" s="31"/>
    </row>
    <row r="15" spans="1:11" x14ac:dyDescent="0.3">
      <c r="A15" s="40" t="s">
        <v>26</v>
      </c>
      <c r="B15" s="22"/>
      <c r="C15" s="22"/>
      <c r="D15" s="22"/>
      <c r="E15" s="22"/>
      <c r="F15" s="22"/>
      <c r="G15" s="22"/>
      <c r="H15" s="22"/>
      <c r="I15" s="43"/>
      <c r="J15" s="29">
        <f>'Measure 3'!L24</f>
        <v>360.13587385480673</v>
      </c>
      <c r="K15" s="31"/>
    </row>
    <row r="16" spans="1:11" x14ac:dyDescent="0.3">
      <c r="A16" s="36" t="s">
        <v>73</v>
      </c>
      <c r="B16" s="37"/>
      <c r="C16" s="37"/>
      <c r="D16" s="37"/>
      <c r="E16" s="37"/>
      <c r="F16" s="37"/>
      <c r="G16" s="37"/>
      <c r="H16" s="37"/>
      <c r="I16" s="43"/>
      <c r="J16" s="37"/>
      <c r="K16" s="37"/>
    </row>
    <row r="17" spans="1:11" x14ac:dyDescent="0.3">
      <c r="A17" s="40" t="s">
        <v>3</v>
      </c>
      <c r="B17" s="34">
        <f>B13+B9+B5</f>
        <v>0</v>
      </c>
      <c r="C17" s="34">
        <f t="shared" ref="C17:H17" si="0">C13+C9+C5</f>
        <v>264.84235450136271</v>
      </c>
      <c r="D17" s="34">
        <f t="shared" si="0"/>
        <v>1027.3499284991772</v>
      </c>
      <c r="E17" s="34">
        <f t="shared" si="0"/>
        <v>1588.9960550469091</v>
      </c>
      <c r="F17" s="34">
        <f t="shared" si="0"/>
        <v>2137.4718624522684</v>
      </c>
      <c r="G17" s="34">
        <f t="shared" si="0"/>
        <v>2664.1362390000004</v>
      </c>
      <c r="H17" s="34">
        <f t="shared" si="0"/>
        <v>7682.796439499718</v>
      </c>
      <c r="I17" s="43"/>
      <c r="J17" s="34">
        <f>J13+J9+J5</f>
        <v>7682.796439499718</v>
      </c>
      <c r="K17" s="34">
        <f>K13+K9+K5</f>
        <v>65820.321219499718</v>
      </c>
    </row>
    <row r="18" spans="1:11" x14ac:dyDescent="0.3">
      <c r="A18" s="40" t="s">
        <v>10</v>
      </c>
      <c r="B18" s="33">
        <f>B14+B10+B6</f>
        <v>3395480</v>
      </c>
      <c r="C18" s="33">
        <f t="shared" ref="C18:H18" si="1">C14+C10+C6</f>
        <v>9737117</v>
      </c>
      <c r="D18" s="33">
        <f t="shared" si="1"/>
        <v>7479583</v>
      </c>
      <c r="E18" s="33">
        <f t="shared" si="1"/>
        <v>7367155</v>
      </c>
      <c r="F18" s="33">
        <f t="shared" si="1"/>
        <v>9367155</v>
      </c>
      <c r="G18" s="33">
        <f t="shared" si="1"/>
        <v>0</v>
      </c>
      <c r="H18" s="33">
        <f t="shared" si="1"/>
        <v>37346490</v>
      </c>
      <c r="I18" s="43"/>
      <c r="J18" s="31"/>
      <c r="K18" s="31"/>
    </row>
    <row r="19" spans="1:11" x14ac:dyDescent="0.3">
      <c r="A19" s="40" t="s">
        <v>26</v>
      </c>
      <c r="B19" s="22"/>
      <c r="C19" s="22"/>
      <c r="D19" s="22"/>
      <c r="E19" s="22"/>
      <c r="F19" s="22"/>
      <c r="G19" s="22"/>
      <c r="H19" s="22"/>
      <c r="I19" s="43"/>
      <c r="J19" s="29">
        <f>H18/J17</f>
        <v>4861.054213019328</v>
      </c>
      <c r="K19" s="3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4FDD0-6A68-8649-9D39-650CF99626FE}">
  <sheetPr>
    <tabColor theme="4"/>
  </sheetPr>
  <dimension ref="A1:K15"/>
  <sheetViews>
    <sheetView workbookViewId="0"/>
  </sheetViews>
  <sheetFormatPr defaultColWidth="11" defaultRowHeight="15.6" x14ac:dyDescent="0.3"/>
  <cols>
    <col min="1" max="1" width="17" bestFit="1" customWidth="1"/>
    <col min="2" max="8" width="12.09765625" customWidth="1"/>
    <col min="9" max="9" width="3.3984375" customWidth="1"/>
  </cols>
  <sheetData>
    <row r="1" spans="1:11" ht="21" x14ac:dyDescent="0.4">
      <c r="A1" s="41" t="s">
        <v>28</v>
      </c>
    </row>
    <row r="3" spans="1:11" x14ac:dyDescent="0.3">
      <c r="A3" s="7" t="s">
        <v>13</v>
      </c>
      <c r="B3" s="21">
        <v>2025</v>
      </c>
      <c r="C3" s="21">
        <v>2026</v>
      </c>
      <c r="D3" s="21">
        <v>2027</v>
      </c>
      <c r="E3" s="21">
        <v>2028</v>
      </c>
      <c r="F3" s="21">
        <v>2029</v>
      </c>
      <c r="G3" s="21">
        <v>2030</v>
      </c>
      <c r="H3" s="21" t="s">
        <v>1</v>
      </c>
      <c r="I3" s="63"/>
      <c r="J3" s="7" t="s">
        <v>4</v>
      </c>
      <c r="K3" s="7" t="s">
        <v>5</v>
      </c>
    </row>
    <row r="4" spans="1:11" s="23" customFormat="1" x14ac:dyDescent="0.3">
      <c r="A4" s="38" t="s">
        <v>24</v>
      </c>
      <c r="B4" s="39"/>
      <c r="C4" s="39"/>
      <c r="D4" s="39"/>
      <c r="E4" s="39"/>
      <c r="F4" s="39"/>
      <c r="G4" s="39"/>
      <c r="H4" s="39"/>
      <c r="I4" s="53"/>
      <c r="J4" s="18"/>
      <c r="K4" s="18"/>
    </row>
    <row r="5" spans="1:11" x14ac:dyDescent="0.3">
      <c r="A5" s="40" t="str">
        <f>'M1 Energy Efficiency'!A11</f>
        <v>MTCO2e Reduction</v>
      </c>
      <c r="B5" s="32">
        <f>'M1 Energy Efficiency'!D11</f>
        <v>0</v>
      </c>
      <c r="C5" s="32">
        <f>'M1 Energy Efficiency'!E11</f>
        <v>43.436250000000008</v>
      </c>
      <c r="D5" s="32">
        <f>'M1 Energy Efficiency'!F11</f>
        <v>141.00075000000004</v>
      </c>
      <c r="E5" s="32">
        <f>'M1 Energy Efficiency'!G11</f>
        <v>238.56525000000005</v>
      </c>
      <c r="F5" s="32">
        <f>'M1 Energy Efficiency'!H11</f>
        <v>336.12975000000006</v>
      </c>
      <c r="G5" s="32">
        <f>'M1 Energy Efficiency'!I11</f>
        <v>434.36250000000007</v>
      </c>
      <c r="H5" s="32">
        <f>'M1 Energy Efficiency'!J11</f>
        <v>1193.4945000000002</v>
      </c>
      <c r="I5" s="64"/>
      <c r="J5" s="32">
        <f>'M1 Energy Efficiency'!L11</f>
        <v>1193.4945000000002</v>
      </c>
      <c r="K5" s="32">
        <f>'M1 Energy Efficiency'!M11</f>
        <v>9880.7445000000025</v>
      </c>
    </row>
    <row r="6" spans="1:11" x14ac:dyDescent="0.3">
      <c r="A6" s="40" t="s">
        <v>10</v>
      </c>
      <c r="B6" s="33">
        <f>'M1 Energy Efficiency'!D20</f>
        <v>1790832</v>
      </c>
      <c r="C6" s="33">
        <f>'M1 Energy Efficiency'!E20</f>
        <v>3564339</v>
      </c>
      <c r="D6" s="33">
        <f>'M1 Energy Efficiency'!F20</f>
        <v>3676767</v>
      </c>
      <c r="E6" s="33">
        <f>'M1 Energy Efficiency'!G20</f>
        <v>3564339</v>
      </c>
      <c r="F6" s="33">
        <f>'M1 Energy Efficiency'!H20</f>
        <v>3564339</v>
      </c>
      <c r="G6" s="33">
        <f>'M1 Energy Efficiency'!I20</f>
        <v>0</v>
      </c>
      <c r="H6" s="33">
        <f>'M1 Energy Efficiency'!J20</f>
        <v>16160616</v>
      </c>
      <c r="I6" s="43"/>
      <c r="J6" s="31"/>
      <c r="K6" s="31"/>
    </row>
    <row r="7" spans="1:11" x14ac:dyDescent="0.3">
      <c r="A7" s="22"/>
      <c r="B7" s="22"/>
      <c r="C7" s="22"/>
      <c r="D7" s="22"/>
      <c r="E7" s="22"/>
      <c r="F7" s="22"/>
      <c r="G7" s="22"/>
      <c r="H7" s="22"/>
      <c r="I7" s="43"/>
      <c r="J7" s="22"/>
      <c r="K7" s="22"/>
    </row>
    <row r="8" spans="1:11" x14ac:dyDescent="0.3">
      <c r="A8" s="36" t="s">
        <v>25</v>
      </c>
      <c r="B8" s="37"/>
      <c r="C8" s="37"/>
      <c r="D8" s="37"/>
      <c r="E8" s="37"/>
      <c r="F8" s="37"/>
      <c r="G8" s="37"/>
      <c r="H8" s="37"/>
      <c r="I8" s="43"/>
      <c r="J8" s="37"/>
      <c r="K8" s="37"/>
    </row>
    <row r="9" spans="1:11" x14ac:dyDescent="0.3">
      <c r="A9" s="40" t="s">
        <v>3</v>
      </c>
      <c r="B9" s="32">
        <f>'M1 Woodstoves'!D22</f>
        <v>0</v>
      </c>
      <c r="C9" s="32">
        <f>'M1 Woodstoves'!E22</f>
        <v>145.25</v>
      </c>
      <c r="D9" s="32">
        <f>'M1 Woodstoves'!F22</f>
        <v>513.79999999999995</v>
      </c>
      <c r="E9" s="32">
        <f>'M1 Woodstoves'!G22</f>
        <v>750.35</v>
      </c>
      <c r="F9" s="32">
        <f>'M1 Woodstoves'!H22</f>
        <v>986.90000000000009</v>
      </c>
      <c r="G9" s="32">
        <f>'M1 Woodstoves'!I22</f>
        <v>1219.3000000000002</v>
      </c>
      <c r="H9" s="32">
        <f>'M1 Woodstoves'!J22</f>
        <v>3615.6000000000004</v>
      </c>
      <c r="I9" s="64"/>
      <c r="J9" s="32">
        <f>'M1 Woodstoves'!L22</f>
        <v>3615.6000000000004</v>
      </c>
      <c r="K9" s="32">
        <f>'M1 Woodstoves'!M22</f>
        <v>28001.600000000006</v>
      </c>
    </row>
    <row r="10" spans="1:11" x14ac:dyDescent="0.3">
      <c r="A10" s="40" t="s">
        <v>10</v>
      </c>
      <c r="B10" s="33">
        <f>'M1 Woodstoves'!D28</f>
        <v>262500</v>
      </c>
      <c r="C10" s="33">
        <f>'M1 Woodstoves'!E28</f>
        <v>592500</v>
      </c>
      <c r="D10" s="33">
        <f>'M1 Woodstoves'!F28</f>
        <v>592500</v>
      </c>
      <c r="E10" s="33">
        <f>'M1 Woodstoves'!G28</f>
        <v>592500</v>
      </c>
      <c r="F10" s="33">
        <f>'M1 Woodstoves'!H28</f>
        <v>592500</v>
      </c>
      <c r="G10" s="33">
        <f>'M1 Woodstoves'!I28</f>
        <v>0</v>
      </c>
      <c r="H10" s="33">
        <f>'M1 Woodstoves'!J28</f>
        <v>2632500</v>
      </c>
      <c r="I10" s="43"/>
      <c r="J10" s="31"/>
      <c r="K10" s="31"/>
    </row>
    <row r="11" spans="1:11" x14ac:dyDescent="0.3">
      <c r="A11" s="22"/>
      <c r="B11" s="22"/>
      <c r="C11" s="22"/>
      <c r="D11" s="22"/>
      <c r="E11" s="22"/>
      <c r="F11" s="22"/>
      <c r="G11" s="22"/>
      <c r="H11" s="22"/>
      <c r="I11" s="43"/>
      <c r="J11" s="22"/>
      <c r="K11" s="22"/>
    </row>
    <row r="12" spans="1:11" x14ac:dyDescent="0.3">
      <c r="A12" s="36" t="s">
        <v>1</v>
      </c>
      <c r="B12" s="37"/>
      <c r="C12" s="37"/>
      <c r="D12" s="37"/>
      <c r="E12" s="37"/>
      <c r="F12" s="37"/>
      <c r="G12" s="37"/>
      <c r="H12" s="37"/>
      <c r="I12" s="43"/>
      <c r="J12" s="37"/>
      <c r="K12" s="37"/>
    </row>
    <row r="13" spans="1:11" x14ac:dyDescent="0.3">
      <c r="A13" s="40" t="s">
        <v>3</v>
      </c>
      <c r="B13" s="34">
        <f>B5+B9</f>
        <v>0</v>
      </c>
      <c r="C13" s="34">
        <f t="shared" ref="C13:H13" si="0">C5+C9</f>
        <v>188.68625</v>
      </c>
      <c r="D13" s="34">
        <f t="shared" si="0"/>
        <v>654.80074999999999</v>
      </c>
      <c r="E13" s="34">
        <f t="shared" si="0"/>
        <v>988.91525000000001</v>
      </c>
      <c r="F13" s="34">
        <f t="shared" si="0"/>
        <v>1323.0297500000001</v>
      </c>
      <c r="G13" s="34">
        <f t="shared" si="0"/>
        <v>1653.6625000000004</v>
      </c>
      <c r="H13" s="34">
        <f t="shared" si="0"/>
        <v>4809.0945000000011</v>
      </c>
      <c r="I13" s="43"/>
      <c r="J13" s="34">
        <f>SUM(J5:J10)</f>
        <v>4809.0945000000011</v>
      </c>
      <c r="K13" s="34">
        <f>SUM(K5:K10)</f>
        <v>37882.344500000007</v>
      </c>
    </row>
    <row r="14" spans="1:11" x14ac:dyDescent="0.3">
      <c r="A14" s="40" t="s">
        <v>10</v>
      </c>
      <c r="B14" s="33">
        <f>B6+B10</f>
        <v>2053332</v>
      </c>
      <c r="C14" s="33">
        <f t="shared" ref="C14:H14" si="1">C6+C10</f>
        <v>4156839</v>
      </c>
      <c r="D14" s="33">
        <f t="shared" si="1"/>
        <v>4269267</v>
      </c>
      <c r="E14" s="33">
        <f t="shared" si="1"/>
        <v>4156839</v>
      </c>
      <c r="F14" s="33">
        <f t="shared" si="1"/>
        <v>4156839</v>
      </c>
      <c r="G14" s="33">
        <f t="shared" si="1"/>
        <v>0</v>
      </c>
      <c r="H14" s="33">
        <f t="shared" si="1"/>
        <v>18793116</v>
      </c>
      <c r="I14" s="43"/>
      <c r="J14" s="31"/>
      <c r="K14" s="31"/>
    </row>
    <row r="15" spans="1:11" x14ac:dyDescent="0.3">
      <c r="A15" s="40" t="s">
        <v>26</v>
      </c>
      <c r="B15" s="22"/>
      <c r="C15" s="22"/>
      <c r="D15" s="22"/>
      <c r="E15" s="22"/>
      <c r="F15" s="22"/>
      <c r="G15" s="22"/>
      <c r="H15" s="22"/>
      <c r="I15" s="43"/>
      <c r="J15" s="29">
        <f>H14/J13</f>
        <v>3907.8283864041341</v>
      </c>
      <c r="K15" s="3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586E2-C186-7348-8749-B180EA035EFE}">
  <sheetPr>
    <tabColor theme="3" tint="0.749992370372631"/>
  </sheetPr>
  <dimension ref="A1:M27"/>
  <sheetViews>
    <sheetView workbookViewId="0">
      <selection activeCell="G24" sqref="G24"/>
    </sheetView>
  </sheetViews>
  <sheetFormatPr defaultColWidth="10.8984375" defaultRowHeight="15.6" x14ac:dyDescent="0.3"/>
  <cols>
    <col min="1" max="1" width="38.3984375" style="2" customWidth="1"/>
    <col min="2" max="2" width="8.8984375" style="2" customWidth="1"/>
    <col min="3" max="3" width="2.8984375" style="2" customWidth="1"/>
    <col min="4" max="4" width="10.8984375" style="2" bestFit="1" customWidth="1"/>
    <col min="5" max="6" width="11.5" style="2" bestFit="1" customWidth="1"/>
    <col min="7" max="8" width="10.8984375" style="2" bestFit="1" customWidth="1"/>
    <col min="9" max="9" width="10.8984375" style="2" customWidth="1"/>
    <col min="10" max="10" width="11.8984375" style="2" bestFit="1" customWidth="1"/>
    <col min="11" max="11" width="2.8984375" style="2" customWidth="1"/>
    <col min="12" max="13" width="9.8984375" style="2" bestFit="1" customWidth="1"/>
    <col min="14" max="16384" width="10.8984375" style="2"/>
  </cols>
  <sheetData>
    <row r="1" spans="1:13" ht="21" x14ac:dyDescent="0.3">
      <c r="A1" s="42" t="s">
        <v>29</v>
      </c>
    </row>
    <row r="3" spans="1:13" x14ac:dyDescent="0.3">
      <c r="A3" s="7" t="s">
        <v>13</v>
      </c>
      <c r="B3" s="7" t="s">
        <v>12</v>
      </c>
      <c r="C3" s="7"/>
      <c r="D3" s="21">
        <v>2025</v>
      </c>
      <c r="E3" s="21">
        <v>2026</v>
      </c>
      <c r="F3" s="21">
        <v>2027</v>
      </c>
      <c r="G3" s="21">
        <v>2028</v>
      </c>
      <c r="H3" s="21">
        <v>2029</v>
      </c>
      <c r="I3" s="21">
        <v>2030</v>
      </c>
      <c r="J3" s="21" t="s">
        <v>1</v>
      </c>
      <c r="K3" s="63"/>
      <c r="L3" s="7" t="s">
        <v>4</v>
      </c>
      <c r="M3" s="7" t="s">
        <v>5</v>
      </c>
    </row>
    <row r="4" spans="1:13" s="10" customFormat="1" x14ac:dyDescent="0.3">
      <c r="A4" s="9" t="s">
        <v>0</v>
      </c>
      <c r="B4" s="12">
        <v>650</v>
      </c>
      <c r="C4" s="12"/>
      <c r="D4" s="31"/>
      <c r="E4" s="31"/>
      <c r="F4" s="31"/>
      <c r="G4" s="31"/>
      <c r="H4" s="31"/>
      <c r="I4" s="31"/>
      <c r="J4" s="31"/>
      <c r="K4" s="53"/>
      <c r="L4" s="31"/>
      <c r="M4" s="31"/>
    </row>
    <row r="5" spans="1:13" s="10" customFormat="1" x14ac:dyDescent="0.3">
      <c r="A5" s="9" t="s">
        <v>11</v>
      </c>
      <c r="B5" s="12">
        <v>2430</v>
      </c>
      <c r="C5" s="12"/>
      <c r="D5" s="31"/>
      <c r="E5" s="31"/>
      <c r="F5" s="31"/>
      <c r="G5" s="31"/>
      <c r="H5" s="31"/>
      <c r="I5" s="31"/>
      <c r="J5" s="31"/>
      <c r="K5" s="53"/>
      <c r="L5" s="31"/>
      <c r="M5" s="31"/>
    </row>
    <row r="6" spans="1:13" s="10" customFormat="1" x14ac:dyDescent="0.3">
      <c r="A6" s="9" t="s">
        <v>54</v>
      </c>
      <c r="B6" s="30">
        <v>0.27500000000000002</v>
      </c>
      <c r="C6" s="12"/>
      <c r="D6" s="31"/>
      <c r="E6" s="31"/>
      <c r="F6" s="31"/>
      <c r="G6" s="31"/>
      <c r="H6" s="31"/>
      <c r="I6" s="31"/>
      <c r="J6" s="31"/>
      <c r="K6" s="53"/>
      <c r="L6" s="31"/>
      <c r="M6" s="31"/>
    </row>
    <row r="7" spans="1:13" s="10" customFormat="1" x14ac:dyDescent="0.3">
      <c r="A7" s="9" t="s">
        <v>49</v>
      </c>
      <c r="B7" s="11">
        <f>B5/1000*B6</f>
        <v>0.66825000000000012</v>
      </c>
      <c r="C7" s="12"/>
      <c r="D7" s="31"/>
      <c r="E7" s="31"/>
      <c r="F7" s="31"/>
      <c r="G7" s="31"/>
      <c r="H7" s="31"/>
      <c r="I7" s="31"/>
      <c r="J7" s="31"/>
      <c r="K7" s="53"/>
      <c r="L7" s="31"/>
      <c r="M7" s="31"/>
    </row>
    <row r="8" spans="1:13" s="10" customFormat="1" x14ac:dyDescent="0.3">
      <c r="A8" s="18"/>
      <c r="B8" s="17"/>
      <c r="C8" s="17"/>
      <c r="D8" s="17"/>
      <c r="E8" s="17"/>
      <c r="F8" s="17"/>
      <c r="G8" s="17"/>
      <c r="H8" s="17"/>
      <c r="I8" s="17"/>
      <c r="J8" s="17"/>
      <c r="K8" s="53"/>
      <c r="L8" s="18"/>
      <c r="M8" s="18"/>
    </row>
    <row r="9" spans="1:13" x14ac:dyDescent="0.3">
      <c r="A9" s="3" t="s">
        <v>2</v>
      </c>
      <c r="B9" s="4"/>
      <c r="C9" s="4"/>
      <c r="D9" s="4">
        <v>65</v>
      </c>
      <c r="E9" s="4">
        <v>146</v>
      </c>
      <c r="F9" s="4">
        <v>146</v>
      </c>
      <c r="G9" s="4">
        <v>146</v>
      </c>
      <c r="H9" s="4">
        <v>147</v>
      </c>
      <c r="I9" s="4">
        <v>0</v>
      </c>
      <c r="J9" s="19">
        <f>SUM(D9:I9)</f>
        <v>650</v>
      </c>
      <c r="K9" s="47"/>
      <c r="L9" s="31"/>
      <c r="M9" s="31"/>
    </row>
    <row r="10" spans="1:13" hidden="1" x14ac:dyDescent="0.3">
      <c r="A10" s="3" t="s">
        <v>6</v>
      </c>
      <c r="B10" s="4"/>
      <c r="C10" s="4"/>
      <c r="D10" s="4">
        <f>C9</f>
        <v>0</v>
      </c>
      <c r="E10" s="4">
        <f>D10+D9</f>
        <v>65</v>
      </c>
      <c r="F10" s="4">
        <f>E10+E9</f>
        <v>211</v>
      </c>
      <c r="G10" s="4">
        <f>F10+F9</f>
        <v>357</v>
      </c>
      <c r="H10" s="4">
        <f>G10+G9</f>
        <v>503</v>
      </c>
      <c r="I10" s="4">
        <f>H10+H9</f>
        <v>650</v>
      </c>
      <c r="J10" s="19">
        <v>650</v>
      </c>
      <c r="K10" s="47"/>
      <c r="L10" s="31"/>
      <c r="M10" s="31"/>
    </row>
    <row r="11" spans="1:13" x14ac:dyDescent="0.3">
      <c r="A11" s="3" t="s">
        <v>3</v>
      </c>
      <c r="B11" s="4"/>
      <c r="C11" s="4"/>
      <c r="D11" s="4"/>
      <c r="E11" s="4">
        <f>E10*$B$7</f>
        <v>43.436250000000008</v>
      </c>
      <c r="F11" s="4">
        <f t="shared" ref="F11:I11" si="0">F10*$B$7</f>
        <v>141.00075000000004</v>
      </c>
      <c r="G11" s="4">
        <f t="shared" si="0"/>
        <v>238.56525000000005</v>
      </c>
      <c r="H11" s="4">
        <f t="shared" si="0"/>
        <v>336.12975000000006</v>
      </c>
      <c r="I11" s="4">
        <f t="shared" si="0"/>
        <v>434.36250000000007</v>
      </c>
      <c r="J11" s="4">
        <f>SUM(E11:I11)</f>
        <v>1193.4945000000002</v>
      </c>
      <c r="K11" s="47"/>
      <c r="L11" s="4">
        <f>J11</f>
        <v>1193.4945000000002</v>
      </c>
      <c r="M11" s="4">
        <f>L11+(I11*20)</f>
        <v>9880.7445000000025</v>
      </c>
    </row>
    <row r="12" spans="1:13" x14ac:dyDescent="0.3">
      <c r="A12" s="20"/>
      <c r="B12" s="5"/>
      <c r="C12" s="5"/>
      <c r="D12" s="5"/>
      <c r="E12" s="5"/>
      <c r="F12" s="5"/>
      <c r="G12" s="5"/>
      <c r="H12" s="5"/>
      <c r="I12" s="5"/>
      <c r="J12" s="5"/>
      <c r="K12" s="47"/>
      <c r="L12" s="5"/>
      <c r="M12" s="5"/>
    </row>
    <row r="13" spans="1:13" x14ac:dyDescent="0.3">
      <c r="A13" s="3" t="s">
        <v>15</v>
      </c>
      <c r="B13" s="4"/>
      <c r="C13" s="4"/>
      <c r="D13" s="31"/>
      <c r="E13" s="31"/>
      <c r="F13" s="31"/>
      <c r="G13" s="31"/>
      <c r="H13" s="31"/>
      <c r="I13" s="31"/>
      <c r="J13" s="31"/>
      <c r="K13" s="47"/>
      <c r="L13" s="29">
        <f>J20/L11</f>
        <v>13540.586906768314</v>
      </c>
      <c r="M13" s="31"/>
    </row>
    <row r="14" spans="1:13" x14ac:dyDescent="0.3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</row>
    <row r="15" spans="1:13" x14ac:dyDescent="0.3">
      <c r="A15" s="63" t="s">
        <v>14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</row>
    <row r="16" spans="1:13" x14ac:dyDescent="0.3">
      <c r="A16" s="7" t="s">
        <v>13</v>
      </c>
      <c r="B16" s="7" t="s">
        <v>12</v>
      </c>
      <c r="C16" s="7"/>
      <c r="D16" s="21">
        <v>2025</v>
      </c>
      <c r="E16" s="21">
        <v>2026</v>
      </c>
      <c r="F16" s="21">
        <v>2027</v>
      </c>
      <c r="G16" s="21">
        <v>2028</v>
      </c>
      <c r="H16" s="21">
        <v>2029</v>
      </c>
      <c r="I16" s="21">
        <v>2030</v>
      </c>
      <c r="J16" s="21" t="s">
        <v>1</v>
      </c>
      <c r="K16" s="62"/>
      <c r="L16" s="62"/>
      <c r="M16" s="62"/>
    </row>
    <row r="17" spans="1:13" x14ac:dyDescent="0.3">
      <c r="A17" s="3" t="s">
        <v>52</v>
      </c>
      <c r="B17" s="13">
        <v>14100</v>
      </c>
      <c r="C17" s="14"/>
      <c r="D17" s="15">
        <v>916500</v>
      </c>
      <c r="E17" s="15">
        <v>2072700</v>
      </c>
      <c r="F17" s="15">
        <v>2072700</v>
      </c>
      <c r="G17" s="13">
        <v>2072700</v>
      </c>
      <c r="H17" s="13">
        <v>2072700</v>
      </c>
      <c r="I17" s="13">
        <v>0</v>
      </c>
      <c r="J17" s="13">
        <f>SUM(D17:I17)</f>
        <v>9207300</v>
      </c>
      <c r="K17" s="62"/>
      <c r="L17" s="62"/>
      <c r="M17" s="62"/>
    </row>
    <row r="18" spans="1:13" x14ac:dyDescent="0.3">
      <c r="A18" s="3" t="s">
        <v>51</v>
      </c>
      <c r="B18" s="13">
        <v>7000</v>
      </c>
      <c r="C18" s="3"/>
      <c r="D18" s="13">
        <v>455000</v>
      </c>
      <c r="E18" s="13">
        <v>1029000</v>
      </c>
      <c r="F18" s="13">
        <v>1029000</v>
      </c>
      <c r="G18" s="13">
        <v>1029000</v>
      </c>
      <c r="H18" s="13">
        <v>1029000</v>
      </c>
      <c r="I18" s="13">
        <v>0</v>
      </c>
      <c r="J18" s="13">
        <f>SUM(D18:I18)</f>
        <v>4571000</v>
      </c>
      <c r="K18" s="62"/>
      <c r="L18" s="62"/>
      <c r="M18" s="62"/>
    </row>
    <row r="19" spans="1:13" x14ac:dyDescent="0.3">
      <c r="A19" s="3" t="s">
        <v>31</v>
      </c>
      <c r="B19" s="72" t="s">
        <v>50</v>
      </c>
      <c r="C19" s="3"/>
      <c r="D19" s="13">
        <v>419332</v>
      </c>
      <c r="E19" s="13">
        <v>462639</v>
      </c>
      <c r="F19" s="13">
        <v>575067</v>
      </c>
      <c r="G19" s="13">
        <v>462639</v>
      </c>
      <c r="H19" s="13">
        <v>462639</v>
      </c>
      <c r="I19" s="13">
        <v>0</v>
      </c>
      <c r="J19" s="13">
        <f>SUM(D19:I19)</f>
        <v>2382316</v>
      </c>
      <c r="K19" s="62"/>
      <c r="L19" s="62"/>
      <c r="M19" s="62"/>
    </row>
    <row r="20" spans="1:13" x14ac:dyDescent="0.3">
      <c r="A20" s="3" t="s">
        <v>1</v>
      </c>
      <c r="B20" s="16"/>
      <c r="C20" s="3"/>
      <c r="D20" s="13">
        <f>SUM(D17:D19)</f>
        <v>1790832</v>
      </c>
      <c r="E20" s="13">
        <f t="shared" ref="E20:H20" si="1">SUM(E17:E19)</f>
        <v>3564339</v>
      </c>
      <c r="F20" s="13">
        <f t="shared" si="1"/>
        <v>3676767</v>
      </c>
      <c r="G20" s="13">
        <f t="shared" si="1"/>
        <v>3564339</v>
      </c>
      <c r="H20" s="13">
        <f t="shared" si="1"/>
        <v>3564339</v>
      </c>
      <c r="I20" s="13">
        <f t="shared" ref="I20" si="2">SUM(I17:I18)</f>
        <v>0</v>
      </c>
      <c r="J20" s="13">
        <f>SUM(D20:I20)</f>
        <v>16160616</v>
      </c>
      <c r="K20" s="62"/>
      <c r="L20" s="62"/>
      <c r="M20" s="62"/>
    </row>
    <row r="22" spans="1:13" x14ac:dyDescent="0.3">
      <c r="B22" s="6"/>
    </row>
    <row r="23" spans="1:13" x14ac:dyDescent="0.3">
      <c r="B23" s="1"/>
    </row>
    <row r="24" spans="1:13" x14ac:dyDescent="0.3">
      <c r="A24" s="61" t="s">
        <v>7</v>
      </c>
    </row>
    <row r="25" spans="1:13" x14ac:dyDescent="0.3">
      <c r="A25" s="1" t="s">
        <v>9</v>
      </c>
    </row>
    <row r="26" spans="1:13" x14ac:dyDescent="0.3">
      <c r="A26" s="49" t="s">
        <v>36</v>
      </c>
    </row>
    <row r="27" spans="1:13" x14ac:dyDescent="0.3">
      <c r="A27" s="1" t="s">
        <v>8</v>
      </c>
      <c r="B27" s="1"/>
    </row>
  </sheetData>
  <hyperlinks>
    <hyperlink ref="A26" r:id="rId1" xr:uid="{CA2170EE-5CFB-DE42-A28F-46390381541C}"/>
  </hyperlinks>
  <pageMargins left="0.7" right="0.7" top="0.75" bottom="0.75" header="0.3" footer="0.3"/>
  <ignoredErrors>
    <ignoredError sqref="D20:I2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56726-4112-DD4E-BE65-3AE03EAA5338}">
  <sheetPr>
    <tabColor theme="3" tint="0.749992370372631"/>
  </sheetPr>
  <dimension ref="A1:M35"/>
  <sheetViews>
    <sheetView topLeftCell="A12" workbookViewId="0">
      <selection activeCell="A20" sqref="A20"/>
    </sheetView>
  </sheetViews>
  <sheetFormatPr defaultColWidth="11" defaultRowHeight="15.6" x14ac:dyDescent="0.3"/>
  <cols>
    <col min="1" max="1" width="42.5" bestFit="1" customWidth="1"/>
    <col min="2" max="2" width="8.3984375" customWidth="1"/>
    <col min="3" max="3" width="2.8984375" customWidth="1"/>
    <col min="4" max="4" width="10" bestFit="1" customWidth="1"/>
    <col min="5" max="5" width="11.5" bestFit="1" customWidth="1"/>
    <col min="6" max="8" width="10" bestFit="1" customWidth="1"/>
    <col min="9" max="9" width="10" customWidth="1"/>
    <col min="10" max="10" width="11.09765625" customWidth="1"/>
    <col min="11" max="11" width="2.8984375" customWidth="1"/>
    <col min="12" max="13" width="9.8984375" bestFit="1" customWidth="1"/>
  </cols>
  <sheetData>
    <row r="1" spans="1:13" ht="21" x14ac:dyDescent="0.4">
      <c r="A1" s="41" t="s">
        <v>30</v>
      </c>
    </row>
    <row r="3" spans="1:13" x14ac:dyDescent="0.3">
      <c r="A3" s="7" t="s">
        <v>13</v>
      </c>
      <c r="B3" s="7" t="s">
        <v>12</v>
      </c>
      <c r="C3" s="7"/>
      <c r="D3" s="21">
        <v>2025</v>
      </c>
      <c r="E3" s="21">
        <v>2026</v>
      </c>
      <c r="F3" s="21">
        <v>2027</v>
      </c>
      <c r="G3" s="21">
        <v>2028</v>
      </c>
      <c r="H3" s="21">
        <v>2029</v>
      </c>
      <c r="I3" s="21">
        <v>2030</v>
      </c>
      <c r="J3" s="21" t="s">
        <v>1</v>
      </c>
      <c r="K3" s="63"/>
      <c r="L3" s="21" t="s">
        <v>4</v>
      </c>
      <c r="M3" s="21" t="s">
        <v>5</v>
      </c>
    </row>
    <row r="4" spans="1:13" s="23" customFormat="1" x14ac:dyDescent="0.3">
      <c r="A4" s="8" t="s">
        <v>68</v>
      </c>
      <c r="B4" s="9"/>
      <c r="C4" s="9"/>
      <c r="D4" s="31"/>
      <c r="E4" s="31"/>
      <c r="F4" s="31"/>
      <c r="G4" s="31"/>
      <c r="H4" s="31"/>
      <c r="I4" s="31"/>
      <c r="J4" s="31"/>
      <c r="K4" s="53"/>
      <c r="L4" s="31"/>
      <c r="M4" s="31"/>
    </row>
    <row r="5" spans="1:13" x14ac:dyDescent="0.3">
      <c r="A5" s="24" t="s">
        <v>69</v>
      </c>
      <c r="B5" s="12">
        <v>262</v>
      </c>
      <c r="C5" s="12"/>
      <c r="D5" s="31"/>
      <c r="E5" s="31"/>
      <c r="F5" s="31"/>
      <c r="G5" s="31"/>
      <c r="H5" s="31"/>
      <c r="I5" s="31"/>
      <c r="J5" s="31"/>
      <c r="K5" s="53"/>
      <c r="L5" s="31"/>
      <c r="M5" s="31"/>
    </row>
    <row r="6" spans="1:13" x14ac:dyDescent="0.3">
      <c r="A6" s="24" t="s">
        <v>49</v>
      </c>
      <c r="B6" s="26">
        <v>4.1500000000000004</v>
      </c>
      <c r="C6" s="12"/>
      <c r="D6" s="31"/>
      <c r="E6" s="31"/>
      <c r="F6" s="31"/>
      <c r="G6" s="31"/>
      <c r="H6" s="31"/>
      <c r="I6" s="31"/>
      <c r="J6" s="31"/>
      <c r="K6" s="53"/>
      <c r="L6" s="31"/>
      <c r="M6" s="31"/>
    </row>
    <row r="7" spans="1:13" x14ac:dyDescent="0.3">
      <c r="A7" s="9"/>
      <c r="B7" s="12"/>
      <c r="C7" s="12"/>
      <c r="D7" s="31"/>
      <c r="E7" s="31"/>
      <c r="F7" s="31"/>
      <c r="G7" s="31"/>
      <c r="H7" s="31"/>
      <c r="I7" s="31"/>
      <c r="J7" s="31"/>
      <c r="K7" s="53"/>
      <c r="L7" s="31"/>
      <c r="M7" s="31"/>
    </row>
    <row r="8" spans="1:13" x14ac:dyDescent="0.3">
      <c r="A8" s="8" t="s">
        <v>21</v>
      </c>
      <c r="B8" s="12"/>
      <c r="C8" s="12"/>
      <c r="D8" s="31"/>
      <c r="E8" s="31"/>
      <c r="F8" s="31"/>
      <c r="G8" s="31"/>
      <c r="H8" s="31"/>
      <c r="I8" s="31"/>
      <c r="J8" s="31"/>
      <c r="K8" s="53"/>
      <c r="L8" s="31"/>
      <c r="M8" s="31"/>
    </row>
    <row r="9" spans="1:13" x14ac:dyDescent="0.3">
      <c r="A9" s="24" t="s">
        <v>70</v>
      </c>
      <c r="B9" s="12">
        <v>88</v>
      </c>
      <c r="C9" s="12"/>
      <c r="D9" s="31"/>
      <c r="E9" s="31"/>
      <c r="F9" s="31"/>
      <c r="G9" s="31"/>
      <c r="H9" s="31"/>
      <c r="I9" s="31"/>
      <c r="J9" s="31"/>
      <c r="K9" s="53"/>
      <c r="L9" s="31"/>
      <c r="M9" s="31"/>
    </row>
    <row r="10" spans="1:13" x14ac:dyDescent="0.3">
      <c r="A10" s="24" t="s">
        <v>49</v>
      </c>
      <c r="B10" s="27">
        <v>1.5</v>
      </c>
      <c r="C10" s="12"/>
      <c r="D10" s="31"/>
      <c r="E10" s="31"/>
      <c r="F10" s="31"/>
      <c r="G10" s="31"/>
      <c r="H10" s="31"/>
      <c r="I10" s="31"/>
      <c r="J10" s="31"/>
      <c r="K10" s="53"/>
      <c r="L10" s="31"/>
      <c r="M10" s="31"/>
    </row>
    <row r="11" spans="1:13" x14ac:dyDescent="0.3">
      <c r="A11" s="18"/>
      <c r="B11" s="17"/>
      <c r="C11" s="17"/>
      <c r="D11" s="17"/>
      <c r="E11" s="17"/>
      <c r="F11" s="17"/>
      <c r="G11" s="17"/>
      <c r="H11" s="17"/>
      <c r="I11" s="17"/>
      <c r="J11" s="17"/>
      <c r="K11" s="53"/>
      <c r="L11" s="18"/>
      <c r="M11" s="18"/>
    </row>
    <row r="12" spans="1:13" x14ac:dyDescent="0.3">
      <c r="A12" s="8" t="s">
        <v>68</v>
      </c>
      <c r="B12" s="12"/>
      <c r="C12" s="12"/>
      <c r="D12" s="12"/>
      <c r="E12" s="12"/>
      <c r="F12" s="12"/>
      <c r="G12" s="12"/>
      <c r="H12" s="12"/>
      <c r="I12" s="12"/>
      <c r="J12" s="12"/>
      <c r="K12" s="53"/>
      <c r="L12" s="9"/>
      <c r="M12" s="9"/>
    </row>
    <row r="13" spans="1:13" x14ac:dyDescent="0.3">
      <c r="A13" s="25" t="s">
        <v>19</v>
      </c>
      <c r="B13" s="4">
        <v>262</v>
      </c>
      <c r="C13" s="4"/>
      <c r="D13" s="4">
        <v>35</v>
      </c>
      <c r="E13" s="4">
        <f>79-E18</f>
        <v>57</v>
      </c>
      <c r="F13" s="4">
        <f t="shared" ref="F13:G13" si="0">79-F18</f>
        <v>57</v>
      </c>
      <c r="G13" s="4">
        <f t="shared" si="0"/>
        <v>57</v>
      </c>
      <c r="H13" s="4">
        <v>56</v>
      </c>
      <c r="I13" s="4">
        <v>0</v>
      </c>
      <c r="J13" s="19">
        <f>SUM(D13:I13)</f>
        <v>262</v>
      </c>
      <c r="K13" s="47"/>
      <c r="L13" s="31"/>
      <c r="M13" s="31"/>
    </row>
    <row r="14" spans="1:13" hidden="1" x14ac:dyDescent="0.3">
      <c r="A14" s="25" t="s">
        <v>20</v>
      </c>
      <c r="B14" s="4"/>
      <c r="C14" s="4"/>
      <c r="D14" s="4">
        <v>0</v>
      </c>
      <c r="E14" s="4">
        <v>35</v>
      </c>
      <c r="F14" s="4">
        <f>E13+E14</f>
        <v>92</v>
      </c>
      <c r="G14" s="4">
        <f>F13+F14</f>
        <v>149</v>
      </c>
      <c r="H14" s="4">
        <f>G13+G14</f>
        <v>206</v>
      </c>
      <c r="I14" s="4">
        <f>H13+H14</f>
        <v>262</v>
      </c>
      <c r="J14" s="4">
        <f>I14</f>
        <v>262</v>
      </c>
      <c r="K14" s="47"/>
      <c r="L14" s="31"/>
      <c r="M14" s="31"/>
    </row>
    <row r="15" spans="1:13" x14ac:dyDescent="0.3">
      <c r="A15" s="25" t="s">
        <v>3</v>
      </c>
      <c r="B15" s="4"/>
      <c r="C15" s="4"/>
      <c r="D15" s="4">
        <f>D14*$B$6</f>
        <v>0</v>
      </c>
      <c r="E15" s="4">
        <f t="shared" ref="E15:I15" si="1">E14*$B$6</f>
        <v>145.25</v>
      </c>
      <c r="F15" s="4">
        <f t="shared" si="1"/>
        <v>381.8</v>
      </c>
      <c r="G15" s="4">
        <f t="shared" si="1"/>
        <v>618.35</v>
      </c>
      <c r="H15" s="4">
        <f t="shared" si="1"/>
        <v>854.90000000000009</v>
      </c>
      <c r="I15" s="4">
        <f t="shared" si="1"/>
        <v>1087.3000000000002</v>
      </c>
      <c r="J15" s="4">
        <f>SUM(E15:I15)</f>
        <v>3087.6000000000004</v>
      </c>
      <c r="K15" s="47"/>
      <c r="L15" s="4">
        <f>J15</f>
        <v>3087.6000000000004</v>
      </c>
      <c r="M15" s="4">
        <f>(I15*20)+L15</f>
        <v>24833.600000000006</v>
      </c>
    </row>
    <row r="16" spans="1:13" x14ac:dyDescent="0.3">
      <c r="A16" s="3"/>
      <c r="B16" s="4"/>
      <c r="C16" s="4"/>
      <c r="D16" s="4"/>
      <c r="E16" s="4"/>
      <c r="F16" s="4"/>
      <c r="G16" s="4"/>
      <c r="H16" s="4"/>
      <c r="I16" s="4"/>
      <c r="J16" s="4"/>
      <c r="K16" s="47"/>
      <c r="L16" s="4"/>
      <c r="M16" s="4"/>
    </row>
    <row r="17" spans="1:13" x14ac:dyDescent="0.3">
      <c r="A17" s="8" t="s">
        <v>17</v>
      </c>
      <c r="B17" s="4"/>
      <c r="C17" s="4"/>
      <c r="D17" s="4"/>
      <c r="E17" s="4"/>
      <c r="F17" s="4"/>
      <c r="G17" s="4"/>
      <c r="H17" s="4"/>
      <c r="I17" s="4"/>
      <c r="J17" s="4"/>
      <c r="K17" s="47"/>
      <c r="L17" s="4"/>
      <c r="M17" s="4"/>
    </row>
    <row r="18" spans="1:13" x14ac:dyDescent="0.3">
      <c r="A18" s="25" t="s">
        <v>19</v>
      </c>
      <c r="B18" s="4">
        <v>88</v>
      </c>
      <c r="C18" s="4"/>
      <c r="D18" s="4">
        <v>0</v>
      </c>
      <c r="E18" s="4">
        <v>22</v>
      </c>
      <c r="F18" s="4">
        <v>22</v>
      </c>
      <c r="G18" s="4">
        <v>22</v>
      </c>
      <c r="H18" s="4">
        <v>22</v>
      </c>
      <c r="I18" s="4">
        <v>0</v>
      </c>
      <c r="J18" s="4">
        <f>SUM(D18:I18)</f>
        <v>88</v>
      </c>
      <c r="K18" s="47"/>
      <c r="L18" s="31"/>
      <c r="M18" s="31"/>
    </row>
    <row r="19" spans="1:13" hidden="1" x14ac:dyDescent="0.3">
      <c r="A19" s="25" t="s">
        <v>20</v>
      </c>
      <c r="B19" s="4"/>
      <c r="C19" s="4"/>
      <c r="D19" s="4">
        <v>0</v>
      </c>
      <c r="E19" s="4">
        <v>0</v>
      </c>
      <c r="F19" s="4">
        <v>88</v>
      </c>
      <c r="G19" s="4">
        <v>88</v>
      </c>
      <c r="H19" s="4">
        <v>88</v>
      </c>
      <c r="I19" s="4">
        <v>88</v>
      </c>
      <c r="J19" s="4">
        <v>88</v>
      </c>
      <c r="K19" s="47"/>
      <c r="L19" s="31"/>
      <c r="M19" s="31"/>
    </row>
    <row r="20" spans="1:13" x14ac:dyDescent="0.3">
      <c r="A20" s="25" t="s">
        <v>3</v>
      </c>
      <c r="B20" s="4"/>
      <c r="C20" s="4"/>
      <c r="D20" s="4">
        <f>D19*$B$10</f>
        <v>0</v>
      </c>
      <c r="E20" s="4">
        <f t="shared" ref="E20:I20" si="2">E19*$B$10</f>
        <v>0</v>
      </c>
      <c r="F20" s="4">
        <f t="shared" si="2"/>
        <v>132</v>
      </c>
      <c r="G20" s="4">
        <f t="shared" si="2"/>
        <v>132</v>
      </c>
      <c r="H20" s="4">
        <f t="shared" si="2"/>
        <v>132</v>
      </c>
      <c r="I20" s="4">
        <f t="shared" si="2"/>
        <v>132</v>
      </c>
      <c r="J20" s="4">
        <f>SUM(E20:I20)</f>
        <v>528</v>
      </c>
      <c r="K20" s="47"/>
      <c r="L20" s="4">
        <f>J20</f>
        <v>528</v>
      </c>
      <c r="M20" s="4">
        <f>(I20*20)+L20</f>
        <v>3168</v>
      </c>
    </row>
    <row r="21" spans="1:13" x14ac:dyDescent="0.3">
      <c r="A21" s="3"/>
      <c r="B21" s="4"/>
      <c r="C21" s="4"/>
      <c r="D21" s="4"/>
      <c r="E21" s="4"/>
      <c r="F21" s="4"/>
      <c r="G21" s="4"/>
      <c r="H21" s="4"/>
      <c r="I21" s="4"/>
      <c r="J21" s="4"/>
      <c r="K21" s="47"/>
      <c r="L21" s="4"/>
      <c r="M21" s="4"/>
    </row>
    <row r="22" spans="1:13" x14ac:dyDescent="0.3">
      <c r="A22" s="3" t="s">
        <v>18</v>
      </c>
      <c r="B22" s="4"/>
      <c r="C22" s="4"/>
      <c r="D22" s="4">
        <f>D15+D20</f>
        <v>0</v>
      </c>
      <c r="E22" s="4">
        <f t="shared" ref="E22:J22" si="3">E15+E20</f>
        <v>145.25</v>
      </c>
      <c r="F22" s="4">
        <f t="shared" si="3"/>
        <v>513.79999999999995</v>
      </c>
      <c r="G22" s="4">
        <f t="shared" si="3"/>
        <v>750.35</v>
      </c>
      <c r="H22" s="4">
        <f t="shared" si="3"/>
        <v>986.90000000000009</v>
      </c>
      <c r="I22" s="4">
        <f t="shared" si="3"/>
        <v>1219.3000000000002</v>
      </c>
      <c r="J22" s="4">
        <f t="shared" si="3"/>
        <v>3615.6000000000004</v>
      </c>
      <c r="K22" s="47"/>
      <c r="L22" s="4">
        <f>SUM(L15:L20)</f>
        <v>3615.6000000000004</v>
      </c>
      <c r="M22" s="4">
        <f>SUM(M15:M20)</f>
        <v>28001.600000000006</v>
      </c>
    </row>
    <row r="23" spans="1:13" x14ac:dyDescent="0.3">
      <c r="A23" s="20"/>
      <c r="B23" s="5"/>
      <c r="C23" s="5"/>
      <c r="D23" s="5"/>
      <c r="E23" s="5"/>
      <c r="F23" s="5"/>
      <c r="G23" s="5"/>
      <c r="H23" s="5"/>
      <c r="I23" s="5"/>
      <c r="J23" s="5"/>
      <c r="K23" s="47"/>
      <c r="L23" s="5"/>
      <c r="M23" s="5"/>
    </row>
    <row r="24" spans="1:13" x14ac:dyDescent="0.3">
      <c r="A24" s="3" t="s">
        <v>15</v>
      </c>
      <c r="B24" s="4"/>
      <c r="C24" s="4"/>
      <c r="D24" s="31"/>
      <c r="E24" s="31"/>
      <c r="F24" s="31"/>
      <c r="G24" s="31"/>
      <c r="H24" s="31"/>
      <c r="I24" s="31"/>
      <c r="J24" s="31"/>
      <c r="K24" s="47"/>
      <c r="L24" s="28">
        <f>J28/L22</f>
        <v>728.09492200464649</v>
      </c>
      <c r="M24" s="31"/>
    </row>
    <row r="25" spans="1:13" x14ac:dyDescent="0.3">
      <c r="A25" s="62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</row>
    <row r="26" spans="1:13" x14ac:dyDescent="0.3">
      <c r="A26" s="63" t="s">
        <v>14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</row>
    <row r="27" spans="1:13" x14ac:dyDescent="0.3">
      <c r="A27" s="7" t="s">
        <v>13</v>
      </c>
      <c r="B27" s="7" t="s">
        <v>12</v>
      </c>
      <c r="C27" s="7"/>
      <c r="D27" s="21">
        <v>2025</v>
      </c>
      <c r="E27" s="21">
        <v>2026</v>
      </c>
      <c r="F27" s="21">
        <v>2027</v>
      </c>
      <c r="G27" s="21">
        <v>2028</v>
      </c>
      <c r="H27" s="21">
        <v>2029</v>
      </c>
      <c r="I27" s="21">
        <v>2030</v>
      </c>
      <c r="J27" s="21" t="s">
        <v>1</v>
      </c>
      <c r="K27" s="62"/>
      <c r="L27" s="62"/>
      <c r="M27" s="62"/>
    </row>
    <row r="28" spans="1:13" x14ac:dyDescent="0.3">
      <c r="A28" s="3" t="s">
        <v>22</v>
      </c>
      <c r="B28" s="13">
        <v>7500</v>
      </c>
      <c r="C28" s="14"/>
      <c r="D28" s="15">
        <v>262500</v>
      </c>
      <c r="E28" s="15">
        <v>592500</v>
      </c>
      <c r="F28" s="15">
        <v>592500</v>
      </c>
      <c r="G28" s="15">
        <v>592500</v>
      </c>
      <c r="H28" s="15">
        <v>592500</v>
      </c>
      <c r="I28" s="15">
        <f t="shared" ref="I28" si="4">(I13+I18)*$B$28</f>
        <v>0</v>
      </c>
      <c r="J28" s="15">
        <f>SUM(D28:I28)</f>
        <v>2632500</v>
      </c>
      <c r="K28" s="62"/>
      <c r="L28" s="62"/>
      <c r="M28" s="62"/>
    </row>
    <row r="32" spans="1:13" x14ac:dyDescent="0.3">
      <c r="A32" s="61" t="s">
        <v>7</v>
      </c>
    </row>
    <row r="33" spans="1:1" x14ac:dyDescent="0.3">
      <c r="A33" s="1" t="s">
        <v>16</v>
      </c>
    </row>
    <row r="34" spans="1:1" x14ac:dyDescent="0.3">
      <c r="A34" s="1" t="s">
        <v>8</v>
      </c>
    </row>
    <row r="35" spans="1:1" x14ac:dyDescent="0.3">
      <c r="A35" s="1" t="s">
        <v>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59FB6-2060-9249-B5A6-2011E1F32FF2}">
  <sheetPr>
    <tabColor theme="9" tint="-0.249977111117893"/>
  </sheetPr>
  <dimension ref="A1:P37"/>
  <sheetViews>
    <sheetView workbookViewId="0">
      <selection activeCell="A3" sqref="A3:M31"/>
    </sheetView>
  </sheetViews>
  <sheetFormatPr defaultColWidth="11" defaultRowHeight="15.6" x14ac:dyDescent="0.3"/>
  <cols>
    <col min="1" max="1" width="38" customWidth="1"/>
    <col min="2" max="2" width="8.3984375" bestFit="1" customWidth="1"/>
    <col min="3" max="3" width="2.8984375" customWidth="1"/>
    <col min="10" max="10" width="11.8984375" bestFit="1" customWidth="1"/>
    <col min="11" max="11" width="2.8984375" customWidth="1"/>
    <col min="16" max="16" width="11.8984375" bestFit="1" customWidth="1"/>
  </cols>
  <sheetData>
    <row r="1" spans="1:16" ht="21" x14ac:dyDescent="0.4">
      <c r="A1" s="41" t="s">
        <v>40</v>
      </c>
    </row>
    <row r="2" spans="1:16" x14ac:dyDescent="0.3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6" x14ac:dyDescent="0.3">
      <c r="A3" s="7" t="s">
        <v>13</v>
      </c>
      <c r="B3" s="7" t="s">
        <v>12</v>
      </c>
      <c r="C3" s="7"/>
      <c r="D3" s="21">
        <v>2025</v>
      </c>
      <c r="E3" s="21">
        <v>2026</v>
      </c>
      <c r="F3" s="21">
        <v>2027</v>
      </c>
      <c r="G3" s="21">
        <v>2028</v>
      </c>
      <c r="H3" s="21">
        <v>2029</v>
      </c>
      <c r="I3" s="21">
        <v>2030</v>
      </c>
      <c r="J3" s="21" t="s">
        <v>1</v>
      </c>
      <c r="K3" s="63"/>
      <c r="L3" s="7" t="s">
        <v>4</v>
      </c>
      <c r="M3" s="7" t="s">
        <v>5</v>
      </c>
    </row>
    <row r="4" spans="1:16" x14ac:dyDescent="0.3">
      <c r="A4" s="8" t="s">
        <v>65</v>
      </c>
      <c r="B4" s="12"/>
      <c r="C4" s="12"/>
      <c r="D4" s="12"/>
      <c r="E4" s="12"/>
      <c r="F4" s="12"/>
      <c r="G4" s="12"/>
      <c r="H4" s="12"/>
      <c r="I4" s="12"/>
      <c r="J4" s="12"/>
      <c r="K4" s="53"/>
      <c r="L4" s="31"/>
      <c r="M4" s="31"/>
    </row>
    <row r="5" spans="1:16" x14ac:dyDescent="0.3">
      <c r="A5" s="24" t="s">
        <v>32</v>
      </c>
      <c r="B5" s="12"/>
      <c r="C5" s="12"/>
      <c r="D5" s="12">
        <v>24613</v>
      </c>
      <c r="E5" s="12">
        <v>24613</v>
      </c>
      <c r="F5" s="12">
        <v>24613</v>
      </c>
      <c r="G5" s="12">
        <v>24613</v>
      </c>
      <c r="H5" s="12">
        <v>24613</v>
      </c>
      <c r="I5" s="12">
        <v>24613</v>
      </c>
      <c r="J5" s="12">
        <f>SUM(D5:I5)</f>
        <v>147678</v>
      </c>
      <c r="K5" s="53"/>
      <c r="L5" s="31"/>
      <c r="M5" s="31"/>
    </row>
    <row r="6" spans="1:16" ht="17.100000000000001" customHeight="1" x14ac:dyDescent="0.3">
      <c r="A6" s="24" t="s">
        <v>53</v>
      </c>
      <c r="B6" s="12"/>
      <c r="C6" s="12"/>
      <c r="D6" s="12">
        <v>3102500</v>
      </c>
      <c r="E6" s="12">
        <v>3102500</v>
      </c>
      <c r="F6" s="12">
        <v>3102500</v>
      </c>
      <c r="G6" s="12">
        <v>3102500</v>
      </c>
      <c r="H6" s="12">
        <v>3102500</v>
      </c>
      <c r="I6" s="12">
        <v>3102500</v>
      </c>
      <c r="J6" s="12">
        <f>SUM(D6:I6)</f>
        <v>18615000</v>
      </c>
      <c r="K6" s="53"/>
      <c r="L6" s="31"/>
      <c r="M6" s="31"/>
    </row>
    <row r="7" spans="1:16" ht="17.100000000000001" customHeight="1" x14ac:dyDescent="0.3">
      <c r="A7" s="9" t="s">
        <v>54</v>
      </c>
      <c r="B7" s="30">
        <v>0.27500000000000002</v>
      </c>
      <c r="C7" s="12"/>
      <c r="D7" s="12"/>
      <c r="E7" s="12"/>
      <c r="F7" s="12"/>
      <c r="G7" s="12"/>
      <c r="H7" s="12"/>
      <c r="I7" s="12"/>
      <c r="J7" s="12"/>
      <c r="K7" s="53"/>
      <c r="L7" s="31"/>
      <c r="M7" s="31"/>
    </row>
    <row r="8" spans="1:16" x14ac:dyDescent="0.3">
      <c r="A8" s="9" t="s">
        <v>27</v>
      </c>
      <c r="B8" s="12"/>
      <c r="C8" s="12"/>
      <c r="D8" s="12">
        <f>SUM(D5:D6)*$B$7/1000</f>
        <v>859.95607500000006</v>
      </c>
      <c r="E8" s="12">
        <f t="shared" ref="E8:I8" si="0">SUM(E5:E6)*$B$7/1000</f>
        <v>859.95607500000006</v>
      </c>
      <c r="F8" s="12">
        <f t="shared" si="0"/>
        <v>859.95607500000006</v>
      </c>
      <c r="G8" s="12">
        <f t="shared" si="0"/>
        <v>859.95607500000006</v>
      </c>
      <c r="H8" s="12">
        <f t="shared" si="0"/>
        <v>859.95607500000006</v>
      </c>
      <c r="I8" s="12">
        <f t="shared" si="0"/>
        <v>859.95607500000006</v>
      </c>
      <c r="J8" s="12">
        <f>SUM(D8:I8)</f>
        <v>5159.7364500000003</v>
      </c>
      <c r="K8" s="53"/>
      <c r="L8" s="31"/>
      <c r="M8" s="31"/>
    </row>
    <row r="9" spans="1:16" x14ac:dyDescent="0.3">
      <c r="A9" s="20"/>
      <c r="B9" s="5"/>
      <c r="C9" s="5"/>
      <c r="D9" s="5"/>
      <c r="E9" s="5"/>
      <c r="F9" s="5"/>
      <c r="G9" s="5"/>
      <c r="H9" s="5"/>
      <c r="I9" s="5"/>
      <c r="J9" s="5"/>
      <c r="K9" s="47"/>
      <c r="L9" s="5"/>
      <c r="M9" s="5"/>
      <c r="P9" s="55"/>
    </row>
    <row r="10" spans="1:16" s="43" customFormat="1" x14ac:dyDescent="0.3">
      <c r="A10" s="70" t="s">
        <v>55</v>
      </c>
      <c r="B10" s="46"/>
      <c r="C10" s="46"/>
      <c r="D10" s="46"/>
      <c r="E10" s="46"/>
      <c r="F10" s="46"/>
      <c r="G10" s="46"/>
      <c r="H10" s="46"/>
      <c r="I10" s="46"/>
      <c r="J10" s="46"/>
      <c r="K10" s="47"/>
      <c r="L10" s="31"/>
      <c r="M10" s="31"/>
    </row>
    <row r="11" spans="1:16" x14ac:dyDescent="0.3">
      <c r="A11" s="3" t="s">
        <v>33</v>
      </c>
      <c r="B11" s="19"/>
      <c r="C11" s="19"/>
      <c r="D11" s="58">
        <v>6.1468192013601035E-2</v>
      </c>
      <c r="E11" s="58">
        <v>0.25358454425455929</v>
      </c>
      <c r="F11" s="58">
        <v>0.22795539475400731</v>
      </c>
      <c r="G11" s="58">
        <v>0.22903647422382509</v>
      </c>
      <c r="H11" s="58">
        <v>0.22795539475400731</v>
      </c>
      <c r="I11" s="19">
        <v>0</v>
      </c>
      <c r="J11" s="19">
        <v>650</v>
      </c>
      <c r="K11" s="47"/>
      <c r="L11" s="31"/>
      <c r="M11" s="31"/>
    </row>
    <row r="12" spans="1:16" hidden="1" x14ac:dyDescent="0.3">
      <c r="A12" s="3" t="s">
        <v>34</v>
      </c>
      <c r="B12" s="4"/>
      <c r="C12" s="4"/>
      <c r="D12" s="4">
        <v>0</v>
      </c>
      <c r="E12" s="45">
        <f>D11</f>
        <v>6.1468192013601035E-2</v>
      </c>
      <c r="F12" s="45">
        <f>E11+E12</f>
        <v>0.31505273626816033</v>
      </c>
      <c r="G12" s="45">
        <f t="shared" ref="G12:I12" si="1">F11+F12</f>
        <v>0.54300813102216761</v>
      </c>
      <c r="H12" s="45">
        <f t="shared" si="1"/>
        <v>0.77204460524599272</v>
      </c>
      <c r="I12" s="45">
        <f t="shared" si="1"/>
        <v>1</v>
      </c>
      <c r="J12" s="19"/>
      <c r="K12" s="47"/>
      <c r="L12" s="31"/>
      <c r="M12" s="31"/>
    </row>
    <row r="13" spans="1:16" x14ac:dyDescent="0.3">
      <c r="A13" s="3" t="s">
        <v>3</v>
      </c>
      <c r="B13" s="4"/>
      <c r="C13" s="4"/>
      <c r="D13" s="4">
        <v>0</v>
      </c>
      <c r="E13" s="4">
        <f>E12*$E$8</f>
        <v>52.859945141362694</v>
      </c>
      <c r="F13" s="4">
        <f t="shared" ref="F13:I13" si="2">F12*$E$8</f>
        <v>270.9315144991773</v>
      </c>
      <c r="G13" s="4">
        <f t="shared" si="2"/>
        <v>466.96314104690902</v>
      </c>
      <c r="H13" s="4">
        <f t="shared" si="2"/>
        <v>663.92444845226839</v>
      </c>
      <c r="I13" s="4">
        <f t="shared" si="2"/>
        <v>859.95607500000006</v>
      </c>
      <c r="J13" s="4">
        <f>SUM(E13:I13)</f>
        <v>2314.6351241397174</v>
      </c>
      <c r="K13" s="47"/>
      <c r="L13" s="4">
        <f>J13</f>
        <v>2314.6351241397174</v>
      </c>
      <c r="M13" s="4">
        <f>L13+(I13*20)</f>
        <v>19513.756624139718</v>
      </c>
    </row>
    <row r="14" spans="1:16" x14ac:dyDescent="0.3">
      <c r="A14" s="20"/>
      <c r="B14" s="5"/>
      <c r="C14" s="5"/>
      <c r="D14" s="5"/>
      <c r="E14" s="5"/>
      <c r="F14" s="5"/>
      <c r="G14" s="5"/>
      <c r="H14" s="5"/>
      <c r="I14" s="5"/>
      <c r="J14" s="5"/>
      <c r="K14" s="47"/>
      <c r="L14" s="5"/>
      <c r="M14" s="5"/>
      <c r="P14" s="55"/>
    </row>
    <row r="15" spans="1:16" x14ac:dyDescent="0.3">
      <c r="A15" s="70" t="s">
        <v>57</v>
      </c>
      <c r="B15" s="44"/>
      <c r="C15" s="46"/>
      <c r="D15" s="46"/>
      <c r="E15" s="46"/>
      <c r="F15" s="46"/>
      <c r="G15" s="46"/>
      <c r="H15" s="46"/>
      <c r="I15" s="46"/>
      <c r="J15" s="46"/>
      <c r="K15" s="47"/>
      <c r="L15" s="31"/>
      <c r="M15" s="31"/>
    </row>
    <row r="16" spans="1:16" x14ac:dyDescent="0.3">
      <c r="A16" s="71" t="s">
        <v>66</v>
      </c>
      <c r="B16" s="44">
        <v>465</v>
      </c>
      <c r="C16" s="46"/>
      <c r="D16" s="46">
        <v>1896.8</v>
      </c>
      <c r="E16" s="46">
        <v>1896.8</v>
      </c>
      <c r="F16" s="46">
        <v>1896.8</v>
      </c>
      <c r="G16" s="46">
        <v>1896.8</v>
      </c>
      <c r="H16" s="46">
        <v>1896.8</v>
      </c>
      <c r="I16" s="46">
        <v>1896.8</v>
      </c>
      <c r="J16" s="46">
        <f>SUM(D16:I16)</f>
        <v>11380.8</v>
      </c>
      <c r="K16" s="47"/>
      <c r="L16" s="31"/>
      <c r="M16" s="31"/>
    </row>
    <row r="17" spans="1:16" ht="17.100000000000001" customHeight="1" x14ac:dyDescent="0.3">
      <c r="A17" s="9" t="s">
        <v>56</v>
      </c>
      <c r="B17" s="52">
        <v>2.6980000000000001E-2</v>
      </c>
      <c r="C17" s="46"/>
      <c r="D17" s="22"/>
      <c r="E17" s="22"/>
      <c r="F17" s="22"/>
      <c r="G17" s="22"/>
      <c r="H17" s="22"/>
      <c r="I17" s="22"/>
      <c r="J17" s="46"/>
      <c r="K17" s="47"/>
      <c r="L17" s="31"/>
      <c r="M17" s="31"/>
      <c r="P17" s="54"/>
    </row>
    <row r="18" spans="1:16" x14ac:dyDescent="0.3">
      <c r="A18" s="9" t="s">
        <v>48</v>
      </c>
      <c r="B18" s="44"/>
      <c r="C18" s="46"/>
      <c r="D18" s="34">
        <f t="shared" ref="D18:I18" si="3">D16*$B$17</f>
        <v>51.175663999999998</v>
      </c>
      <c r="E18" s="34">
        <f t="shared" si="3"/>
        <v>51.175663999999998</v>
      </c>
      <c r="F18" s="34">
        <f t="shared" si="3"/>
        <v>51.175663999999998</v>
      </c>
      <c r="G18" s="34">
        <f t="shared" si="3"/>
        <v>51.175663999999998</v>
      </c>
      <c r="H18" s="34">
        <f t="shared" si="3"/>
        <v>51.175663999999998</v>
      </c>
      <c r="I18" s="34">
        <f t="shared" si="3"/>
        <v>51.175663999999998</v>
      </c>
      <c r="J18" s="46">
        <f>SUM(D18:I18)</f>
        <v>307.05398399999996</v>
      </c>
      <c r="K18" s="47"/>
      <c r="L18" s="31"/>
      <c r="M18" s="31"/>
      <c r="P18" s="54"/>
    </row>
    <row r="19" spans="1:16" x14ac:dyDescent="0.3">
      <c r="A19" s="9"/>
      <c r="B19" s="44"/>
      <c r="C19" s="46"/>
      <c r="D19" s="48"/>
      <c r="E19" s="48"/>
      <c r="F19" s="48"/>
      <c r="G19" s="48"/>
      <c r="H19" s="48"/>
      <c r="I19" s="48"/>
      <c r="J19" s="46"/>
      <c r="K19" s="47"/>
      <c r="L19" s="31"/>
      <c r="M19" s="31"/>
      <c r="P19" s="56"/>
    </row>
    <row r="20" spans="1:16" x14ac:dyDescent="0.3">
      <c r="A20" s="3" t="s">
        <v>67</v>
      </c>
      <c r="B20" s="44"/>
      <c r="C20" s="46"/>
      <c r="D20" s="51">
        <v>0.24</v>
      </c>
      <c r="E20" s="51">
        <v>0.76</v>
      </c>
      <c r="F20" s="51">
        <v>1</v>
      </c>
      <c r="G20" s="51">
        <v>1</v>
      </c>
      <c r="H20" s="51">
        <v>1</v>
      </c>
      <c r="I20" s="51">
        <v>1</v>
      </c>
      <c r="J20" s="46"/>
      <c r="K20" s="47"/>
      <c r="L20" s="31"/>
      <c r="M20" s="31"/>
      <c r="P20" s="56"/>
    </row>
    <row r="21" spans="1:16" hidden="1" x14ac:dyDescent="0.3">
      <c r="A21" s="3" t="s">
        <v>34</v>
      </c>
      <c r="B21" s="44"/>
      <c r="C21" s="46"/>
      <c r="D21" s="51"/>
      <c r="E21" s="51">
        <v>0.24</v>
      </c>
      <c r="F21" s="51">
        <v>1</v>
      </c>
      <c r="G21" s="51">
        <v>1</v>
      </c>
      <c r="H21" s="51">
        <v>1</v>
      </c>
      <c r="I21" s="51">
        <v>1</v>
      </c>
      <c r="J21" s="46"/>
      <c r="K21" s="47"/>
      <c r="L21" s="31"/>
      <c r="M21" s="31"/>
      <c r="P21" s="57"/>
    </row>
    <row r="22" spans="1:16" x14ac:dyDescent="0.3">
      <c r="A22" s="3" t="s">
        <v>3</v>
      </c>
      <c r="B22" s="44"/>
      <c r="C22" s="46"/>
      <c r="D22" s="48"/>
      <c r="E22" s="34">
        <f>E18*E21</f>
        <v>12.28215936</v>
      </c>
      <c r="F22" s="34">
        <f t="shared" ref="F22:I22" si="4">F18*F21</f>
        <v>51.175663999999998</v>
      </c>
      <c r="G22" s="34">
        <f t="shared" si="4"/>
        <v>51.175663999999998</v>
      </c>
      <c r="H22" s="34">
        <f t="shared" si="4"/>
        <v>51.175663999999998</v>
      </c>
      <c r="I22" s="34">
        <f t="shared" si="4"/>
        <v>51.175663999999998</v>
      </c>
      <c r="J22" s="46">
        <f>SUM(D22:I22)</f>
        <v>216.98481535999997</v>
      </c>
      <c r="K22" s="47"/>
      <c r="L22" s="46">
        <f>J22</f>
        <v>216.98481535999997</v>
      </c>
      <c r="M22" s="4">
        <f>L22+(I22*20)</f>
        <v>1240.4980953599998</v>
      </c>
      <c r="P22" s="54"/>
    </row>
    <row r="23" spans="1:16" x14ac:dyDescent="0.3">
      <c r="A23" s="20"/>
      <c r="B23" s="5"/>
      <c r="C23" s="5"/>
      <c r="D23" s="5"/>
      <c r="E23" s="5"/>
      <c r="F23" s="5"/>
      <c r="G23" s="5"/>
      <c r="H23" s="5"/>
      <c r="I23" s="5"/>
      <c r="J23" s="5"/>
      <c r="K23" s="47"/>
      <c r="L23" s="5"/>
      <c r="M23" s="5"/>
      <c r="P23" s="55"/>
    </row>
    <row r="24" spans="1:16" x14ac:dyDescent="0.3">
      <c r="A24" s="3" t="s">
        <v>38</v>
      </c>
      <c r="B24" s="44"/>
      <c r="C24" s="46"/>
      <c r="D24" s="48">
        <f>D22+D13</f>
        <v>0</v>
      </c>
      <c r="E24" s="34">
        <f t="shared" ref="E24:I24" si="5">E22+E13</f>
        <v>65.142104501362695</v>
      </c>
      <c r="F24" s="34">
        <f t="shared" si="5"/>
        <v>322.10717849917728</v>
      </c>
      <c r="G24" s="34">
        <f t="shared" si="5"/>
        <v>518.13880504690906</v>
      </c>
      <c r="H24" s="34">
        <f t="shared" si="5"/>
        <v>715.10011245226838</v>
      </c>
      <c r="I24" s="34">
        <f t="shared" si="5"/>
        <v>911.13173900000004</v>
      </c>
      <c r="J24" s="46">
        <f>SUM(D24:I24)</f>
        <v>2531.6199394997175</v>
      </c>
      <c r="K24" s="47"/>
      <c r="L24" s="46">
        <f>J24</f>
        <v>2531.6199394997175</v>
      </c>
      <c r="M24" s="4">
        <f>M22+M13</f>
        <v>20754.254719499717</v>
      </c>
    </row>
    <row r="25" spans="1:16" x14ac:dyDescent="0.3">
      <c r="A25" s="20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47"/>
      <c r="L25" s="29">
        <f>J31/L24</f>
        <v>7279.9940119139901</v>
      </c>
      <c r="M25" s="31"/>
    </row>
    <row r="26" spans="1:16" x14ac:dyDescent="0.3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</row>
    <row r="27" spans="1:16" x14ac:dyDescent="0.3">
      <c r="A27" s="63" t="s">
        <v>14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</row>
    <row r="28" spans="1:16" x14ac:dyDescent="0.3">
      <c r="A28" s="7" t="s">
        <v>13</v>
      </c>
      <c r="B28" s="7" t="s">
        <v>12</v>
      </c>
      <c r="C28" s="7"/>
      <c r="D28" s="21">
        <v>2025</v>
      </c>
      <c r="E28" s="21">
        <v>2026</v>
      </c>
      <c r="F28" s="21">
        <v>2027</v>
      </c>
      <c r="G28" s="21">
        <v>2028</v>
      </c>
      <c r="H28" s="21">
        <v>2029</v>
      </c>
      <c r="I28" s="21">
        <v>2030</v>
      </c>
      <c r="J28" s="21" t="s">
        <v>1</v>
      </c>
      <c r="K28" s="62"/>
      <c r="L28" s="62"/>
      <c r="M28" s="62"/>
    </row>
    <row r="29" spans="1:16" x14ac:dyDescent="0.3">
      <c r="A29" s="3" t="s">
        <v>39</v>
      </c>
      <c r="B29" s="13"/>
      <c r="C29" s="14"/>
      <c r="D29" s="13">
        <v>708914</v>
      </c>
      <c r="E29" s="13">
        <v>2890316</v>
      </c>
      <c r="F29" s="13">
        <v>2610316</v>
      </c>
      <c r="G29" s="13">
        <v>2610316</v>
      </c>
      <c r="H29" s="13">
        <v>2610316</v>
      </c>
      <c r="I29" s="13">
        <f>$B$29*I12</f>
        <v>0</v>
      </c>
      <c r="J29" s="13">
        <f>SUM(D29:I29)</f>
        <v>11430178</v>
      </c>
      <c r="K29" s="62"/>
      <c r="L29" s="62"/>
      <c r="M29" s="62"/>
    </row>
    <row r="30" spans="1:16" x14ac:dyDescent="0.3">
      <c r="A30" s="3" t="s">
        <v>37</v>
      </c>
      <c r="B30" s="13"/>
      <c r="C30" s="3"/>
      <c r="D30" s="13">
        <v>600000</v>
      </c>
      <c r="E30" s="13">
        <v>2600000</v>
      </c>
      <c r="F30" s="13">
        <v>600000</v>
      </c>
      <c r="G30" s="13">
        <v>600000</v>
      </c>
      <c r="H30" s="13">
        <v>2600000</v>
      </c>
      <c r="I30" s="13">
        <f>$B$30*I12</f>
        <v>0</v>
      </c>
      <c r="J30" s="13">
        <f>SUM(D30:I30)</f>
        <v>7000000</v>
      </c>
      <c r="K30" s="62"/>
      <c r="L30" s="62"/>
      <c r="M30" s="62"/>
    </row>
    <row r="31" spans="1:16" x14ac:dyDescent="0.3">
      <c r="A31" s="3" t="s">
        <v>1</v>
      </c>
      <c r="B31" s="16"/>
      <c r="C31" s="3"/>
      <c r="D31" s="13">
        <f>SUM(D29:D30)</f>
        <v>1308914</v>
      </c>
      <c r="E31" s="13">
        <f t="shared" ref="E31:I31" si="6">SUM(E29:E30)</f>
        <v>5490316</v>
      </c>
      <c r="F31" s="13">
        <f t="shared" si="6"/>
        <v>3210316</v>
      </c>
      <c r="G31" s="13">
        <f t="shared" si="6"/>
        <v>3210316</v>
      </c>
      <c r="H31" s="13">
        <f t="shared" si="6"/>
        <v>5210316</v>
      </c>
      <c r="I31" s="13">
        <f t="shared" si="6"/>
        <v>0</v>
      </c>
      <c r="J31" s="13">
        <f>SUM(D31:I31)</f>
        <v>18430178</v>
      </c>
      <c r="K31" s="62"/>
      <c r="L31" s="62"/>
      <c r="M31" s="62"/>
    </row>
    <row r="35" spans="1:1" x14ac:dyDescent="0.3">
      <c r="A35" s="61" t="s">
        <v>7</v>
      </c>
    </row>
    <row r="36" spans="1:1" x14ac:dyDescent="0.3">
      <c r="A36" s="49" t="s">
        <v>36</v>
      </c>
    </row>
    <row r="37" spans="1:1" x14ac:dyDescent="0.3">
      <c r="A37" s="50" t="s">
        <v>35</v>
      </c>
    </row>
  </sheetData>
  <hyperlinks>
    <hyperlink ref="A36" r:id="rId1" xr:uid="{8641A347-0A50-3445-9D61-236CB38A76DD}"/>
    <hyperlink ref="A37" r:id="rId2" xr:uid="{E0B4DBFD-3070-3147-A593-86566A71BBD5}"/>
  </hyperlinks>
  <pageMargins left="0.7" right="0.7" top="0.75" bottom="0.75" header="0.3" footer="0.3"/>
  <ignoredErrors>
    <ignoredError sqref="D31:H3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2E174-B88C-F547-94D7-2C6A1DCA208D}">
  <sheetPr>
    <tabColor theme="8"/>
  </sheetPr>
  <dimension ref="A1:P33"/>
  <sheetViews>
    <sheetView tabSelected="1" topLeftCell="A14" workbookViewId="0">
      <selection activeCell="A16" sqref="A16"/>
    </sheetView>
  </sheetViews>
  <sheetFormatPr defaultColWidth="11" defaultRowHeight="15.6" x14ac:dyDescent="0.3"/>
  <cols>
    <col min="1" max="1" width="39.5" customWidth="1"/>
    <col min="2" max="2" width="7.59765625" bestFit="1" customWidth="1"/>
    <col min="3" max="3" width="2.8984375" customWidth="1"/>
    <col min="4" max="5" width="8.3984375" bestFit="1" customWidth="1"/>
    <col min="6" max="9" width="8.3984375" customWidth="1"/>
    <col min="10" max="10" width="9.3984375" bestFit="1" customWidth="1"/>
    <col min="11" max="11" width="2.8984375" customWidth="1"/>
    <col min="15" max="15" width="11.8984375" bestFit="1" customWidth="1"/>
  </cols>
  <sheetData>
    <row r="1" spans="1:16" ht="21" x14ac:dyDescent="0.4">
      <c r="A1" s="59" t="s">
        <v>41</v>
      </c>
    </row>
    <row r="2" spans="1:16" x14ac:dyDescent="0.3">
      <c r="K2" s="43"/>
    </row>
    <row r="3" spans="1:16" x14ac:dyDescent="0.3">
      <c r="A3" s="7" t="s">
        <v>13</v>
      </c>
      <c r="B3" s="7" t="s">
        <v>12</v>
      </c>
      <c r="C3" s="7"/>
      <c r="D3" s="21">
        <v>2025</v>
      </c>
      <c r="E3" s="21">
        <v>2026</v>
      </c>
      <c r="F3" s="21">
        <v>2027</v>
      </c>
      <c r="G3" s="21">
        <v>2028</v>
      </c>
      <c r="H3" s="21">
        <v>2029</v>
      </c>
      <c r="I3" s="21">
        <v>2030</v>
      </c>
      <c r="J3" s="21" t="s">
        <v>1</v>
      </c>
      <c r="K3" s="63"/>
      <c r="L3" s="7" t="s">
        <v>4</v>
      </c>
      <c r="M3" s="7" t="s">
        <v>5</v>
      </c>
    </row>
    <row r="4" spans="1:16" x14ac:dyDescent="0.3">
      <c r="A4" s="35" t="s">
        <v>64</v>
      </c>
      <c r="B4" s="22"/>
      <c r="C4" s="22"/>
      <c r="D4" s="22"/>
      <c r="E4" s="22"/>
      <c r="F4" s="22"/>
      <c r="G4" s="22"/>
      <c r="H4" s="22"/>
      <c r="I4" s="22"/>
      <c r="J4" s="22"/>
      <c r="K4" s="43"/>
      <c r="L4" s="22"/>
      <c r="M4" s="22"/>
    </row>
    <row r="5" spans="1:16" x14ac:dyDescent="0.3">
      <c r="A5" s="24" t="s">
        <v>58</v>
      </c>
      <c r="B5" s="12"/>
      <c r="C5" s="12"/>
      <c r="D5" s="12">
        <v>2</v>
      </c>
      <c r="E5" s="12">
        <v>4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  <c r="K5" s="53"/>
      <c r="L5" s="31"/>
      <c r="M5" s="31"/>
    </row>
    <row r="6" spans="1:16" x14ac:dyDescent="0.3">
      <c r="A6" s="24" t="s">
        <v>42</v>
      </c>
      <c r="B6" s="12"/>
      <c r="C6" s="12"/>
      <c r="D6" s="12">
        <v>0</v>
      </c>
      <c r="E6" s="12">
        <f>D5</f>
        <v>2</v>
      </c>
      <c r="F6" s="12">
        <f>E5+E6</f>
        <v>6</v>
      </c>
      <c r="G6" s="12">
        <f>F5+F6</f>
        <v>6</v>
      </c>
      <c r="H6" s="12">
        <f>G5+G6</f>
        <v>6</v>
      </c>
      <c r="I6" s="12">
        <f>H5+H6</f>
        <v>6</v>
      </c>
      <c r="J6" s="12">
        <f>I5+I6</f>
        <v>6</v>
      </c>
      <c r="K6" s="53"/>
      <c r="L6" s="31"/>
      <c r="M6" s="31"/>
    </row>
    <row r="7" spans="1:16" x14ac:dyDescent="0.3">
      <c r="A7" s="66"/>
      <c r="B7" s="17"/>
      <c r="C7" s="17"/>
      <c r="D7" s="17"/>
      <c r="E7" s="17"/>
      <c r="F7" s="17"/>
      <c r="G7" s="17"/>
      <c r="H7" s="17"/>
      <c r="I7" s="17"/>
      <c r="J7" s="17"/>
      <c r="K7" s="53"/>
      <c r="L7" s="67"/>
      <c r="M7" s="67"/>
      <c r="O7" s="69"/>
    </row>
    <row r="8" spans="1:16" ht="31.2" x14ac:dyDescent="0.3">
      <c r="A8" s="68" t="s">
        <v>62</v>
      </c>
      <c r="B8" s="12"/>
      <c r="C8" s="12"/>
      <c r="D8" s="12"/>
      <c r="E8" s="12"/>
      <c r="F8" s="12"/>
      <c r="G8" s="12"/>
      <c r="H8" s="12"/>
      <c r="I8" s="12"/>
      <c r="J8" s="12"/>
      <c r="K8" s="53"/>
      <c r="L8" s="31"/>
      <c r="M8" s="31"/>
      <c r="O8" s="69"/>
    </row>
    <row r="9" spans="1:16" ht="15.9" customHeight="1" x14ac:dyDescent="0.3">
      <c r="A9" s="24" t="s">
        <v>59</v>
      </c>
      <c r="B9" s="11">
        <f>5507/1000</f>
        <v>5.5069999999999997</v>
      </c>
      <c r="C9" s="12"/>
      <c r="D9" s="12">
        <f t="shared" ref="D9:I9" si="0">D6*$B$9</f>
        <v>0</v>
      </c>
      <c r="E9" s="12">
        <f t="shared" si="0"/>
        <v>11.013999999999999</v>
      </c>
      <c r="F9" s="12">
        <f t="shared" si="0"/>
        <v>33.042000000000002</v>
      </c>
      <c r="G9" s="12">
        <f t="shared" si="0"/>
        <v>33.042000000000002</v>
      </c>
      <c r="H9" s="12">
        <f t="shared" si="0"/>
        <v>33.042000000000002</v>
      </c>
      <c r="I9" s="12">
        <f t="shared" si="0"/>
        <v>33.042000000000002</v>
      </c>
      <c r="J9" s="12">
        <f>SUM(D9:I9)</f>
        <v>143.18200000000002</v>
      </c>
      <c r="K9" s="53"/>
      <c r="L9" s="31"/>
      <c r="M9" s="31"/>
      <c r="O9" s="69"/>
      <c r="P9" s="69"/>
    </row>
    <row r="10" spans="1:16" x14ac:dyDescent="0.3">
      <c r="A10" s="66"/>
      <c r="B10" s="17"/>
      <c r="C10" s="17"/>
      <c r="D10" s="17"/>
      <c r="E10" s="17"/>
      <c r="F10" s="17"/>
      <c r="G10" s="17"/>
      <c r="H10" s="17"/>
      <c r="I10" s="17"/>
      <c r="J10" s="17"/>
      <c r="K10" s="53"/>
      <c r="L10" s="67"/>
      <c r="M10" s="67"/>
      <c r="O10" s="54"/>
      <c r="P10" s="69"/>
    </row>
    <row r="11" spans="1:16" x14ac:dyDescent="0.3">
      <c r="A11" s="8" t="s">
        <v>63</v>
      </c>
      <c r="B11" s="12"/>
      <c r="C11" s="12"/>
      <c r="D11" s="12"/>
      <c r="E11" s="12"/>
      <c r="F11" s="12"/>
      <c r="G11" s="12"/>
      <c r="H11" s="12"/>
      <c r="I11" s="12"/>
      <c r="J11" s="12"/>
      <c r="K11" s="53"/>
      <c r="L11" s="31"/>
      <c r="M11" s="31"/>
      <c r="O11" s="54"/>
    </row>
    <row r="12" spans="1:16" x14ac:dyDescent="0.3">
      <c r="A12" s="9" t="s">
        <v>60</v>
      </c>
      <c r="B12" s="12"/>
      <c r="C12" s="12"/>
      <c r="D12" s="12"/>
      <c r="E12" s="12"/>
      <c r="F12" s="12"/>
      <c r="G12" s="12"/>
      <c r="H12" s="12"/>
      <c r="I12" s="12"/>
      <c r="J12" s="12"/>
      <c r="K12" s="53"/>
      <c r="L12" s="31"/>
      <c r="M12" s="31"/>
      <c r="O12" s="69"/>
      <c r="P12" s="69"/>
    </row>
    <row r="13" spans="1:16" x14ac:dyDescent="0.3">
      <c r="A13" s="24" t="s">
        <v>45</v>
      </c>
      <c r="B13" s="12">
        <v>9</v>
      </c>
      <c r="C13" s="12"/>
      <c r="D13" s="12">
        <v>0</v>
      </c>
      <c r="E13" s="12">
        <v>3</v>
      </c>
      <c r="F13" s="12">
        <v>3</v>
      </c>
      <c r="G13" s="12">
        <v>3</v>
      </c>
      <c r="H13" s="12">
        <v>0</v>
      </c>
      <c r="I13" s="12">
        <v>0</v>
      </c>
      <c r="J13" s="12">
        <f>SUM(D13:I13)</f>
        <v>9</v>
      </c>
      <c r="K13" s="53"/>
      <c r="L13" s="31"/>
      <c r="M13" s="31"/>
      <c r="O13" s="69"/>
    </row>
    <row r="14" spans="1:16" x14ac:dyDescent="0.3">
      <c r="A14" s="24" t="s">
        <v>46</v>
      </c>
      <c r="B14" s="12">
        <v>1</v>
      </c>
      <c r="C14" s="12"/>
      <c r="D14" s="12">
        <v>0</v>
      </c>
      <c r="E14" s="12">
        <v>0</v>
      </c>
      <c r="F14" s="12">
        <v>1</v>
      </c>
      <c r="G14" s="12">
        <v>0</v>
      </c>
      <c r="H14" s="12">
        <v>0</v>
      </c>
      <c r="I14" s="12">
        <v>0</v>
      </c>
      <c r="J14" s="12">
        <f>SUM(D14:I14)</f>
        <v>1</v>
      </c>
      <c r="K14" s="53"/>
      <c r="L14" s="31"/>
      <c r="M14" s="31"/>
    </row>
    <row r="15" spans="1:16" x14ac:dyDescent="0.3">
      <c r="A15" s="24" t="s">
        <v>47</v>
      </c>
      <c r="B15" s="12">
        <v>1</v>
      </c>
      <c r="C15" s="12"/>
      <c r="D15" s="12">
        <v>0</v>
      </c>
      <c r="E15" s="12">
        <v>0</v>
      </c>
      <c r="F15" s="12">
        <v>1</v>
      </c>
      <c r="G15" s="12">
        <v>0</v>
      </c>
      <c r="H15" s="12">
        <v>0</v>
      </c>
      <c r="I15" s="12">
        <v>0</v>
      </c>
      <c r="J15" s="12">
        <f>SUM(D15:I15)</f>
        <v>1</v>
      </c>
      <c r="K15" s="53"/>
      <c r="L15" s="31"/>
      <c r="M15" s="31"/>
    </row>
    <row r="16" spans="1:16" x14ac:dyDescent="0.3">
      <c r="A16" s="24" t="s">
        <v>1</v>
      </c>
      <c r="B16" s="12"/>
      <c r="C16" s="12"/>
      <c r="D16" s="12">
        <f>SUM(D13:D15)</f>
        <v>0</v>
      </c>
      <c r="E16" s="12">
        <f t="shared" ref="E16:J16" si="1">SUM(E13:E15)</f>
        <v>3</v>
      </c>
      <c r="F16" s="12">
        <f t="shared" si="1"/>
        <v>5</v>
      </c>
      <c r="G16" s="12">
        <f t="shared" si="1"/>
        <v>3</v>
      </c>
      <c r="H16" s="12">
        <f t="shared" si="1"/>
        <v>0</v>
      </c>
      <c r="I16" s="12">
        <f t="shared" si="1"/>
        <v>0</v>
      </c>
      <c r="J16" s="12">
        <f t="shared" si="1"/>
        <v>11</v>
      </c>
      <c r="K16" s="53"/>
      <c r="L16" s="31"/>
      <c r="M16" s="31"/>
    </row>
    <row r="17" spans="1:13" x14ac:dyDescent="0.3">
      <c r="A17" s="9" t="s">
        <v>61</v>
      </c>
      <c r="B17" s="11"/>
      <c r="C17" s="12"/>
      <c r="D17" s="12"/>
      <c r="E17" s="12"/>
      <c r="F17" s="12"/>
      <c r="G17" s="12"/>
      <c r="H17" s="12"/>
      <c r="I17" s="12"/>
      <c r="J17" s="12"/>
      <c r="K17" s="53"/>
      <c r="L17" s="31"/>
      <c r="M17" s="31"/>
    </row>
    <row r="18" spans="1:13" x14ac:dyDescent="0.3">
      <c r="A18" s="24" t="s">
        <v>45</v>
      </c>
      <c r="B18" s="11">
        <v>5.8</v>
      </c>
      <c r="C18" s="12"/>
      <c r="D18" s="12">
        <f>$B$18*D13</f>
        <v>0</v>
      </c>
      <c r="E18" s="65">
        <v>0</v>
      </c>
      <c r="F18" s="12">
        <f>$B$18*E13+E18</f>
        <v>17.399999999999999</v>
      </c>
      <c r="G18" s="12">
        <f>$B$18*F13+F18</f>
        <v>34.799999999999997</v>
      </c>
      <c r="H18" s="12">
        <f>$B$18*G13+G18</f>
        <v>52.199999999999996</v>
      </c>
      <c r="I18" s="12">
        <f>$B$18*H13+H18</f>
        <v>52.199999999999996</v>
      </c>
      <c r="J18" s="12">
        <f>SUM(D18:I18)</f>
        <v>156.6</v>
      </c>
      <c r="K18" s="53"/>
      <c r="L18" s="31"/>
      <c r="M18" s="31"/>
    </row>
    <row r="19" spans="1:13" x14ac:dyDescent="0.3">
      <c r="A19" s="24" t="s">
        <v>46</v>
      </c>
      <c r="B19" s="11">
        <v>8.9</v>
      </c>
      <c r="C19" s="12"/>
      <c r="D19" s="12">
        <v>0</v>
      </c>
      <c r="E19" s="12">
        <v>0</v>
      </c>
      <c r="F19" s="12">
        <f>$B$18*E14+E19</f>
        <v>0</v>
      </c>
      <c r="G19" s="12">
        <f>$B$19*F14+F19</f>
        <v>8.9</v>
      </c>
      <c r="H19" s="12">
        <f>$B$19*G14+G19</f>
        <v>8.9</v>
      </c>
      <c r="I19" s="12">
        <f>$B$19*H14+H19</f>
        <v>8.9</v>
      </c>
      <c r="J19" s="12">
        <f t="shared" ref="J19:J20" si="2">SUM(D19:I19)</f>
        <v>26.700000000000003</v>
      </c>
      <c r="K19" s="53"/>
      <c r="L19" s="31"/>
      <c r="M19" s="31"/>
    </row>
    <row r="20" spans="1:13" x14ac:dyDescent="0.3">
      <c r="A20" s="24" t="s">
        <v>47</v>
      </c>
      <c r="B20" s="11">
        <v>5.2</v>
      </c>
      <c r="C20" s="12"/>
      <c r="D20" s="12">
        <v>0</v>
      </c>
      <c r="E20" s="12">
        <v>0</v>
      </c>
      <c r="F20" s="12">
        <v>0</v>
      </c>
      <c r="G20" s="12">
        <f>$B$20*F15+F20</f>
        <v>5.2</v>
      </c>
      <c r="H20" s="12">
        <f>$B$20*G15+G20</f>
        <v>5.2</v>
      </c>
      <c r="I20" s="12">
        <f>$B$20*H15+H20</f>
        <v>5.2</v>
      </c>
      <c r="J20" s="12">
        <f t="shared" si="2"/>
        <v>15.600000000000001</v>
      </c>
      <c r="K20" s="53"/>
      <c r="L20" s="31"/>
      <c r="M20" s="31"/>
    </row>
    <row r="21" spans="1:13" x14ac:dyDescent="0.3">
      <c r="A21" s="24" t="s">
        <v>1</v>
      </c>
      <c r="B21" s="11"/>
      <c r="C21" s="12"/>
      <c r="D21" s="12">
        <f>SUM(D18:D20)</f>
        <v>0</v>
      </c>
      <c r="E21" s="12">
        <f t="shared" ref="E21:J21" si="3">SUM(E18:E20)</f>
        <v>0</v>
      </c>
      <c r="F21" s="12">
        <f t="shared" si="3"/>
        <v>17.399999999999999</v>
      </c>
      <c r="G21" s="12">
        <f t="shared" si="3"/>
        <v>48.9</v>
      </c>
      <c r="H21" s="12">
        <f t="shared" si="3"/>
        <v>66.3</v>
      </c>
      <c r="I21" s="12">
        <f t="shared" si="3"/>
        <v>66.3</v>
      </c>
      <c r="J21" s="12">
        <f t="shared" si="3"/>
        <v>198.9</v>
      </c>
      <c r="K21" s="53"/>
      <c r="L21" s="31"/>
      <c r="M21" s="31"/>
    </row>
    <row r="22" spans="1:13" x14ac:dyDescent="0.3">
      <c r="A22" s="66"/>
      <c r="B22" s="17"/>
      <c r="C22" s="17"/>
      <c r="D22" s="17"/>
      <c r="E22" s="17"/>
      <c r="F22" s="17"/>
      <c r="G22" s="17"/>
      <c r="H22" s="17"/>
      <c r="I22" s="17"/>
      <c r="J22" s="17"/>
      <c r="K22" s="53"/>
      <c r="L22" s="67"/>
      <c r="M22" s="67"/>
    </row>
    <row r="23" spans="1:13" x14ac:dyDescent="0.3">
      <c r="A23" s="9" t="s">
        <v>18</v>
      </c>
      <c r="B23" s="12"/>
      <c r="C23" s="12"/>
      <c r="D23" s="12">
        <f t="shared" ref="D23:J23" si="4">D21+D9</f>
        <v>0</v>
      </c>
      <c r="E23" s="12">
        <f t="shared" si="4"/>
        <v>11.013999999999999</v>
      </c>
      <c r="F23" s="12">
        <f t="shared" si="4"/>
        <v>50.442</v>
      </c>
      <c r="G23" s="12">
        <f t="shared" si="4"/>
        <v>81.942000000000007</v>
      </c>
      <c r="H23" s="12">
        <f t="shared" si="4"/>
        <v>99.341999999999999</v>
      </c>
      <c r="I23" s="12">
        <f t="shared" si="4"/>
        <v>99.341999999999999</v>
      </c>
      <c r="J23" s="12">
        <f t="shared" si="4"/>
        <v>342.08199999999999</v>
      </c>
      <c r="K23" s="53"/>
      <c r="L23" s="60">
        <f>J23</f>
        <v>342.08199999999999</v>
      </c>
      <c r="M23" s="4">
        <f>L23+(J23*20)</f>
        <v>7183.7219999999998</v>
      </c>
    </row>
    <row r="24" spans="1:13" x14ac:dyDescent="0.3">
      <c r="A24" s="20" t="s">
        <v>15</v>
      </c>
      <c r="B24" s="5"/>
      <c r="C24" s="5"/>
      <c r="D24" s="5"/>
      <c r="E24" s="5"/>
      <c r="F24" s="5"/>
      <c r="G24" s="5"/>
      <c r="H24" s="5"/>
      <c r="I24" s="5"/>
      <c r="J24" s="5"/>
      <c r="K24" s="47"/>
      <c r="L24" s="29">
        <f>J28/L23</f>
        <v>360.13587385480673</v>
      </c>
      <c r="M24" s="31"/>
    </row>
    <row r="25" spans="1:13" x14ac:dyDescent="0.3">
      <c r="A25" s="62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</row>
    <row r="26" spans="1:13" x14ac:dyDescent="0.3">
      <c r="A26" s="63" t="s">
        <v>14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</row>
    <row r="27" spans="1:13" x14ac:dyDescent="0.3">
      <c r="A27" s="7" t="s">
        <v>13</v>
      </c>
      <c r="B27" s="7" t="s">
        <v>12</v>
      </c>
      <c r="C27" s="7"/>
      <c r="D27" s="21">
        <v>2025</v>
      </c>
      <c r="E27" s="21">
        <v>2026</v>
      </c>
      <c r="F27" s="21">
        <v>2027</v>
      </c>
      <c r="G27" s="21">
        <v>2028</v>
      </c>
      <c r="H27" s="21">
        <v>2029</v>
      </c>
      <c r="I27" s="21">
        <v>2030</v>
      </c>
      <c r="J27" s="21" t="s">
        <v>1</v>
      </c>
      <c r="K27" s="62"/>
      <c r="L27" s="62"/>
      <c r="M27" s="62"/>
    </row>
    <row r="28" spans="1:13" x14ac:dyDescent="0.3">
      <c r="A28" s="3" t="s">
        <v>43</v>
      </c>
      <c r="B28" s="13"/>
      <c r="C28" s="14"/>
      <c r="D28" s="13">
        <v>33234</v>
      </c>
      <c r="E28" s="13">
        <v>89962</v>
      </c>
      <c r="F28" s="13">
        <v>0</v>
      </c>
      <c r="G28" s="13">
        <v>0</v>
      </c>
      <c r="H28" s="13">
        <v>0</v>
      </c>
      <c r="I28" s="13">
        <v>0</v>
      </c>
      <c r="J28" s="13">
        <f>SUM(D28:I28)</f>
        <v>123196</v>
      </c>
      <c r="K28" s="62"/>
      <c r="L28" s="62"/>
      <c r="M28" s="62"/>
    </row>
    <row r="32" spans="1:13" x14ac:dyDescent="0.3">
      <c r="A32" s="61" t="s">
        <v>7</v>
      </c>
    </row>
    <row r="33" spans="1:1" x14ac:dyDescent="0.3">
      <c r="A33" s="1" t="s">
        <v>44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F5E38792A32DD468A637AAD9D408FC4" ma:contentTypeVersion="15" ma:contentTypeDescription="Create a new document." ma:contentTypeScope="" ma:versionID="7a9b8d0b7528d1a97181c1442fbed533">
  <xsd:schema xmlns:xsd="http://www.w3.org/2001/XMLSchema" xmlns:xs="http://www.w3.org/2001/XMLSchema" xmlns:p="http://schemas.microsoft.com/office/2006/metadata/properties" xmlns:ns2="a6764ee1-fb84-4742-94f5-104ff507c7f1" xmlns:ns3="bc56259c-1fc8-4977-b94c-20823305d26b" targetNamespace="http://schemas.microsoft.com/office/2006/metadata/properties" ma:root="true" ma:fieldsID="4f0cf48c3944ae6094f159a7c2f588ef" ns2:_="" ns3:_="">
    <xsd:import namespace="a6764ee1-fb84-4742-94f5-104ff507c7f1"/>
    <xsd:import namespace="bc56259c-1fc8-4977-b94c-20823305d2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764ee1-fb84-4742-94f5-104ff507c7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97cdcfb1-d055-4ecb-9717-79705cec57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6259c-1fc8-4977-b94c-20823305d26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3cb4023-0df1-424e-9531-ed85daa94245}" ma:internalName="TaxCatchAll" ma:showField="CatchAllData" ma:web="bc56259c-1fc8-4977-b94c-20823305d2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6764ee1-fb84-4742-94f5-104ff507c7f1">
      <Terms xmlns="http://schemas.microsoft.com/office/infopath/2007/PartnerControls"/>
    </lcf76f155ced4ddcb4097134ff3c332f>
    <TaxCatchAll xmlns="bc56259c-1fc8-4977-b94c-20823305d26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ECDC18-602F-4549-AF30-817D38338D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764ee1-fb84-4742-94f5-104ff507c7f1"/>
    <ds:schemaRef ds:uri="bc56259c-1fc8-4977-b94c-20823305d2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9C23B0F-D6BC-4A47-93A1-659AA5BA6B38}">
  <ds:schemaRefs>
    <ds:schemaRef ds:uri="a6764ee1-fb84-4742-94f5-104ff507c7f1"/>
    <ds:schemaRef ds:uri="http://www.w3.org/XML/1998/namespace"/>
    <ds:schemaRef ds:uri="http://schemas.microsoft.com/office/2006/documentManagement/types"/>
    <ds:schemaRef ds:uri="bc56259c-1fc8-4977-b94c-20823305d26b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758FB56-806F-4E6B-95B5-DE2587A4E06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All Measure Summary</vt:lpstr>
      <vt:lpstr>Measure 1 Summary</vt:lpstr>
      <vt:lpstr>M1 Energy Efficiency</vt:lpstr>
      <vt:lpstr>M1 Woodstoves</vt:lpstr>
      <vt:lpstr>Measure 2</vt:lpstr>
      <vt:lpstr>Measure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Odegard</dc:creator>
  <cp:lastModifiedBy>Julie Simpson</cp:lastModifiedBy>
  <dcterms:created xsi:type="dcterms:W3CDTF">2024-03-26T21:52:36Z</dcterms:created>
  <dcterms:modified xsi:type="dcterms:W3CDTF">2024-04-01T08:00:47Z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0x0101007F5E38792A32DD468A637AAD9D408FC4</vt:lpwstr>
  </property>
</Properties>
</file>