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D0B86978-D897-4D01-A92E-AD592298DE04}" xr6:coauthVersionLast="47" xr6:coauthVersionMax="47" xr10:uidLastSave="{00000000-0000-0000-0000-000000000000}"/>
  <bookViews>
    <workbookView xWindow="-12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27" l="1"/>
  <c r="J23" i="27"/>
  <c r="D35" i="27"/>
  <c r="E35" i="27"/>
  <c r="F35" i="27"/>
  <c r="H35" i="27"/>
  <c r="G35" i="27"/>
  <c r="G36" i="27" s="1"/>
  <c r="E36" i="27"/>
  <c r="H36" i="27"/>
  <c r="D36" i="27"/>
  <c r="F36" i="27"/>
  <c r="D15" i="16"/>
  <c r="E15" i="16" s="1"/>
  <c r="F15" i="16" s="1"/>
  <c r="G15" i="16" s="1"/>
  <c r="H15" i="16" s="1"/>
  <c r="D14" i="16"/>
  <c r="E14" i="16" s="1"/>
  <c r="F14" i="16" s="1"/>
  <c r="G14" i="16" s="1"/>
  <c r="H14" i="16" s="1"/>
  <c r="D13" i="16"/>
  <c r="E13" i="16" s="1"/>
  <c r="F13" i="16" s="1"/>
  <c r="G13" i="16" s="1"/>
  <c r="H13" i="16" s="1"/>
  <c r="D10" i="16"/>
  <c r="E10" i="16" s="1"/>
  <c r="F10" i="16" s="1"/>
  <c r="G10" i="16" s="1"/>
  <c r="H10" i="16" s="1"/>
  <c r="D9" i="16"/>
  <c r="E9" i="16" s="1"/>
  <c r="F9" i="16" s="1"/>
  <c r="G9" i="16" s="1"/>
  <c r="H9" i="16" s="1"/>
  <c r="D8" i="16"/>
  <c r="E8" i="16" s="1"/>
  <c r="F8" i="16" s="1"/>
  <c r="G8" i="16" s="1"/>
  <c r="H8" i="16" s="1"/>
  <c r="D15" i="27"/>
  <c r="E15" i="27" s="1"/>
  <c r="F15" i="27" s="1"/>
  <c r="G15" i="27" s="1"/>
  <c r="H15" i="27" s="1"/>
  <c r="D14" i="27"/>
  <c r="D13" i="27"/>
  <c r="D10" i="27"/>
  <c r="D9" i="27"/>
  <c r="D8" i="27"/>
  <c r="E14" i="27"/>
  <c r="F14" i="27" s="1"/>
  <c r="G14" i="27" s="1"/>
  <c r="H14" i="27" s="1"/>
  <c r="E13" i="27"/>
  <c r="F13" i="27" s="1"/>
  <c r="G13" i="27" s="1"/>
  <c r="H13" i="27" s="1"/>
  <c r="E9" i="27"/>
  <c r="F9" i="27" s="1"/>
  <c r="G9" i="27" s="1"/>
  <c r="H9" i="27" s="1"/>
  <c r="E10" i="27"/>
  <c r="F10" i="27" s="1"/>
  <c r="G10" i="27" s="1"/>
  <c r="H10" i="27" s="1"/>
  <c r="E8" i="27"/>
  <c r="F8" i="27" s="1"/>
  <c r="G8" i="27" s="1"/>
  <c r="H8" i="27" s="1"/>
  <c r="F38" i="16"/>
  <c r="G38" i="16"/>
  <c r="H38" i="16"/>
  <c r="J30" i="27"/>
  <c r="H23" i="27"/>
  <c r="H34" i="27"/>
  <c r="G34" i="27"/>
  <c r="F34" i="27"/>
  <c r="E34" i="27"/>
  <c r="D34" i="27"/>
  <c r="G33" i="27"/>
  <c r="F33" i="27"/>
  <c r="E33" i="27"/>
  <c r="D33" i="27"/>
  <c r="E32" i="27"/>
  <c r="D32" i="27"/>
  <c r="J18" i="27"/>
  <c r="D19" i="27"/>
  <c r="J30" i="16"/>
  <c r="H25" i="16"/>
  <c r="G25" i="16"/>
  <c r="F25" i="16"/>
  <c r="E25" i="16"/>
  <c r="D25" i="16"/>
  <c r="J24" i="16"/>
  <c r="J23" i="16"/>
  <c r="J22" i="16"/>
  <c r="J21" i="16"/>
  <c r="J25" i="16" s="1"/>
  <c r="J32" i="27" l="1"/>
  <c r="J33" i="27"/>
  <c r="G21" i="27"/>
  <c r="F21" i="27"/>
  <c r="E21" i="27"/>
  <c r="D21" i="27"/>
  <c r="D23" i="27" s="1"/>
  <c r="D10" i="30" s="1"/>
  <c r="E11" i="27"/>
  <c r="E16" i="27" s="1"/>
  <c r="J8" i="27"/>
  <c r="E31" i="27"/>
  <c r="J31" i="27" s="1"/>
  <c r="J10" i="16"/>
  <c r="J8" i="16"/>
  <c r="J9" i="16"/>
  <c r="E16" i="16"/>
  <c r="F16" i="16"/>
  <c r="I44" i="27"/>
  <c r="J41" i="27"/>
  <c r="J34" i="27"/>
  <c r="J22" i="27"/>
  <c r="H28" i="27"/>
  <c r="G28" i="27"/>
  <c r="F28" i="27"/>
  <c r="E28" i="27"/>
  <c r="D28" i="27"/>
  <c r="J27" i="27"/>
  <c r="H26" i="27"/>
  <c r="G26" i="27"/>
  <c r="F26" i="27"/>
  <c r="E26" i="27"/>
  <c r="D26" i="27"/>
  <c r="J25" i="27"/>
  <c r="J26" i="27" s="1"/>
  <c r="G23" i="27"/>
  <c r="G10" i="30" s="1"/>
  <c r="H19" i="27"/>
  <c r="G19" i="27"/>
  <c r="F19" i="27"/>
  <c r="E19" i="27"/>
  <c r="I16" i="27"/>
  <c r="J15" i="27"/>
  <c r="J14" i="27"/>
  <c r="I11" i="27"/>
  <c r="H11" i="27"/>
  <c r="H16" i="27" s="1"/>
  <c r="G11" i="27"/>
  <c r="G16" i="27" s="1"/>
  <c r="F11" i="27"/>
  <c r="F16" i="27" s="1"/>
  <c r="J10" i="27"/>
  <c r="J9" i="27"/>
  <c r="E38" i="16"/>
  <c r="D38" i="16"/>
  <c r="E33" i="16"/>
  <c r="F33" i="16"/>
  <c r="G33" i="16"/>
  <c r="H33" i="16"/>
  <c r="D33" i="16"/>
  <c r="J32" i="16"/>
  <c r="E28" i="16"/>
  <c r="F28" i="16"/>
  <c r="G28" i="16"/>
  <c r="H28" i="16"/>
  <c r="D28" i="16"/>
  <c r="J27" i="16"/>
  <c r="J31" i="16"/>
  <c r="J36" i="16"/>
  <c r="J37" i="16"/>
  <c r="H10" i="30"/>
  <c r="E19" i="16"/>
  <c r="F19" i="16"/>
  <c r="G19" i="16"/>
  <c r="H19" i="16"/>
  <c r="D19" i="16"/>
  <c r="J18" i="16"/>
  <c r="E11" i="16"/>
  <c r="F11" i="16"/>
  <c r="G11" i="16"/>
  <c r="H11" i="16"/>
  <c r="D11" i="16"/>
  <c r="G16" i="16"/>
  <c r="H16" i="16"/>
  <c r="D16" i="16"/>
  <c r="J14" i="16"/>
  <c r="J15" i="16"/>
  <c r="F23" i="27" l="1"/>
  <c r="F10" i="30" s="1"/>
  <c r="E23" i="27"/>
  <c r="E10" i="30" s="1"/>
  <c r="J33" i="16"/>
  <c r="G7" i="30"/>
  <c r="G11" i="30"/>
  <c r="D11" i="30"/>
  <c r="E11" i="30"/>
  <c r="F11" i="30"/>
  <c r="H11" i="30"/>
  <c r="G37" i="27"/>
  <c r="G42" i="27" s="1"/>
  <c r="F7" i="30"/>
  <c r="F8" i="30"/>
  <c r="G8" i="30"/>
  <c r="D12" i="30"/>
  <c r="H8" i="30"/>
  <c r="H7" i="30"/>
  <c r="D11" i="27"/>
  <c r="D16" i="27" s="1"/>
  <c r="D8" i="30" s="1"/>
  <c r="D9" i="30"/>
  <c r="H9" i="30"/>
  <c r="G9" i="30"/>
  <c r="H12" i="30"/>
  <c r="F12" i="30"/>
  <c r="E12" i="30"/>
  <c r="E7" i="30"/>
  <c r="F9" i="30"/>
  <c r="G12" i="30"/>
  <c r="E8" i="30"/>
  <c r="E9" i="30"/>
  <c r="J19" i="16"/>
  <c r="J35" i="16"/>
  <c r="J38" i="16" s="1"/>
  <c r="D39" i="16"/>
  <c r="D44" i="16" s="1"/>
  <c r="J28" i="16"/>
  <c r="J11" i="27"/>
  <c r="J21" i="27"/>
  <c r="J28" i="27"/>
  <c r="J19" i="27"/>
  <c r="J13" i="27"/>
  <c r="J16" i="27" s="1"/>
  <c r="H39" i="16"/>
  <c r="J11" i="16"/>
  <c r="J13" i="16"/>
  <c r="J16" i="16" s="1"/>
  <c r="E39" i="16"/>
  <c r="G39" i="16"/>
  <c r="F39" i="16"/>
  <c r="D13" i="30" l="1"/>
  <c r="G13" i="30"/>
  <c r="H37" i="27"/>
  <c r="H13" i="30"/>
  <c r="H14" i="30" s="1"/>
  <c r="J35" i="27"/>
  <c r="F13" i="30"/>
  <c r="F37" i="27"/>
  <c r="D7" i="30"/>
  <c r="E44" i="16"/>
  <c r="G44" i="16"/>
  <c r="G16" i="30" s="1"/>
  <c r="H44" i="16"/>
  <c r="G44" i="27"/>
  <c r="J10" i="30"/>
  <c r="J11" i="30"/>
  <c r="J12" i="30"/>
  <c r="F14" i="30"/>
  <c r="J9" i="30"/>
  <c r="J8" i="30"/>
  <c r="G14" i="30"/>
  <c r="J7" i="30"/>
  <c r="J39" i="16"/>
  <c r="D37" i="27" l="1"/>
  <c r="D14" i="30"/>
  <c r="F42" i="27"/>
  <c r="F16" i="30" s="1"/>
  <c r="F18" i="30" s="1"/>
  <c r="H42" i="27"/>
  <c r="H16" i="30" s="1"/>
  <c r="H18" i="30" s="1"/>
  <c r="G18" i="30"/>
  <c r="E37" i="27"/>
  <c r="E13" i="30"/>
  <c r="J42" i="16"/>
  <c r="J44" i="16" s="1"/>
  <c r="J46" i="16" s="1"/>
  <c r="D23" i="30" s="1"/>
  <c r="H46" i="16"/>
  <c r="G46" i="16"/>
  <c r="F46" i="16"/>
  <c r="D46" i="16"/>
  <c r="E46" i="16"/>
  <c r="E42" i="27" l="1"/>
  <c r="E16" i="30" s="1"/>
  <c r="H44" i="27"/>
  <c r="F44" i="27"/>
  <c r="J40" i="27"/>
  <c r="D42" i="27"/>
  <c r="J37" i="27"/>
  <c r="E14" i="30"/>
  <c r="J13" i="30"/>
  <c r="J42" i="27" l="1"/>
  <c r="J44" i="27" s="1"/>
  <c r="D24" i="30" s="1"/>
  <c r="D44" i="27"/>
  <c r="D16" i="30"/>
  <c r="E44" i="27"/>
  <c r="E18" i="30"/>
  <c r="J14" i="30"/>
  <c r="E24" i="30" l="1"/>
  <c r="E23" i="30"/>
  <c r="J16" i="30"/>
  <c r="D18" i="30"/>
  <c r="E25" i="30" l="1"/>
</calcChain>
</file>

<file path=xl/sharedStrings.xml><?xml version="1.0" encoding="utf-8"?>
<sst xmlns="http://schemas.openxmlformats.org/spreadsheetml/2006/main" count="157" uniqueCount="70">
  <si>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</si>
  <si>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</si>
  <si>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</si>
  <si>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</si>
  <si>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</si>
  <si>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</si>
  <si>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</si>
  <si>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</si>
  <si>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</si>
  <si>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</si>
  <si>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</si>
  <si>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</si>
  <si>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</si>
  <si>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</si>
  <si>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</si>
  <si>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</si>
  <si>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</si>
  <si>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</si>
  <si>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</si>
  <si>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</si>
  <si>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</si>
  <si>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</si>
  <si>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</si>
  <si>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</si>
  <si>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</si>
  <si>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</si>
  <si>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</si>
  <si>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</si>
  <si>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</si>
  <si>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</si>
  <si>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</si>
  <si>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</si>
  <si>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</si>
  <si>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</si>
  <si>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</si>
  <si>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</si>
  <si>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</si>
  <si>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>OTHER</t>
  </si>
  <si>
    <t>Indirect Costs</t>
  </si>
  <si>
    <t xml:space="preserve">This Excel Workbook is provided to aid applicants in developing the required budget table(s) within the budget narrative.  </t>
  </si>
  <si>
    <t>YEAR 1
(2025)</t>
  </si>
  <si>
    <t>YEAR 2
(2026)</t>
  </si>
  <si>
    <t>YEAR 3
(2027)</t>
  </si>
  <si>
    <t>YEAR 4
(2028)</t>
  </si>
  <si>
    <t>YEAR 5
(2029)</t>
  </si>
  <si>
    <t>Sitework Construction</t>
  </si>
  <si>
    <t>District Energy: borehole drilling and horizontal loop piping (est. 30 borehole)</t>
  </si>
  <si>
    <t>Owners Rep</t>
  </si>
  <si>
    <t>Pre-fabricated homes (fabrication, delivery, erection, fit-out: est. $500,000/home)</t>
  </si>
  <si>
    <t>Solar Array and Microgrid</t>
  </si>
  <si>
    <t>Architecture/MEP/Structural/Civil Engineering (Project Management, Design, and Construction Administration)</t>
  </si>
  <si>
    <t>Microgrid Feasibility and Design</t>
  </si>
  <si>
    <t>Construction Contingency (15%)</t>
  </si>
  <si>
    <t>209 Vehicle Replacements</t>
  </si>
  <si>
    <t>209 Singal Port 11kW EVSE Level 2</t>
  </si>
  <si>
    <t>4 Dual Port 160kW EVSE Level 3 Stations</t>
  </si>
  <si>
    <t>61 Roof Top Solar PV 25kW</t>
  </si>
  <si>
    <t>Installation EVSE Level 2</t>
  </si>
  <si>
    <t>Installation EVSE Level 3</t>
  </si>
  <si>
    <t>61 Solor 25kw PV Installations</t>
  </si>
  <si>
    <t>EVSE Maintenance and Fleet managment</t>
  </si>
  <si>
    <t>PV Maintenance</t>
  </si>
  <si>
    <t>EV Safety, Maintenance and usage Training</t>
  </si>
  <si>
    <t>Indirect Rate = 33.26% (Documented in NICRA Attached)</t>
  </si>
  <si>
    <t>Dean Goggles - NANRO Env. Director</t>
  </si>
  <si>
    <t>Steve Babits - NANRO Env. Scientist</t>
  </si>
  <si>
    <t>To be hired - NANRO CPRG Project Manager</t>
  </si>
  <si>
    <t>Measure 1 – Replace Tribal Owned Fleet Vehicles with Hybrid and Electric Vehicles</t>
  </si>
  <si>
    <t>Measure 2 - Community‐Scale Renewable Energy with Micro‐Grid Distribution and Storage, Create New DOE “Zero Energy Ready” Level Homes for Tribal Members</t>
  </si>
  <si>
    <t xml:space="preserve"> Contractual -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</si>
</sst>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A5A5A5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8" fillId="4" borderId="4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6" fontId="10" fillId="0" borderId="12" xfId="0" applyNumberFormat="1" applyFont="1" applyBorder="1" applyAlignment="1">
      <alignment wrapText="1"/>
    </xf>
    <xf numFmtId="0" fontId="11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13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6" fontId="6" fillId="0" borderId="0" xfId="0" applyNumberFormat="1" applyFon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5" fillId="0" borderId="22" xfId="0" applyFont="1" applyBorder="1" applyAlignment="1">
      <alignment horizontal="left" wrapText="1"/>
    </xf>
    <xf numFmtId="6" fontId="15" fillId="0" borderId="22" xfId="0" applyNumberFormat="1" applyFont="1" applyBorder="1" applyAlignment="1">
      <alignment wrapText="1"/>
    </xf>
    <xf numFmtId="0" fontId="14" fillId="0" borderId="0" xfId="0" applyFont="1"/>
    <xf numFmtId="0" fontId="14" fillId="0" borderId="23" xfId="0" applyFont="1" applyBorder="1" applyAlignment="1">
      <alignment vertical="top"/>
    </xf>
    <xf numFmtId="0" fontId="7" fillId="0" borderId="0" xfId="0" applyFont="1"/>
    <xf numFmtId="165" fontId="14" fillId="0" borderId="0" xfId="0" applyNumberFormat="1" applyFont="1"/>
    <xf numFmtId="8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right" wrapText="1" indent="2"/>
    </xf>
    <xf numFmtId="164" fontId="6" fillId="4" borderId="1" xfId="1" applyNumberFormat="1" applyFont="1" applyFill="1" applyBorder="1" applyAlignment="1">
      <alignment wrapText="1"/>
    </xf>
    <xf numFmtId="8" fontId="0" fillId="0" borderId="0" xfId="0" applyNumberFormat="1"/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0"/>
      <c r="K2" s="3"/>
    </row>
    <row r="3" spans="4:11" x14ac:dyDescent="0.25">
      <c r="D3" s="3"/>
      <c r="E3" s="3"/>
      <c r="J3" s="28"/>
      <c r="K3" s="29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1"/>
      <c r="F17" s="31"/>
      <c r="G17" s="31"/>
      <c r="H17" s="31"/>
      <c r="I17" s="31"/>
    </row>
    <row r="18" spans="5:18" x14ac:dyDescent="0.25">
      <c r="E18" s="31"/>
      <c r="F18" s="31"/>
      <c r="G18" s="31"/>
      <c r="H18" s="31"/>
      <c r="I18" s="31"/>
    </row>
    <row r="27" spans="5:18" ht="23.25" x14ac:dyDescent="0.35">
      <c r="Q27" s="27"/>
    </row>
    <row r="28" spans="5:18" x14ac:dyDescent="0.25">
      <c r="Q28" s="56"/>
      <c r="R28" s="5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6"/>
  <sheetViews>
    <sheetView showGridLines="0" tabSelected="1" topLeftCell="A13" zoomScale="125" zoomScaleNormal="125" workbookViewId="0">
      <selection activeCell="H26" sqref="H26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5.42578125" style="6" bestFit="1" customWidth="1"/>
    <col min="5" max="5" width="11.85546875" style="2" customWidth="1"/>
    <col min="6" max="6" width="12.140625" customWidth="1"/>
    <col min="7" max="7" width="12.7109375" bestFit="1" customWidth="1"/>
    <col min="8" max="8" width="12" style="2" customWidth="1"/>
    <col min="9" max="9" width="3.5703125" style="7" customWidth="1"/>
    <col min="10" max="10" width="15.28515625" bestFit="1" customWidth="1"/>
    <col min="11" max="11" width="10.140625" customWidth="1"/>
  </cols>
  <sheetData>
    <row r="2" spans="2:39" ht="23.25" x14ac:dyDescent="0.35">
      <c r="B2" s="27" t="s">
        <v>0</v>
      </c>
    </row>
    <row r="3" spans="2:39" ht="26.45" customHeight="1" x14ac:dyDescent="0.25">
      <c r="B3" s="74" t="s">
        <v>1</v>
      </c>
      <c r="C3" s="74"/>
      <c r="D3" s="74"/>
      <c r="E3" s="74"/>
      <c r="F3" s="74"/>
      <c r="G3" s="74"/>
      <c r="H3" s="74"/>
      <c r="I3" s="74"/>
      <c r="J3" s="74"/>
    </row>
    <row r="4" spans="2:39" ht="15" customHeight="1" x14ac:dyDescent="0.25">
      <c r="B4" s="5"/>
    </row>
    <row r="5" spans="2:39" ht="18.75" x14ac:dyDescent="0.3">
      <c r="B5" s="41" t="s">
        <v>2</v>
      </c>
      <c r="C5" s="42"/>
      <c r="D5" s="42"/>
      <c r="E5" s="42"/>
      <c r="F5" s="42"/>
      <c r="G5" s="42"/>
      <c r="H5" s="42"/>
      <c r="I5" s="42"/>
      <c r="J5" s="60"/>
    </row>
    <row r="6" spans="2:39" ht="17.100000000000001" customHeight="1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61" t="s">
        <v>10</v>
      </c>
    </row>
    <row r="7" spans="2:39" s="5" customFormat="1" x14ac:dyDescent="0.25">
      <c r="B7" s="22" t="s">
        <v>11</v>
      </c>
      <c r="C7" s="47" t="s">
        <v>12</v>
      </c>
      <c r="D7" s="48">
        <f>'Measure 1 Budget'!D11+'Measure 2 Budget'!D11</f>
        <v>97760</v>
      </c>
      <c r="E7" s="48">
        <f>'Measure 1 Budget'!E11+'Measure 2 Budget'!E11</f>
        <v>101670.40000000001</v>
      </c>
      <c r="F7" s="48">
        <f>'Measure 1 Budget'!F11+'Measure 2 Budget'!F11</f>
        <v>105737.21600000001</v>
      </c>
      <c r="G7" s="48">
        <f>'Measure 1 Budget'!G11+'Measure 2 Budget'!G11</f>
        <v>109966.70464000001</v>
      </c>
      <c r="H7" s="48">
        <f>'Measure 1 Budget'!H11+'Measure 2 Budget'!H11</f>
        <v>114365.37282560002</v>
      </c>
      <c r="I7" s="49"/>
      <c r="J7" s="48">
        <f>SUM(D7:I7)</f>
        <v>529499.69346560002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47" t="s">
        <v>13</v>
      </c>
      <c r="D8" s="48">
        <f>'Measure 1 Budget'!D16+'Measure 2 Budget'!D16</f>
        <v>10666</v>
      </c>
      <c r="E8" s="48">
        <f>'Measure 1 Budget'!E16+'Measure 2 Budget'!E16</f>
        <v>11092.64</v>
      </c>
      <c r="F8" s="48">
        <f>'Measure 1 Budget'!F16+'Measure 2 Budget'!F16</f>
        <v>11536.345600000001</v>
      </c>
      <c r="G8" s="48">
        <f>'Measure 1 Budget'!G16+'Measure 2 Budget'!G16</f>
        <v>11997.799424000001</v>
      </c>
      <c r="H8" s="48">
        <f>'Measure 1 Budget'!H16+'Measure 2 Budget'!H16</f>
        <v>12477.711400960001</v>
      </c>
      <c r="I8" s="49"/>
      <c r="J8" s="48">
        <f t="shared" ref="J8:J14" si="0">SUM(D8:I8)</f>
        <v>57770.496424960002</v>
      </c>
    </row>
    <row r="9" spans="2:39" x14ac:dyDescent="0.25">
      <c r="B9" s="23"/>
      <c r="C9" s="47" t="s">
        <v>14</v>
      </c>
      <c r="D9" s="48">
        <f>'Measure 1 Budget'!D19+'Measure 2 Budget'!D19</f>
        <v>0</v>
      </c>
      <c r="E9" s="48">
        <f>'Measure 1 Budget'!E19+'Measure 2 Budget'!E19</f>
        <v>0</v>
      </c>
      <c r="F9" s="48">
        <f>'Measure 1 Budget'!F19+'Measure 2 Budget'!F19</f>
        <v>0</v>
      </c>
      <c r="G9" s="48">
        <f>'Measure 1 Budget'!G19+'Measure 2 Budget'!G19</f>
        <v>0</v>
      </c>
      <c r="H9" s="48">
        <f>'Measure 1 Budget'!H19+'Measure 2 Budget'!H19</f>
        <v>0</v>
      </c>
      <c r="I9" s="49"/>
      <c r="J9" s="48">
        <f t="shared" si="0"/>
        <v>0</v>
      </c>
    </row>
    <row r="10" spans="2:39" x14ac:dyDescent="0.25">
      <c r="B10" s="23"/>
      <c r="C10" s="47" t="s">
        <v>15</v>
      </c>
      <c r="D10" s="48">
        <f>'Measure 1 Budget'!D25+'Measure 2 Budget'!D23</f>
        <v>3377497</v>
      </c>
      <c r="E10" s="48">
        <f>'Measure 1 Budget'!E25+'Measure 2 Budget'!E23</f>
        <v>5877497</v>
      </c>
      <c r="F10" s="48">
        <f>'Measure 1 Budget'!F25+'Measure 2 Budget'!F23</f>
        <v>11227497</v>
      </c>
      <c r="G10" s="48">
        <f>'Measure 1 Budget'!G25+'Measure 2 Budget'!G23</f>
        <v>9227497</v>
      </c>
      <c r="H10" s="48">
        <f>'Measure 1 Budget'!H25+'Measure 2 Budget'!H23</f>
        <v>6727497</v>
      </c>
      <c r="I10" s="49"/>
      <c r="J10" s="48">
        <f t="shared" si="0"/>
        <v>36437485</v>
      </c>
    </row>
    <row r="11" spans="2:39" x14ac:dyDescent="0.25">
      <c r="B11" s="23"/>
      <c r="C11" s="47" t="s">
        <v>16</v>
      </c>
      <c r="D11" s="48">
        <f>'Measure 1 Budget'!D28+'Measure 2 Budget'!D26</f>
        <v>0</v>
      </c>
      <c r="E11" s="48">
        <f>'Measure 1 Budget'!E28+'Measure 2 Budget'!E26</f>
        <v>0</v>
      </c>
      <c r="F11" s="48">
        <f>'Measure 1 Budget'!F28+'Measure 2 Budget'!F26</f>
        <v>0</v>
      </c>
      <c r="G11" s="48">
        <f>'Measure 1 Budget'!G28+'Measure 2 Budget'!G26</f>
        <v>0</v>
      </c>
      <c r="H11" s="48">
        <f>'Measure 1 Budget'!H28+'Measure 2 Budget'!H26</f>
        <v>0</v>
      </c>
      <c r="I11" s="49"/>
      <c r="J11" s="48">
        <f t="shared" si="0"/>
        <v>0</v>
      </c>
    </row>
    <row r="12" spans="2:39" x14ac:dyDescent="0.25">
      <c r="B12" s="23"/>
      <c r="C12" s="47" t="s">
        <v>17</v>
      </c>
      <c r="D12" s="48">
        <f>'Measure 1 Budget'!D33+'Measure 2 Budget'!D28</f>
        <v>612000</v>
      </c>
      <c r="E12" s="48">
        <f>'Measure 1 Budget'!E33+'Measure 2 Budget'!E28</f>
        <v>612000</v>
      </c>
      <c r="F12" s="48">
        <f>'Measure 1 Budget'!F33+'Measure 2 Budget'!F28</f>
        <v>587000</v>
      </c>
      <c r="G12" s="48">
        <f>'Measure 1 Budget'!G33+'Measure 2 Budget'!G28</f>
        <v>587000</v>
      </c>
      <c r="H12" s="48">
        <f>'Measure 1 Budget'!H33+'Measure 2 Budget'!H28</f>
        <v>562000</v>
      </c>
      <c r="I12" s="49"/>
      <c r="J12" s="48">
        <f t="shared" si="0"/>
        <v>2960000</v>
      </c>
    </row>
    <row r="13" spans="2:39" x14ac:dyDescent="0.25">
      <c r="B13" s="23"/>
      <c r="C13" s="47" t="s">
        <v>18</v>
      </c>
      <c r="D13" s="48">
        <f>'Measure 1 Budget'!D38+'Measure 2 Budget'!D36</f>
        <v>288375</v>
      </c>
      <c r="E13" s="48">
        <f>'Measure 1 Budget'!E38+'Measure 2 Budget'!E36</f>
        <v>2619625</v>
      </c>
      <c r="F13" s="48">
        <f>'Measure 1 Budget'!F38+'Measure 2 Budget'!F36</f>
        <v>4938000</v>
      </c>
      <c r="G13" s="48">
        <f>'Measure 1 Budget'!G38+'Measure 2 Budget'!G36</f>
        <v>3453500</v>
      </c>
      <c r="H13" s="48">
        <f>'Measure 1 Budget'!H38+'Measure 2 Budget'!H36</f>
        <v>1313250</v>
      </c>
      <c r="I13" s="49"/>
      <c r="J13" s="48">
        <f t="shared" si="0"/>
        <v>12612750</v>
      </c>
    </row>
    <row r="14" spans="2:39" x14ac:dyDescent="0.25">
      <c r="B14" s="24"/>
      <c r="C14" s="9" t="s">
        <v>19</v>
      </c>
      <c r="D14" s="16">
        <f>D13+D12+D11+D10+D9+D8+D7</f>
        <v>4386298</v>
      </c>
      <c r="E14" s="16">
        <f>E13+E12+E11+E10+E9+E8+E7</f>
        <v>9221885.040000001</v>
      </c>
      <c r="F14" s="16">
        <f>F13+F12+F11+F10+F9+F8+F7</f>
        <v>16869770.5616</v>
      </c>
      <c r="G14" s="16">
        <f>G13+G12+G11+G10+G9+G8+G7</f>
        <v>13389961.504063999</v>
      </c>
      <c r="H14" s="16">
        <f>H13+H12+H11+H10+H9+H8+H7</f>
        <v>8729590.0842265598</v>
      </c>
      <c r="J14" s="16">
        <f t="shared" si="0"/>
        <v>52597505.189890563</v>
      </c>
    </row>
    <row r="15" spans="2:39" x14ac:dyDescent="0.25">
      <c r="B15" s="59"/>
      <c r="D15"/>
      <c r="E15"/>
      <c r="H15"/>
      <c r="I15"/>
      <c r="J15" s="18" t="s">
        <v>20</v>
      </c>
    </row>
    <row r="16" spans="2:39" ht="20.100000000000001" customHeight="1" x14ac:dyDescent="0.25">
      <c r="B16" s="59"/>
      <c r="C16" s="9" t="s">
        <v>21</v>
      </c>
      <c r="D16" s="55">
        <f>'Measure 1 Budget'!D44+'Measure 2 Budget'!D42</f>
        <v>36062.240000000005</v>
      </c>
      <c r="E16" s="55">
        <f>'Measure 1 Budget'!E44+'Measure 2 Budget'!E42</f>
        <v>37504.32</v>
      </c>
      <c r="F16" s="55">
        <f>'Measure 1 Budget'!F44+'Measure 2 Budget'!F42</f>
        <v>39006</v>
      </c>
      <c r="G16" s="55">
        <f>'Measure 1 Budget'!G44+'Measure 2 Budget'!G42</f>
        <v>40566</v>
      </c>
      <c r="H16" s="55">
        <f>'Measure 1 Budget'!H44+'Measure 2 Budget'!H42</f>
        <v>42188</v>
      </c>
      <c r="J16" s="72">
        <f>SUM(D16:H16)</f>
        <v>195326.56</v>
      </c>
    </row>
    <row r="17" spans="2:10" ht="15.75" thickBot="1" x14ac:dyDescent="0.3">
      <c r="B17" s="59"/>
      <c r="D17"/>
      <c r="E17"/>
      <c r="H17"/>
      <c r="I17"/>
      <c r="J17" s="18" t="s">
        <v>20</v>
      </c>
    </row>
    <row r="18" spans="2:10" ht="30.95" customHeight="1" thickBot="1" x14ac:dyDescent="0.3">
      <c r="B18" s="58" t="s">
        <v>22</v>
      </c>
      <c r="C18" s="19"/>
      <c r="D18" s="50">
        <f>D14+D16</f>
        <v>4422360.24</v>
      </c>
      <c r="E18" s="50">
        <f>E14+E16</f>
        <v>9259389.3600000013</v>
      </c>
      <c r="F18" s="50">
        <f>F14+F16</f>
        <v>16908776.5616</v>
      </c>
      <c r="G18" s="50">
        <f>G14+G16</f>
        <v>13430527.504063999</v>
      </c>
      <c r="H18" s="50">
        <f>H14+H16</f>
        <v>8771778.0842265598</v>
      </c>
      <c r="I18" s="51"/>
      <c r="J18" s="62">
        <v>52792831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1" t="s">
        <v>23</v>
      </c>
      <c r="C21" s="42"/>
      <c r="D21" s="42"/>
      <c r="E21" s="76"/>
      <c r="F21" s="76"/>
      <c r="H21"/>
      <c r="I21"/>
    </row>
    <row r="22" spans="2:10" ht="29.1" customHeight="1" x14ac:dyDescent="0.25">
      <c r="B22" s="43" t="s">
        <v>24</v>
      </c>
      <c r="C22" s="43" t="s">
        <v>25</v>
      </c>
      <c r="D22" s="52" t="s">
        <v>26</v>
      </c>
      <c r="E22" s="77" t="s">
        <v>27</v>
      </c>
      <c r="F22" s="77"/>
      <c r="H22"/>
      <c r="I22"/>
    </row>
    <row r="23" spans="2:10" ht="75.75" customHeight="1" x14ac:dyDescent="0.25">
      <c r="B23" s="47">
        <v>1</v>
      </c>
      <c r="C23" s="53" t="s">
        <v>67</v>
      </c>
      <c r="D23" s="54">
        <f>'Measure 1 Budget'!J46</f>
        <v>18240783.65494528</v>
      </c>
      <c r="E23" s="75">
        <f>D23/D$25</f>
        <v>0.34434224697081567</v>
      </c>
      <c r="F23" s="75"/>
      <c r="H23"/>
      <c r="I23"/>
    </row>
    <row r="24" spans="2:10" ht="90" x14ac:dyDescent="0.25">
      <c r="B24" s="47">
        <v>2</v>
      </c>
      <c r="C24" s="48" t="s">
        <v>68</v>
      </c>
      <c r="D24" s="54">
        <f>'Measure 2 Budget'!J44</f>
        <v>34552048.094945282</v>
      </c>
      <c r="E24" s="75">
        <f>D24/D$25</f>
        <v>0.65225979889474439</v>
      </c>
      <c r="F24" s="75"/>
      <c r="H24"/>
      <c r="I24"/>
    </row>
    <row r="25" spans="2:10" ht="15" customHeight="1" x14ac:dyDescent="0.25">
      <c r="B25" s="47" t="s">
        <v>28</v>
      </c>
      <c r="C25" s="48"/>
      <c r="D25" s="54">
        <v>52972831</v>
      </c>
      <c r="E25" s="75">
        <f>SUM(E23:E24)</f>
        <v>0.99660204586556</v>
      </c>
      <c r="F25" s="75"/>
      <c r="H25"/>
      <c r="I25"/>
    </row>
    <row r="26" spans="2:10" ht="15" customHeight="1" x14ac:dyDescent="0.25">
      <c r="H26"/>
      <c r="I26"/>
    </row>
  </sheetData>
  <mergeCells count="6">
    <mergeCell ref="B3:J3"/>
    <mergeCell ref="E25:F25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2:AM61"/>
  <sheetViews>
    <sheetView showGridLines="0" topLeftCell="A25" zoomScale="125" zoomScaleNormal="125" workbookViewId="0">
      <selection activeCell="K43" sqref="K43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1.85546875" customWidth="1"/>
    <col min="4" max="4" width="16.28515625" style="6" bestFit="1" customWidth="1"/>
    <col min="5" max="5" width="14.140625" style="2" bestFit="1" customWidth="1"/>
    <col min="6" max="6" width="14.140625" bestFit="1" customWidth="1"/>
    <col min="7" max="7" width="14.28515625" bestFit="1" customWidth="1"/>
    <col min="8" max="8" width="14.140625" style="2" bestFit="1" customWidth="1"/>
    <col min="9" max="9" width="1.7109375" style="7" customWidth="1"/>
    <col min="10" max="10" width="12.85546875" customWidth="1"/>
    <col min="11" max="11" width="14.5703125" bestFit="1" customWidth="1"/>
  </cols>
  <sheetData>
    <row r="2" spans="2:39" ht="23.25" x14ac:dyDescent="0.35">
      <c r="B2" s="27" t="s">
        <v>29</v>
      </c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ht="30" x14ac:dyDescent="0.2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ht="30" x14ac:dyDescent="0.25">
      <c r="B7" s="63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64</v>
      </c>
      <c r="D8" s="15">
        <f>16640/2</f>
        <v>8320</v>
      </c>
      <c r="E8" s="15">
        <f>D8*1.04</f>
        <v>8652.8000000000011</v>
      </c>
      <c r="F8" s="15">
        <f t="shared" ref="F8:H8" si="0">E8*1.04</f>
        <v>8998.9120000000021</v>
      </c>
      <c r="G8" s="15">
        <f t="shared" si="0"/>
        <v>9358.8684800000028</v>
      </c>
      <c r="H8" s="15">
        <f t="shared" si="0"/>
        <v>9733.2232192000029</v>
      </c>
      <c r="I8" s="32"/>
      <c r="J8" s="15">
        <f>SUM(D8:H8)</f>
        <v>45063.803699200012</v>
      </c>
    </row>
    <row r="9" spans="2:39" x14ac:dyDescent="0.25">
      <c r="B9" s="23"/>
      <c r="C9" s="25" t="s">
        <v>65</v>
      </c>
      <c r="D9" s="15">
        <f>20800/2</f>
        <v>10400</v>
      </c>
      <c r="E9" s="15">
        <f t="shared" ref="E9:H10" si="1">D9*1.04</f>
        <v>10816</v>
      </c>
      <c r="F9" s="15">
        <f t="shared" si="1"/>
        <v>11248.640000000001</v>
      </c>
      <c r="G9" s="15">
        <f t="shared" si="1"/>
        <v>11698.585600000002</v>
      </c>
      <c r="H9" s="15">
        <f t="shared" si="1"/>
        <v>12166.529024000003</v>
      </c>
      <c r="J9" s="15">
        <f>SUM(D9:H9)</f>
        <v>56329.754624000008</v>
      </c>
    </row>
    <row r="10" spans="2:39" ht="30" x14ac:dyDescent="0.25">
      <c r="B10" s="23"/>
      <c r="C10" s="25" t="s">
        <v>66</v>
      </c>
      <c r="D10" s="15">
        <f>60320/2</f>
        <v>30160</v>
      </c>
      <c r="E10" s="15">
        <f t="shared" si="1"/>
        <v>31366.400000000001</v>
      </c>
      <c r="F10" s="15">
        <f t="shared" si="1"/>
        <v>32621.056000000004</v>
      </c>
      <c r="G10" s="15">
        <f t="shared" si="1"/>
        <v>33925.898240000002</v>
      </c>
      <c r="H10" s="15">
        <f t="shared" si="1"/>
        <v>35282.934169600005</v>
      </c>
      <c r="J10" s="15">
        <f>SUM(D10:H10)</f>
        <v>163356.28840960003</v>
      </c>
    </row>
    <row r="11" spans="2:39" x14ac:dyDescent="0.25">
      <c r="B11" s="23"/>
      <c r="C11" s="9" t="s">
        <v>12</v>
      </c>
      <c r="D11" s="16">
        <f>SUM(D8:D10)</f>
        <v>48880</v>
      </c>
      <c r="E11" s="16">
        <f t="shared" ref="E11:J11" si="2">SUM(E8:E10)</f>
        <v>50835.200000000004</v>
      </c>
      <c r="F11" s="16">
        <f t="shared" si="2"/>
        <v>52868.608000000007</v>
      </c>
      <c r="G11" s="16">
        <f t="shared" si="2"/>
        <v>54983.352320000005</v>
      </c>
      <c r="H11" s="16">
        <f t="shared" si="2"/>
        <v>57182.686412800009</v>
      </c>
      <c r="J11" s="16">
        <f t="shared" si="2"/>
        <v>264749.84673280007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 t="s">
        <v>64</v>
      </c>
      <c r="D13" s="15">
        <f>1968/2</f>
        <v>984</v>
      </c>
      <c r="E13" s="15">
        <f>D13*1.04</f>
        <v>1023.36</v>
      </c>
      <c r="F13" s="15">
        <f t="shared" ref="F13:H13" si="3">E13*1.04</f>
        <v>1064.2944</v>
      </c>
      <c r="G13" s="15">
        <f t="shared" si="3"/>
        <v>1106.866176</v>
      </c>
      <c r="H13" s="15">
        <f t="shared" si="3"/>
        <v>1151.14082304</v>
      </c>
      <c r="J13" s="15">
        <f>SUM(D13:H13)</f>
        <v>5329.661399040001</v>
      </c>
    </row>
    <row r="14" spans="2:39" x14ac:dyDescent="0.25">
      <c r="B14" s="23"/>
      <c r="C14" s="25" t="s">
        <v>65</v>
      </c>
      <c r="D14" s="15">
        <f>2460/2</f>
        <v>1230</v>
      </c>
      <c r="E14" s="15">
        <f t="shared" ref="E14:H15" si="4">D14*1.04</f>
        <v>1279.2</v>
      </c>
      <c r="F14" s="15">
        <f t="shared" si="4"/>
        <v>1330.3680000000002</v>
      </c>
      <c r="G14" s="15">
        <f t="shared" si="4"/>
        <v>1383.5827200000001</v>
      </c>
      <c r="H14" s="15">
        <f t="shared" si="4"/>
        <v>1438.9260288000003</v>
      </c>
      <c r="J14" s="15">
        <f t="shared" ref="J14:J15" si="5">SUM(D14:H14)</f>
        <v>6662.076748800001</v>
      </c>
    </row>
    <row r="15" spans="2:39" ht="30" x14ac:dyDescent="0.25">
      <c r="B15" s="23"/>
      <c r="C15" s="25" t="s">
        <v>66</v>
      </c>
      <c r="D15" s="15">
        <f>6238/2</f>
        <v>3119</v>
      </c>
      <c r="E15" s="15">
        <f t="shared" si="4"/>
        <v>3243.76</v>
      </c>
      <c r="F15" s="15">
        <f t="shared" si="4"/>
        <v>3373.5104000000001</v>
      </c>
      <c r="G15" s="15">
        <f t="shared" si="4"/>
        <v>3508.450816</v>
      </c>
      <c r="H15" s="15">
        <f t="shared" si="4"/>
        <v>3648.7888486400002</v>
      </c>
      <c r="J15" s="15">
        <f t="shared" si="5"/>
        <v>16893.510064640002</v>
      </c>
    </row>
    <row r="16" spans="2:39" x14ac:dyDescent="0.25">
      <c r="B16" s="23"/>
      <c r="C16" s="9" t="s">
        <v>13</v>
      </c>
      <c r="D16" s="16">
        <f>SUM(D13:D15)</f>
        <v>5333</v>
      </c>
      <c r="E16" s="16">
        <f t="shared" ref="E16:J16" si="6">SUM(E13:E15)</f>
        <v>5546.32</v>
      </c>
      <c r="F16" s="16">
        <f t="shared" si="6"/>
        <v>5768.1728000000003</v>
      </c>
      <c r="G16" s="16">
        <f t="shared" si="6"/>
        <v>5998.8997120000004</v>
      </c>
      <c r="H16" s="16">
        <f t="shared" si="6"/>
        <v>6238.8557004800005</v>
      </c>
      <c r="J16" s="16">
        <f t="shared" si="6"/>
        <v>28885.248212480004</v>
      </c>
    </row>
    <row r="17" spans="1:3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1:30" x14ac:dyDescent="0.25">
      <c r="B18" s="23"/>
      <c r="C18" s="25"/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32"/>
      <c r="J18" s="15">
        <f t="shared" ref="J18" si="7">SUM(D18:H18)</f>
        <v>0</v>
      </c>
    </row>
    <row r="19" spans="1:30" x14ac:dyDescent="0.25">
      <c r="B19" s="23"/>
      <c r="C19" s="9" t="s">
        <v>14</v>
      </c>
      <c r="D19" s="16">
        <f>SUM(D18:D18)</f>
        <v>0</v>
      </c>
      <c r="E19" s="16">
        <f>SUM(E18:E18)</f>
        <v>0</v>
      </c>
      <c r="F19" s="16">
        <f>SUM(F18:F18)</f>
        <v>0</v>
      </c>
      <c r="G19" s="16">
        <f>SUM(G18:G18)</f>
        <v>0</v>
      </c>
      <c r="H19" s="16">
        <f>SUM(H18:H18)</f>
        <v>0</v>
      </c>
      <c r="J19" s="16">
        <f>SUM(J18:J18)</f>
        <v>0</v>
      </c>
    </row>
    <row r="20" spans="1:30" x14ac:dyDescent="0.25">
      <c r="B20" s="23"/>
      <c r="C20" s="14" t="s">
        <v>34</v>
      </c>
      <c r="D20" s="15"/>
      <c r="E20" s="10"/>
      <c r="F20" s="10"/>
      <c r="G20" s="10"/>
      <c r="H20" s="10"/>
      <c r="J20" s="15" t="s">
        <v>20</v>
      </c>
    </row>
    <row r="21" spans="1:30" ht="14.25" customHeight="1" x14ac:dyDescent="0.25">
      <c r="A21" s="66"/>
      <c r="B21" s="67"/>
      <c r="C21" s="64" t="s">
        <v>53</v>
      </c>
      <c r="D21" s="65">
        <v>2019197</v>
      </c>
      <c r="E21" s="65">
        <v>2019197</v>
      </c>
      <c r="F21" s="65">
        <v>2019197</v>
      </c>
      <c r="G21" s="65">
        <v>2019197</v>
      </c>
      <c r="H21" s="65">
        <v>2019197</v>
      </c>
      <c r="I21" s="68"/>
      <c r="J21" s="65">
        <f>SUM(D21:H21)</f>
        <v>10095985</v>
      </c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</row>
    <row r="22" spans="1:30" ht="14.25" customHeight="1" x14ac:dyDescent="0.25">
      <c r="A22" s="66"/>
      <c r="B22" s="67"/>
      <c r="C22" s="64" t="s">
        <v>54</v>
      </c>
      <c r="D22" s="65">
        <v>250800</v>
      </c>
      <c r="E22" s="65">
        <v>250800</v>
      </c>
      <c r="F22" s="65">
        <v>250800</v>
      </c>
      <c r="G22" s="65">
        <v>250800</v>
      </c>
      <c r="H22" s="65">
        <v>250800</v>
      </c>
      <c r="I22" s="68"/>
      <c r="J22" s="65">
        <f>SUM(D22:H22)</f>
        <v>1254000</v>
      </c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</row>
    <row r="23" spans="1:30" ht="14.25" customHeight="1" x14ac:dyDescent="0.25">
      <c r="A23" s="66"/>
      <c r="B23" s="67"/>
      <c r="C23" s="64" t="s">
        <v>55</v>
      </c>
      <c r="D23" s="65">
        <v>400000</v>
      </c>
      <c r="E23" s="65">
        <v>400000</v>
      </c>
      <c r="F23" s="65">
        <v>0</v>
      </c>
      <c r="G23" s="65">
        <v>0</v>
      </c>
      <c r="H23" s="65">
        <v>0</v>
      </c>
      <c r="I23" s="68"/>
      <c r="J23" s="65">
        <f>SUM(D23:H23)</f>
        <v>800000</v>
      </c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</row>
    <row r="24" spans="1:30" ht="14.25" customHeight="1" x14ac:dyDescent="0.25">
      <c r="A24" s="66"/>
      <c r="B24" s="67"/>
      <c r="C24" s="64" t="s">
        <v>56</v>
      </c>
      <c r="D24" s="65">
        <v>457500</v>
      </c>
      <c r="E24" s="65">
        <v>457500</v>
      </c>
      <c r="F24" s="65">
        <v>457500</v>
      </c>
      <c r="G24" s="65">
        <v>457500</v>
      </c>
      <c r="H24" s="65">
        <v>457500</v>
      </c>
      <c r="I24" s="68"/>
      <c r="J24" s="65">
        <f>SUM(D24:H24)</f>
        <v>2287500</v>
      </c>
      <c r="K24" s="66"/>
      <c r="L24" s="69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</row>
    <row r="25" spans="1:30" x14ac:dyDescent="0.25">
      <c r="B25" s="23"/>
      <c r="C25" s="9" t="s">
        <v>15</v>
      </c>
      <c r="D25" s="12">
        <f>SUM(D21:D24)</f>
        <v>3127497</v>
      </c>
      <c r="E25" s="12">
        <f>SUM(E21:E24)</f>
        <v>3127497</v>
      </c>
      <c r="F25" s="12">
        <f>SUM(F21:F24)</f>
        <v>2727497</v>
      </c>
      <c r="G25" s="12">
        <f>SUM(G21:G24)</f>
        <v>2727497</v>
      </c>
      <c r="H25" s="12">
        <f>SUM(H21:H24)</f>
        <v>2727497</v>
      </c>
      <c r="J25" s="16">
        <f>SUM(J21:J24)</f>
        <v>14437485</v>
      </c>
    </row>
    <row r="26" spans="1:30" x14ac:dyDescent="0.25">
      <c r="B26" s="23"/>
      <c r="C26" s="14" t="s">
        <v>36</v>
      </c>
      <c r="D26" s="13" t="s">
        <v>31</v>
      </c>
      <c r="E26" s="10"/>
      <c r="F26" s="10"/>
      <c r="G26" s="10"/>
      <c r="H26" s="10"/>
      <c r="J26" s="15"/>
    </row>
    <row r="27" spans="1:30" x14ac:dyDescent="0.25">
      <c r="B27" s="23"/>
      <c r="C27" s="25"/>
      <c r="D27" s="15">
        <v>0</v>
      </c>
      <c r="E27" s="11">
        <v>0</v>
      </c>
      <c r="F27" s="11">
        <v>0</v>
      </c>
      <c r="G27" s="11">
        <v>0</v>
      </c>
      <c r="H27" s="11">
        <v>0</v>
      </c>
      <c r="J27" s="15">
        <f t="shared" ref="J27:J39" si="8">SUM(D27:H27)</f>
        <v>0</v>
      </c>
    </row>
    <row r="28" spans="1:30" x14ac:dyDescent="0.25">
      <c r="B28" s="23"/>
      <c r="C28" s="9" t="s">
        <v>16</v>
      </c>
      <c r="D28" s="16">
        <f>SUM(D27:D27)</f>
        <v>0</v>
      </c>
      <c r="E28" s="16">
        <f>SUM(E27:E27)</f>
        <v>0</v>
      </c>
      <c r="F28" s="16">
        <f>SUM(F27:F27)</f>
        <v>0</v>
      </c>
      <c r="G28" s="16">
        <f>SUM(G27:G27)</f>
        <v>0</v>
      </c>
      <c r="H28" s="16">
        <f>SUM(H27:H27)</f>
        <v>0</v>
      </c>
      <c r="J28" s="16">
        <f>SUM(J27:J27)</f>
        <v>0</v>
      </c>
    </row>
    <row r="29" spans="1:30" x14ac:dyDescent="0.25">
      <c r="B29" s="23"/>
      <c r="C29" s="14" t="s">
        <v>69</v>
      </c>
      <c r="D29" s="13" t="s">
        <v>31</v>
      </c>
      <c r="E29" s="10"/>
      <c r="F29" s="10"/>
      <c r="G29" s="10"/>
      <c r="H29" s="10"/>
      <c r="J29" s="15"/>
    </row>
    <row r="30" spans="1:30" x14ac:dyDescent="0.25">
      <c r="B30" s="23"/>
      <c r="C30" s="64" t="s">
        <v>57</v>
      </c>
      <c r="D30" s="65">
        <v>104500</v>
      </c>
      <c r="E30" s="65">
        <v>104500</v>
      </c>
      <c r="F30" s="65">
        <v>104500</v>
      </c>
      <c r="G30" s="65">
        <v>104500</v>
      </c>
      <c r="H30" s="65">
        <v>104500</v>
      </c>
      <c r="I30" s="32"/>
      <c r="J30" s="15">
        <f>SUM(D30:H30)</f>
        <v>522500</v>
      </c>
    </row>
    <row r="31" spans="1:30" x14ac:dyDescent="0.25">
      <c r="B31" s="23"/>
      <c r="C31" s="64" t="s">
        <v>58</v>
      </c>
      <c r="D31" s="65">
        <v>50000</v>
      </c>
      <c r="E31" s="65">
        <v>50000</v>
      </c>
      <c r="F31" s="65">
        <v>25000</v>
      </c>
      <c r="G31" s="65">
        <v>25000</v>
      </c>
      <c r="H31" s="65">
        <v>0</v>
      </c>
      <c r="I31" s="32"/>
      <c r="J31" s="15">
        <f t="shared" si="8"/>
        <v>150000</v>
      </c>
    </row>
    <row r="32" spans="1:30" x14ac:dyDescent="0.25">
      <c r="B32" s="23"/>
      <c r="C32" s="64" t="s">
        <v>59</v>
      </c>
      <c r="D32" s="65">
        <v>457500</v>
      </c>
      <c r="E32" s="65">
        <v>457500</v>
      </c>
      <c r="F32" s="65">
        <v>457500</v>
      </c>
      <c r="G32" s="65">
        <v>457500</v>
      </c>
      <c r="H32" s="65">
        <v>457500</v>
      </c>
      <c r="J32" s="15">
        <f t="shared" si="8"/>
        <v>2287500</v>
      </c>
    </row>
    <row r="33" spans="2:10" x14ac:dyDescent="0.25">
      <c r="B33" s="23"/>
      <c r="C33" s="9" t="s">
        <v>17</v>
      </c>
      <c r="D33" s="16">
        <f>SUM(D30:D32)</f>
        <v>612000</v>
      </c>
      <c r="E33" s="16">
        <f>SUM(E30:E32)</f>
        <v>612000</v>
      </c>
      <c r="F33" s="16">
        <f>SUM(F30:F32)</f>
        <v>587000</v>
      </c>
      <c r="G33" s="16">
        <f>SUM(G30:G32)</f>
        <v>587000</v>
      </c>
      <c r="H33" s="16">
        <f>SUM(H30:H32)</f>
        <v>562000</v>
      </c>
      <c r="J33" s="16">
        <f>SUM(J30:J32)</f>
        <v>2960000</v>
      </c>
    </row>
    <row r="34" spans="2:10" x14ac:dyDescent="0.25">
      <c r="B34" s="23"/>
      <c r="C34" s="14" t="s">
        <v>37</v>
      </c>
      <c r="D34" s="13" t="s">
        <v>31</v>
      </c>
      <c r="E34" s="10"/>
      <c r="F34" s="10"/>
      <c r="G34" s="10"/>
      <c r="H34" s="10"/>
      <c r="J34" s="15"/>
    </row>
    <row r="35" spans="2:10" x14ac:dyDescent="0.25">
      <c r="B35" s="23"/>
      <c r="C35" s="64" t="s">
        <v>60</v>
      </c>
      <c r="D35" s="65">
        <v>24000</v>
      </c>
      <c r="E35" s="65">
        <v>24000</v>
      </c>
      <c r="F35" s="65">
        <v>48000</v>
      </c>
      <c r="G35" s="65">
        <v>48000</v>
      </c>
      <c r="H35" s="65">
        <v>48000</v>
      </c>
      <c r="J35" s="15">
        <f t="shared" si="8"/>
        <v>192000</v>
      </c>
    </row>
    <row r="36" spans="2:10" x14ac:dyDescent="0.25">
      <c r="B36" s="23"/>
      <c r="C36" s="64" t="s">
        <v>61</v>
      </c>
      <c r="D36" s="65">
        <v>10000</v>
      </c>
      <c r="E36" s="65">
        <v>10000</v>
      </c>
      <c r="F36" s="65">
        <v>20000</v>
      </c>
      <c r="G36" s="65">
        <v>20000</v>
      </c>
      <c r="H36" s="65">
        <v>20000</v>
      </c>
      <c r="J36" s="15">
        <f t="shared" si="8"/>
        <v>80000</v>
      </c>
    </row>
    <row r="37" spans="2:10" x14ac:dyDescent="0.25">
      <c r="B37" s="23"/>
      <c r="C37" s="64" t="s">
        <v>62</v>
      </c>
      <c r="D37" s="65">
        <v>30000</v>
      </c>
      <c r="E37" s="65">
        <v>60000</v>
      </c>
      <c r="F37" s="65">
        <v>30000</v>
      </c>
      <c r="G37" s="65">
        <v>30000</v>
      </c>
      <c r="H37" s="65">
        <v>30000</v>
      </c>
      <c r="J37" s="15">
        <f t="shared" si="8"/>
        <v>180000</v>
      </c>
    </row>
    <row r="38" spans="2:10" x14ac:dyDescent="0.25">
      <c r="B38" s="24"/>
      <c r="C38" s="9" t="s">
        <v>18</v>
      </c>
      <c r="D38" s="16">
        <f>SUM(D35:D37)</f>
        <v>64000</v>
      </c>
      <c r="E38" s="16">
        <f>SUM(E35:E37)</f>
        <v>94000</v>
      </c>
      <c r="F38" s="16">
        <f>SUM(F35:F37)</f>
        <v>98000</v>
      </c>
      <c r="G38" s="16">
        <f>SUM(G35:G37)</f>
        <v>98000</v>
      </c>
      <c r="H38" s="16">
        <f>SUM(H35:H37)</f>
        <v>98000</v>
      </c>
      <c r="J38" s="16">
        <f>SUM(J35:J37)</f>
        <v>452000</v>
      </c>
    </row>
    <row r="39" spans="2:10" x14ac:dyDescent="0.25">
      <c r="B39" s="24"/>
      <c r="C39" s="9" t="s">
        <v>19</v>
      </c>
      <c r="D39" s="16">
        <f>SUM(D38,D33,D28,D25,D19,D16,D11)</f>
        <v>3857710</v>
      </c>
      <c r="E39" s="16">
        <f>SUM(E38,E33,E28,E25,E19,E16,E11)</f>
        <v>3889878.52</v>
      </c>
      <c r="F39" s="16">
        <f>SUM(F38,F33,F28,F25,F19,F16,F11)</f>
        <v>3471133.7807999998</v>
      </c>
      <c r="G39" s="16">
        <f>SUM(G38,G33,G28,G25,G19,G16,G11)</f>
        <v>3473479.2520320001</v>
      </c>
      <c r="H39" s="16">
        <f>SUM(H38,H33,H28,H25,H19,H16,H11)</f>
        <v>3450918.5421132799</v>
      </c>
      <c r="J39" s="16">
        <f t="shared" si="8"/>
        <v>18143120.094945282</v>
      </c>
    </row>
    <row r="40" spans="2:10" x14ac:dyDescent="0.25">
      <c r="B40" s="6"/>
      <c r="D40"/>
      <c r="E40"/>
      <c r="H40"/>
      <c r="I40"/>
      <c r="J40" t="s">
        <v>20</v>
      </c>
    </row>
    <row r="41" spans="2:10" ht="30" x14ac:dyDescent="0.25">
      <c r="B41" s="63" t="s">
        <v>38</v>
      </c>
      <c r="C41" s="17" t="s">
        <v>38</v>
      </c>
      <c r="D41" s="18"/>
      <c r="E41" s="18"/>
      <c r="F41" s="18"/>
      <c r="G41" s="18"/>
      <c r="H41" s="18"/>
      <c r="I41"/>
      <c r="J41" s="18" t="s">
        <v>20</v>
      </c>
    </row>
    <row r="42" spans="2:10" ht="30" x14ac:dyDescent="0.25">
      <c r="B42" s="23"/>
      <c r="C42" s="25" t="s">
        <v>63</v>
      </c>
      <c r="D42" s="70">
        <v>18031.240000000002</v>
      </c>
      <c r="E42" s="70">
        <v>18752.32</v>
      </c>
      <c r="F42" s="70">
        <v>19503</v>
      </c>
      <c r="G42" s="70">
        <v>20283</v>
      </c>
      <c r="H42" s="70">
        <v>21094</v>
      </c>
      <c r="J42" s="15">
        <f>SUM(D42:H42)</f>
        <v>97663.56</v>
      </c>
    </row>
    <row r="43" spans="2:10" x14ac:dyDescent="0.25">
      <c r="B43" s="23"/>
      <c r="C43" s="71">
        <v>0.33260000000000001</v>
      </c>
      <c r="D43" s="13"/>
      <c r="E43" s="10"/>
      <c r="F43" s="10"/>
      <c r="G43" s="10"/>
      <c r="H43" s="10"/>
      <c r="J43" s="15"/>
    </row>
    <row r="44" spans="2:10" x14ac:dyDescent="0.25">
      <c r="B44" s="24"/>
      <c r="C44" s="9" t="s">
        <v>21</v>
      </c>
      <c r="D44" s="16">
        <f>SUM(D42:D43)</f>
        <v>18031.240000000002</v>
      </c>
      <c r="E44" s="16">
        <f t="shared" ref="E44:H44" si="9">SUM(E42:E43)</f>
        <v>18752.32</v>
      </c>
      <c r="F44" s="16">
        <v>19503</v>
      </c>
      <c r="G44" s="16">
        <f t="shared" si="9"/>
        <v>20283</v>
      </c>
      <c r="H44" s="16">
        <f t="shared" si="9"/>
        <v>21094</v>
      </c>
      <c r="J44" s="16">
        <f>SUM(J42:J43)</f>
        <v>97663.56</v>
      </c>
    </row>
    <row r="45" spans="2:10" ht="15.75" thickBot="1" x14ac:dyDescent="0.3">
      <c r="B45" s="6"/>
      <c r="D45"/>
      <c r="E45"/>
      <c r="H45"/>
      <c r="I45"/>
      <c r="J45" t="s">
        <v>20</v>
      </c>
    </row>
    <row r="46" spans="2:10" s="1" customFormat="1" ht="30.75" thickBot="1" x14ac:dyDescent="0.3">
      <c r="B46" s="19" t="s">
        <v>22</v>
      </c>
      <c r="C46" s="19"/>
      <c r="D46" s="20">
        <f>SUM(D44,D39)</f>
        <v>3875741.24</v>
      </c>
      <c r="E46" s="20">
        <f t="shared" ref="E46:J46" si="10">SUM(E44,E39)</f>
        <v>3908630.84</v>
      </c>
      <c r="F46" s="20">
        <f t="shared" si="10"/>
        <v>3490636.7807999998</v>
      </c>
      <c r="G46" s="20">
        <f t="shared" si="10"/>
        <v>3493762.2520320001</v>
      </c>
      <c r="H46" s="20">
        <f t="shared" si="10"/>
        <v>3472012.5421132799</v>
      </c>
      <c r="I46" s="7"/>
      <c r="J46" s="20">
        <f t="shared" si="10"/>
        <v>18240783.65494528</v>
      </c>
    </row>
    <row r="47" spans="2:10" x14ac:dyDescent="0.25">
      <c r="B47" s="6"/>
    </row>
    <row r="48" spans="2:10" x14ac:dyDescent="0.25">
      <c r="B48" s="6"/>
    </row>
    <row r="49" spans="2:11" x14ac:dyDescent="0.25">
      <c r="B49" s="6"/>
    </row>
    <row r="50" spans="2:11" x14ac:dyDescent="0.25">
      <c r="B50" s="6"/>
    </row>
    <row r="51" spans="2:11" x14ac:dyDescent="0.25">
      <c r="B51" s="6"/>
      <c r="F51" s="31"/>
      <c r="G51" s="31"/>
    </row>
    <row r="52" spans="2:11" x14ac:dyDescent="0.25">
      <c r="B52" s="6"/>
    </row>
    <row r="53" spans="2:11" x14ac:dyDescent="0.25">
      <c r="B53" s="6"/>
    </row>
    <row r="54" spans="2:11" x14ac:dyDescent="0.25">
      <c r="B54" s="6"/>
    </row>
    <row r="55" spans="2:11" x14ac:dyDescent="0.25">
      <c r="B55" s="6"/>
    </row>
    <row r="56" spans="2:11" x14ac:dyDescent="0.25">
      <c r="B56" s="6"/>
    </row>
    <row r="57" spans="2:11" x14ac:dyDescent="0.25">
      <c r="B57" s="6"/>
    </row>
    <row r="58" spans="2:11" x14ac:dyDescent="0.25">
      <c r="B58" s="6"/>
    </row>
    <row r="59" spans="2:11" x14ac:dyDescent="0.25">
      <c r="B59" s="6"/>
      <c r="J59" s="31"/>
      <c r="K59" s="73"/>
    </row>
    <row r="60" spans="2:11" x14ac:dyDescent="0.25">
      <c r="B60" s="6"/>
    </row>
    <row r="61" spans="2:11" x14ac:dyDescent="0.25">
      <c r="B61" s="6"/>
    </row>
  </sheetData>
  <pageMargins left="0.7" right="0.7" top="0.75" bottom="0.75" header="0.3" footer="0.3"/>
  <pageSetup scale="97" fitToHeight="0" orientation="landscape" r:id="rId1"/>
  <ignoredErrors>
    <ignoredError sqref="J18 J31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59"/>
  <sheetViews>
    <sheetView showGridLines="0" zoomScale="85" zoomScaleNormal="85" workbookViewId="0">
      <pane xSplit="3" ySplit="6" topLeftCell="D2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36" sqref="P36"/>
    </sheetView>
  </sheetViews>
  <sheetFormatPr defaultColWidth="9.140625" defaultRowHeight="15" x14ac:dyDescent="0.25"/>
  <cols>
    <col min="1" max="1" width="3.140625" customWidth="1"/>
    <col min="2" max="2" width="13" customWidth="1"/>
    <col min="3" max="3" width="44.42578125" customWidth="1"/>
    <col min="4" max="4" width="12.85546875" style="6" customWidth="1"/>
    <col min="5" max="5" width="14.140625" style="2" bestFit="1" customWidth="1"/>
    <col min="6" max="7" width="14.140625" bestFit="1" customWidth="1"/>
    <col min="8" max="8" width="14.140625" style="2" bestFit="1" customWidth="1"/>
    <col min="9" max="9" width="0.85546875" style="7" customWidth="1"/>
    <col min="10" max="10" width="14.42578125" customWidth="1"/>
    <col min="11" max="11" width="10.140625" customWidth="1"/>
    <col min="12" max="12" width="11.85546875" bestFit="1" customWidth="1"/>
  </cols>
  <sheetData>
    <row r="2" spans="2:39" ht="23.25" x14ac:dyDescent="0.35">
      <c r="B2" s="27" t="s">
        <v>29</v>
      </c>
    </row>
    <row r="3" spans="2:39" x14ac:dyDescent="0.25">
      <c r="B3" s="5" t="s">
        <v>39</v>
      </c>
    </row>
    <row r="4" spans="2:39" x14ac:dyDescent="0.25">
      <c r="B4" s="5"/>
    </row>
    <row r="5" spans="2:39" ht="18.75" x14ac:dyDescent="0.3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ht="30" x14ac:dyDescent="0.25">
      <c r="B6" s="36" t="s">
        <v>3</v>
      </c>
      <c r="C6" s="36" t="s">
        <v>4</v>
      </c>
      <c r="D6" s="36" t="s">
        <v>40</v>
      </c>
      <c r="E6" s="36" t="s">
        <v>41</v>
      </c>
      <c r="F6" s="36" t="s">
        <v>42</v>
      </c>
      <c r="G6" s="36" t="s">
        <v>43</v>
      </c>
      <c r="H6" s="36" t="s">
        <v>44</v>
      </c>
      <c r="I6" s="39"/>
      <c r="J6" s="40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64</v>
      </c>
      <c r="D8" s="15">
        <f>16640/2</f>
        <v>8320</v>
      </c>
      <c r="E8" s="15">
        <f>D8*1.04</f>
        <v>8652.8000000000011</v>
      </c>
      <c r="F8" s="15">
        <f t="shared" ref="F8:H8" si="0">E8*1.04</f>
        <v>8998.9120000000021</v>
      </c>
      <c r="G8" s="15">
        <f t="shared" si="0"/>
        <v>9358.8684800000028</v>
      </c>
      <c r="H8" s="15">
        <f t="shared" si="0"/>
        <v>9733.2232192000029</v>
      </c>
      <c r="I8" s="32">
        <v>450000</v>
      </c>
      <c r="J8" s="15">
        <f>SUM(D8:H8)</f>
        <v>45063.803699200012</v>
      </c>
    </row>
    <row r="9" spans="2:39" x14ac:dyDescent="0.25">
      <c r="B9" s="23"/>
      <c r="C9" s="25" t="s">
        <v>65</v>
      </c>
      <c r="D9" s="15">
        <f>20800/2</f>
        <v>10400</v>
      </c>
      <c r="E9" s="15">
        <f t="shared" ref="E9:H9" si="1">D9*1.04</f>
        <v>10816</v>
      </c>
      <c r="F9" s="15">
        <f t="shared" si="1"/>
        <v>11248.640000000001</v>
      </c>
      <c r="G9" s="15">
        <f t="shared" si="1"/>
        <v>11698.585600000002</v>
      </c>
      <c r="H9" s="15">
        <f t="shared" si="1"/>
        <v>12166.529024000003</v>
      </c>
      <c r="J9" s="15">
        <f>SUM(D9:H9)</f>
        <v>56329.754624000008</v>
      </c>
    </row>
    <row r="10" spans="2:39" x14ac:dyDescent="0.25">
      <c r="B10" s="23"/>
      <c r="C10" s="25" t="s">
        <v>66</v>
      </c>
      <c r="D10" s="15">
        <f>60320/2</f>
        <v>30160</v>
      </c>
      <c r="E10" s="15">
        <f t="shared" ref="E10:H10" si="2">D10*1.04</f>
        <v>31366.400000000001</v>
      </c>
      <c r="F10" s="15">
        <f t="shared" si="2"/>
        <v>32621.056000000004</v>
      </c>
      <c r="G10" s="15">
        <f t="shared" si="2"/>
        <v>33925.898240000002</v>
      </c>
      <c r="H10" s="15">
        <f t="shared" si="2"/>
        <v>35282.934169600005</v>
      </c>
      <c r="J10" s="15">
        <f>SUM(D10:H10)</f>
        <v>163356.28840960003</v>
      </c>
    </row>
    <row r="11" spans="2:39" x14ac:dyDescent="0.25">
      <c r="B11" s="23"/>
      <c r="C11" s="9" t="s">
        <v>12</v>
      </c>
      <c r="D11" s="16">
        <f t="shared" ref="D11:J11" si="3">SUM(D8:D10)</f>
        <v>48880</v>
      </c>
      <c r="E11" s="16">
        <f t="shared" si="3"/>
        <v>50835.200000000004</v>
      </c>
      <c r="F11" s="16">
        <f t="shared" si="3"/>
        <v>52868.608000000007</v>
      </c>
      <c r="G11" s="16">
        <f t="shared" si="3"/>
        <v>54983.352320000005</v>
      </c>
      <c r="H11" s="16">
        <f t="shared" si="3"/>
        <v>57182.686412800009</v>
      </c>
      <c r="I11" s="7">
        <f t="shared" si="3"/>
        <v>450000</v>
      </c>
      <c r="J11" s="16">
        <f t="shared" si="3"/>
        <v>264749.84673280007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 t="s">
        <v>64</v>
      </c>
      <c r="D13" s="15">
        <f>1968/2</f>
        <v>984</v>
      </c>
      <c r="E13" s="15">
        <f>D13*1.04</f>
        <v>1023.36</v>
      </c>
      <c r="F13" s="15">
        <f t="shared" ref="F13:H13" si="4">E13*1.04</f>
        <v>1064.2944</v>
      </c>
      <c r="G13" s="15">
        <f t="shared" si="4"/>
        <v>1106.866176</v>
      </c>
      <c r="H13" s="15">
        <f t="shared" si="4"/>
        <v>1151.14082304</v>
      </c>
      <c r="J13" s="15">
        <f>SUM(D13:H13)</f>
        <v>5329.661399040001</v>
      </c>
    </row>
    <row r="14" spans="2:39" x14ac:dyDescent="0.25">
      <c r="B14" s="23"/>
      <c r="C14" s="25" t="s">
        <v>65</v>
      </c>
      <c r="D14" s="15">
        <f>2460/2</f>
        <v>1230</v>
      </c>
      <c r="E14" s="15">
        <f t="shared" ref="E14:H14" si="5">D14*1.04</f>
        <v>1279.2</v>
      </c>
      <c r="F14" s="15">
        <f t="shared" si="5"/>
        <v>1330.3680000000002</v>
      </c>
      <c r="G14" s="15">
        <f t="shared" si="5"/>
        <v>1383.5827200000001</v>
      </c>
      <c r="H14" s="15">
        <f t="shared" si="5"/>
        <v>1438.9260288000003</v>
      </c>
      <c r="J14" s="15">
        <f t="shared" ref="J14:J15" si="6">SUM(D14:H14)</f>
        <v>6662.076748800001</v>
      </c>
    </row>
    <row r="15" spans="2:39" x14ac:dyDescent="0.25">
      <c r="B15" s="23"/>
      <c r="C15" s="25" t="s">
        <v>66</v>
      </c>
      <c r="D15" s="15">
        <f>6238/2</f>
        <v>3119</v>
      </c>
      <c r="E15" s="15">
        <f t="shared" ref="E15:H15" si="7">D15*1.04</f>
        <v>3243.76</v>
      </c>
      <c r="F15" s="15">
        <f t="shared" si="7"/>
        <v>3373.5104000000001</v>
      </c>
      <c r="G15" s="15">
        <f t="shared" si="7"/>
        <v>3508.450816</v>
      </c>
      <c r="H15" s="15">
        <f t="shared" si="7"/>
        <v>3648.7888486400002</v>
      </c>
      <c r="J15" s="15">
        <f t="shared" si="6"/>
        <v>16893.510064640002</v>
      </c>
    </row>
    <row r="16" spans="2:39" x14ac:dyDescent="0.25">
      <c r="B16" s="23"/>
      <c r="C16" s="9" t="s">
        <v>13</v>
      </c>
      <c r="D16" s="16">
        <f>SUM(D13:D15)</f>
        <v>5333</v>
      </c>
      <c r="E16" s="16">
        <f t="shared" ref="E16:J16" si="8">SUM(E13:E15)</f>
        <v>5546.32</v>
      </c>
      <c r="F16" s="16">
        <f t="shared" si="8"/>
        <v>5768.1728000000003</v>
      </c>
      <c r="G16" s="16">
        <f t="shared" si="8"/>
        <v>5998.8997120000004</v>
      </c>
      <c r="H16" s="16">
        <f t="shared" si="8"/>
        <v>6238.8557004800005</v>
      </c>
      <c r="I16" s="7">
        <f t="shared" si="8"/>
        <v>0</v>
      </c>
      <c r="J16" s="16">
        <f t="shared" si="8"/>
        <v>28885.248212480004</v>
      </c>
    </row>
    <row r="17" spans="2:11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1" x14ac:dyDescent="0.25">
      <c r="B18" s="23"/>
      <c r="C18" s="25"/>
      <c r="D18" s="15"/>
      <c r="E18" s="15"/>
      <c r="F18" s="15"/>
      <c r="G18" s="15"/>
      <c r="H18" s="15"/>
      <c r="I18" s="32">
        <v>1638</v>
      </c>
      <c r="J18" s="15">
        <f t="shared" ref="J18" si="9">SUM(D18:H18)</f>
        <v>0</v>
      </c>
    </row>
    <row r="19" spans="2:11" x14ac:dyDescent="0.25">
      <c r="B19" s="23"/>
      <c r="C19" s="9" t="s">
        <v>14</v>
      </c>
      <c r="D19" s="16">
        <f>SUM(D18:D18)</f>
        <v>0</v>
      </c>
      <c r="E19" s="16">
        <f>SUM(E18:E18)</f>
        <v>0</v>
      </c>
      <c r="F19" s="16">
        <f>SUM(F18:F18)</f>
        <v>0</v>
      </c>
      <c r="G19" s="16">
        <f>SUM(G18:G18)</f>
        <v>0</v>
      </c>
      <c r="H19" s="16">
        <f>SUM(H18:H18)</f>
        <v>0</v>
      </c>
      <c r="J19" s="16">
        <f>SUM(J18:J18)</f>
        <v>0</v>
      </c>
    </row>
    <row r="20" spans="2:11" x14ac:dyDescent="0.25">
      <c r="B20" s="23"/>
      <c r="C20" s="14" t="s">
        <v>34</v>
      </c>
      <c r="D20" s="15"/>
      <c r="E20" s="10"/>
      <c r="F20" s="10"/>
      <c r="G20" s="10"/>
      <c r="H20" s="10"/>
      <c r="J20" s="15" t="s">
        <v>20</v>
      </c>
      <c r="K20" t="s">
        <v>35</v>
      </c>
    </row>
    <row r="21" spans="2:11" ht="30" x14ac:dyDescent="0.25">
      <c r="B21" s="23"/>
      <c r="C21" s="25" t="s">
        <v>48</v>
      </c>
      <c r="D21" s="15">
        <f>500000*0.5</f>
        <v>250000</v>
      </c>
      <c r="E21" s="15">
        <f>(500000*0.5)+(500000*5)</f>
        <v>2750000</v>
      </c>
      <c r="F21" s="15">
        <f>500000*9</f>
        <v>4500000</v>
      </c>
      <c r="G21" s="15">
        <f>500000*5</f>
        <v>2500000</v>
      </c>
      <c r="H21" s="15">
        <v>0</v>
      </c>
      <c r="I21" s="32">
        <v>375000</v>
      </c>
      <c r="J21" s="15">
        <f>SUM(D21:H21)</f>
        <v>10000000</v>
      </c>
    </row>
    <row r="22" spans="2:11" x14ac:dyDescent="0.25">
      <c r="B22" s="23"/>
      <c r="C22" s="25" t="s">
        <v>49</v>
      </c>
      <c r="D22" s="15">
        <v>0</v>
      </c>
      <c r="E22" s="15">
        <v>0</v>
      </c>
      <c r="F22" s="15">
        <v>4000000</v>
      </c>
      <c r="G22" s="15">
        <v>4000000</v>
      </c>
      <c r="H22" s="15">
        <v>4000000</v>
      </c>
      <c r="J22" s="15">
        <f>SUM(D22:H22)</f>
        <v>12000000</v>
      </c>
    </row>
    <row r="23" spans="2:11" x14ac:dyDescent="0.25">
      <c r="B23" s="23"/>
      <c r="C23" s="9" t="s">
        <v>15</v>
      </c>
      <c r="D23" s="12">
        <f>SUM(D21:D22)</f>
        <v>250000</v>
      </c>
      <c r="E23" s="12">
        <f>SUM(E21:E22)</f>
        <v>2750000</v>
      </c>
      <c r="F23" s="12">
        <f>SUM(F21:F22)</f>
        <v>8500000</v>
      </c>
      <c r="G23" s="12">
        <f>SUM(G21:G22)</f>
        <v>6500000</v>
      </c>
      <c r="H23" s="12">
        <f>SUM(H21:H22)</f>
        <v>4000000</v>
      </c>
      <c r="J23" s="16">
        <f>SUM(J21:J22)</f>
        <v>22000000</v>
      </c>
    </row>
    <row r="24" spans="2:11" x14ac:dyDescent="0.25">
      <c r="B24" s="23"/>
      <c r="C24" s="14" t="s">
        <v>36</v>
      </c>
      <c r="D24" s="13" t="s">
        <v>31</v>
      </c>
      <c r="E24" s="10"/>
      <c r="F24" s="10"/>
      <c r="G24" s="10"/>
      <c r="H24" s="10"/>
      <c r="J24" s="15"/>
    </row>
    <row r="25" spans="2:11" x14ac:dyDescent="0.25">
      <c r="B25" s="23"/>
      <c r="C25" s="25"/>
      <c r="D25" s="15"/>
      <c r="E25" s="11"/>
      <c r="F25" s="11"/>
      <c r="G25" s="11"/>
      <c r="H25" s="11"/>
      <c r="J25" s="15">
        <f t="shared" ref="J25:J37" si="10">SUM(D25:H25)</f>
        <v>0</v>
      </c>
    </row>
    <row r="26" spans="2:11" x14ac:dyDescent="0.25">
      <c r="B26" s="23"/>
      <c r="C26" s="9" t="s">
        <v>16</v>
      </c>
      <c r="D26" s="16">
        <f>SUM(D25:D25)</f>
        <v>0</v>
      </c>
      <c r="E26" s="16">
        <f>SUM(E25:E25)</f>
        <v>0</v>
      </c>
      <c r="F26" s="16">
        <f>SUM(F25:F25)</f>
        <v>0</v>
      </c>
      <c r="G26" s="16">
        <f>SUM(G25:G25)</f>
        <v>0</v>
      </c>
      <c r="H26" s="16">
        <f>SUM(H25:H25)</f>
        <v>0</v>
      </c>
      <c r="J26" s="16">
        <f>SUM(J25:J25)</f>
        <v>0</v>
      </c>
    </row>
    <row r="27" spans="2:11" x14ac:dyDescent="0.25">
      <c r="B27" s="23"/>
      <c r="C27" s="25"/>
      <c r="D27" s="15"/>
      <c r="E27" s="11"/>
      <c r="F27" s="11"/>
      <c r="G27" s="11"/>
      <c r="H27" s="11"/>
      <c r="J27" s="15">
        <f t="shared" si="10"/>
        <v>0</v>
      </c>
    </row>
    <row r="28" spans="2:11" x14ac:dyDescent="0.25">
      <c r="B28" s="23"/>
      <c r="C28" s="9" t="s">
        <v>17</v>
      </c>
      <c r="D28" s="16">
        <f>SUM(D27:D27)</f>
        <v>0</v>
      </c>
      <c r="E28" s="16">
        <f>SUM(E27:E27)</f>
        <v>0</v>
      </c>
      <c r="F28" s="16">
        <f>SUM(F27:F27)</f>
        <v>0</v>
      </c>
      <c r="G28" s="16">
        <f>SUM(G27:G27)</f>
        <v>0</v>
      </c>
      <c r="H28" s="16">
        <f>SUM(H27:H27)</f>
        <v>0</v>
      </c>
      <c r="J28" s="16">
        <f>SUM(J27:J27)</f>
        <v>0</v>
      </c>
    </row>
    <row r="29" spans="2:11" x14ac:dyDescent="0.25">
      <c r="B29" s="23"/>
      <c r="C29" s="14" t="s">
        <v>69</v>
      </c>
      <c r="D29" s="13" t="s">
        <v>31</v>
      </c>
      <c r="E29" s="10"/>
      <c r="F29" s="10"/>
      <c r="G29" s="10"/>
      <c r="H29" s="10"/>
      <c r="J29" s="15"/>
    </row>
    <row r="30" spans="2:11" x14ac:dyDescent="0.25">
      <c r="B30" s="23"/>
      <c r="C30" s="25" t="s">
        <v>45</v>
      </c>
      <c r="D30" s="15">
        <v>0</v>
      </c>
      <c r="E30" s="15">
        <v>1000000</v>
      </c>
      <c r="F30" s="15">
        <v>3000000</v>
      </c>
      <c r="G30" s="15">
        <v>2000000</v>
      </c>
      <c r="H30" s="15">
        <v>500000</v>
      </c>
      <c r="I30" s="32">
        <v>781250</v>
      </c>
      <c r="J30" s="15">
        <f>SUM(D30:H30)</f>
        <v>6500000</v>
      </c>
    </row>
    <row r="31" spans="2:11" ht="30" x14ac:dyDescent="0.25">
      <c r="B31" s="23"/>
      <c r="C31" s="25" t="s">
        <v>46</v>
      </c>
      <c r="D31" s="15">
        <v>0</v>
      </c>
      <c r="E31" s="15">
        <f>25000*30</f>
        <v>750000</v>
      </c>
      <c r="F31" s="15">
        <v>0</v>
      </c>
      <c r="G31" s="15">
        <v>0</v>
      </c>
      <c r="H31" s="15">
        <v>0</v>
      </c>
      <c r="I31" s="32">
        <v>2083335</v>
      </c>
      <c r="J31" s="15">
        <f t="shared" si="10"/>
        <v>750000</v>
      </c>
    </row>
    <row r="32" spans="2:11" ht="45" x14ac:dyDescent="0.25">
      <c r="B32" s="23"/>
      <c r="C32" s="25" t="s">
        <v>50</v>
      </c>
      <c r="D32" s="15">
        <f>150000*0.75</f>
        <v>112500</v>
      </c>
      <c r="E32" s="15">
        <f>150000*0.25</f>
        <v>37500</v>
      </c>
      <c r="F32" s="15">
        <v>50000</v>
      </c>
      <c r="G32" s="15">
        <v>20000</v>
      </c>
      <c r="H32" s="15">
        <v>10000</v>
      </c>
      <c r="J32" s="15">
        <f>SUM(D32:H32)</f>
        <v>230000</v>
      </c>
    </row>
    <row r="33" spans="2:12" x14ac:dyDescent="0.25">
      <c r="B33" s="23"/>
      <c r="C33" s="25" t="s">
        <v>51</v>
      </c>
      <c r="D33" s="15">
        <f>100000/4</f>
        <v>25000</v>
      </c>
      <c r="E33" s="15">
        <f t="shared" ref="E33:H34" si="11">100000/4</f>
        <v>25000</v>
      </c>
      <c r="F33" s="15">
        <f t="shared" si="11"/>
        <v>25000</v>
      </c>
      <c r="G33" s="15">
        <f t="shared" si="11"/>
        <v>25000</v>
      </c>
      <c r="H33" s="15">
        <v>0</v>
      </c>
      <c r="J33" s="15">
        <f>SUM(D33:H33)</f>
        <v>100000</v>
      </c>
    </row>
    <row r="34" spans="2:12" x14ac:dyDescent="0.25">
      <c r="B34" s="23"/>
      <c r="C34" s="25" t="s">
        <v>47</v>
      </c>
      <c r="D34" s="15">
        <f>100000/4</f>
        <v>25000</v>
      </c>
      <c r="E34" s="15">
        <f t="shared" si="11"/>
        <v>25000</v>
      </c>
      <c r="F34" s="15">
        <f t="shared" si="11"/>
        <v>25000</v>
      </c>
      <c r="G34" s="15">
        <f t="shared" si="11"/>
        <v>25000</v>
      </c>
      <c r="H34" s="15">
        <f t="shared" si="11"/>
        <v>25000</v>
      </c>
      <c r="J34" s="15">
        <f>SUM(D34:H34)</f>
        <v>125000</v>
      </c>
    </row>
    <row r="35" spans="2:12" x14ac:dyDescent="0.25">
      <c r="B35" s="23"/>
      <c r="C35" s="25" t="s">
        <v>52</v>
      </c>
      <c r="D35" s="15">
        <f t="shared" ref="D35:F35" si="12">(SUM(D30:D34)+D23)*0.15</f>
        <v>61875</v>
      </c>
      <c r="E35" s="15">
        <f t="shared" si="12"/>
        <v>688125</v>
      </c>
      <c r="F35" s="15">
        <f t="shared" si="12"/>
        <v>1740000</v>
      </c>
      <c r="G35" s="15">
        <f>(SUM(G30:G34)+G23)*0.15</f>
        <v>1285500</v>
      </c>
      <c r="H35" s="15">
        <f>(SUM(H30:H34)+H23)*0.15</f>
        <v>680250</v>
      </c>
      <c r="J35" s="15">
        <f>SUM(D35:H35)</f>
        <v>4455750</v>
      </c>
    </row>
    <row r="36" spans="2:12" x14ac:dyDescent="0.25">
      <c r="B36" s="24"/>
      <c r="C36" s="9" t="s">
        <v>18</v>
      </c>
      <c r="D36" s="16">
        <f>SUM(D30:D35)</f>
        <v>224375</v>
      </c>
      <c r="E36" s="16">
        <f>SUM(E30:E35)</f>
        <v>2525625</v>
      </c>
      <c r="F36" s="16">
        <f>SUM(F30:F35)</f>
        <v>4840000</v>
      </c>
      <c r="G36" s="16">
        <f>SUM(G30:G35)</f>
        <v>3355500</v>
      </c>
      <c r="H36" s="16">
        <f>SUM(H30:H35)</f>
        <v>1215250</v>
      </c>
      <c r="J36" s="16">
        <f>SUM(J30:J35)</f>
        <v>12160750</v>
      </c>
    </row>
    <row r="37" spans="2:12" x14ac:dyDescent="0.25">
      <c r="B37" s="24"/>
      <c r="C37" s="9" t="s">
        <v>19</v>
      </c>
      <c r="D37" s="16">
        <f>SUM(D36,D28,D26,D23,D19,D16,D11)</f>
        <v>528588</v>
      </c>
      <c r="E37" s="16">
        <f>SUM(E36,E28,E26,E23,E19,E16,E11)</f>
        <v>5332006.5200000005</v>
      </c>
      <c r="F37" s="16">
        <f>SUM(F36,F28,F26,F23,F19,F16,F11)</f>
        <v>13398636.7808</v>
      </c>
      <c r="G37" s="16">
        <f>SUM(G36,G28,G26,G23,G19,G16,G11)</f>
        <v>9916482.2520320006</v>
      </c>
      <c r="H37" s="16">
        <f>SUM(H36,H28,H26,H23,H19,H16,H11)</f>
        <v>5278671.5421132799</v>
      </c>
      <c r="J37" s="16">
        <f t="shared" si="10"/>
        <v>34454385.094945282</v>
      </c>
    </row>
    <row r="38" spans="2:12" x14ac:dyDescent="0.25">
      <c r="B38" s="6"/>
      <c r="D38"/>
      <c r="E38"/>
      <c r="H38"/>
      <c r="I38"/>
      <c r="J38" t="s">
        <v>20</v>
      </c>
      <c r="L38" s="31"/>
    </row>
    <row r="39" spans="2:12" x14ac:dyDescent="0.25">
      <c r="B39" s="22" t="s">
        <v>38</v>
      </c>
      <c r="C39" s="17" t="s">
        <v>38</v>
      </c>
      <c r="D39" s="18"/>
      <c r="E39" s="18"/>
      <c r="F39" s="18"/>
      <c r="G39" s="18"/>
      <c r="H39" s="18"/>
      <c r="I39"/>
      <c r="J39" s="18" t="s">
        <v>20</v>
      </c>
    </row>
    <row r="40" spans="2:12" ht="30" x14ac:dyDescent="0.25">
      <c r="B40" s="23"/>
      <c r="C40" s="25" t="s">
        <v>63</v>
      </c>
      <c r="D40" s="70">
        <v>18031</v>
      </c>
      <c r="E40" s="70">
        <v>18752</v>
      </c>
      <c r="F40" s="70">
        <v>19503</v>
      </c>
      <c r="G40" s="70">
        <v>20283</v>
      </c>
      <c r="H40" s="70">
        <v>21094</v>
      </c>
      <c r="J40" s="15">
        <f>SUM(D40:H40)</f>
        <v>97663</v>
      </c>
    </row>
    <row r="41" spans="2:12" x14ac:dyDescent="0.25">
      <c r="B41" s="23"/>
      <c r="C41" s="71">
        <v>0.33260000000000001</v>
      </c>
      <c r="D41" s="13"/>
      <c r="E41" s="10"/>
      <c r="F41" s="10"/>
      <c r="G41" s="10"/>
      <c r="H41" s="10"/>
      <c r="J41" s="15">
        <f t="shared" ref="J41:J42" si="13">SUM(D41:H41)</f>
        <v>0</v>
      </c>
    </row>
    <row r="42" spans="2:12" x14ac:dyDescent="0.25">
      <c r="B42" s="24"/>
      <c r="C42" s="9" t="s">
        <v>21</v>
      </c>
      <c r="D42" s="16">
        <f>SUM(D40:D41)</f>
        <v>18031</v>
      </c>
      <c r="E42" s="16">
        <f t="shared" ref="E42:H42" si="14">SUM(E40:E41)</f>
        <v>18752</v>
      </c>
      <c r="F42" s="16">
        <f t="shared" si="14"/>
        <v>19503</v>
      </c>
      <c r="G42" s="16">
        <f t="shared" si="14"/>
        <v>20283</v>
      </c>
      <c r="H42" s="16">
        <f t="shared" si="14"/>
        <v>21094</v>
      </c>
      <c r="J42" s="16">
        <f t="shared" si="13"/>
        <v>97663</v>
      </c>
    </row>
    <row r="43" spans="2:12" ht="15.75" thickBot="1" x14ac:dyDescent="0.3">
      <c r="B43" s="6"/>
      <c r="D43"/>
      <c r="E43"/>
      <c r="H43"/>
      <c r="I43"/>
      <c r="J43" t="s">
        <v>20</v>
      </c>
    </row>
    <row r="44" spans="2:12" s="1" customFormat="1" ht="30.75" thickBot="1" x14ac:dyDescent="0.3">
      <c r="B44" s="19" t="s">
        <v>22</v>
      </c>
      <c r="C44" s="19"/>
      <c r="D44" s="20">
        <f>SUM(D42,D37)</f>
        <v>546619</v>
      </c>
      <c r="E44" s="20">
        <f t="shared" ref="E44:H44" si="15">SUM(E42,E37)</f>
        <v>5350758.5200000005</v>
      </c>
      <c r="F44" s="20">
        <f t="shared" si="15"/>
        <v>13418139.7808</v>
      </c>
      <c r="G44" s="20">
        <f t="shared" si="15"/>
        <v>9936765.2520320006</v>
      </c>
      <c r="H44" s="20">
        <f t="shared" si="15"/>
        <v>5299765.5421132799</v>
      </c>
      <c r="I44" s="7">
        <f>SUM(I42,I37)</f>
        <v>0</v>
      </c>
      <c r="J44" s="20">
        <f>SUM(J42,J37)</f>
        <v>34552048.094945282</v>
      </c>
    </row>
    <row r="45" spans="2:12" x14ac:dyDescent="0.25">
      <c r="B45" s="6"/>
    </row>
    <row r="46" spans="2:12" x14ac:dyDescent="0.25">
      <c r="B46" s="6"/>
    </row>
    <row r="47" spans="2:12" x14ac:dyDescent="0.25">
      <c r="B47" s="6"/>
    </row>
    <row r="48" spans="2:1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</sheetData>
  <pageMargins left="0.7" right="0.7" top="0.75" bottom="0.75" header="0.3" footer="0.3"/>
  <pageSetup scale="89" fitToHeight="0" orientation="landscape" r:id="rId1"/>
  <ignoredErrors>
    <ignoredError sqref="J8 J18 J3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Measure 1 Budget</vt:lpstr>
      <vt:lpstr>Measure 2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2024-04-01T17:45:47Z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