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msys.sharepoint.com/sites/PROJPortofOaklandGrantSupport/Shared Documents/General/2024 EPA CPRG - Seaport/Emissions/"/>
    </mc:Choice>
  </mc:AlternateContent>
  <xr:revisionPtr revIDLastSave="597" documentId="8_{8FEECB21-98CE-4977-80DF-F0F8050EF02E}" xr6:coauthVersionLast="47" xr6:coauthVersionMax="47" xr10:uidLastSave="{7469486D-4047-4DBE-9678-C24B10E15075}"/>
  <bookViews>
    <workbookView xWindow="28680" yWindow="-120" windowWidth="29040" windowHeight="15840" xr2:uid="{86125F36-6ED2-4766-8A83-5D5DCEF9A178}"/>
  </bookViews>
  <sheets>
    <sheet name="CPRG calcs" sheetId="1" r:id="rId1"/>
    <sheet name="Factors" sheetId="4" r:id="rId2"/>
    <sheet name="2020 Inventory" sheetId="2" r:id="rId3"/>
    <sheet name="Tenant Plans" sheetId="3" r:id="rId4"/>
    <sheet name="Sheet2" sheetId="5" state="hidden" r:id="rId5"/>
  </sheets>
  <externalReferences>
    <externalReference r:id="rId6"/>
  </externalReferences>
  <definedNames>
    <definedName name="_xlnm.Print_Area" localSheetId="3">'Tenant Plans'!$A$1:$G$24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47" i="1" l="1"/>
  <c r="AG48" i="1"/>
  <c r="AG49" i="1"/>
  <c r="AF49" i="1"/>
  <c r="AF48" i="1"/>
  <c r="AF47" i="1"/>
  <c r="H8" i="1"/>
  <c r="AL44" i="1"/>
  <c r="AK44" i="1"/>
  <c r="V38" i="1"/>
  <c r="W38" i="1" s="1"/>
  <c r="X38" i="1" s="1"/>
  <c r="Y38" i="1" s="1"/>
  <c r="Z38" i="1" s="1"/>
  <c r="AA38" i="1" s="1"/>
  <c r="AB38" i="1" s="1"/>
  <c r="AC38" i="1" s="1"/>
  <c r="AD38" i="1" s="1"/>
  <c r="U38" i="1"/>
  <c r="P3" i="1"/>
  <c r="Q3" i="1" s="1"/>
  <c r="R3" i="1" s="1"/>
  <c r="S3" i="1" s="1"/>
  <c r="T3" i="1" s="1"/>
  <c r="N3" i="1"/>
  <c r="L3" i="1"/>
  <c r="J3" i="1"/>
  <c r="G3" i="1"/>
  <c r="F3" i="1"/>
  <c r="E3" i="1"/>
  <c r="K3" i="1" s="1"/>
  <c r="G6" i="1"/>
  <c r="H6" i="1"/>
  <c r="I6" i="1"/>
  <c r="J6" i="1"/>
  <c r="K6" i="1"/>
  <c r="L6" i="1"/>
  <c r="F6" i="1"/>
  <c r="G5" i="1"/>
  <c r="H5" i="1"/>
  <c r="I5" i="1"/>
  <c r="J5" i="1"/>
  <c r="K5" i="1"/>
  <c r="L5" i="1"/>
  <c r="M5" i="1"/>
  <c r="N5" i="1"/>
  <c r="F5" i="1"/>
  <c r="G4" i="1"/>
  <c r="H4" i="1"/>
  <c r="I4" i="1"/>
  <c r="J4" i="1"/>
  <c r="K4" i="1"/>
  <c r="F4" i="1"/>
  <c r="M3" i="1" l="1"/>
  <c r="H3" i="1"/>
  <c r="I3" i="1"/>
  <c r="N6" i="1" l="1"/>
  <c r="O6" i="1" s="1"/>
  <c r="B15" i="4" l="1"/>
  <c r="H12" i="4"/>
  <c r="H11" i="4"/>
  <c r="B21" i="4"/>
  <c r="B19" i="4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F38" i="1"/>
  <c r="B9" i="4"/>
  <c r="A3" i="1"/>
  <c r="A20" i="1" s="1"/>
  <c r="M8" i="1"/>
  <c r="N8" i="1" s="1"/>
  <c r="O8" i="1" s="1"/>
  <c r="P8" i="1" s="1"/>
  <c r="Q8" i="1" s="1"/>
  <c r="R8" i="1" s="1"/>
  <c r="S8" i="1" s="1"/>
  <c r="T8" i="1" s="1"/>
  <c r="U8" i="1" s="1"/>
  <c r="V8" i="1" s="1"/>
  <c r="W8" i="1" s="1"/>
  <c r="X8" i="1" s="1"/>
  <c r="Y8" i="1" s="1"/>
  <c r="Z8" i="1" s="1"/>
  <c r="AA8" i="1" s="1"/>
  <c r="AB8" i="1" s="1"/>
  <c r="AC8" i="1" s="1"/>
  <c r="AD8" i="1" s="1"/>
  <c r="P6" i="1"/>
  <c r="Q6" i="1" s="1"/>
  <c r="R6" i="1" s="1"/>
  <c r="S6" i="1" s="1"/>
  <c r="T6" i="1" s="1"/>
  <c r="U6" i="1" s="1"/>
  <c r="V6" i="1" s="1"/>
  <c r="W6" i="1" s="1"/>
  <c r="X6" i="1" s="1"/>
  <c r="Y6" i="1" s="1"/>
  <c r="Z6" i="1" s="1"/>
  <c r="AA6" i="1" s="1"/>
  <c r="AB6" i="1" s="1"/>
  <c r="AC6" i="1" s="1"/>
  <c r="AD6" i="1" s="1"/>
  <c r="P5" i="1"/>
  <c r="Q5" i="1" s="1"/>
  <c r="R5" i="1" s="1"/>
  <c r="S5" i="1" s="1"/>
  <c r="T5" i="1" s="1"/>
  <c r="M4" i="1"/>
  <c r="N4" i="1" s="1"/>
  <c r="O4" i="1" s="1"/>
  <c r="P4" i="1" s="1"/>
  <c r="Q4" i="1" s="1"/>
  <c r="R4" i="1" s="1"/>
  <c r="S4" i="1" s="1"/>
  <c r="T4" i="1" s="1"/>
  <c r="U4" i="1" s="1"/>
  <c r="V4" i="1" s="1"/>
  <c r="W4" i="1" s="1"/>
  <c r="X4" i="1" s="1"/>
  <c r="Y4" i="1" s="1"/>
  <c r="Z4" i="1" s="1"/>
  <c r="AA4" i="1" s="1"/>
  <c r="AB4" i="1" s="1"/>
  <c r="AC4" i="1" s="1"/>
  <c r="AD4" i="1" s="1"/>
  <c r="U3" i="1"/>
  <c r="A4" i="1"/>
  <c r="A21" i="1" s="1"/>
  <c r="A5" i="1"/>
  <c r="A22" i="1" s="1"/>
  <c r="A6" i="1"/>
  <c r="A23" i="1" s="1"/>
  <c r="B24" i="3"/>
  <c r="F20" i="3"/>
  <c r="B20" i="3" s="1"/>
  <c r="F19" i="3"/>
  <c r="E19" i="3"/>
  <c r="D19" i="3"/>
  <c r="C19" i="3"/>
  <c r="F18" i="3"/>
  <c r="E18" i="3"/>
  <c r="D18" i="3"/>
  <c r="C18" i="3"/>
  <c r="F17" i="3"/>
  <c r="E17" i="3"/>
  <c r="D17" i="3"/>
  <c r="C17" i="3"/>
  <c r="F16" i="3"/>
  <c r="E16" i="3"/>
  <c r="D16" i="3"/>
  <c r="C16" i="3"/>
  <c r="B16" i="3" s="1"/>
  <c r="F15" i="3"/>
  <c r="E15" i="3"/>
  <c r="D15" i="3"/>
  <c r="C15" i="3"/>
  <c r="F14" i="3"/>
  <c r="E14" i="3"/>
  <c r="D14" i="3"/>
  <c r="C14" i="3"/>
  <c r="F13" i="3"/>
  <c r="E13" i="3"/>
  <c r="D13" i="3"/>
  <c r="C13" i="3"/>
  <c r="F12" i="3"/>
  <c r="E12" i="3"/>
  <c r="D12" i="3"/>
  <c r="C12" i="3"/>
  <c r="F11" i="3"/>
  <c r="E11" i="3"/>
  <c r="D11" i="3"/>
  <c r="C11" i="3"/>
  <c r="F10" i="3"/>
  <c r="E10" i="3"/>
  <c r="D10" i="3"/>
  <c r="C10" i="3"/>
  <c r="F9" i="3"/>
  <c r="E9" i="3"/>
  <c r="D9" i="3"/>
  <c r="C9" i="3"/>
  <c r="F8" i="3"/>
  <c r="B8" i="3" s="1"/>
  <c r="E8" i="3"/>
  <c r="D8" i="3"/>
  <c r="C8" i="3"/>
  <c r="F7" i="3"/>
  <c r="E7" i="3"/>
  <c r="D7" i="3"/>
  <c r="C7" i="3"/>
  <c r="G6" i="3"/>
  <c r="F6" i="3"/>
  <c r="E6" i="3"/>
  <c r="D6" i="3"/>
  <c r="C6" i="3"/>
  <c r="G5" i="3"/>
  <c r="F5" i="3"/>
  <c r="E5" i="3"/>
  <c r="D5" i="3"/>
  <c r="C5" i="3"/>
  <c r="G4" i="3"/>
  <c r="F4" i="3"/>
  <c r="E4" i="3"/>
  <c r="D4" i="3"/>
  <c r="C4" i="3"/>
  <c r="G3" i="3"/>
  <c r="F3" i="3"/>
  <c r="E3" i="3"/>
  <c r="D3" i="3"/>
  <c r="C3" i="3"/>
  <c r="G2" i="3"/>
  <c r="G27" i="3" s="1"/>
  <c r="F2" i="3"/>
  <c r="E2" i="3"/>
  <c r="E29" i="3" s="1"/>
  <c r="D2" i="3"/>
  <c r="C2" i="3"/>
  <c r="G9" i="2"/>
  <c r="I9" i="2"/>
  <c r="G10" i="2"/>
  <c r="H10" i="2"/>
  <c r="I12" i="2"/>
  <c r="H13" i="2"/>
  <c r="I13" i="2"/>
  <c r="G14" i="2"/>
  <c r="H15" i="2"/>
  <c r="G17" i="2"/>
  <c r="H17" i="2"/>
  <c r="I17" i="2"/>
  <c r="G19" i="2"/>
  <c r="I19" i="2"/>
  <c r="G20" i="2"/>
  <c r="H20" i="2"/>
  <c r="I22" i="2"/>
  <c r="H24" i="2"/>
  <c r="I24" i="2"/>
  <c r="G25" i="2"/>
  <c r="H26" i="2"/>
  <c r="G28" i="2"/>
  <c r="H28" i="2"/>
  <c r="I28" i="2"/>
  <c r="D29" i="2"/>
  <c r="G8" i="2" s="1"/>
  <c r="E29" i="2"/>
  <c r="H14" i="2" s="1"/>
  <c r="F29" i="2"/>
  <c r="I10" i="2" s="1"/>
  <c r="B15" i="3" l="1"/>
  <c r="E26" i="3"/>
  <c r="G26" i="3"/>
  <c r="C29" i="3"/>
  <c r="D28" i="3"/>
  <c r="G28" i="3"/>
  <c r="B14" i="3"/>
  <c r="E27" i="3"/>
  <c r="B13" i="3"/>
  <c r="F28" i="3"/>
  <c r="B7" i="3"/>
  <c r="G29" i="3"/>
  <c r="G21" i="3"/>
  <c r="B6" i="3"/>
  <c r="B17" i="3"/>
  <c r="B19" i="3"/>
  <c r="F26" i="3"/>
  <c r="F29" i="3"/>
  <c r="C28" i="3"/>
  <c r="D26" i="3"/>
  <c r="D29" i="3"/>
  <c r="F27" i="3"/>
  <c r="B10" i="3"/>
  <c r="B12" i="3"/>
  <c r="B3" i="3"/>
  <c r="B5" i="3"/>
  <c r="C26" i="3"/>
  <c r="B18" i="3"/>
  <c r="D27" i="3"/>
  <c r="B2" i="3"/>
  <c r="C27" i="3"/>
  <c r="D33" i="3" s="1"/>
  <c r="D21" i="3"/>
  <c r="E21" i="3"/>
  <c r="B4" i="3"/>
  <c r="B9" i="3"/>
  <c r="B11" i="3"/>
  <c r="E28" i="3"/>
  <c r="F21" i="3"/>
  <c r="B11" i="4"/>
  <c r="V39" i="1" s="1"/>
  <c r="V40" i="1" s="1"/>
  <c r="A32" i="1"/>
  <c r="A34" i="1"/>
  <c r="A35" i="1"/>
  <c r="A33" i="1"/>
  <c r="A26" i="1"/>
  <c r="A27" i="1"/>
  <c r="A28" i="1"/>
  <c r="A29" i="1"/>
  <c r="A14" i="1"/>
  <c r="A15" i="1"/>
  <c r="A16" i="1"/>
  <c r="A17" i="1"/>
  <c r="U5" i="1"/>
  <c r="V3" i="1"/>
  <c r="C21" i="3"/>
  <c r="I26" i="2"/>
  <c r="G24" i="2"/>
  <c r="H19" i="2"/>
  <c r="I15" i="2"/>
  <c r="G13" i="2"/>
  <c r="H9" i="2"/>
  <c r="G26" i="2"/>
  <c r="H22" i="2"/>
  <c r="I18" i="2"/>
  <c r="G15" i="2"/>
  <c r="H12" i="2"/>
  <c r="I8" i="2"/>
  <c r="I25" i="2"/>
  <c r="G22" i="2"/>
  <c r="H18" i="2"/>
  <c r="I14" i="2"/>
  <c r="G12" i="2"/>
  <c r="G29" i="2" s="1"/>
  <c r="H8" i="2"/>
  <c r="H25" i="2"/>
  <c r="I20" i="2"/>
  <c r="G18" i="2"/>
  <c r="D32" i="3" l="1"/>
  <c r="D34" i="3"/>
  <c r="B21" i="3"/>
  <c r="H21" i="3" s="1"/>
  <c r="I29" i="3"/>
  <c r="D35" i="3"/>
  <c r="C33" i="3"/>
  <c r="I27" i="3"/>
  <c r="B29" i="3"/>
  <c r="B26" i="3"/>
  <c r="B27" i="3"/>
  <c r="B28" i="3"/>
  <c r="I26" i="3"/>
  <c r="C32" i="3"/>
  <c r="C34" i="3"/>
  <c r="I28" i="3"/>
  <c r="C35" i="3"/>
  <c r="U39" i="1"/>
  <c r="U40" i="1" s="1"/>
  <c r="F39" i="1"/>
  <c r="F40" i="1" s="1"/>
  <c r="Q39" i="1"/>
  <c r="Q40" i="1" s="1"/>
  <c r="R39" i="1"/>
  <c r="R40" i="1" s="1"/>
  <c r="I39" i="1"/>
  <c r="I40" i="1" s="1"/>
  <c r="Y39" i="1"/>
  <c r="Y40" i="1" s="1"/>
  <c r="J39" i="1"/>
  <c r="J40" i="1" s="1"/>
  <c r="K39" i="1"/>
  <c r="K40" i="1" s="1"/>
  <c r="S39" i="1"/>
  <c r="S40" i="1" s="1"/>
  <c r="AA39" i="1"/>
  <c r="AA40" i="1" s="1"/>
  <c r="L39" i="1"/>
  <c r="L40" i="1" s="1"/>
  <c r="T39" i="1"/>
  <c r="T40" i="1" s="1"/>
  <c r="AB39" i="1"/>
  <c r="AB40" i="1" s="1"/>
  <c r="Z39" i="1"/>
  <c r="Z40" i="1" s="1"/>
  <c r="N39" i="1"/>
  <c r="N40" i="1" s="1"/>
  <c r="AC39" i="1"/>
  <c r="AC40" i="1" s="1"/>
  <c r="AD39" i="1"/>
  <c r="AD40" i="1" s="1"/>
  <c r="G39" i="1"/>
  <c r="G40" i="1" s="1"/>
  <c r="O39" i="1"/>
  <c r="O40" i="1" s="1"/>
  <c r="W39" i="1"/>
  <c r="W40" i="1" s="1"/>
  <c r="H39" i="1"/>
  <c r="H40" i="1" s="1"/>
  <c r="E39" i="1"/>
  <c r="E40" i="1" s="1"/>
  <c r="X39" i="1"/>
  <c r="X40" i="1" s="1"/>
  <c r="P39" i="1"/>
  <c r="P40" i="1" s="1"/>
  <c r="M39" i="1"/>
  <c r="M40" i="1" s="1"/>
  <c r="U11" i="1"/>
  <c r="W3" i="1"/>
  <c r="V5" i="1"/>
  <c r="I29" i="2"/>
  <c r="H29" i="2"/>
  <c r="G22" i="3" l="1"/>
  <c r="F22" i="3"/>
  <c r="D22" i="3"/>
  <c r="C22" i="3"/>
  <c r="E22" i="3"/>
  <c r="J15" i="1"/>
  <c r="R15" i="1"/>
  <c r="R21" i="1" s="1"/>
  <c r="R27" i="1" s="1"/>
  <c r="R33" i="1" s="1"/>
  <c r="Z15" i="1"/>
  <c r="Z21" i="1" s="1"/>
  <c r="Z27" i="1" s="1"/>
  <c r="Z33" i="1" s="1"/>
  <c r="K15" i="1"/>
  <c r="S15" i="1"/>
  <c r="S21" i="1" s="1"/>
  <c r="S27" i="1" s="1"/>
  <c r="S33" i="1" s="1"/>
  <c r="AA15" i="1"/>
  <c r="AA21" i="1" s="1"/>
  <c r="AA27" i="1" s="1"/>
  <c r="AA33" i="1" s="1"/>
  <c r="H15" i="1"/>
  <c r="L15" i="1"/>
  <c r="L21" i="1" s="1"/>
  <c r="L27" i="1" s="1"/>
  <c r="L33" i="1" s="1"/>
  <c r="T15" i="1"/>
  <c r="T21" i="1" s="1"/>
  <c r="T27" i="1" s="1"/>
  <c r="T33" i="1" s="1"/>
  <c r="AB15" i="1"/>
  <c r="AB21" i="1" s="1"/>
  <c r="AB27" i="1" s="1"/>
  <c r="AB33" i="1" s="1"/>
  <c r="M15" i="1"/>
  <c r="M21" i="1" s="1"/>
  <c r="M27" i="1" s="1"/>
  <c r="M33" i="1" s="1"/>
  <c r="U15" i="1"/>
  <c r="U21" i="1" s="1"/>
  <c r="U27" i="1" s="1"/>
  <c r="U33" i="1" s="1"/>
  <c r="AC15" i="1"/>
  <c r="AC21" i="1" s="1"/>
  <c r="AC27" i="1" s="1"/>
  <c r="AC33" i="1" s="1"/>
  <c r="P15" i="1"/>
  <c r="P21" i="1" s="1"/>
  <c r="P27" i="1" s="1"/>
  <c r="P33" i="1" s="1"/>
  <c r="F15" i="1"/>
  <c r="N15" i="1"/>
  <c r="N21" i="1" s="1"/>
  <c r="N27" i="1" s="1"/>
  <c r="N33" i="1" s="1"/>
  <c r="V15" i="1"/>
  <c r="V21" i="1" s="1"/>
  <c r="V27" i="1" s="1"/>
  <c r="V33" i="1" s="1"/>
  <c r="AD15" i="1"/>
  <c r="AD21" i="1" s="1"/>
  <c r="AD27" i="1" s="1"/>
  <c r="AD33" i="1" s="1"/>
  <c r="X15" i="1"/>
  <c r="X21" i="1" s="1"/>
  <c r="X27" i="1" s="1"/>
  <c r="X33" i="1" s="1"/>
  <c r="G15" i="1"/>
  <c r="O15" i="1"/>
  <c r="O21" i="1" s="1"/>
  <c r="O27" i="1" s="1"/>
  <c r="O33" i="1" s="1"/>
  <c r="W15" i="1"/>
  <c r="W21" i="1" s="1"/>
  <c r="W27" i="1" s="1"/>
  <c r="W33" i="1" s="1"/>
  <c r="I15" i="1"/>
  <c r="Q15" i="1"/>
  <c r="Q21" i="1" s="1"/>
  <c r="Q27" i="1" s="1"/>
  <c r="Q33" i="1" s="1"/>
  <c r="Y15" i="1"/>
  <c r="Y21" i="1" s="1"/>
  <c r="Y27" i="1" s="1"/>
  <c r="Y33" i="1" s="1"/>
  <c r="E15" i="1"/>
  <c r="H17" i="1"/>
  <c r="P17" i="1"/>
  <c r="P23" i="1" s="1"/>
  <c r="P29" i="1" s="1"/>
  <c r="P35" i="1" s="1"/>
  <c r="X17" i="1"/>
  <c r="X23" i="1" s="1"/>
  <c r="X29" i="1" s="1"/>
  <c r="X35" i="1" s="1"/>
  <c r="I17" i="1"/>
  <c r="Q17" i="1"/>
  <c r="Q23" i="1" s="1"/>
  <c r="Q29" i="1" s="1"/>
  <c r="Q35" i="1" s="1"/>
  <c r="Y17" i="1"/>
  <c r="Y23" i="1" s="1"/>
  <c r="Y29" i="1" s="1"/>
  <c r="Y35" i="1" s="1"/>
  <c r="E17" i="1"/>
  <c r="N17" i="1"/>
  <c r="AD17" i="1"/>
  <c r="AD23" i="1" s="1"/>
  <c r="AD29" i="1" s="1"/>
  <c r="AD35" i="1" s="1"/>
  <c r="J17" i="1"/>
  <c r="R17" i="1"/>
  <c r="R23" i="1" s="1"/>
  <c r="R29" i="1" s="1"/>
  <c r="R35" i="1" s="1"/>
  <c r="Z17" i="1"/>
  <c r="Z23" i="1" s="1"/>
  <c r="Z29" i="1" s="1"/>
  <c r="Z35" i="1" s="1"/>
  <c r="K17" i="1"/>
  <c r="S17" i="1"/>
  <c r="S23" i="1" s="1"/>
  <c r="S29" i="1" s="1"/>
  <c r="S35" i="1" s="1"/>
  <c r="AA17" i="1"/>
  <c r="AA23" i="1" s="1"/>
  <c r="AA29" i="1" s="1"/>
  <c r="AA35" i="1" s="1"/>
  <c r="L17" i="1"/>
  <c r="T17" i="1"/>
  <c r="T23" i="1" s="1"/>
  <c r="T29" i="1" s="1"/>
  <c r="T35" i="1" s="1"/>
  <c r="AB17" i="1"/>
  <c r="AB23" i="1" s="1"/>
  <c r="AB29" i="1" s="1"/>
  <c r="AB35" i="1" s="1"/>
  <c r="V17" i="1"/>
  <c r="V23" i="1" s="1"/>
  <c r="V29" i="1" s="1"/>
  <c r="V35" i="1" s="1"/>
  <c r="M17" i="1"/>
  <c r="U17" i="1"/>
  <c r="U23" i="1" s="1"/>
  <c r="U29" i="1" s="1"/>
  <c r="U35" i="1" s="1"/>
  <c r="AC17" i="1"/>
  <c r="AC23" i="1" s="1"/>
  <c r="AC29" i="1" s="1"/>
  <c r="AC35" i="1" s="1"/>
  <c r="G17" i="1"/>
  <c r="O17" i="1"/>
  <c r="O23" i="1" s="1"/>
  <c r="O29" i="1" s="1"/>
  <c r="O35" i="1" s="1"/>
  <c r="W17" i="1"/>
  <c r="W23" i="1" s="1"/>
  <c r="W29" i="1" s="1"/>
  <c r="W35" i="1" s="1"/>
  <c r="F17" i="1"/>
  <c r="I16" i="1"/>
  <c r="Q16" i="1"/>
  <c r="Q22" i="1" s="1"/>
  <c r="Q28" i="1" s="1"/>
  <c r="Q34" i="1" s="1"/>
  <c r="Y16" i="1"/>
  <c r="E16" i="1"/>
  <c r="J16" i="1"/>
  <c r="R16" i="1"/>
  <c r="R22" i="1" s="1"/>
  <c r="R28" i="1" s="1"/>
  <c r="R34" i="1" s="1"/>
  <c r="Z16" i="1"/>
  <c r="O16" i="1"/>
  <c r="O22" i="1" s="1"/>
  <c r="O28" i="1" s="1"/>
  <c r="O34" i="1" s="1"/>
  <c r="K16" i="1"/>
  <c r="S16" i="1"/>
  <c r="S22" i="1" s="1"/>
  <c r="S28" i="1" s="1"/>
  <c r="S34" i="1" s="1"/>
  <c r="AA16" i="1"/>
  <c r="G16" i="1"/>
  <c r="L16" i="1"/>
  <c r="T16" i="1"/>
  <c r="T22" i="1" s="1"/>
  <c r="T28" i="1" s="1"/>
  <c r="T34" i="1" s="1"/>
  <c r="AB16" i="1"/>
  <c r="M16" i="1"/>
  <c r="U16" i="1"/>
  <c r="U22" i="1" s="1"/>
  <c r="U28" i="1" s="1"/>
  <c r="U34" i="1" s="1"/>
  <c r="AC16" i="1"/>
  <c r="W16" i="1"/>
  <c r="F16" i="1"/>
  <c r="N16" i="1"/>
  <c r="V16" i="1"/>
  <c r="V22" i="1" s="1"/>
  <c r="AD16" i="1"/>
  <c r="H16" i="1"/>
  <c r="P16" i="1"/>
  <c r="P22" i="1" s="1"/>
  <c r="P28" i="1" s="1"/>
  <c r="P34" i="1" s="1"/>
  <c r="X16" i="1"/>
  <c r="K14" i="1"/>
  <c r="S14" i="1"/>
  <c r="L14" i="1"/>
  <c r="T14" i="1"/>
  <c r="M14" i="1"/>
  <c r="U14" i="1"/>
  <c r="E14" i="1"/>
  <c r="F14" i="1"/>
  <c r="N14" i="1"/>
  <c r="V14" i="1"/>
  <c r="V20" i="1" s="1"/>
  <c r="V26" i="1" s="1"/>
  <c r="V32" i="1" s="1"/>
  <c r="G14" i="1"/>
  <c r="O14" i="1"/>
  <c r="W14" i="1"/>
  <c r="W20" i="1" s="1"/>
  <c r="W26" i="1" s="1"/>
  <c r="H14" i="1"/>
  <c r="P14" i="1"/>
  <c r="X14" i="1"/>
  <c r="Q14" i="1"/>
  <c r="I14" i="1"/>
  <c r="J14" i="1"/>
  <c r="R14" i="1"/>
  <c r="T12" i="1"/>
  <c r="T11" i="1"/>
  <c r="U12" i="1"/>
  <c r="W5" i="1"/>
  <c r="V11" i="1"/>
  <c r="W12" i="1"/>
  <c r="W11" i="1"/>
  <c r="V12" i="1"/>
  <c r="X3" i="1"/>
  <c r="U20" i="1" l="1"/>
  <c r="U13" i="1"/>
  <c r="V13" i="1"/>
  <c r="T20" i="1"/>
  <c r="T13" i="1"/>
  <c r="X20" i="1"/>
  <c r="X26" i="1" s="1"/>
  <c r="V28" i="1"/>
  <c r="V19" i="1"/>
  <c r="W32" i="1"/>
  <c r="X5" i="1"/>
  <c r="X12" i="1"/>
  <c r="X11" i="1"/>
  <c r="Y3" i="1"/>
  <c r="Y14" i="1" l="1"/>
  <c r="Y20" i="1" s="1"/>
  <c r="Y26" i="1" s="1"/>
  <c r="T26" i="1"/>
  <c r="T19" i="1"/>
  <c r="U26" i="1"/>
  <c r="U19" i="1"/>
  <c r="V34" i="1"/>
  <c r="V31" i="1" s="1"/>
  <c r="V41" i="1" s="1"/>
  <c r="V44" i="1" s="1"/>
  <c r="V25" i="1"/>
  <c r="X32" i="1"/>
  <c r="W13" i="1"/>
  <c r="W22" i="1"/>
  <c r="Y5" i="1"/>
  <c r="Y12" i="1" s="1"/>
  <c r="Z3" i="1"/>
  <c r="Z14" i="1" l="1"/>
  <c r="Z20" i="1" s="1"/>
  <c r="Z26" i="1" s="1"/>
  <c r="U25" i="1"/>
  <c r="U32" i="1"/>
  <c r="U31" i="1" s="1"/>
  <c r="U41" i="1" s="1"/>
  <c r="U44" i="1" s="1"/>
  <c r="T32" i="1"/>
  <c r="T31" i="1" s="1"/>
  <c r="T41" i="1" s="1"/>
  <c r="T44" i="1" s="1"/>
  <c r="T25" i="1"/>
  <c r="Y11" i="1"/>
  <c r="W28" i="1"/>
  <c r="W19" i="1"/>
  <c r="Y32" i="1"/>
  <c r="X13" i="1"/>
  <c r="X22" i="1"/>
  <c r="Z5" i="1"/>
  <c r="Z12" i="1" s="1"/>
  <c r="AA3" i="1"/>
  <c r="AA14" i="1" l="1"/>
  <c r="AA20" i="1" s="1"/>
  <c r="AA26" i="1" s="1"/>
  <c r="Z11" i="1"/>
  <c r="X28" i="1"/>
  <c r="X19" i="1"/>
  <c r="W34" i="1"/>
  <c r="W31" i="1" s="1"/>
  <c r="W41" i="1" s="1"/>
  <c r="W44" i="1" s="1"/>
  <c r="W25" i="1"/>
  <c r="Z32" i="1"/>
  <c r="Y13" i="1"/>
  <c r="Y22" i="1"/>
  <c r="AA5" i="1"/>
  <c r="AA12" i="1"/>
  <c r="AA11" i="1"/>
  <c r="AB3" i="1"/>
  <c r="AB14" i="1" l="1"/>
  <c r="AB20" i="1" s="1"/>
  <c r="AB26" i="1" s="1"/>
  <c r="X34" i="1"/>
  <c r="X31" i="1" s="1"/>
  <c r="X41" i="1" s="1"/>
  <c r="X44" i="1" s="1"/>
  <c r="X25" i="1"/>
  <c r="Y28" i="1"/>
  <c r="Y19" i="1"/>
  <c r="AA32" i="1"/>
  <c r="Z13" i="1"/>
  <c r="Z22" i="1"/>
  <c r="AB5" i="1"/>
  <c r="AB12" i="1"/>
  <c r="AB11" i="1"/>
  <c r="AC3" i="1"/>
  <c r="F1" i="1"/>
  <c r="AC14" i="1" l="1"/>
  <c r="AC20" i="1" s="1"/>
  <c r="AC26" i="1" s="1"/>
  <c r="Y34" i="1"/>
  <c r="Y31" i="1" s="1"/>
  <c r="Y41" i="1" s="1"/>
  <c r="Y44" i="1" s="1"/>
  <c r="Y25" i="1"/>
  <c r="Z28" i="1"/>
  <c r="Z19" i="1"/>
  <c r="AB32" i="1"/>
  <c r="AA13" i="1"/>
  <c r="AA22" i="1"/>
  <c r="AC5" i="1"/>
  <c r="AC12" i="1"/>
  <c r="AC11" i="1"/>
  <c r="AD3" i="1"/>
  <c r="G1" i="1"/>
  <c r="AD14" i="1" l="1"/>
  <c r="AD20" i="1" s="1"/>
  <c r="AD26" i="1" s="1"/>
  <c r="Z34" i="1"/>
  <c r="Z31" i="1" s="1"/>
  <c r="Z41" i="1" s="1"/>
  <c r="Z44" i="1" s="1"/>
  <c r="Z25" i="1"/>
  <c r="AA28" i="1"/>
  <c r="AA19" i="1"/>
  <c r="AC32" i="1"/>
  <c r="AB13" i="1"/>
  <c r="AB22" i="1"/>
  <c r="AD5" i="1"/>
  <c r="H1" i="1"/>
  <c r="AD11" i="1" l="1"/>
  <c r="AD12" i="1"/>
  <c r="AB28" i="1"/>
  <c r="AB19" i="1"/>
  <c r="AA34" i="1"/>
  <c r="AA31" i="1" s="1"/>
  <c r="AA41" i="1" s="1"/>
  <c r="AA44" i="1" s="1"/>
  <c r="AA25" i="1"/>
  <c r="AD32" i="1"/>
  <c r="AC13" i="1"/>
  <c r="AC22" i="1"/>
  <c r="AD13" i="1"/>
  <c r="AD22" i="1"/>
  <c r="I1" i="1"/>
  <c r="AB34" i="1" l="1"/>
  <c r="AB31" i="1" s="1"/>
  <c r="AB41" i="1" s="1"/>
  <c r="AB44" i="1" s="1"/>
  <c r="AB25" i="1"/>
  <c r="AC28" i="1"/>
  <c r="AC19" i="1"/>
  <c r="AD28" i="1"/>
  <c r="AD19" i="1"/>
  <c r="J1" i="1"/>
  <c r="AC34" i="1" l="1"/>
  <c r="AC31" i="1" s="1"/>
  <c r="AC41" i="1" s="1"/>
  <c r="AC44" i="1" s="1"/>
  <c r="AC25" i="1"/>
  <c r="AD34" i="1"/>
  <c r="AD31" i="1" s="1"/>
  <c r="AD41" i="1" s="1"/>
  <c r="AD44" i="1" s="1"/>
  <c r="AD25" i="1"/>
  <c r="K1" i="1"/>
  <c r="L1" i="1" l="1"/>
  <c r="K21" i="1"/>
  <c r="K27" i="1" s="1"/>
  <c r="K33" i="1" s="1"/>
  <c r="M1" i="1" l="1"/>
  <c r="E21" i="1"/>
  <c r="E27" i="1" s="1"/>
  <c r="E33" i="1" s="1"/>
  <c r="F21" i="1"/>
  <c r="F27" i="1" s="1"/>
  <c r="F33" i="1" s="1"/>
  <c r="G21" i="1"/>
  <c r="G27" i="1" s="1"/>
  <c r="G33" i="1" s="1"/>
  <c r="H21" i="1"/>
  <c r="H27" i="1" s="1"/>
  <c r="H33" i="1" s="1"/>
  <c r="I21" i="1"/>
  <c r="I27" i="1" s="1"/>
  <c r="I33" i="1" s="1"/>
  <c r="J21" i="1"/>
  <c r="J27" i="1" s="1"/>
  <c r="J33" i="1" s="1"/>
  <c r="N1" i="1" l="1"/>
  <c r="O1" i="1" l="1"/>
  <c r="N22" i="1"/>
  <c r="N28" i="1" s="1"/>
  <c r="N34" i="1" s="1"/>
  <c r="N23" i="1" l="1"/>
  <c r="N29" i="1" s="1"/>
  <c r="N35" i="1" s="1"/>
  <c r="P1" i="1"/>
  <c r="E23" i="1"/>
  <c r="E29" i="1" s="1"/>
  <c r="E35" i="1" s="1"/>
  <c r="E5" i="1"/>
  <c r="E22" i="1" s="1"/>
  <c r="E28" i="1" s="1"/>
  <c r="E34" i="1" s="1"/>
  <c r="F22" i="1"/>
  <c r="F28" i="1" s="1"/>
  <c r="F34" i="1" s="1"/>
  <c r="F23" i="1"/>
  <c r="F29" i="1" s="1"/>
  <c r="F35" i="1" s="1"/>
  <c r="G23" i="1"/>
  <c r="G29" i="1" s="1"/>
  <c r="G35" i="1" s="1"/>
  <c r="G22" i="1"/>
  <c r="G28" i="1" s="1"/>
  <c r="G34" i="1" s="1"/>
  <c r="H22" i="1"/>
  <c r="H28" i="1" s="1"/>
  <c r="H34" i="1" s="1"/>
  <c r="H23" i="1"/>
  <c r="H29" i="1" s="1"/>
  <c r="H35" i="1" s="1"/>
  <c r="I22" i="1"/>
  <c r="I28" i="1" s="1"/>
  <c r="I34" i="1" s="1"/>
  <c r="I23" i="1"/>
  <c r="I29" i="1" s="1"/>
  <c r="I35" i="1" s="1"/>
  <c r="J22" i="1"/>
  <c r="J28" i="1" s="1"/>
  <c r="J34" i="1" s="1"/>
  <c r="J23" i="1"/>
  <c r="J29" i="1" s="1"/>
  <c r="J35" i="1" s="1"/>
  <c r="K23" i="1"/>
  <c r="K29" i="1" s="1"/>
  <c r="K35" i="1" s="1"/>
  <c r="K22" i="1"/>
  <c r="K28" i="1" s="1"/>
  <c r="K34" i="1" s="1"/>
  <c r="L22" i="1"/>
  <c r="L28" i="1" s="1"/>
  <c r="L34" i="1" s="1"/>
  <c r="L23" i="1"/>
  <c r="L29" i="1" s="1"/>
  <c r="L35" i="1" s="1"/>
  <c r="M23" i="1"/>
  <c r="M29" i="1" s="1"/>
  <c r="M35" i="1" s="1"/>
  <c r="M22" i="1"/>
  <c r="M28" i="1" s="1"/>
  <c r="M34" i="1" s="1"/>
  <c r="Q1" i="1" l="1"/>
  <c r="R1" i="1" l="1"/>
  <c r="S1" i="1" l="1"/>
  <c r="T1" i="1" l="1"/>
  <c r="S13" i="1" l="1"/>
  <c r="S20" i="1"/>
  <c r="S11" i="1"/>
  <c r="S12" i="1"/>
  <c r="U1" i="1"/>
  <c r="V1" i="1" s="1"/>
  <c r="W1" i="1" s="1"/>
  <c r="X1" i="1" s="1"/>
  <c r="Y1" i="1" s="1"/>
  <c r="Z1" i="1" s="1"/>
  <c r="AA1" i="1" s="1"/>
  <c r="AB1" i="1" s="1"/>
  <c r="AC1" i="1" s="1"/>
  <c r="AD1" i="1" s="1"/>
  <c r="S26" i="1" l="1"/>
  <c r="S19" i="1"/>
  <c r="F13" i="1"/>
  <c r="F20" i="1"/>
  <c r="L13" i="1"/>
  <c r="L20" i="1"/>
  <c r="N13" i="1"/>
  <c r="N20" i="1"/>
  <c r="E13" i="1"/>
  <c r="E20" i="1"/>
  <c r="H13" i="1"/>
  <c r="H20" i="1"/>
  <c r="M13" i="1"/>
  <c r="M20" i="1"/>
  <c r="K13" i="1"/>
  <c r="K20" i="1"/>
  <c r="R13" i="1"/>
  <c r="R20" i="1"/>
  <c r="J13" i="1"/>
  <c r="J20" i="1"/>
  <c r="Q13" i="1"/>
  <c r="Q20" i="1"/>
  <c r="I13" i="1"/>
  <c r="I20" i="1"/>
  <c r="P13" i="1"/>
  <c r="P20" i="1"/>
  <c r="O13" i="1"/>
  <c r="O20" i="1"/>
  <c r="G13" i="1"/>
  <c r="G20" i="1"/>
  <c r="P12" i="1"/>
  <c r="P11" i="1"/>
  <c r="O12" i="1"/>
  <c r="O11" i="1"/>
  <c r="N11" i="1"/>
  <c r="N12" i="1"/>
  <c r="F12" i="1"/>
  <c r="F11" i="1"/>
  <c r="M12" i="1"/>
  <c r="M11" i="1"/>
  <c r="L12" i="1"/>
  <c r="L11" i="1"/>
  <c r="H11" i="1"/>
  <c r="H12" i="1"/>
  <c r="G11" i="1"/>
  <c r="G12" i="1"/>
  <c r="E11" i="1"/>
  <c r="E12" i="1"/>
  <c r="K11" i="1"/>
  <c r="K12" i="1"/>
  <c r="R12" i="1"/>
  <c r="R11" i="1"/>
  <c r="J11" i="1"/>
  <c r="J12" i="1"/>
  <c r="Q11" i="1"/>
  <c r="Q12" i="1"/>
  <c r="I11" i="1"/>
  <c r="I12" i="1"/>
  <c r="Q26" i="1" l="1"/>
  <c r="Q19" i="1"/>
  <c r="N26" i="1"/>
  <c r="N19" i="1"/>
  <c r="M26" i="1"/>
  <c r="M19" i="1"/>
  <c r="O26" i="1"/>
  <c r="O19" i="1"/>
  <c r="H26" i="1"/>
  <c r="H19" i="1"/>
  <c r="E26" i="1"/>
  <c r="E19" i="1"/>
  <c r="I26" i="1"/>
  <c r="I19" i="1"/>
  <c r="K26" i="1"/>
  <c r="K19" i="1"/>
  <c r="G26" i="1"/>
  <c r="G19" i="1"/>
  <c r="L26" i="1"/>
  <c r="L19" i="1"/>
  <c r="J26" i="1"/>
  <c r="J19" i="1"/>
  <c r="F26" i="1"/>
  <c r="F19" i="1"/>
  <c r="P26" i="1"/>
  <c r="P19" i="1"/>
  <c r="R26" i="1"/>
  <c r="R19" i="1"/>
  <c r="S32" i="1"/>
  <c r="S31" i="1" s="1"/>
  <c r="S41" i="1" s="1"/>
  <c r="S44" i="1" s="1"/>
  <c r="S25" i="1"/>
  <c r="AF12" i="1"/>
  <c r="AF11" i="1"/>
  <c r="AG12" i="1"/>
  <c r="AG13" i="1"/>
  <c r="AG11" i="1"/>
  <c r="AF13" i="1"/>
  <c r="O25" i="1" l="1"/>
  <c r="O32" i="1"/>
  <c r="O31" i="1" s="1"/>
  <c r="O41" i="1" s="1"/>
  <c r="O44" i="1" s="1"/>
  <c r="K25" i="1"/>
  <c r="K32" i="1"/>
  <c r="K31" i="1" s="1"/>
  <c r="K41" i="1" s="1"/>
  <c r="K44" i="1" s="1"/>
  <c r="J25" i="1"/>
  <c r="J32" i="1"/>
  <c r="J31" i="1" s="1"/>
  <c r="J41" i="1" s="1"/>
  <c r="J44" i="1" s="1"/>
  <c r="L25" i="1"/>
  <c r="L32" i="1"/>
  <c r="L31" i="1" s="1"/>
  <c r="L41" i="1" s="1"/>
  <c r="L44" i="1" s="1"/>
  <c r="F32" i="1"/>
  <c r="F31" i="1" s="1"/>
  <c r="F41" i="1" s="1"/>
  <c r="F44" i="1" s="1"/>
  <c r="F25" i="1"/>
  <c r="I25" i="1"/>
  <c r="I32" i="1"/>
  <c r="I31" i="1" s="1"/>
  <c r="I41" i="1" s="1"/>
  <c r="I44" i="1" s="1"/>
  <c r="M32" i="1"/>
  <c r="M31" i="1" s="1"/>
  <c r="M41" i="1" s="1"/>
  <c r="M44" i="1" s="1"/>
  <c r="M25" i="1"/>
  <c r="R25" i="1"/>
  <c r="R32" i="1"/>
  <c r="R31" i="1" s="1"/>
  <c r="R41" i="1" s="1"/>
  <c r="R44" i="1" s="1"/>
  <c r="E25" i="1"/>
  <c r="E32" i="1"/>
  <c r="E31" i="1" s="1"/>
  <c r="E41" i="1" s="1"/>
  <c r="N32" i="1"/>
  <c r="N31" i="1" s="1"/>
  <c r="N41" i="1" s="1"/>
  <c r="N44" i="1" s="1"/>
  <c r="N25" i="1"/>
  <c r="P25" i="1"/>
  <c r="P32" i="1"/>
  <c r="P31" i="1" s="1"/>
  <c r="P41" i="1" s="1"/>
  <c r="P44" i="1" s="1"/>
  <c r="G25" i="1"/>
  <c r="G32" i="1"/>
  <c r="G31" i="1" s="1"/>
  <c r="G41" i="1" s="1"/>
  <c r="G44" i="1" s="1"/>
  <c r="H32" i="1"/>
  <c r="H31" i="1" s="1"/>
  <c r="H41" i="1" s="1"/>
  <c r="H44" i="1" s="1"/>
  <c r="H25" i="1"/>
  <c r="Q25" i="1"/>
  <c r="Q32" i="1"/>
  <c r="Q31" i="1" s="1"/>
  <c r="Q41" i="1" s="1"/>
  <c r="Q44" i="1" s="1"/>
  <c r="E44" i="1" l="1"/>
  <c r="AG41" i="1"/>
  <c r="AF41" i="1"/>
  <c r="AG44" i="1" l="1"/>
  <c r="AJ44" i="1" s="1"/>
  <c r="AF44" i="1"/>
  <c r="AI4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 Porter</author>
  </authors>
  <commentList>
    <comment ref="A2" authorId="0" shapeId="0" xr:uid="{23ECBB04-D3EE-4AB2-ADD0-EB3973BBCB21}">
      <text>
        <r>
          <rPr>
            <b/>
            <sz val="9"/>
            <color indexed="81"/>
            <rFont val="Tahoma"/>
            <family val="2"/>
          </rPr>
          <t>Chris Porter:</t>
        </r>
        <r>
          <rPr>
            <sz val="9"/>
            <color indexed="81"/>
            <rFont val="Tahoma"/>
            <family val="2"/>
          </rPr>
          <t xml:space="preserve">
Rubber tired gantry crane</t>
        </r>
      </text>
    </comment>
    <comment ref="A7" authorId="0" shapeId="0" xr:uid="{0B338B6C-E97C-4788-A34D-E6EE62395DE7}">
      <text>
        <r>
          <rPr>
            <b/>
            <sz val="9"/>
            <color indexed="81"/>
            <rFont val="Tahoma"/>
            <family val="2"/>
          </rPr>
          <t>Chris Porter:</t>
        </r>
        <r>
          <rPr>
            <sz val="9"/>
            <color indexed="81"/>
            <rFont val="Tahoma"/>
            <family val="2"/>
          </rPr>
          <t xml:space="preserve">
ship to shore crane</t>
        </r>
      </text>
    </comment>
  </commentList>
</comments>
</file>

<file path=xl/sharedStrings.xml><?xml version="1.0" encoding="utf-8"?>
<sst xmlns="http://schemas.openxmlformats.org/spreadsheetml/2006/main" count="165" uniqueCount="132">
  <si>
    <t>2025-2030</t>
  </si>
  <si>
    <t>2025 - 2050</t>
  </si>
  <si>
    <t>Total</t>
  </si>
  <si>
    <t>21 types of equipment</t>
  </si>
  <si>
    <t>Construction &amp; maintenance</t>
  </si>
  <si>
    <t>Other off-road equipment</t>
  </si>
  <si>
    <t xml:space="preserve">Other off-road </t>
  </si>
  <si>
    <t xml:space="preserve">One locomotive operating at the former Oakland Army Base </t>
  </si>
  <si>
    <t>Oakland Global Rail Enterprises</t>
  </si>
  <si>
    <t>Line-haul</t>
  </si>
  <si>
    <t>Arrival/departure</t>
  </si>
  <si>
    <t>Switching engines</t>
  </si>
  <si>
    <t>Rail locomotives</t>
  </si>
  <si>
    <t>Based on ACT/ACF for all heavy trucks, maybe different for drayage</t>
  </si>
  <si>
    <t>24% by 2050</t>
  </si>
  <si>
    <t>Heavy trucks</t>
  </si>
  <si>
    <t>To nearest freeway entrance</t>
  </si>
  <si>
    <t>On-road trucks</t>
  </si>
  <si>
    <t>Yard trucks</t>
  </si>
  <si>
    <t>Container handling</t>
  </si>
  <si>
    <t>Forklifts</t>
  </si>
  <si>
    <t>Cranes</t>
  </si>
  <si>
    <t>Cargo handling equipment</t>
  </si>
  <si>
    <t>CHE</t>
  </si>
  <si>
    <t>Bunkering barges</t>
  </si>
  <si>
    <t>Tanker barge tugs</t>
  </si>
  <si>
    <t>Assist tugs</t>
  </si>
  <si>
    <t>Dredging</t>
  </si>
  <si>
    <t>Commercial harbor craft</t>
  </si>
  <si>
    <t>CHC</t>
  </si>
  <si>
    <t>NA</t>
  </si>
  <si>
    <t>Anchorage</t>
  </si>
  <si>
    <t>Emissions inventory accounts for auxiliary marine power (AMP)</t>
  </si>
  <si>
    <t xml:space="preserve">Hoteling </t>
  </si>
  <si>
    <t>Hoteling/Berthing</t>
  </si>
  <si>
    <t>Cruise, RSZ, maneuver, shifts</t>
  </si>
  <si>
    <t>Ocean-going vessels</t>
  </si>
  <si>
    <t>OGV</t>
  </si>
  <si>
    <t>Comments</t>
  </si>
  <si>
    <t>Fully Electrified by Year X</t>
  </si>
  <si>
    <t xml:space="preserve">Anticipated % Electrified by 2030 </t>
  </si>
  <si>
    <t>Current % Electrified</t>
  </si>
  <si>
    <t>Equipment/ Activity Type</t>
  </si>
  <si>
    <t>NOx</t>
  </si>
  <si>
    <t>PM2.5</t>
  </si>
  <si>
    <t>CO2e</t>
  </si>
  <si>
    <t>Shares</t>
  </si>
  <si>
    <t>tons</t>
  </si>
  <si>
    <t>Nov 2021</t>
  </si>
  <si>
    <t>2020 Seaport Air Emissions Inventory</t>
  </si>
  <si>
    <t>Port of Oakland</t>
  </si>
  <si>
    <t>Type of CHE</t>
  </si>
  <si>
    <t>Battery Electric</t>
  </si>
  <si>
    <t>Hydrogen</t>
  </si>
  <si>
    <t>Battery Diesel</t>
  </si>
  <si>
    <t>Evaluating</t>
  </si>
  <si>
    <t>Diesel Exhaust Fluid</t>
  </si>
  <si>
    <t>RTG</t>
  </si>
  <si>
    <t xml:space="preserve">Top Handler
</t>
  </si>
  <si>
    <t>Tractor</t>
  </si>
  <si>
    <t>Forklift</t>
  </si>
  <si>
    <t>Side Handlers</t>
  </si>
  <si>
    <t>STS</t>
  </si>
  <si>
    <t>Stand up Lift</t>
  </si>
  <si>
    <t>Electric Pallet Jack</t>
  </si>
  <si>
    <t>Hostler</t>
  </si>
  <si>
    <t>Lift</t>
  </si>
  <si>
    <t>Sweeper</t>
  </si>
  <si>
    <t>Power Washer</t>
  </si>
  <si>
    <t>Reachstacker</t>
  </si>
  <si>
    <t>Reach Lift</t>
  </si>
  <si>
    <t>Rail Car Mover</t>
  </si>
  <si>
    <t>Yard Goat</t>
  </si>
  <si>
    <t>Skid Steer</t>
  </si>
  <si>
    <t>Water Truck</t>
  </si>
  <si>
    <t>Loader</t>
  </si>
  <si>
    <t xml:space="preserve">Total
</t>
  </si>
  <si>
    <t>Check</t>
  </si>
  <si>
    <t>Crane</t>
  </si>
  <si>
    <t>Other</t>
  </si>
  <si>
    <t>Yard Truck</t>
  </si>
  <si>
    <t>Other handling</t>
  </si>
  <si>
    <t>Truck</t>
  </si>
  <si>
    <t>check</t>
  </si>
  <si>
    <t>Equipment Type</t>
  </si>
  <si>
    <t>Upgrades Active</t>
  </si>
  <si>
    <t>Conversion Share</t>
  </si>
  <si>
    <t>Converted % Electric</t>
  </si>
  <si>
    <t>Tim mentioned since the Port is their own utility they have more control over power generation and are currently using 65% renewable and have a goal to use 80% renewable power sources for their electrical power in the next several years</t>
  </si>
  <si>
    <t>EPA eGRID, CA, 2022</t>
  </si>
  <si>
    <t>mt CO2/gal diesel</t>
  </si>
  <si>
    <t>Displaced diesel fuel (gal)</t>
  </si>
  <si>
    <t>MWh/GDE</t>
  </si>
  <si>
    <t>EER</t>
  </si>
  <si>
    <t>Energy of displaced diesel fuel (MWh)</t>
  </si>
  <si>
    <t>Electrical energy consumed (MWh)</t>
  </si>
  <si>
    <t>lb/metric ton</t>
  </si>
  <si>
    <t>mt CO2e/MWh</t>
  </si>
  <si>
    <t>lb CO2e/MWh</t>
  </si>
  <si>
    <t>CO2e (metric tons)</t>
  </si>
  <si>
    <t>Electricity Emissions</t>
  </si>
  <si>
    <t>Share of Port electricity from renewables</t>
  </si>
  <si>
    <t>California emissions rate (mt/MWh)</t>
  </si>
  <si>
    <t>CA net-zero target</t>
  </si>
  <si>
    <t>CA reduction in mt CO2e/MWh per year</t>
  </si>
  <si>
    <t>California grid emissions</t>
  </si>
  <si>
    <t>Net Port CO2e emissions rate (mt/MWh)</t>
  </si>
  <si>
    <t>https://opr.ca.gov/climate/carbon-neutrality.html</t>
  </si>
  <si>
    <t>tons/tonne</t>
  </si>
  <si>
    <t>PM2.5 (tons)</t>
  </si>
  <si>
    <t>Nox (tons)</t>
  </si>
  <si>
    <t>Displaced Fossil Fuel Emissions</t>
  </si>
  <si>
    <t>Net Emissions Reduction (metric tons)</t>
  </si>
  <si>
    <t>KWh/gal</t>
  </si>
  <si>
    <t>gal/hr</t>
  </si>
  <si>
    <t>KWh/hr</t>
  </si>
  <si>
    <t>KWh/Hr</t>
  </si>
  <si>
    <t>implied EER</t>
  </si>
  <si>
    <t>AECOM for Port of Oakland, Zero-Emission Cargo-Handling Equipment Feasibility Assessment, 2019</t>
  </si>
  <si>
    <t>https://www.portofoakland.com/files/PDF/AECOM%20Zero%20emission%20CHE%20feasibility%20assessment%20Nov%202019.pdf</t>
  </si>
  <si>
    <t>Average of on-dock and off-dock</t>
  </si>
  <si>
    <t>MJ/KWh</t>
  </si>
  <si>
    <t>MJ/DGE</t>
  </si>
  <si>
    <t>KWh/DGE</t>
  </si>
  <si>
    <t>MWh/DGE</t>
  </si>
  <si>
    <t>check via San Pedro</t>
  </si>
  <si>
    <t>total grant amount ($millions)</t>
  </si>
  <si>
    <t>$/ton 2025-2030</t>
  </si>
  <si>
    <t>$/ton 2025-2050</t>
  </si>
  <si>
    <t>If all "evalating" are electric</t>
  </si>
  <si>
    <t>$/ton 2030-2035</t>
  </si>
  <si>
    <t>$/ton 2035-2040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</si>
</sst>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* #,##0.00000_);_(* \(#,##0.00000\);_(* &quot;-&quot;??_);_(@_)"/>
    <numFmt numFmtId="166" formatCode="0.0"/>
    <numFmt numFmtId="167" formatCode="_(* #,##0_);_(* \(#,##0\);_(* &quot;-&quot;?_);_(@_)"/>
    <numFmt numFmtId="168" formatCode="0.0000"/>
    <numFmt numFmtId="169" formatCode="0.000"/>
    <numFmt numFmtId="170" formatCode="_(&quot;$&quot;* #,##0_);_(&quot;$&quot;* \(#,##0\);_(&quot;$&quot;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i/>
      <sz val="1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104">
    <xf numFmtId="0" fontId="0" fillId="0" borderId="0" xfId="0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2" xfId="0" applyFont="1" applyBorder="1" applyAlignment="1">
      <alignment horizontal="left" vertical="center" wrapText="1"/>
    </xf>
    <xf numFmtId="9" fontId="3" fillId="0" borderId="3" xfId="2" applyFont="1" applyBorder="1" applyAlignment="1">
      <alignment horizontal="right" vertical="center" wrapText="1"/>
    </xf>
    <xf numFmtId="4" fontId="3" fillId="0" borderId="3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9" fontId="4" fillId="0" borderId="3" xfId="2" applyFont="1" applyBorder="1" applyAlignment="1">
      <alignment horizontal="right" vertical="center" wrapText="1"/>
    </xf>
    <xf numFmtId="4" fontId="4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right" vertical="center" wrapText="1"/>
    </xf>
    <xf numFmtId="4" fontId="4" fillId="2" borderId="3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left" vertical="center" wrapText="1"/>
    </xf>
    <xf numFmtId="9" fontId="4" fillId="0" borderId="3" xfId="0" applyNumberFormat="1" applyFont="1" applyBorder="1" applyAlignment="1">
      <alignment horizontal="lef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164" fontId="4" fillId="0" borderId="3" xfId="1" applyNumberFormat="1" applyFont="1" applyBorder="1" applyAlignment="1">
      <alignment horizontal="right" vertical="center" wrapText="1"/>
    </xf>
    <xf numFmtId="0" fontId="3" fillId="2" borderId="2" xfId="0" applyFont="1" applyFill="1" applyBorder="1" applyAlignment="1">
      <alignment horizontal="left" vertical="center" wrapText="1"/>
    </xf>
    <xf numFmtId="4" fontId="5" fillId="2" borderId="3" xfId="0" applyNumberFormat="1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center" wrapText="1"/>
    </xf>
    <xf numFmtId="3" fontId="5" fillId="2" borderId="3" xfId="0" applyNumberFormat="1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2" fillId="0" borderId="0" xfId="0" applyFont="1"/>
    <xf numFmtId="0" fontId="0" fillId="0" borderId="0" xfId="0" quotePrefix="1"/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wrapText="1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3" borderId="12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3" borderId="26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top" wrapText="1"/>
    </xf>
    <xf numFmtId="0" fontId="2" fillId="3" borderId="34" xfId="0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9" fontId="0" fillId="0" borderId="0" xfId="0" applyNumberFormat="1"/>
    <xf numFmtId="9" fontId="0" fillId="0" borderId="0" xfId="2" applyFont="1"/>
    <xf numFmtId="164" fontId="0" fillId="0" borderId="0" xfId="1" applyNumberFormat="1" applyFont="1"/>
    <xf numFmtId="43" fontId="0" fillId="0" borderId="0" xfId="1" applyFont="1"/>
    <xf numFmtId="164" fontId="0" fillId="0" borderId="0" xfId="0" applyNumberFormat="1"/>
    <xf numFmtId="43" fontId="0" fillId="0" borderId="0" xfId="0" applyNumberFormat="1"/>
    <xf numFmtId="9" fontId="0" fillId="4" borderId="0" xfId="0" applyNumberFormat="1" applyFill="1"/>
    <xf numFmtId="0" fontId="11" fillId="0" borderId="0" xfId="0" applyFont="1"/>
    <xf numFmtId="165" fontId="0" fillId="0" borderId="0" xfId="0" applyNumberFormat="1"/>
    <xf numFmtId="2" fontId="0" fillId="0" borderId="0" xfId="0" applyNumberFormat="1"/>
    <xf numFmtId="166" fontId="0" fillId="0" borderId="0" xfId="0" applyNumberFormat="1"/>
    <xf numFmtId="0" fontId="0" fillId="0" borderId="0" xfId="0" applyAlignment="1">
      <alignment horizontal="left" indent="1"/>
    </xf>
    <xf numFmtId="164" fontId="2" fillId="0" borderId="0" xfId="1" applyNumberFormat="1" applyFon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" fontId="0" fillId="0" borderId="0" xfId="0" applyNumberFormat="1"/>
    <xf numFmtId="9" fontId="2" fillId="0" borderId="0" xfId="0" applyNumberFormat="1" applyFont="1"/>
    <xf numFmtId="0" fontId="2" fillId="0" borderId="0" xfId="0" applyFont="1" applyAlignment="1">
      <alignment horizontal="left"/>
    </xf>
    <xf numFmtId="0" fontId="12" fillId="0" borderId="0" xfId="4"/>
    <xf numFmtId="170" fontId="0" fillId="0" borderId="0" xfId="3" applyNumberFormat="1" applyFont="1"/>
    <xf numFmtId="9" fontId="0" fillId="0" borderId="0" xfId="2" applyFont="1" applyAlignment="1">
      <alignment horizontal="center"/>
    </xf>
    <xf numFmtId="9" fontId="0" fillId="4" borderId="0" xfId="2" applyFont="1" applyFill="1"/>
    <xf numFmtId="164" fontId="2" fillId="5" borderId="0" xfId="1" applyNumberFormat="1" applyFont="1" applyFill="1"/>
    <xf numFmtId="9" fontId="0" fillId="5" borderId="0" xfId="0" applyNumberFormat="1" applyFill="1"/>
    <xf numFmtId="169" fontId="0" fillId="5" borderId="0" xfId="0" applyNumberFormat="1" applyFill="1"/>
    <xf numFmtId="43" fontId="0" fillId="5" borderId="0" xfId="1" applyFont="1" applyFill="1"/>
    <xf numFmtId="164" fontId="0" fillId="5" borderId="0" xfId="0" applyNumberFormat="1" applyFill="1"/>
    <xf numFmtId="164" fontId="2" fillId="0" borderId="0" xfId="0" applyNumberFormat="1" applyFont="1"/>
    <xf numFmtId="170" fontId="0" fillId="5" borderId="0" xfId="3" applyNumberFormat="1" applyFont="1" applyFill="1"/>
    <xf numFmtId="44" fontId="0" fillId="0" borderId="0" xfId="3" applyFont="1"/>
    <xf numFmtId="0" fontId="5" fillId="2" borderId="6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</cellXfs>
  <cellStyles count="5">
    <cellStyle name="Comma" xfId="1" builtinId="3"/>
    <cellStyle name="Currency" xfId="3" builtinId="4"/>
    <cellStyle name="Hyperlink" xfId="4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22</xdr:row>
      <xdr:rowOff>60960</xdr:rowOff>
    </xdr:from>
    <xdr:to>
      <xdr:col>18</xdr:col>
      <xdr:colOff>60960</xdr:colOff>
      <xdr:row>47</xdr:row>
      <xdr:rowOff>38100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7E22429-9C34-8E31-02DB-93C3EFB5CFC2}"/>
            </a:ext>
          </a:extLst>
        </xdr:cNvPr>
        <xdr:cNvSpPr txBox="1"/>
      </xdr:nvSpPr>
      <xdr:spPr>
        <a:xfrm>
          <a:off x="723900" y="2727960"/>
          <a:ext cx="12169140" cy="47396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  <a:p>
          <a:r>
            <a:rPr lang="en-US" sz="1100"/>
            <a:t>With engines that are two-to-three times more efficient than their internal combustion counterparts, electric forklifts offer better fuel efficiency and can limit energy costs by as much as 20%</a:t>
          </a:r>
        </a:p>
        <a:p>
          <a:r>
            <a:rPr lang="en-US" sz="1100"/>
            <a:t>https://blog.eqdepot.com/the-benefits-of-electric-forklifts#:~:text=With%20engines%20that%20are%20two,by%20as%20much%20as%2020%25.</a:t>
          </a:r>
        </a:p>
        <a:p>
          <a:endParaRPr lang="en-US" sz="1100"/>
        </a:p>
        <a:p>
          <a:r>
            <a:rPr lang="en-US" sz="1100"/>
            <a:t>Hybrid RTG cranes reduce fuel consumption by 40% (from 6.0 to 3.6 gallons per hour) - AECOM,</a:t>
          </a:r>
          <a:r>
            <a:rPr lang="en-US" sz="1100" baseline="0"/>
            <a:t> 2019</a:t>
          </a:r>
        </a:p>
        <a:p>
          <a:endParaRPr lang="en-US" sz="1100"/>
        </a:p>
        <a:p>
          <a:endParaRPr lang="en-US" sz="1100"/>
        </a:p>
        <a:p>
          <a:r>
            <a:rPr lang="en-US" sz="1100" b="1"/>
            <a:t>CARB (2018). </a:t>
          </a:r>
          <a:r>
            <a:rPr lang="en-US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Battery Electric Truck and Bus Energy Efficiency Compared to Conventional Diesel Vehicles.</a:t>
          </a:r>
          <a:endParaRPr lang="en-US" sz="1100"/>
        </a:p>
        <a:p>
          <a:r>
            <a:rPr lang="en-US" sz="1100"/>
            <a:t>Figure 9 shows the EER potential range from </a:t>
          </a:r>
          <a:r>
            <a:rPr lang="en-US" sz="1100">
              <a:solidFill>
                <a:srgbClr val="FF0000"/>
              </a:solidFill>
            </a:rPr>
            <a:t>5.3 to 7.0 </a:t>
          </a:r>
          <a:r>
            <a:rPr lang="en-US" sz="1100"/>
            <a:t>for electric yard tractors compared to similar conventional diesel vehicles.  Although not a direct comparison, the data does suggests that an EER above 5 is likely for yard truck operations.</a:t>
          </a:r>
        </a:p>
        <a:p>
          <a:endParaRPr lang="en-US" sz="1100"/>
        </a:p>
        <a:p>
          <a:r>
            <a:rPr lang="en-US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San Pedro Bay Clean Air Action Plan (2022), </a:t>
          </a:r>
          <a:r>
            <a:rPr 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2021 UPDATE: FEASIBILITY ASSESSMENT for CARGO-HANDLING EQUIPMENT. </a:t>
          </a:r>
        </a:p>
        <a:p>
          <a:r>
            <a:rPr 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Tetra Tech / Gladstein, Neandross &amp; Associates for POLA-POLB</a:t>
          </a:r>
        </a:p>
        <a:p>
          <a:r>
            <a:rPr 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EER 5.3-7.0 for yard tractors</a:t>
          </a:r>
        </a:p>
        <a:p>
          <a:r>
            <a:rPr 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Diesel Gallons Equivalent for electric yard tractors are calculated as DGE = kWh*(3.6 MJ/kWh)*EER/(134.47 MJ/DGE) </a:t>
          </a:r>
        </a:p>
        <a:p>
          <a:r>
            <a:rPr lang="en-US" sz="1100" b="0" i="0" u="none" strike="noStrike" baseline="0">
              <a:solidFill>
                <a:srgbClr val="FF0000"/>
              </a:solidFill>
              <a:latin typeface="+mn-lt"/>
              <a:ea typeface="+mn-ea"/>
              <a:cs typeface="+mn-cs"/>
            </a:rPr>
            <a:t>CARB assumes battery-electric CHE have an EER of 2.7 compared to their baseline diesel ICE counterparts  </a:t>
          </a:r>
        </a:p>
        <a:p>
          <a:endParaRPr lang="en-US" sz="1100" b="0" i="0" u="none" strike="noStrike" baseline="0">
            <a:solidFill>
              <a:srgbClr val="FF0000"/>
            </a:solidFill>
            <a:latin typeface="+mn-lt"/>
            <a:ea typeface="+mn-ea"/>
            <a:cs typeface="+mn-cs"/>
          </a:endParaRPr>
        </a:p>
        <a:p>
          <a:r>
            <a:rPr lang="en-US" sz="1100" b="1" i="0" u="none" strike="noStrike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CARB, Unofficial electronic version of the Low Carbon Fuel Standard Regulation, July 1, 2020</a:t>
          </a:r>
        </a:p>
        <a:p>
          <a:r>
            <a:rPr lang="en-US" sz="1100" b="0" i="0" u="none" strike="noStrike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https://ww2.arb.ca.gov/sites/default/files/2020-07/2020_lcfs_fro_oal-approved_unofficial_06302020.pdf</a:t>
          </a:r>
        </a:p>
        <a:p>
          <a:r>
            <a:rPr lang="en-US" sz="1100">
              <a:solidFill>
                <a:sysClr val="windowText" lastClr="000000"/>
              </a:solidFill>
            </a:rPr>
            <a:t>Table 5. EER Values for Fuels Used in Light- and Medium-Duty, and Heavy-Duty Applications</a:t>
          </a:r>
        </a:p>
        <a:p>
          <a:r>
            <a:rPr lang="en-US" sz="1100">
              <a:solidFill>
                <a:srgbClr val="FF0000"/>
              </a:solidFill>
            </a:rPr>
            <a:t>CHE - 2.7; e-forklifts</a:t>
          </a:r>
          <a:r>
            <a:rPr lang="en-US" sz="1100" baseline="0">
              <a:solidFill>
                <a:srgbClr val="FF0000"/>
              </a:solidFill>
            </a:rPr>
            <a:t> - 3.8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 editAs="oneCell">
    <xdr:from>
      <xdr:col>1</xdr:col>
      <xdr:colOff>115571</xdr:colOff>
      <xdr:row>55</xdr:row>
      <xdr:rowOff>151576</xdr:rowOff>
    </xdr:from>
    <xdr:to>
      <xdr:col>6</xdr:col>
      <xdr:colOff>449581</xdr:colOff>
      <xdr:row>73</xdr:row>
      <xdr:rowOff>115253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745978B-909F-686D-C167-E1EABE8E0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5171" y="10629076"/>
          <a:ext cx="5240020" cy="3392677"/>
        </a:xfrm>
        <a:prstGeom prst="rect">
          <a:avLst/>
        </a:prstGeom>
      </xdr:spPr>
    </xdr:pic>
    <xdr:clientData/>
  </xdr:twoCellAnchor>
  <xdr:twoCellAnchor editAs="oneCell">
    <xdr:from>
      <xdr:col>7</xdr:col>
      <xdr:colOff>15874</xdr:colOff>
      <xdr:row>56</xdr:row>
      <xdr:rowOff>9109</xdr:rowOff>
    </xdr:from>
    <xdr:to>
      <xdr:col>15</xdr:col>
      <xdr:colOff>288925</xdr:colOff>
      <xdr:row>73</xdr:row>
      <xdr:rowOff>83873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70E8F34-DF07-D803-F329-0D71E7C8A4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42354" y="10677109"/>
          <a:ext cx="5150486" cy="331135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camsys.sharepoint.com/sites/PROJPortofOaklandGrantSupport/Shared%20Documents/General/2024%20EPA%20CPRG%20-%20Seaport/From%20Port/Tenant%20Implementation%20Plans/Tenant%20Implementation%20Plan.xlsx" TargetMode="External"/><Relationship Id="rId1" Type="http://schemas.openxmlformats.org/officeDocument/2006/relationships/externalLinkPath" Target="/sites/PROJPortofOaklandGrantSupport/Shared%20Documents/General/2024%20EPA%20CPRG%20-%20Seaport/From%20Port/Tenant%20Implementation%20Plans/Tenant%20Implementation%20Pl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ary"/>
      <sheetName val="Everport"/>
      <sheetName val="GSC"/>
      <sheetName val="Bridgeport"/>
      <sheetName val="ConGlobal"/>
      <sheetName val="Unicold"/>
      <sheetName val="SSA _B63"/>
      <sheetName val="SSA_OICT"/>
      <sheetName val="TraPac"/>
      <sheetName val="Impact Transportation"/>
      <sheetName val="Central Valley Ag Grinding"/>
      <sheetName val="Sea-Logix, LLC"/>
      <sheetName val="Port Transfer Inc"/>
      <sheetName val="BNSF"/>
      <sheetName val="Pac Coast Maritime St"/>
      <sheetName val="Pac Coast 16th St"/>
      <sheetName val="STE"/>
      <sheetName val="Sheet"/>
    </sheetNames>
    <sheetDataSet>
      <sheetData sheetId="0"/>
      <sheetData sheetId="1">
        <row r="4">
          <cell r="C4">
            <v>0</v>
          </cell>
          <cell r="D4">
            <v>0</v>
          </cell>
          <cell r="E4">
            <v>2</v>
          </cell>
          <cell r="F4">
            <v>6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17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42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10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</row>
        <row r="9">
          <cell r="B9">
            <v>77</v>
          </cell>
        </row>
      </sheetData>
      <sheetData sheetId="2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</row>
        <row r="6">
          <cell r="C6">
            <v>5</v>
          </cell>
          <cell r="D6">
            <v>0</v>
          </cell>
          <cell r="E6">
            <v>0</v>
          </cell>
          <cell r="F6">
            <v>0</v>
          </cell>
        </row>
        <row r="7">
          <cell r="C7">
            <v>22</v>
          </cell>
          <cell r="D7">
            <v>0</v>
          </cell>
          <cell r="E7">
            <v>0</v>
          </cell>
          <cell r="F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</row>
        <row r="9">
          <cell r="B9">
            <v>27</v>
          </cell>
        </row>
      </sheetData>
      <sheetData sheetId="3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1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</row>
        <row r="9">
          <cell r="B9">
            <v>1</v>
          </cell>
        </row>
      </sheetData>
      <sheetData sheetId="4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C5">
            <v>5</v>
          </cell>
          <cell r="D5">
            <v>0</v>
          </cell>
          <cell r="E5">
            <v>0</v>
          </cell>
          <cell r="F5">
            <v>0</v>
          </cell>
        </row>
        <row r="6">
          <cell r="C6">
            <v>1</v>
          </cell>
          <cell r="D6">
            <v>0</v>
          </cell>
          <cell r="E6">
            <v>0</v>
          </cell>
          <cell r="F6">
            <v>0</v>
          </cell>
        </row>
        <row r="7">
          <cell r="C7">
            <v>5</v>
          </cell>
          <cell r="D7">
            <v>0</v>
          </cell>
          <cell r="E7">
            <v>0</v>
          </cell>
          <cell r="F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</row>
        <row r="9">
          <cell r="B9">
            <v>11</v>
          </cell>
        </row>
      </sheetData>
      <sheetData sheetId="5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2</v>
          </cell>
        </row>
        <row r="7">
          <cell r="C7">
            <v>14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9">
          <cell r="C9">
            <v>1</v>
          </cell>
          <cell r="D9">
            <v>0</v>
          </cell>
          <cell r="E9">
            <v>0</v>
          </cell>
          <cell r="F9">
            <v>0</v>
          </cell>
        </row>
        <row r="10">
          <cell r="C10">
            <v>2</v>
          </cell>
          <cell r="D10">
            <v>0</v>
          </cell>
          <cell r="E10">
            <v>0</v>
          </cell>
          <cell r="F10">
            <v>0</v>
          </cell>
        </row>
        <row r="11">
          <cell r="B11">
            <v>19</v>
          </cell>
        </row>
      </sheetData>
      <sheetData sheetId="6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C5">
            <v>0</v>
          </cell>
          <cell r="D5">
            <v>8</v>
          </cell>
          <cell r="E5">
            <v>0</v>
          </cell>
          <cell r="F5">
            <v>0</v>
          </cell>
        </row>
        <row r="6">
          <cell r="C6">
            <v>23</v>
          </cell>
          <cell r="D6">
            <v>0</v>
          </cell>
          <cell r="E6">
            <v>0</v>
          </cell>
          <cell r="F6">
            <v>0</v>
          </cell>
        </row>
        <row r="7">
          <cell r="C7">
            <v>1</v>
          </cell>
          <cell r="D7">
            <v>0</v>
          </cell>
          <cell r="E7">
            <v>0</v>
          </cell>
          <cell r="F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2</v>
          </cell>
        </row>
        <row r="9">
          <cell r="B9">
            <v>34</v>
          </cell>
        </row>
      </sheetData>
      <sheetData sheetId="7">
        <row r="4">
          <cell r="C4">
            <v>0</v>
          </cell>
          <cell r="D4">
            <v>0</v>
          </cell>
          <cell r="E4">
            <v>0</v>
          </cell>
          <cell r="F4">
            <v>13</v>
          </cell>
        </row>
        <row r="5">
          <cell r="C5">
            <v>0</v>
          </cell>
          <cell r="D5">
            <v>58</v>
          </cell>
          <cell r="E5">
            <v>0</v>
          </cell>
          <cell r="F5">
            <v>0</v>
          </cell>
        </row>
        <row r="6">
          <cell r="C6">
            <v>90</v>
          </cell>
          <cell r="D6">
            <v>0</v>
          </cell>
          <cell r="E6">
            <v>0</v>
          </cell>
          <cell r="F6">
            <v>0</v>
          </cell>
        </row>
        <row r="7">
          <cell r="C7">
            <v>8</v>
          </cell>
          <cell r="D7">
            <v>0</v>
          </cell>
          <cell r="E7">
            <v>0</v>
          </cell>
          <cell r="F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18</v>
          </cell>
        </row>
        <row r="9">
          <cell r="B9">
            <v>187</v>
          </cell>
        </row>
      </sheetData>
      <sheetData sheetId="8">
        <row r="4">
          <cell r="C4">
            <v>0</v>
          </cell>
          <cell r="D4">
            <v>0</v>
          </cell>
          <cell r="E4">
            <v>9</v>
          </cell>
          <cell r="F4">
            <v>0</v>
          </cell>
        </row>
        <row r="5">
          <cell r="C5">
            <v>7</v>
          </cell>
          <cell r="D5">
            <v>0</v>
          </cell>
          <cell r="E5">
            <v>0</v>
          </cell>
          <cell r="F5">
            <v>14</v>
          </cell>
        </row>
        <row r="6">
          <cell r="C6">
            <v>26</v>
          </cell>
          <cell r="D6">
            <v>0</v>
          </cell>
          <cell r="E6">
            <v>0</v>
          </cell>
          <cell r="F6">
            <v>38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11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2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3</v>
          </cell>
        </row>
        <row r="10">
          <cell r="B10">
            <v>110</v>
          </cell>
        </row>
      </sheetData>
      <sheetData sheetId="9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23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1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1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1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1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1</v>
          </cell>
        </row>
        <row r="14">
          <cell r="B14">
            <v>28</v>
          </cell>
        </row>
      </sheetData>
      <sheetData sheetId="10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</row>
        <row r="6">
          <cell r="C6">
            <v>0</v>
          </cell>
          <cell r="D6">
            <v>1</v>
          </cell>
          <cell r="E6">
            <v>0</v>
          </cell>
          <cell r="F6">
            <v>0</v>
          </cell>
        </row>
        <row r="7">
          <cell r="C7">
            <v>0</v>
          </cell>
          <cell r="D7">
            <v>2</v>
          </cell>
          <cell r="E7">
            <v>0</v>
          </cell>
          <cell r="F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</row>
        <row r="9">
          <cell r="C9">
            <v>0</v>
          </cell>
          <cell r="D9">
            <v>2</v>
          </cell>
          <cell r="E9">
            <v>0</v>
          </cell>
          <cell r="F9">
            <v>0</v>
          </cell>
        </row>
        <row r="10">
          <cell r="C10">
            <v>0</v>
          </cell>
          <cell r="D10">
            <v>2</v>
          </cell>
          <cell r="E10">
            <v>0</v>
          </cell>
          <cell r="F10">
            <v>0</v>
          </cell>
        </row>
        <row r="11">
          <cell r="C11">
            <v>0</v>
          </cell>
          <cell r="D11">
            <v>5</v>
          </cell>
          <cell r="E11">
            <v>0</v>
          </cell>
          <cell r="F11">
            <v>0</v>
          </cell>
        </row>
        <row r="12">
          <cell r="C12">
            <v>0</v>
          </cell>
          <cell r="D12">
            <v>1</v>
          </cell>
          <cell r="E12">
            <v>0</v>
          </cell>
          <cell r="F12">
            <v>0</v>
          </cell>
        </row>
        <row r="13">
          <cell r="C13">
            <v>0</v>
          </cell>
          <cell r="D13">
            <v>1</v>
          </cell>
          <cell r="E13">
            <v>0</v>
          </cell>
          <cell r="F13">
            <v>0</v>
          </cell>
        </row>
        <row r="14">
          <cell r="B14">
            <v>14</v>
          </cell>
        </row>
      </sheetData>
      <sheetData sheetId="11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1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</row>
        <row r="7">
          <cell r="C7">
            <v>5</v>
          </cell>
          <cell r="D7">
            <v>0</v>
          </cell>
          <cell r="E7">
            <v>0</v>
          </cell>
          <cell r="F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</row>
        <row r="9">
          <cell r="B9">
            <v>6</v>
          </cell>
        </row>
      </sheetData>
      <sheetData sheetId="12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1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9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</row>
        <row r="9">
          <cell r="F9">
            <v>3</v>
          </cell>
        </row>
        <row r="10">
          <cell r="F10">
            <v>2</v>
          </cell>
        </row>
        <row r="11">
          <cell r="B11">
            <v>15</v>
          </cell>
        </row>
      </sheetData>
      <sheetData sheetId="13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C5">
            <v>4</v>
          </cell>
          <cell r="D5">
            <v>0</v>
          </cell>
          <cell r="E5">
            <v>0</v>
          </cell>
          <cell r="F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</row>
        <row r="9">
          <cell r="B9">
            <v>4</v>
          </cell>
        </row>
      </sheetData>
      <sheetData sheetId="14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14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</row>
        <row r="9">
          <cell r="B9">
            <v>14</v>
          </cell>
        </row>
      </sheetData>
      <sheetData sheetId="15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/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/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/>
        </row>
        <row r="7">
          <cell r="C7">
            <v>22</v>
          </cell>
          <cell r="D7">
            <v>0</v>
          </cell>
          <cell r="E7">
            <v>0</v>
          </cell>
          <cell r="F7">
            <v>0</v>
          </cell>
          <cell r="G7"/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/>
        </row>
        <row r="9">
          <cell r="C9">
            <v>3</v>
          </cell>
          <cell r="D9">
            <v>0</v>
          </cell>
          <cell r="E9">
            <v>0</v>
          </cell>
          <cell r="F9">
            <v>0</v>
          </cell>
        </row>
        <row r="10">
          <cell r="B10">
            <v>25</v>
          </cell>
        </row>
      </sheetData>
      <sheetData sheetId="16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/>
        </row>
        <row r="5">
          <cell r="C5">
            <v>2</v>
          </cell>
          <cell r="D5">
            <v>0</v>
          </cell>
          <cell r="E5">
            <v>0</v>
          </cell>
          <cell r="F5">
            <v>0</v>
          </cell>
          <cell r="G5"/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/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/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/>
        </row>
        <row r="10">
          <cell r="B10">
            <v>2</v>
          </cell>
        </row>
      </sheetData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opr.ca.gov/climate/carbon-neutrality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696CD-7618-4C7F-B08E-E4DDD6469104}">
  <dimension ref="A1:AL49"/>
  <sheetViews>
    <sheetView tabSelected="1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L27" sqref="L27"/>
    </sheetView>
  </sheetViews>
  <sheetFormatPr defaultRowHeight="15" x14ac:dyDescent="0.25"/>
  <cols>
    <col min="1" max="1" width="20.140625" customWidth="1"/>
    <col min="2" max="2" width="3.42578125" customWidth="1"/>
    <col min="3" max="3" width="9.85546875" customWidth="1"/>
    <col min="4" max="4" width="6.28515625" customWidth="1"/>
    <col min="5" max="30" width="10" customWidth="1"/>
    <col min="31" max="31" width="3" customWidth="1"/>
    <col min="32" max="32" width="8.7109375" bestFit="1" customWidth="1"/>
    <col min="33" max="33" width="8.85546875" bestFit="1" customWidth="1"/>
    <col min="35" max="35" width="10.85546875" bestFit="1" customWidth="1"/>
  </cols>
  <sheetData>
    <row r="1" spans="1:38" s="3" customFormat="1" ht="45" x14ac:dyDescent="0.25">
      <c r="A1" s="1" t="s">
        <v>84</v>
      </c>
      <c r="B1" s="1"/>
      <c r="C1" s="2" t="s">
        <v>87</v>
      </c>
      <c r="D1" s="2" t="s">
        <v>93</v>
      </c>
      <c r="E1" s="2">
        <v>2025</v>
      </c>
      <c r="F1" s="2">
        <f>E1+1</f>
        <v>2026</v>
      </c>
      <c r="G1" s="2">
        <f t="shared" ref="G1:AD1" si="0">F1+1</f>
        <v>2027</v>
      </c>
      <c r="H1" s="2">
        <f t="shared" si="0"/>
        <v>2028</v>
      </c>
      <c r="I1" s="2">
        <f t="shared" si="0"/>
        <v>2029</v>
      </c>
      <c r="J1" s="2">
        <f t="shared" si="0"/>
        <v>2030</v>
      </c>
      <c r="K1" s="2">
        <f t="shared" si="0"/>
        <v>2031</v>
      </c>
      <c r="L1" s="2">
        <f t="shared" si="0"/>
        <v>2032</v>
      </c>
      <c r="M1" s="2">
        <f t="shared" si="0"/>
        <v>2033</v>
      </c>
      <c r="N1" s="2">
        <f t="shared" si="0"/>
        <v>2034</v>
      </c>
      <c r="O1" s="2">
        <f t="shared" si="0"/>
        <v>2035</v>
      </c>
      <c r="P1" s="2">
        <f t="shared" si="0"/>
        <v>2036</v>
      </c>
      <c r="Q1" s="2">
        <f t="shared" si="0"/>
        <v>2037</v>
      </c>
      <c r="R1" s="2">
        <f t="shared" si="0"/>
        <v>2038</v>
      </c>
      <c r="S1" s="2">
        <f t="shared" si="0"/>
        <v>2039</v>
      </c>
      <c r="T1" s="2">
        <f t="shared" si="0"/>
        <v>2040</v>
      </c>
      <c r="U1" s="2">
        <f t="shared" si="0"/>
        <v>2041</v>
      </c>
      <c r="V1" s="2">
        <f t="shared" si="0"/>
        <v>2042</v>
      </c>
      <c r="W1" s="2">
        <f t="shared" si="0"/>
        <v>2043</v>
      </c>
      <c r="X1" s="2">
        <f t="shared" si="0"/>
        <v>2044</v>
      </c>
      <c r="Y1" s="2">
        <f t="shared" si="0"/>
        <v>2045</v>
      </c>
      <c r="Z1" s="2">
        <f t="shared" si="0"/>
        <v>2046</v>
      </c>
      <c r="AA1" s="2">
        <f t="shared" si="0"/>
        <v>2047</v>
      </c>
      <c r="AB1" s="2">
        <f t="shared" si="0"/>
        <v>2048</v>
      </c>
      <c r="AC1" s="2">
        <f t="shared" si="0"/>
        <v>2049</v>
      </c>
      <c r="AD1" s="2">
        <f t="shared" si="0"/>
        <v>2050</v>
      </c>
      <c r="AF1" s="2" t="s">
        <v>0</v>
      </c>
      <c r="AG1" s="2" t="s">
        <v>1</v>
      </c>
      <c r="AI1" s="3" t="s">
        <v>127</v>
      </c>
      <c r="AJ1" s="3" t="s">
        <v>128</v>
      </c>
      <c r="AK1" s="3" t="s">
        <v>130</v>
      </c>
      <c r="AL1" s="3" t="s">
        <v>131</v>
      </c>
    </row>
    <row r="2" spans="1:38" s="3" customFormat="1" x14ac:dyDescent="0.25">
      <c r="A2" s="27" t="s">
        <v>86</v>
      </c>
      <c r="B2" s="69"/>
      <c r="C2" s="69"/>
      <c r="D2" s="69"/>
    </row>
    <row r="3" spans="1:38" x14ac:dyDescent="0.25">
      <c r="A3" s="68" t="str">
        <f>'2020 Inventory'!C17</f>
        <v>Cranes</v>
      </c>
      <c r="C3" s="76">
        <v>1</v>
      </c>
      <c r="D3" s="80">
        <v>2.7</v>
      </c>
      <c r="E3" s="92">
        <f>(E$1-$E$1)/($O$1-$E$1)</f>
        <v>0</v>
      </c>
      <c r="F3" s="71">
        <f>$E3+($O3-$E3)*(F$1-$E$1)/($O$1-$E$1)</f>
        <v>0.1</v>
      </c>
      <c r="G3" s="71">
        <f t="shared" ref="G3:N5" si="1">$E3+($O3-$E3)*(G$1-$E$1)/($O$1-$E$1)</f>
        <v>0.2</v>
      </c>
      <c r="H3" s="71">
        <f t="shared" si="1"/>
        <v>0.3</v>
      </c>
      <c r="I3" s="71">
        <f t="shared" si="1"/>
        <v>0.4</v>
      </c>
      <c r="J3" s="71">
        <f t="shared" si="1"/>
        <v>0.5</v>
      </c>
      <c r="K3" s="71">
        <f t="shared" si="1"/>
        <v>0.6</v>
      </c>
      <c r="L3" s="71">
        <f t="shared" si="1"/>
        <v>0.7</v>
      </c>
      <c r="M3" s="71">
        <f t="shared" si="1"/>
        <v>0.8</v>
      </c>
      <c r="N3" s="71">
        <f t="shared" si="1"/>
        <v>0.9</v>
      </c>
      <c r="O3" s="76">
        <v>1</v>
      </c>
      <c r="P3" s="70">
        <f t="shared" ref="P3" si="2">O3</f>
        <v>1</v>
      </c>
      <c r="Q3" s="70">
        <f t="shared" ref="Q3" si="3">P3</f>
        <v>1</v>
      </c>
      <c r="R3" s="70">
        <f t="shared" ref="R3" si="4">Q3</f>
        <v>1</v>
      </c>
      <c r="S3" s="70">
        <f t="shared" ref="S3" si="5">R3</f>
        <v>1</v>
      </c>
      <c r="T3" s="70">
        <f t="shared" ref="T3" si="6">S3</f>
        <v>1</v>
      </c>
      <c r="U3" s="70">
        <f>T3</f>
        <v>1</v>
      </c>
      <c r="V3" s="70">
        <f t="shared" ref="V3:AD3" si="7">U3</f>
        <v>1</v>
      </c>
      <c r="W3" s="70">
        <f t="shared" si="7"/>
        <v>1</v>
      </c>
      <c r="X3" s="70">
        <f t="shared" si="7"/>
        <v>1</v>
      </c>
      <c r="Y3" s="70">
        <f t="shared" si="7"/>
        <v>1</v>
      </c>
      <c r="Z3" s="70">
        <f t="shared" si="7"/>
        <v>1</v>
      </c>
      <c r="AA3" s="70">
        <f t="shared" si="7"/>
        <v>1</v>
      </c>
      <c r="AB3" s="70">
        <f t="shared" si="7"/>
        <v>1</v>
      </c>
      <c r="AC3" s="70">
        <f t="shared" si="7"/>
        <v>1</v>
      </c>
      <c r="AD3" s="70">
        <f t="shared" si="7"/>
        <v>1</v>
      </c>
    </row>
    <row r="4" spans="1:38" x14ac:dyDescent="0.25">
      <c r="A4" s="68" t="str">
        <f>'2020 Inventory'!C18</f>
        <v>Forklifts</v>
      </c>
      <c r="C4" s="76">
        <v>1</v>
      </c>
      <c r="D4" s="80">
        <v>3.8</v>
      </c>
      <c r="E4" s="92">
        <v>0.13</v>
      </c>
      <c r="F4" s="71">
        <f>$E4+($L4-$E4)*(F$1-$E$1)/($L$1-$E$1)</f>
        <v>0.25428571428571428</v>
      </c>
      <c r="G4" s="71">
        <f t="shared" ref="G4:K4" si="8">$E4+($L4-$E4)*(G$1-$E$1)/($L$1-$E$1)</f>
        <v>0.37857142857142856</v>
      </c>
      <c r="H4" s="71">
        <f t="shared" si="8"/>
        <v>0.50285714285714289</v>
      </c>
      <c r="I4" s="71">
        <f t="shared" si="8"/>
        <v>0.62714285714285722</v>
      </c>
      <c r="J4" s="71">
        <f t="shared" si="8"/>
        <v>0.75142857142857133</v>
      </c>
      <c r="K4" s="71">
        <f t="shared" si="8"/>
        <v>0.87571428571428567</v>
      </c>
      <c r="L4" s="76">
        <v>1</v>
      </c>
      <c r="M4" s="70">
        <f>L4</f>
        <v>1</v>
      </c>
      <c r="N4" s="70">
        <f t="shared" ref="N4:AD4" si="9">M4</f>
        <v>1</v>
      </c>
      <c r="O4" s="70">
        <f t="shared" si="9"/>
        <v>1</v>
      </c>
      <c r="P4" s="70">
        <f t="shared" si="9"/>
        <v>1</v>
      </c>
      <c r="Q4" s="70">
        <f t="shared" si="9"/>
        <v>1</v>
      </c>
      <c r="R4" s="70">
        <f t="shared" si="9"/>
        <v>1</v>
      </c>
      <c r="S4" s="70">
        <f t="shared" si="9"/>
        <v>1</v>
      </c>
      <c r="T4" s="70">
        <f t="shared" si="9"/>
        <v>1</v>
      </c>
      <c r="U4" s="70">
        <f t="shared" si="9"/>
        <v>1</v>
      </c>
      <c r="V4" s="70">
        <f t="shared" si="9"/>
        <v>1</v>
      </c>
      <c r="W4" s="70">
        <f t="shared" si="9"/>
        <v>1</v>
      </c>
      <c r="X4" s="70">
        <f t="shared" si="9"/>
        <v>1</v>
      </c>
      <c r="Y4" s="70">
        <f t="shared" si="9"/>
        <v>1</v>
      </c>
      <c r="Z4" s="70">
        <f t="shared" si="9"/>
        <v>1</v>
      </c>
      <c r="AA4" s="70">
        <f t="shared" si="9"/>
        <v>1</v>
      </c>
      <c r="AB4" s="70">
        <f t="shared" si="9"/>
        <v>1</v>
      </c>
      <c r="AC4" s="70">
        <f t="shared" si="9"/>
        <v>1</v>
      </c>
      <c r="AD4" s="70">
        <f t="shared" si="9"/>
        <v>1</v>
      </c>
    </row>
    <row r="5" spans="1:38" x14ac:dyDescent="0.25">
      <c r="A5" s="68" t="str">
        <f>'2020 Inventory'!C19</f>
        <v>Container handling</v>
      </c>
      <c r="C5" s="76">
        <v>1</v>
      </c>
      <c r="D5" s="80">
        <v>2.7</v>
      </c>
      <c r="E5" s="92">
        <f>(E$1-$E$1)/($O$1-$E$1)</f>
        <v>0</v>
      </c>
      <c r="F5" s="71">
        <f>$E5+($O5-$E5)*(F$1-$E$1)/($O$1-$E$1)</f>
        <v>0.1</v>
      </c>
      <c r="G5" s="71">
        <f t="shared" si="1"/>
        <v>0.2</v>
      </c>
      <c r="H5" s="71">
        <f t="shared" si="1"/>
        <v>0.3</v>
      </c>
      <c r="I5" s="71">
        <f t="shared" si="1"/>
        <v>0.4</v>
      </c>
      <c r="J5" s="71">
        <f t="shared" si="1"/>
        <v>0.5</v>
      </c>
      <c r="K5" s="71">
        <f t="shared" si="1"/>
        <v>0.6</v>
      </c>
      <c r="L5" s="71">
        <f t="shared" si="1"/>
        <v>0.7</v>
      </c>
      <c r="M5" s="71">
        <f t="shared" si="1"/>
        <v>0.8</v>
      </c>
      <c r="N5" s="71">
        <f t="shared" si="1"/>
        <v>0.9</v>
      </c>
      <c r="O5" s="76">
        <v>1</v>
      </c>
      <c r="P5" s="70">
        <f t="shared" ref="N5:AD6" si="10">O5</f>
        <v>1</v>
      </c>
      <c r="Q5" s="70">
        <f t="shared" si="10"/>
        <v>1</v>
      </c>
      <c r="R5" s="70">
        <f t="shared" si="10"/>
        <v>1</v>
      </c>
      <c r="S5" s="70">
        <f t="shared" si="10"/>
        <v>1</v>
      </c>
      <c r="T5" s="70">
        <f t="shared" si="10"/>
        <v>1</v>
      </c>
      <c r="U5" s="70">
        <f t="shared" si="10"/>
        <v>1</v>
      </c>
      <c r="V5" s="70">
        <f t="shared" si="10"/>
        <v>1</v>
      </c>
      <c r="W5" s="70">
        <f t="shared" si="10"/>
        <v>1</v>
      </c>
      <c r="X5" s="70">
        <f t="shared" si="10"/>
        <v>1</v>
      </c>
      <c r="Y5" s="70">
        <f t="shared" si="10"/>
        <v>1</v>
      </c>
      <c r="Z5" s="70">
        <f t="shared" si="10"/>
        <v>1</v>
      </c>
      <c r="AA5" s="70">
        <f t="shared" si="10"/>
        <v>1</v>
      </c>
      <c r="AB5" s="70">
        <f t="shared" si="10"/>
        <v>1</v>
      </c>
      <c r="AC5" s="70">
        <f t="shared" si="10"/>
        <v>1</v>
      </c>
      <c r="AD5" s="70">
        <f t="shared" si="10"/>
        <v>1</v>
      </c>
    </row>
    <row r="6" spans="1:38" x14ac:dyDescent="0.25">
      <c r="A6" s="68" t="str">
        <f>'2020 Inventory'!C20</f>
        <v>Yard trucks</v>
      </c>
      <c r="C6" s="76">
        <v>1</v>
      </c>
      <c r="D6" s="80">
        <v>5.3</v>
      </c>
      <c r="E6" s="92">
        <v>0.2</v>
      </c>
      <c r="F6" s="71">
        <f>$E6+($M6-$E6)*(F$1-$E$1)/($M$1-$E$1)</f>
        <v>0.30000000000000004</v>
      </c>
      <c r="G6" s="71">
        <f t="shared" ref="G6:L6" si="11">$E6+($M6-$E6)*(G$1-$E$1)/($M$1-$E$1)</f>
        <v>0.4</v>
      </c>
      <c r="H6" s="71">
        <f t="shared" si="11"/>
        <v>0.5</v>
      </c>
      <c r="I6" s="71">
        <f t="shared" si="11"/>
        <v>0.60000000000000009</v>
      </c>
      <c r="J6" s="71">
        <f t="shared" si="11"/>
        <v>0.7</v>
      </c>
      <c r="K6" s="71">
        <f t="shared" si="11"/>
        <v>0.8</v>
      </c>
      <c r="L6" s="71">
        <f t="shared" si="11"/>
        <v>0.90000000000000013</v>
      </c>
      <c r="M6" s="76">
        <v>1</v>
      </c>
      <c r="N6" s="70">
        <f t="shared" si="10"/>
        <v>1</v>
      </c>
      <c r="O6" s="70">
        <f t="shared" si="10"/>
        <v>1</v>
      </c>
      <c r="P6" s="70">
        <f t="shared" si="10"/>
        <v>1</v>
      </c>
      <c r="Q6" s="70">
        <f t="shared" si="10"/>
        <v>1</v>
      </c>
      <c r="R6" s="70">
        <f t="shared" si="10"/>
        <v>1</v>
      </c>
      <c r="S6" s="70">
        <f t="shared" si="10"/>
        <v>1</v>
      </c>
      <c r="T6" s="70">
        <f t="shared" si="10"/>
        <v>1</v>
      </c>
      <c r="U6" s="70">
        <f t="shared" si="10"/>
        <v>1</v>
      </c>
      <c r="V6" s="70">
        <f t="shared" si="10"/>
        <v>1</v>
      </c>
      <c r="W6" s="70">
        <f t="shared" si="10"/>
        <v>1</v>
      </c>
      <c r="X6" s="70">
        <f t="shared" si="10"/>
        <v>1</v>
      </c>
      <c r="Y6" s="70">
        <f t="shared" si="10"/>
        <v>1</v>
      </c>
      <c r="Z6" s="70">
        <f t="shared" si="10"/>
        <v>1</v>
      </c>
      <c r="AA6" s="70">
        <f t="shared" si="10"/>
        <v>1</v>
      </c>
      <c r="AB6" s="70">
        <f t="shared" si="10"/>
        <v>1</v>
      </c>
      <c r="AC6" s="70">
        <f t="shared" si="10"/>
        <v>1</v>
      </c>
      <c r="AD6" s="70">
        <f t="shared" si="10"/>
        <v>1</v>
      </c>
    </row>
    <row r="7" spans="1:38" x14ac:dyDescent="0.25">
      <c r="A7" s="68"/>
      <c r="C7" s="70"/>
      <c r="D7" s="70"/>
      <c r="E7" s="71"/>
      <c r="F7" s="71"/>
      <c r="G7" s="71"/>
      <c r="H7" s="71"/>
      <c r="I7" s="71"/>
      <c r="J7" s="71"/>
      <c r="K7" s="71"/>
      <c r="L7" s="71"/>
      <c r="M7" s="71"/>
      <c r="N7" s="71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</row>
    <row r="8" spans="1:38" x14ac:dyDescent="0.25">
      <c r="A8" s="27" t="s">
        <v>85</v>
      </c>
      <c r="E8" s="71">
        <v>0</v>
      </c>
      <c r="F8" s="71">
        <v>0</v>
      </c>
      <c r="G8" s="71">
        <v>0</v>
      </c>
      <c r="H8" s="71">
        <f>1/3</f>
        <v>0.33333333333333331</v>
      </c>
      <c r="I8" s="71">
        <v>1</v>
      </c>
      <c r="J8" s="71">
        <v>1</v>
      </c>
      <c r="K8" s="71">
        <v>1</v>
      </c>
      <c r="L8" s="70">
        <v>1</v>
      </c>
      <c r="M8" s="70">
        <f>L8</f>
        <v>1</v>
      </c>
      <c r="N8" s="70">
        <f t="shared" ref="N8:AD8" si="12">M8</f>
        <v>1</v>
      </c>
      <c r="O8" s="70">
        <f t="shared" si="12"/>
        <v>1</v>
      </c>
      <c r="P8" s="70">
        <f t="shared" si="12"/>
        <v>1</v>
      </c>
      <c r="Q8" s="70">
        <f t="shared" si="12"/>
        <v>1</v>
      </c>
      <c r="R8" s="70">
        <f t="shared" si="12"/>
        <v>1</v>
      </c>
      <c r="S8" s="70">
        <f t="shared" si="12"/>
        <v>1</v>
      </c>
      <c r="T8" s="70">
        <f t="shared" si="12"/>
        <v>1</v>
      </c>
      <c r="U8" s="70">
        <f t="shared" si="12"/>
        <v>1</v>
      </c>
      <c r="V8" s="70">
        <f t="shared" si="12"/>
        <v>1</v>
      </c>
      <c r="W8" s="70">
        <f t="shared" si="12"/>
        <v>1</v>
      </c>
      <c r="X8" s="70">
        <f t="shared" si="12"/>
        <v>1</v>
      </c>
      <c r="Y8" s="70">
        <f t="shared" si="12"/>
        <v>1</v>
      </c>
      <c r="Z8" s="70">
        <f t="shared" si="12"/>
        <v>1</v>
      </c>
      <c r="AA8" s="70">
        <f t="shared" si="12"/>
        <v>1</v>
      </c>
      <c r="AB8" s="70">
        <f t="shared" si="12"/>
        <v>1</v>
      </c>
      <c r="AC8" s="70">
        <f t="shared" si="12"/>
        <v>1</v>
      </c>
      <c r="AD8" s="70">
        <f t="shared" si="12"/>
        <v>1</v>
      </c>
    </row>
    <row r="10" spans="1:38" x14ac:dyDescent="0.25">
      <c r="A10" s="27" t="s">
        <v>111</v>
      </c>
    </row>
    <row r="11" spans="1:38" x14ac:dyDescent="0.25">
      <c r="A11" t="s">
        <v>109</v>
      </c>
      <c r="E11" s="73">
        <f>SUMPRODUCT('2020 Inventory'!$E$17:$E$20,$C$3:$C$6,'CPRG calcs'!E$3:E$6)*'CPRG calcs'!E$8</f>
        <v>0</v>
      </c>
      <c r="F11" s="73">
        <f>SUMPRODUCT('2020 Inventory'!$E$17:$E$20,$C$3:$C$6,'CPRG calcs'!F$3:F$6)*'CPRG calcs'!F$8</f>
        <v>0</v>
      </c>
      <c r="G11" s="73">
        <f>SUMPRODUCT('2020 Inventory'!$E$17:$E$20,$C$3:$C$6,'CPRG calcs'!G$3:G$6)*'CPRG calcs'!G$8</f>
        <v>0</v>
      </c>
      <c r="H11" s="73">
        <f>SUMPRODUCT('2020 Inventory'!$E$17:$E$20,$C$3:$C$6,'CPRG calcs'!H$3:H$6)*'CPRG calcs'!H$8</f>
        <v>0.32773333333333332</v>
      </c>
      <c r="I11" s="73">
        <f>SUMPRODUCT('2020 Inventory'!$E$17:$E$20,$C$3:$C$6,'CPRG calcs'!I$3:I$6)*'CPRG calcs'!I$8</f>
        <v>1.2379000000000002</v>
      </c>
      <c r="J11" s="96">
        <f>SUMPRODUCT('2020 Inventory'!$E$17:$E$20,$C$3:$C$6,'CPRG calcs'!J$3:J$6)*'CPRG calcs'!J$8</f>
        <v>1.4925999999999999</v>
      </c>
      <c r="K11" s="73">
        <f>SUMPRODUCT('2020 Inventory'!$E$17:$E$20,$C$3:$C$6,'CPRG calcs'!K$3:K$6)*'CPRG calcs'!K$8</f>
        <v>1.7473000000000001</v>
      </c>
      <c r="L11" s="73">
        <f>SUMPRODUCT('2020 Inventory'!$E$17:$E$20,$C$3:$C$6,'CPRG calcs'!L$3:L$6)*'CPRG calcs'!L$8</f>
        <v>2.0020000000000002</v>
      </c>
      <c r="M11" s="73">
        <f>SUMPRODUCT('2020 Inventory'!$E$17:$E$20,$C$3:$C$6,'CPRG calcs'!M$3:M$6)*'CPRG calcs'!M$8</f>
        <v>2.2480000000000002</v>
      </c>
      <c r="N11" s="73">
        <f>SUMPRODUCT('2020 Inventory'!$E$17:$E$20,$C$3:$C$6,'CPRG calcs'!N$3:N$6)*'CPRG calcs'!N$8</f>
        <v>2.3890000000000002</v>
      </c>
      <c r="O11" s="73">
        <f>SUMPRODUCT('2020 Inventory'!$E$17:$E$20,$C$3:$C$6,'CPRG calcs'!O$3:O$6)*'CPRG calcs'!O$8</f>
        <v>2.5300000000000002</v>
      </c>
      <c r="P11" s="73">
        <f>SUMPRODUCT('2020 Inventory'!$E$17:$E$20,$C$3:$C$6,'CPRG calcs'!P$3:P$6)*'CPRG calcs'!P$8</f>
        <v>2.5300000000000002</v>
      </c>
      <c r="Q11" s="73">
        <f>SUMPRODUCT('2020 Inventory'!$E$17:$E$20,$C$3:$C$6,'CPRG calcs'!Q$3:Q$6)*'CPRG calcs'!Q$8</f>
        <v>2.5300000000000002</v>
      </c>
      <c r="R11" s="73">
        <f>SUMPRODUCT('2020 Inventory'!$E$17:$E$20,$C$3:$C$6,'CPRG calcs'!R$3:R$6)*'CPRG calcs'!R$8</f>
        <v>2.5300000000000002</v>
      </c>
      <c r="S11" s="73">
        <f>SUMPRODUCT('2020 Inventory'!$E$17:$E$20,$C$3:$C$6,'CPRG calcs'!S$3:S$6)*'CPRG calcs'!S$8</f>
        <v>2.5300000000000002</v>
      </c>
      <c r="T11" s="73">
        <f>SUMPRODUCT('2020 Inventory'!$E$17:$E$20,$C$3:$C$6,'CPRG calcs'!T$3:T$6)*'CPRG calcs'!T$8</f>
        <v>2.5300000000000002</v>
      </c>
      <c r="U11" s="73">
        <f>SUMPRODUCT('2020 Inventory'!$E$17:$E$20,$C$3:$C$6,'CPRG calcs'!U$3:U$6)*'CPRG calcs'!U$8</f>
        <v>2.5300000000000002</v>
      </c>
      <c r="V11" s="73">
        <f>SUMPRODUCT('2020 Inventory'!$E$17:$E$20,$C$3:$C$6,'CPRG calcs'!V$3:V$6)*'CPRG calcs'!V$8</f>
        <v>2.5300000000000002</v>
      </c>
      <c r="W11" s="73">
        <f>SUMPRODUCT('2020 Inventory'!$E$17:$E$20,$C$3:$C$6,'CPRG calcs'!W$3:W$6)*'CPRG calcs'!W$8</f>
        <v>2.5300000000000002</v>
      </c>
      <c r="X11" s="73">
        <f>SUMPRODUCT('2020 Inventory'!$E$17:$E$20,$C$3:$C$6,'CPRG calcs'!X$3:X$6)*'CPRG calcs'!X$8</f>
        <v>2.5300000000000002</v>
      </c>
      <c r="Y11" s="73">
        <f>SUMPRODUCT('2020 Inventory'!$E$17:$E$20,$C$3:$C$6,'CPRG calcs'!Y$3:Y$6)*'CPRG calcs'!Y$8</f>
        <v>2.5300000000000002</v>
      </c>
      <c r="Z11" s="73">
        <f>SUMPRODUCT('2020 Inventory'!$E$17:$E$20,$C$3:$C$6,'CPRG calcs'!Z$3:Z$6)*'CPRG calcs'!Z$8</f>
        <v>2.5300000000000002</v>
      </c>
      <c r="AA11" s="73">
        <f>SUMPRODUCT('2020 Inventory'!$E$17:$E$20,$C$3:$C$6,'CPRG calcs'!AA$3:AA$6)*'CPRG calcs'!AA$8</f>
        <v>2.5300000000000002</v>
      </c>
      <c r="AB11" s="73">
        <f>SUMPRODUCT('2020 Inventory'!$E$17:$E$20,$C$3:$C$6,'CPRG calcs'!AB$3:AB$6)*'CPRG calcs'!AB$8</f>
        <v>2.5300000000000002</v>
      </c>
      <c r="AC11" s="73">
        <f>SUMPRODUCT('2020 Inventory'!$E$17:$E$20,$C$3:$C$6,'CPRG calcs'!AC$3:AC$6)*'CPRG calcs'!AC$8</f>
        <v>2.5300000000000002</v>
      </c>
      <c r="AD11" s="73">
        <f>SUMPRODUCT('2020 Inventory'!$E$17:$E$20,$C$3:$C$6,'CPRG calcs'!AD$3:AD$6)*'CPRG calcs'!AD$8</f>
        <v>2.5300000000000002</v>
      </c>
      <c r="AF11" s="75">
        <f t="shared" ref="AF11:AF12" si="13">SUM(E11:J11)</f>
        <v>3.0582333333333334</v>
      </c>
      <c r="AG11" s="75">
        <f t="shared" ref="AG11:AG12" si="14">SUM(E11:AD11)</f>
        <v>51.924533333333351</v>
      </c>
    </row>
    <row r="12" spans="1:38" x14ac:dyDescent="0.25">
      <c r="A12" t="s">
        <v>110</v>
      </c>
      <c r="E12" s="73">
        <f>SUMPRODUCT('2020 Inventory'!$F$17:$F$20,$C$3:$C$6,'CPRG calcs'!E$3:E$6)*'CPRG calcs'!E$8</f>
        <v>0</v>
      </c>
      <c r="F12" s="73">
        <f>SUMPRODUCT('2020 Inventory'!$F$17:$F$20,$C$3:$C$6,'CPRG calcs'!F$3:F$6)*'CPRG calcs'!F$8</f>
        <v>0</v>
      </c>
      <c r="G12" s="73">
        <f>SUMPRODUCT('2020 Inventory'!$F$17:$F$20,$C$3:$C$6,'CPRG calcs'!G$3:G$6)*'CPRG calcs'!G$8</f>
        <v>0</v>
      </c>
      <c r="H12" s="73">
        <f>SUMPRODUCT('2020 Inventory'!$F$17:$F$20,$C$3:$C$6,'CPRG calcs'!H$3:H$6)*'CPRG calcs'!H$8</f>
        <v>23.959819047619042</v>
      </c>
      <c r="I12" s="73">
        <f>SUMPRODUCT('2020 Inventory'!$F$17:$F$20,$C$3:$C$6,'CPRG calcs'!I$3:I$6)*'CPRG calcs'!I$8</f>
        <v>91.623342857142859</v>
      </c>
      <c r="J12" s="96">
        <f>SUMPRODUCT('2020 Inventory'!$F$17:$F$20,$C$3:$C$6,'CPRG calcs'!J$3:J$6)*'CPRG calcs'!J$8</f>
        <v>111.36722857142857</v>
      </c>
      <c r="K12" s="73">
        <f>SUMPRODUCT('2020 Inventory'!$F$17:$F$20,$C$3:$C$6,'CPRG calcs'!K$3:K$6)*'CPRG calcs'!K$8</f>
        <v>131.11111428571428</v>
      </c>
      <c r="L12" s="73">
        <f>SUMPRODUCT('2020 Inventory'!$F$17:$F$20,$C$3:$C$6,'CPRG calcs'!L$3:L$6)*'CPRG calcs'!L$8</f>
        <v>150.85500000000002</v>
      </c>
      <c r="M12" s="73">
        <f>SUMPRODUCT('2020 Inventory'!$F$17:$F$20,$C$3:$C$6,'CPRG calcs'!M$3:M$6)*'CPRG calcs'!M$8</f>
        <v>169.79599999999999</v>
      </c>
      <c r="N12" s="73">
        <f>SUMPRODUCT('2020 Inventory'!$F$17:$F$20,$C$3:$C$6,'CPRG calcs'!N$3:N$6)*'CPRG calcs'!N$8</f>
        <v>182.833</v>
      </c>
      <c r="O12" s="73">
        <f>SUMPRODUCT('2020 Inventory'!$F$17:$F$20,$C$3:$C$6,'CPRG calcs'!O$3:O$6)*'CPRG calcs'!O$8</f>
        <v>195.87</v>
      </c>
      <c r="P12" s="73">
        <f>SUMPRODUCT('2020 Inventory'!$F$17:$F$20,$C$3:$C$6,'CPRG calcs'!P$3:P$6)*'CPRG calcs'!P$8</f>
        <v>195.87</v>
      </c>
      <c r="Q12" s="73">
        <f>SUMPRODUCT('2020 Inventory'!$F$17:$F$20,$C$3:$C$6,'CPRG calcs'!Q$3:Q$6)*'CPRG calcs'!Q$8</f>
        <v>195.87</v>
      </c>
      <c r="R12" s="73">
        <f>SUMPRODUCT('2020 Inventory'!$F$17:$F$20,$C$3:$C$6,'CPRG calcs'!R$3:R$6)*'CPRG calcs'!R$8</f>
        <v>195.87</v>
      </c>
      <c r="S12" s="73">
        <f>SUMPRODUCT('2020 Inventory'!$F$17:$F$20,$C$3:$C$6,'CPRG calcs'!S$3:S$6)*'CPRG calcs'!S$8</f>
        <v>195.87</v>
      </c>
      <c r="T12" s="73">
        <f>SUMPRODUCT('2020 Inventory'!$F$17:$F$20,$C$3:$C$6,'CPRG calcs'!T$3:T$6)*'CPRG calcs'!T$8</f>
        <v>195.87</v>
      </c>
      <c r="U12" s="73">
        <f>SUMPRODUCT('2020 Inventory'!$F$17:$F$20,$C$3:$C$6,'CPRG calcs'!U$3:U$6)*'CPRG calcs'!U$8</f>
        <v>195.87</v>
      </c>
      <c r="V12" s="73">
        <f>SUMPRODUCT('2020 Inventory'!$F$17:$F$20,$C$3:$C$6,'CPRG calcs'!V$3:V$6)*'CPRG calcs'!V$8</f>
        <v>195.87</v>
      </c>
      <c r="W12" s="73">
        <f>SUMPRODUCT('2020 Inventory'!$F$17:$F$20,$C$3:$C$6,'CPRG calcs'!W$3:W$6)*'CPRG calcs'!W$8</f>
        <v>195.87</v>
      </c>
      <c r="X12" s="73">
        <f>SUMPRODUCT('2020 Inventory'!$F$17:$F$20,$C$3:$C$6,'CPRG calcs'!X$3:X$6)*'CPRG calcs'!X$8</f>
        <v>195.87</v>
      </c>
      <c r="Y12" s="73">
        <f>SUMPRODUCT('2020 Inventory'!$F$17:$F$20,$C$3:$C$6,'CPRG calcs'!Y$3:Y$6)*'CPRG calcs'!Y$8</f>
        <v>195.87</v>
      </c>
      <c r="Z12" s="73">
        <f>SUMPRODUCT('2020 Inventory'!$F$17:$F$20,$C$3:$C$6,'CPRG calcs'!Z$3:Z$6)*'CPRG calcs'!Z$8</f>
        <v>195.87</v>
      </c>
      <c r="AA12" s="73">
        <f>SUMPRODUCT('2020 Inventory'!$F$17:$F$20,$C$3:$C$6,'CPRG calcs'!AA$3:AA$6)*'CPRG calcs'!AA$8</f>
        <v>195.87</v>
      </c>
      <c r="AB12" s="73">
        <f>SUMPRODUCT('2020 Inventory'!$F$17:$F$20,$C$3:$C$6,'CPRG calcs'!AB$3:AB$6)*'CPRG calcs'!AB$8</f>
        <v>195.87</v>
      </c>
      <c r="AC12" s="73">
        <f>SUMPRODUCT('2020 Inventory'!$F$17:$F$20,$C$3:$C$6,'CPRG calcs'!AC$3:AC$6)*'CPRG calcs'!AC$8</f>
        <v>195.87</v>
      </c>
      <c r="AD12" s="73">
        <f>SUMPRODUCT('2020 Inventory'!$F$17:$F$20,$C$3:$C$6,'CPRG calcs'!AD$3:AD$6)*'CPRG calcs'!AD$8</f>
        <v>195.87</v>
      </c>
      <c r="AF12" s="75">
        <f t="shared" si="13"/>
        <v>226.95039047619048</v>
      </c>
      <c r="AG12" s="75">
        <f t="shared" si="14"/>
        <v>3995.465504761903</v>
      </c>
    </row>
    <row r="13" spans="1:38" s="27" customFormat="1" x14ac:dyDescent="0.25">
      <c r="A13" s="27" t="s">
        <v>99</v>
      </c>
      <c r="E13" s="82">
        <f>SUM(E14:E17)</f>
        <v>0</v>
      </c>
      <c r="F13" s="82">
        <f t="shared" ref="F13:AD13" si="15">SUM(F14:F17)</f>
        <v>0</v>
      </c>
      <c r="G13" s="82">
        <f t="shared" si="15"/>
        <v>0</v>
      </c>
      <c r="H13" s="82">
        <f t="shared" si="15"/>
        <v>5349.0008658008646</v>
      </c>
      <c r="I13" s="82">
        <f t="shared" si="15"/>
        <v>20113.888311688308</v>
      </c>
      <c r="J13" s="82">
        <f t="shared" si="15"/>
        <v>24180.774025974024</v>
      </c>
      <c r="K13" s="82">
        <f t="shared" si="15"/>
        <v>28247.65974025974</v>
      </c>
      <c r="L13" s="82">
        <f t="shared" si="15"/>
        <v>32314.545454545456</v>
      </c>
      <c r="M13" s="82">
        <f t="shared" si="15"/>
        <v>36274.545454545449</v>
      </c>
      <c r="N13" s="82">
        <f t="shared" si="15"/>
        <v>38367.272727272721</v>
      </c>
      <c r="O13" s="82">
        <f t="shared" si="15"/>
        <v>40460</v>
      </c>
      <c r="P13" s="82">
        <f t="shared" si="15"/>
        <v>40460</v>
      </c>
      <c r="Q13" s="82">
        <f t="shared" si="15"/>
        <v>40460</v>
      </c>
      <c r="R13" s="82">
        <f t="shared" si="15"/>
        <v>40460</v>
      </c>
      <c r="S13" s="82">
        <f t="shared" si="15"/>
        <v>40460</v>
      </c>
      <c r="T13" s="82">
        <f t="shared" si="15"/>
        <v>40460</v>
      </c>
      <c r="U13" s="82">
        <f t="shared" si="15"/>
        <v>40460</v>
      </c>
      <c r="V13" s="82">
        <f t="shared" si="15"/>
        <v>40460</v>
      </c>
      <c r="W13" s="82">
        <f t="shared" si="15"/>
        <v>40460</v>
      </c>
      <c r="X13" s="82">
        <f t="shared" si="15"/>
        <v>40460</v>
      </c>
      <c r="Y13" s="82">
        <f t="shared" si="15"/>
        <v>40460</v>
      </c>
      <c r="Z13" s="82">
        <f t="shared" si="15"/>
        <v>40460</v>
      </c>
      <c r="AA13" s="82">
        <f t="shared" si="15"/>
        <v>40460</v>
      </c>
      <c r="AB13" s="82">
        <f t="shared" si="15"/>
        <v>40460</v>
      </c>
      <c r="AC13" s="82">
        <f t="shared" si="15"/>
        <v>40460</v>
      </c>
      <c r="AD13" s="82">
        <f t="shared" si="15"/>
        <v>40460</v>
      </c>
      <c r="AF13" s="98">
        <f>SUM(E13:J13)</f>
        <v>49643.663203463198</v>
      </c>
      <c r="AG13" s="98">
        <f>SUM(E13:AD13)</f>
        <v>832207.68658008659</v>
      </c>
    </row>
    <row r="14" spans="1:38" x14ac:dyDescent="0.25">
      <c r="A14" s="81" t="str">
        <f>A$3</f>
        <v>Cranes</v>
      </c>
      <c r="E14" s="72">
        <f>'2020 Inventory'!$D17*$C3*E3*E$8/Factors!$B$12</f>
        <v>0</v>
      </c>
      <c r="F14" s="72">
        <f>'2020 Inventory'!$D17*$C3*F3*F$8/Factors!$B$12</f>
        <v>0</v>
      </c>
      <c r="G14" s="72">
        <f>'2020 Inventory'!$D17*$C3*G3*G$8/Factors!$B$12</f>
        <v>0</v>
      </c>
      <c r="H14" s="72">
        <f>'2020 Inventory'!$D17*$C3*H3*H$8/Factors!$B$12</f>
        <v>1965.0909090909088</v>
      </c>
      <c r="I14" s="72">
        <f>'2020 Inventory'!$D17*$C3*I3*I$8/Factors!$B$12</f>
        <v>7860.3636363636351</v>
      </c>
      <c r="J14" s="72">
        <f>'2020 Inventory'!$D17*$C3*J3*J$8/Factors!$B$12</f>
        <v>9825.4545454545441</v>
      </c>
      <c r="K14" s="72">
        <f>'2020 Inventory'!$D17*$C3*K3*K$8/Factors!$B$12</f>
        <v>11790.545454545454</v>
      </c>
      <c r="L14" s="72">
        <f>'2020 Inventory'!$D17*$C3*L3*L$8/Factors!$B$12</f>
        <v>13755.636363636362</v>
      </c>
      <c r="M14" s="72">
        <f>'2020 Inventory'!$D17*$C3*M3*M$8/Factors!$B$12</f>
        <v>15720.72727272727</v>
      </c>
      <c r="N14" s="72">
        <f>'2020 Inventory'!$D17*$C3*N3*N$8/Factors!$B$12</f>
        <v>17685.81818181818</v>
      </c>
      <c r="O14" s="72">
        <f>'2020 Inventory'!$D17*$C3*O3*O$8/Factors!$B$12</f>
        <v>19650.909090909088</v>
      </c>
      <c r="P14" s="72">
        <f>'2020 Inventory'!$D17*$C3*P3*P$8/Factors!$B$12</f>
        <v>19650.909090909088</v>
      </c>
      <c r="Q14" s="72">
        <f>'2020 Inventory'!$D17*$C3*Q3*Q$8/Factors!$B$12</f>
        <v>19650.909090909088</v>
      </c>
      <c r="R14" s="72">
        <f>'2020 Inventory'!$D17*$C3*R3*R$8/Factors!$B$12</f>
        <v>19650.909090909088</v>
      </c>
      <c r="S14" s="72">
        <f>'2020 Inventory'!$D17*$C3*S3*S$8/Factors!$B$12</f>
        <v>19650.909090909088</v>
      </c>
      <c r="T14" s="72">
        <f>'2020 Inventory'!$D17*$C3*T3*T$8/Factors!$B$12</f>
        <v>19650.909090909088</v>
      </c>
      <c r="U14" s="72">
        <f>'2020 Inventory'!$D17*$C3*U3*U$8/Factors!$B$12</f>
        <v>19650.909090909088</v>
      </c>
      <c r="V14" s="72">
        <f>'2020 Inventory'!$D17*$C3*V3*V$8/Factors!$B$12</f>
        <v>19650.909090909088</v>
      </c>
      <c r="W14" s="72">
        <f>'2020 Inventory'!$D17*$C3*W3*W$8/Factors!$B$12</f>
        <v>19650.909090909088</v>
      </c>
      <c r="X14" s="72">
        <f>'2020 Inventory'!$D17*$C3*X3*X$8/Factors!$B$12</f>
        <v>19650.909090909088</v>
      </c>
      <c r="Y14" s="72">
        <f>'2020 Inventory'!$D17*$C3*Y3*Y$8/Factors!$B$12</f>
        <v>19650.909090909088</v>
      </c>
      <c r="Z14" s="72">
        <f>'2020 Inventory'!$D17*$C3*Z3*Z$8/Factors!$B$12</f>
        <v>19650.909090909088</v>
      </c>
      <c r="AA14" s="72">
        <f>'2020 Inventory'!$D17*$C3*AA3*AA$8/Factors!$B$12</f>
        <v>19650.909090909088</v>
      </c>
      <c r="AB14" s="72">
        <f>'2020 Inventory'!$D17*$C3*AB3*AB$8/Factors!$B$12</f>
        <v>19650.909090909088</v>
      </c>
      <c r="AC14" s="72">
        <f>'2020 Inventory'!$D17*$C3*AC3*AC$8/Factors!$B$12</f>
        <v>19650.909090909088</v>
      </c>
      <c r="AD14" s="72">
        <f>'2020 Inventory'!$D17*$C3*AD3*AD$8/Factors!$B$12</f>
        <v>19650.909090909088</v>
      </c>
      <c r="AF14" s="74"/>
      <c r="AG14" s="74"/>
    </row>
    <row r="15" spans="1:38" x14ac:dyDescent="0.25">
      <c r="A15" s="81" t="str">
        <f>A$4</f>
        <v>Forklifts</v>
      </c>
      <c r="E15" s="72">
        <f>'2020 Inventory'!$D18*$C4*E4*E$8/Factors!$B$12</f>
        <v>0</v>
      </c>
      <c r="F15" s="72">
        <f>'2020 Inventory'!$D18*$C4*F4*F$8/Factors!$B$12</f>
        <v>0</v>
      </c>
      <c r="G15" s="72">
        <f>'2020 Inventory'!$D18*$C4*G4*G$8/Factors!$B$12</f>
        <v>0</v>
      </c>
      <c r="H15" s="72">
        <f>'2020 Inventory'!$D18*$C4*H4*H$8/Factors!$B$12</f>
        <v>144.15238095238095</v>
      </c>
      <c r="I15" s="72">
        <f>'2020 Inventory'!$D18*$C4*I4*I$8/Factors!$B$12</f>
        <v>539.34285714285716</v>
      </c>
      <c r="J15" s="72">
        <f>'2020 Inventory'!$D18*$C4*J4*J$8/Factors!$B$12</f>
        <v>646.22857142857129</v>
      </c>
      <c r="K15" s="72">
        <f>'2020 Inventory'!$D18*$C4*K4*K$8/Factors!$B$12</f>
        <v>753.11428571428553</v>
      </c>
      <c r="L15" s="72">
        <f>'2020 Inventory'!$D18*$C4*L4*L$8/Factors!$B$12</f>
        <v>859.99999999999989</v>
      </c>
      <c r="M15" s="72">
        <f>'2020 Inventory'!$D18*$C4*M4*M$8/Factors!$B$12</f>
        <v>859.99999999999989</v>
      </c>
      <c r="N15" s="72">
        <f>'2020 Inventory'!$D18*$C4*N4*N$8/Factors!$B$12</f>
        <v>859.99999999999989</v>
      </c>
      <c r="O15" s="72">
        <f>'2020 Inventory'!$D18*$C4*O4*O$8/Factors!$B$12</f>
        <v>859.99999999999989</v>
      </c>
      <c r="P15" s="72">
        <f>'2020 Inventory'!$D18*$C4*P4*P$8/Factors!$B$12</f>
        <v>859.99999999999989</v>
      </c>
      <c r="Q15" s="72">
        <f>'2020 Inventory'!$D18*$C4*Q4*Q$8/Factors!$B$12</f>
        <v>859.99999999999989</v>
      </c>
      <c r="R15" s="72">
        <f>'2020 Inventory'!$D18*$C4*R4*R$8/Factors!$B$12</f>
        <v>859.99999999999989</v>
      </c>
      <c r="S15" s="72">
        <f>'2020 Inventory'!$D18*$C4*S4*S$8/Factors!$B$12</f>
        <v>859.99999999999989</v>
      </c>
      <c r="T15" s="72">
        <f>'2020 Inventory'!$D18*$C4*T4*T$8/Factors!$B$12</f>
        <v>859.99999999999989</v>
      </c>
      <c r="U15" s="72">
        <f>'2020 Inventory'!$D18*$C4*U4*U$8/Factors!$B$12</f>
        <v>859.99999999999989</v>
      </c>
      <c r="V15" s="72">
        <f>'2020 Inventory'!$D18*$C4*V4*V$8/Factors!$B$12</f>
        <v>859.99999999999989</v>
      </c>
      <c r="W15" s="72">
        <f>'2020 Inventory'!$D18*$C4*W4*W$8/Factors!$B$12</f>
        <v>859.99999999999989</v>
      </c>
      <c r="X15" s="72">
        <f>'2020 Inventory'!$D18*$C4*X4*X$8/Factors!$B$12</f>
        <v>859.99999999999989</v>
      </c>
      <c r="Y15" s="72">
        <f>'2020 Inventory'!$D18*$C4*Y4*Y$8/Factors!$B$12</f>
        <v>859.99999999999989</v>
      </c>
      <c r="Z15" s="72">
        <f>'2020 Inventory'!$D18*$C4*Z4*Z$8/Factors!$B$12</f>
        <v>859.99999999999989</v>
      </c>
      <c r="AA15" s="72">
        <f>'2020 Inventory'!$D18*$C4*AA4*AA$8/Factors!$B$12</f>
        <v>859.99999999999989</v>
      </c>
      <c r="AB15" s="72">
        <f>'2020 Inventory'!$D18*$C4*AB4*AB$8/Factors!$B$12</f>
        <v>859.99999999999989</v>
      </c>
      <c r="AC15" s="72">
        <f>'2020 Inventory'!$D18*$C4*AC4*AC$8/Factors!$B$12</f>
        <v>859.99999999999989</v>
      </c>
      <c r="AD15" s="72">
        <f>'2020 Inventory'!$D18*$C4*AD4*AD$8/Factors!$B$12</f>
        <v>859.99999999999989</v>
      </c>
      <c r="AF15" s="74"/>
      <c r="AG15" s="74"/>
    </row>
    <row r="16" spans="1:38" x14ac:dyDescent="0.25">
      <c r="A16" s="81" t="str">
        <f>A$5</f>
        <v>Container handling</v>
      </c>
      <c r="E16" s="72">
        <f>'2020 Inventory'!$D19*$C5*E5*E$8/Factors!$B$12</f>
        <v>0</v>
      </c>
      <c r="F16" s="72">
        <f>'2020 Inventory'!$D19*$C5*F5*F$8/Factors!$B$12</f>
        <v>0</v>
      </c>
      <c r="G16" s="72">
        <f>'2020 Inventory'!$D19*$C5*G5*G$8/Factors!$B$12</f>
        <v>0</v>
      </c>
      <c r="H16" s="72">
        <f>'2020 Inventory'!$D19*$C5*H5*H$8/Factors!$B$12</f>
        <v>127.63636363636361</v>
      </c>
      <c r="I16" s="72">
        <f>'2020 Inventory'!$D19*$C5*I5*I$8/Factors!$B$12</f>
        <v>510.5454545454545</v>
      </c>
      <c r="J16" s="72">
        <f>'2020 Inventory'!$D19*$C5*J5*J$8/Factors!$B$12</f>
        <v>638.18181818181813</v>
      </c>
      <c r="K16" s="72">
        <f>'2020 Inventory'!$D19*$C5*K5*K$8/Factors!$B$12</f>
        <v>765.81818181818176</v>
      </c>
      <c r="L16" s="72">
        <f>'2020 Inventory'!$D19*$C5*L5*L$8/Factors!$B$12</f>
        <v>893.45454545454538</v>
      </c>
      <c r="M16" s="72">
        <f>'2020 Inventory'!$D19*$C5*M5*M$8/Factors!$B$12</f>
        <v>1021.090909090909</v>
      </c>
      <c r="N16" s="72">
        <f>'2020 Inventory'!$D19*$C5*N5*N$8/Factors!$B$12</f>
        <v>1148.7272727272727</v>
      </c>
      <c r="O16" s="72">
        <f>'2020 Inventory'!$D19*$C5*O5*O$8/Factors!$B$12</f>
        <v>1276.3636363636363</v>
      </c>
      <c r="P16" s="72">
        <f>'2020 Inventory'!$D19*$C5*P5*P$8/Factors!$B$12</f>
        <v>1276.3636363636363</v>
      </c>
      <c r="Q16" s="72">
        <f>'2020 Inventory'!$D19*$C5*Q5*Q$8/Factors!$B$12</f>
        <v>1276.3636363636363</v>
      </c>
      <c r="R16" s="72">
        <f>'2020 Inventory'!$D19*$C5*R5*R$8/Factors!$B$12</f>
        <v>1276.3636363636363</v>
      </c>
      <c r="S16" s="72">
        <f>'2020 Inventory'!$D19*$C5*S5*S$8/Factors!$B$12</f>
        <v>1276.3636363636363</v>
      </c>
      <c r="T16" s="72">
        <f>'2020 Inventory'!$D19*$C5*T5*T$8/Factors!$B$12</f>
        <v>1276.3636363636363</v>
      </c>
      <c r="U16" s="72">
        <f>'2020 Inventory'!$D19*$C5*U5*U$8/Factors!$B$12</f>
        <v>1276.3636363636363</v>
      </c>
      <c r="V16" s="72">
        <f>'2020 Inventory'!$D19*$C5*V5*V$8/Factors!$B$12</f>
        <v>1276.3636363636363</v>
      </c>
      <c r="W16" s="72">
        <f>'2020 Inventory'!$D19*$C5*W5*W$8/Factors!$B$12</f>
        <v>1276.3636363636363</v>
      </c>
      <c r="X16" s="72">
        <f>'2020 Inventory'!$D19*$C5*X5*X$8/Factors!$B$12</f>
        <v>1276.3636363636363</v>
      </c>
      <c r="Y16" s="72">
        <f>'2020 Inventory'!$D19*$C5*Y5*Y$8/Factors!$B$12</f>
        <v>1276.3636363636363</v>
      </c>
      <c r="Z16" s="72">
        <f>'2020 Inventory'!$D19*$C5*Z5*Z$8/Factors!$B$12</f>
        <v>1276.3636363636363</v>
      </c>
      <c r="AA16" s="72">
        <f>'2020 Inventory'!$D19*$C5*AA5*AA$8/Factors!$B$12</f>
        <v>1276.3636363636363</v>
      </c>
      <c r="AB16" s="72">
        <f>'2020 Inventory'!$D19*$C5*AB5*AB$8/Factors!$B$12</f>
        <v>1276.3636363636363</v>
      </c>
      <c r="AC16" s="72">
        <f>'2020 Inventory'!$D19*$C5*AC5*AC$8/Factors!$B$12</f>
        <v>1276.3636363636363</v>
      </c>
      <c r="AD16" s="72">
        <f>'2020 Inventory'!$D19*$C5*AD5*AD$8/Factors!$B$12</f>
        <v>1276.3636363636363</v>
      </c>
      <c r="AF16" s="74"/>
      <c r="AG16" s="74"/>
    </row>
    <row r="17" spans="1:33" x14ac:dyDescent="0.25">
      <c r="A17" s="81" t="str">
        <f>A$6</f>
        <v>Yard trucks</v>
      </c>
      <c r="E17" s="72">
        <f>'2020 Inventory'!$D20*$C6*E6*E$8/Factors!$B$12</f>
        <v>0</v>
      </c>
      <c r="F17" s="72">
        <f>'2020 Inventory'!$D20*$C6*F6*F$8/Factors!$B$12</f>
        <v>0</v>
      </c>
      <c r="G17" s="72">
        <f>'2020 Inventory'!$D20*$C6*G6*G$8/Factors!$B$12</f>
        <v>0</v>
      </c>
      <c r="H17" s="72">
        <f>'2020 Inventory'!$D20*$C6*H6*H$8/Factors!$B$12</f>
        <v>3112.1212121212116</v>
      </c>
      <c r="I17" s="72">
        <f>'2020 Inventory'!$D20*$C6*I6*I$8/Factors!$B$12</f>
        <v>11203.636363636364</v>
      </c>
      <c r="J17" s="72">
        <f>'2020 Inventory'!$D20*$C6*J6*J$8/Factors!$B$12</f>
        <v>13070.909090909088</v>
      </c>
      <c r="K17" s="72">
        <f>'2020 Inventory'!$D20*$C6*K6*K$8/Factors!$B$12</f>
        <v>14938.181818181816</v>
      </c>
      <c r="L17" s="72">
        <f>'2020 Inventory'!$D20*$C6*L6*L$8/Factors!$B$12</f>
        <v>16805.454545454548</v>
      </c>
      <c r="M17" s="72">
        <f>'2020 Inventory'!$D20*$C6*M6*M$8/Factors!$B$12</f>
        <v>18672.727272727272</v>
      </c>
      <c r="N17" s="72">
        <f>'2020 Inventory'!$D20*$C6*N6*N$8/Factors!$B$12</f>
        <v>18672.727272727272</v>
      </c>
      <c r="O17" s="72">
        <f>'2020 Inventory'!$D20*$C6*O6*O$8/Factors!$B$12</f>
        <v>18672.727272727272</v>
      </c>
      <c r="P17" s="72">
        <f>'2020 Inventory'!$D20*$C6*P6*P$8/Factors!$B$12</f>
        <v>18672.727272727272</v>
      </c>
      <c r="Q17" s="72">
        <f>'2020 Inventory'!$D20*$C6*Q6*Q$8/Factors!$B$12</f>
        <v>18672.727272727272</v>
      </c>
      <c r="R17" s="72">
        <f>'2020 Inventory'!$D20*$C6*R6*R$8/Factors!$B$12</f>
        <v>18672.727272727272</v>
      </c>
      <c r="S17" s="72">
        <f>'2020 Inventory'!$D20*$C6*S6*S$8/Factors!$B$12</f>
        <v>18672.727272727272</v>
      </c>
      <c r="T17" s="72">
        <f>'2020 Inventory'!$D20*$C6*T6*T$8/Factors!$B$12</f>
        <v>18672.727272727272</v>
      </c>
      <c r="U17" s="72">
        <f>'2020 Inventory'!$D20*$C6*U6*U$8/Factors!$B$12</f>
        <v>18672.727272727272</v>
      </c>
      <c r="V17" s="72">
        <f>'2020 Inventory'!$D20*$C6*V6*V$8/Factors!$B$12</f>
        <v>18672.727272727272</v>
      </c>
      <c r="W17" s="72">
        <f>'2020 Inventory'!$D20*$C6*W6*W$8/Factors!$B$12</f>
        <v>18672.727272727272</v>
      </c>
      <c r="X17" s="72">
        <f>'2020 Inventory'!$D20*$C6*X6*X$8/Factors!$B$12</f>
        <v>18672.727272727272</v>
      </c>
      <c r="Y17" s="72">
        <f>'2020 Inventory'!$D20*$C6*Y6*Y$8/Factors!$B$12</f>
        <v>18672.727272727272</v>
      </c>
      <c r="Z17" s="72">
        <f>'2020 Inventory'!$D20*$C6*Z6*Z$8/Factors!$B$12</f>
        <v>18672.727272727272</v>
      </c>
      <c r="AA17" s="72">
        <f>'2020 Inventory'!$D20*$C6*AA6*AA$8/Factors!$B$12</f>
        <v>18672.727272727272</v>
      </c>
      <c r="AB17" s="72">
        <f>'2020 Inventory'!$D20*$C6*AB6*AB$8/Factors!$B$12</f>
        <v>18672.727272727272</v>
      </c>
      <c r="AC17" s="72">
        <f>'2020 Inventory'!$D20*$C6*AC6*AC$8/Factors!$B$12</f>
        <v>18672.727272727272</v>
      </c>
      <c r="AD17" s="72">
        <f>'2020 Inventory'!$D20*$C6*AD6*AD$8/Factors!$B$12</f>
        <v>18672.727272727272</v>
      </c>
      <c r="AF17" s="74"/>
      <c r="AG17" s="74"/>
    </row>
    <row r="19" spans="1:33" s="27" customFormat="1" x14ac:dyDescent="0.25">
      <c r="A19" s="27" t="s">
        <v>91</v>
      </c>
      <c r="E19" s="82">
        <f>SUM(E20:E23)</f>
        <v>0</v>
      </c>
      <c r="F19" s="82">
        <f t="shared" ref="F19" si="16">SUM(F20:F23)</f>
        <v>0</v>
      </c>
      <c r="G19" s="82">
        <f t="shared" ref="G19" si="17">SUM(G20:G23)</f>
        <v>0</v>
      </c>
      <c r="H19" s="82">
        <f t="shared" ref="H19" si="18">SUM(H20:H23)</f>
        <v>524926.48339557066</v>
      </c>
      <c r="I19" s="82">
        <f t="shared" ref="I19" si="19">SUM(I20:I23)</f>
        <v>1973885.0158673516</v>
      </c>
      <c r="J19" s="93">
        <f t="shared" ref="J19" si="20">SUM(J20:J23)</f>
        <v>2372990.5815479904</v>
      </c>
      <c r="K19" s="82">
        <f t="shared" ref="K19" si="21">SUM(K20:K23)</f>
        <v>2772096.1472286303</v>
      </c>
      <c r="L19" s="82">
        <f t="shared" ref="L19" si="22">SUM(L20:L23)</f>
        <v>3171201.7129092696</v>
      </c>
      <c r="M19" s="82">
        <f t="shared" ref="M19" si="23">SUM(M20:M23)</f>
        <v>3559818.0033901329</v>
      </c>
      <c r="N19" s="82">
        <f t="shared" ref="N19" si="24">SUM(N20:N23)</f>
        <v>3765188.6876617009</v>
      </c>
      <c r="O19" s="93">
        <f t="shared" ref="O19" si="25">SUM(O20:O23)</f>
        <v>3970559.3719332684</v>
      </c>
      <c r="P19" s="82">
        <f t="shared" ref="P19" si="26">SUM(P20:P23)</f>
        <v>3970559.3719332684</v>
      </c>
      <c r="Q19" s="82">
        <f t="shared" ref="Q19" si="27">SUM(Q20:Q23)</f>
        <v>3970559.3719332684</v>
      </c>
      <c r="R19" s="82">
        <f t="shared" ref="R19" si="28">SUM(R20:R23)</f>
        <v>3970559.3719332684</v>
      </c>
      <c r="S19" s="82">
        <f t="shared" ref="S19" si="29">SUM(S20:S23)</f>
        <v>3970559.3719332684</v>
      </c>
      <c r="T19" s="93">
        <f t="shared" ref="T19" si="30">SUM(T20:T23)</f>
        <v>3970559.3719332684</v>
      </c>
      <c r="U19" s="82">
        <f t="shared" ref="U19" si="31">SUM(U20:U23)</f>
        <v>3970559.3719332684</v>
      </c>
      <c r="V19" s="82">
        <f t="shared" ref="V19" si="32">SUM(V20:V23)</f>
        <v>3970559.3719332684</v>
      </c>
      <c r="W19" s="82">
        <f t="shared" ref="W19" si="33">SUM(W20:W23)</f>
        <v>3970559.3719332684</v>
      </c>
      <c r="X19" s="82">
        <f t="shared" ref="X19" si="34">SUM(X20:X23)</f>
        <v>3970559.3719332684</v>
      </c>
      <c r="Y19" s="82">
        <f t="shared" ref="Y19" si="35">SUM(Y20:Y23)</f>
        <v>3970559.3719332684</v>
      </c>
      <c r="Z19" s="82">
        <f t="shared" ref="Z19" si="36">SUM(Z20:Z23)</f>
        <v>3970559.3719332684</v>
      </c>
      <c r="AA19" s="82">
        <f t="shared" ref="AA19" si="37">SUM(AA20:AA23)</f>
        <v>3970559.3719332684</v>
      </c>
      <c r="AB19" s="82">
        <f t="shared" ref="AB19" si="38">SUM(AB20:AB23)</f>
        <v>3970559.3719332684</v>
      </c>
      <c r="AC19" s="82">
        <f t="shared" ref="AC19" si="39">SUM(AC20:AC23)</f>
        <v>3970559.3719332684</v>
      </c>
      <c r="AD19" s="82">
        <f t="shared" ref="AD19" si="40">SUM(AD20:AD23)</f>
        <v>3970559.3719332684</v>
      </c>
    </row>
    <row r="20" spans="1:33" x14ac:dyDescent="0.25">
      <c r="A20" s="81" t="str">
        <f>A$3</f>
        <v>Cranes</v>
      </c>
      <c r="E20" s="74">
        <f>E14/Factors!$B$14/1000000</f>
        <v>0</v>
      </c>
      <c r="F20" s="74">
        <f>F14/Factors!$B$14</f>
        <v>0</v>
      </c>
      <c r="G20" s="74">
        <f>G14/Factors!$B$14</f>
        <v>0</v>
      </c>
      <c r="H20" s="74">
        <f>H14/Factors!$B$14</f>
        <v>192845.03523953963</v>
      </c>
      <c r="I20" s="74">
        <f>I14/Factors!$B$14</f>
        <v>771380.14095815853</v>
      </c>
      <c r="J20" s="74">
        <f>J14/Factors!$B$14</f>
        <v>964225.17619769822</v>
      </c>
      <c r="K20" s="74">
        <f>K14/Factors!$B$14</f>
        <v>1157070.2114372379</v>
      </c>
      <c r="L20" s="74">
        <f>L14/Factors!$B$14</f>
        <v>1349915.2466767775</v>
      </c>
      <c r="M20" s="74">
        <f>M14/Factors!$B$14</f>
        <v>1542760.2819163171</v>
      </c>
      <c r="N20" s="74">
        <f>N14/Factors!$B$14</f>
        <v>1735605.3171558569</v>
      </c>
      <c r="O20" s="74">
        <f>O14/Factors!$B$14</f>
        <v>1928450.3523953964</v>
      </c>
      <c r="P20" s="74">
        <f>P14/Factors!$B$14</f>
        <v>1928450.3523953964</v>
      </c>
      <c r="Q20" s="74">
        <f>Q14/Factors!$B$14</f>
        <v>1928450.3523953964</v>
      </c>
      <c r="R20" s="74">
        <f>R14/Factors!$B$14</f>
        <v>1928450.3523953964</v>
      </c>
      <c r="S20" s="74">
        <f>S14/Factors!$B$14</f>
        <v>1928450.3523953964</v>
      </c>
      <c r="T20" s="74">
        <f>T14/Factors!$B$14</f>
        <v>1928450.3523953964</v>
      </c>
      <c r="U20" s="74">
        <f>U14/Factors!$B$14</f>
        <v>1928450.3523953964</v>
      </c>
      <c r="V20" s="74">
        <f>V14/Factors!$B$14</f>
        <v>1928450.3523953964</v>
      </c>
      <c r="W20" s="74">
        <f>W14/Factors!$B$14</f>
        <v>1928450.3523953964</v>
      </c>
      <c r="X20" s="74">
        <f>X14/Factors!$B$14</f>
        <v>1928450.3523953964</v>
      </c>
      <c r="Y20" s="74">
        <f>Y14/Factors!$B$14</f>
        <v>1928450.3523953964</v>
      </c>
      <c r="Z20" s="74">
        <f>Z14/Factors!$B$14</f>
        <v>1928450.3523953964</v>
      </c>
      <c r="AA20" s="74">
        <f>AA14/Factors!$B$14</f>
        <v>1928450.3523953964</v>
      </c>
      <c r="AB20" s="74">
        <f>AB14/Factors!$B$14</f>
        <v>1928450.3523953964</v>
      </c>
      <c r="AC20" s="74">
        <f>AC14/Factors!$B$14</f>
        <v>1928450.3523953964</v>
      </c>
      <c r="AD20" s="74">
        <f>AD14/Factors!$B$14</f>
        <v>1928450.3523953964</v>
      </c>
    </row>
    <row r="21" spans="1:33" x14ac:dyDescent="0.25">
      <c r="A21" s="81" t="str">
        <f>A$4</f>
        <v>Forklifts</v>
      </c>
      <c r="E21" s="74">
        <f>E15/Factors!$B$14/1000000</f>
        <v>0</v>
      </c>
      <c r="F21" s="74">
        <f>F15/Factors!$B$14</f>
        <v>0</v>
      </c>
      <c r="G21" s="74">
        <f>G15/Factors!$B$14</f>
        <v>0</v>
      </c>
      <c r="H21" s="74">
        <f>H15/Factors!$B$14</f>
        <v>14146.455441843078</v>
      </c>
      <c r="I21" s="74">
        <f>I15/Factors!$B$14</f>
        <v>52928.641525304927</v>
      </c>
      <c r="J21" s="74">
        <f>J15/Factors!$B$14</f>
        <v>63417.916725080599</v>
      </c>
      <c r="K21" s="74">
        <f>K15/Factors!$B$14</f>
        <v>73907.191924856292</v>
      </c>
      <c r="L21" s="74">
        <f>L15/Factors!$B$14</f>
        <v>84396.467124631992</v>
      </c>
      <c r="M21" s="74">
        <f>M15/Factors!$B$14</f>
        <v>84396.467124631992</v>
      </c>
      <c r="N21" s="74">
        <f>N15/Factors!$B$14</f>
        <v>84396.467124631992</v>
      </c>
      <c r="O21" s="74">
        <f>O15/Factors!$B$14</f>
        <v>84396.467124631992</v>
      </c>
      <c r="P21" s="74">
        <f>P15/Factors!$B$14</f>
        <v>84396.467124631992</v>
      </c>
      <c r="Q21" s="74">
        <f>Q15/Factors!$B$14</f>
        <v>84396.467124631992</v>
      </c>
      <c r="R21" s="74">
        <f>R15/Factors!$B$14</f>
        <v>84396.467124631992</v>
      </c>
      <c r="S21" s="74">
        <f>S15/Factors!$B$14</f>
        <v>84396.467124631992</v>
      </c>
      <c r="T21" s="74">
        <f>T15/Factors!$B$14</f>
        <v>84396.467124631992</v>
      </c>
      <c r="U21" s="74">
        <f>U15/Factors!$B$14</f>
        <v>84396.467124631992</v>
      </c>
      <c r="V21" s="74">
        <f>V15/Factors!$B$14</f>
        <v>84396.467124631992</v>
      </c>
      <c r="W21" s="74">
        <f>W15/Factors!$B$14</f>
        <v>84396.467124631992</v>
      </c>
      <c r="X21" s="74">
        <f>X15/Factors!$B$14</f>
        <v>84396.467124631992</v>
      </c>
      <c r="Y21" s="74">
        <f>Y15/Factors!$B$14</f>
        <v>84396.467124631992</v>
      </c>
      <c r="Z21" s="74">
        <f>Z15/Factors!$B$14</f>
        <v>84396.467124631992</v>
      </c>
      <c r="AA21" s="74">
        <f>AA15/Factors!$B$14</f>
        <v>84396.467124631992</v>
      </c>
      <c r="AB21" s="74">
        <f>AB15/Factors!$B$14</f>
        <v>84396.467124631992</v>
      </c>
      <c r="AC21" s="74">
        <f>AC15/Factors!$B$14</f>
        <v>84396.467124631992</v>
      </c>
      <c r="AD21" s="74">
        <f>AD15/Factors!$B$14</f>
        <v>84396.467124631992</v>
      </c>
    </row>
    <row r="22" spans="1:33" x14ac:dyDescent="0.25">
      <c r="A22" s="81" t="str">
        <f>A$5</f>
        <v>Container handling</v>
      </c>
      <c r="E22" s="74">
        <f>E16/Factors!$B$14/1000000</f>
        <v>0</v>
      </c>
      <c r="F22" s="74">
        <f>F16/Factors!$B$14</f>
        <v>0</v>
      </c>
      <c r="G22" s="74">
        <f>G16/Factors!$B$14</f>
        <v>0</v>
      </c>
      <c r="H22" s="74">
        <f>H16/Factors!$B$14</f>
        <v>12525.649032027834</v>
      </c>
      <c r="I22" s="74">
        <f>I16/Factors!$B$14</f>
        <v>50102.596128111341</v>
      </c>
      <c r="J22" s="74">
        <f>J16/Factors!$B$14</f>
        <v>62628.245160139173</v>
      </c>
      <c r="K22" s="74">
        <f>K16/Factors!$B$14</f>
        <v>75153.894192167005</v>
      </c>
      <c r="L22" s="74">
        <f>L16/Factors!$B$14</f>
        <v>87679.543224194844</v>
      </c>
      <c r="M22" s="74">
        <f>M16/Factors!$B$14</f>
        <v>100205.19225622268</v>
      </c>
      <c r="N22" s="74">
        <f>N16/Factors!$B$14</f>
        <v>112730.84128825052</v>
      </c>
      <c r="O22" s="74">
        <f>O16/Factors!$B$14</f>
        <v>125256.49032027835</v>
      </c>
      <c r="P22" s="74">
        <f>P16/Factors!$B$14</f>
        <v>125256.49032027835</v>
      </c>
      <c r="Q22" s="74">
        <f>Q16/Factors!$B$14</f>
        <v>125256.49032027835</v>
      </c>
      <c r="R22" s="74">
        <f>R16/Factors!$B$14</f>
        <v>125256.49032027835</v>
      </c>
      <c r="S22" s="74">
        <f>S16/Factors!$B$14</f>
        <v>125256.49032027835</v>
      </c>
      <c r="T22" s="74">
        <f>T16/Factors!$B$14</f>
        <v>125256.49032027835</v>
      </c>
      <c r="U22" s="74">
        <f>U16/Factors!$B$14</f>
        <v>125256.49032027835</v>
      </c>
      <c r="V22" s="74">
        <f>V16/Factors!$B$14</f>
        <v>125256.49032027835</v>
      </c>
      <c r="W22" s="74">
        <f>W16/Factors!$B$14</f>
        <v>125256.49032027835</v>
      </c>
      <c r="X22" s="74">
        <f>X16/Factors!$B$14</f>
        <v>125256.49032027835</v>
      </c>
      <c r="Y22" s="74">
        <f>Y16/Factors!$B$14</f>
        <v>125256.49032027835</v>
      </c>
      <c r="Z22" s="74">
        <f>Z16/Factors!$B$14</f>
        <v>125256.49032027835</v>
      </c>
      <c r="AA22" s="74">
        <f>AA16/Factors!$B$14</f>
        <v>125256.49032027835</v>
      </c>
      <c r="AB22" s="74">
        <f>AB16/Factors!$B$14</f>
        <v>125256.49032027835</v>
      </c>
      <c r="AC22" s="74">
        <f>AC16/Factors!$B$14</f>
        <v>125256.49032027835</v>
      </c>
      <c r="AD22" s="74">
        <f>AD16/Factors!$B$14</f>
        <v>125256.49032027835</v>
      </c>
    </row>
    <row r="23" spans="1:33" x14ac:dyDescent="0.25">
      <c r="A23" s="81" t="str">
        <f>A$6</f>
        <v>Yard trucks</v>
      </c>
      <c r="E23" s="74">
        <f>E17/Factors!$B$14/1000000</f>
        <v>0</v>
      </c>
      <c r="F23" s="74">
        <f>F17/Factors!$B$14</f>
        <v>0</v>
      </c>
      <c r="G23" s="74">
        <f>G17/Factors!$B$14</f>
        <v>0</v>
      </c>
      <c r="H23" s="74">
        <f>H17/Factors!$B$14</f>
        <v>305409.34368216014</v>
      </c>
      <c r="I23" s="74">
        <f>I17/Factors!$B$14</f>
        <v>1099473.6372557767</v>
      </c>
      <c r="J23" s="74">
        <f>J17/Factors!$B$14</f>
        <v>1282719.2434650725</v>
      </c>
      <c r="K23" s="74">
        <f>K17/Factors!$B$14</f>
        <v>1465964.8496743687</v>
      </c>
      <c r="L23" s="74">
        <f>L17/Factors!$B$14</f>
        <v>1649210.4558836652</v>
      </c>
      <c r="M23" s="74">
        <f>M17/Factors!$B$14</f>
        <v>1832456.062092961</v>
      </c>
      <c r="N23" s="74">
        <f>N17/Factors!$B$14</f>
        <v>1832456.062092961</v>
      </c>
      <c r="O23" s="74">
        <f>O17/Factors!$B$14</f>
        <v>1832456.062092961</v>
      </c>
      <c r="P23" s="74">
        <f>P17/Factors!$B$14</f>
        <v>1832456.062092961</v>
      </c>
      <c r="Q23" s="74">
        <f>Q17/Factors!$B$14</f>
        <v>1832456.062092961</v>
      </c>
      <c r="R23" s="74">
        <f>R17/Factors!$B$14</f>
        <v>1832456.062092961</v>
      </c>
      <c r="S23" s="74">
        <f>S17/Factors!$B$14</f>
        <v>1832456.062092961</v>
      </c>
      <c r="T23" s="74">
        <f>T17/Factors!$B$14</f>
        <v>1832456.062092961</v>
      </c>
      <c r="U23" s="74">
        <f>U17/Factors!$B$14</f>
        <v>1832456.062092961</v>
      </c>
      <c r="V23" s="74">
        <f>V17/Factors!$B$14</f>
        <v>1832456.062092961</v>
      </c>
      <c r="W23" s="74">
        <f>W17/Factors!$B$14</f>
        <v>1832456.062092961</v>
      </c>
      <c r="X23" s="74">
        <f>X17/Factors!$B$14</f>
        <v>1832456.062092961</v>
      </c>
      <c r="Y23" s="74">
        <f>Y17/Factors!$B$14</f>
        <v>1832456.062092961</v>
      </c>
      <c r="Z23" s="74">
        <f>Z17/Factors!$B$14</f>
        <v>1832456.062092961</v>
      </c>
      <c r="AA23" s="74">
        <f>AA17/Factors!$B$14</f>
        <v>1832456.062092961</v>
      </c>
      <c r="AB23" s="74">
        <f>AB17/Factors!$B$14</f>
        <v>1832456.062092961</v>
      </c>
      <c r="AC23" s="74">
        <f>AC17/Factors!$B$14</f>
        <v>1832456.062092961</v>
      </c>
      <c r="AD23" s="74">
        <f>AD17/Factors!$B$14</f>
        <v>1832456.062092961</v>
      </c>
    </row>
    <row r="24" spans="1:33" x14ac:dyDescent="0.25"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</row>
    <row r="25" spans="1:33" s="27" customFormat="1" x14ac:dyDescent="0.25">
      <c r="A25" s="27" t="s">
        <v>94</v>
      </c>
      <c r="E25" s="82">
        <f>SUM(E26:E29)</f>
        <v>0</v>
      </c>
      <c r="F25" s="82">
        <f t="shared" ref="F25" si="41">SUM(F26:F29)</f>
        <v>0</v>
      </c>
      <c r="G25" s="82">
        <f t="shared" ref="G25" si="42">SUM(G26:G29)</f>
        <v>0</v>
      </c>
      <c r="H25" s="82">
        <f t="shared" ref="H25" si="43">SUM(H26:H29)</f>
        <v>19607.462283945108</v>
      </c>
      <c r="I25" s="82">
        <f t="shared" ref="I25" si="44">SUM(I26:I29)</f>
        <v>73730.088356578548</v>
      </c>
      <c r="J25" s="93">
        <f t="shared" ref="J25" si="45">SUM(J26:J29)</f>
        <v>88637.78986132174</v>
      </c>
      <c r="K25" s="82">
        <f t="shared" ref="K25" si="46">SUM(K26:K29)</f>
        <v>103545.49136606496</v>
      </c>
      <c r="L25" s="82">
        <f t="shared" ref="L25" si="47">SUM(L26:L29)</f>
        <v>118453.19287080818</v>
      </c>
      <c r="M25" s="82">
        <f t="shared" ref="M25" si="48">SUM(M26:M29)</f>
        <v>132969.09080996423</v>
      </c>
      <c r="N25" s="82">
        <f t="shared" ref="N25" si="49">SUM(N26:N29)</f>
        <v>140640.25634163024</v>
      </c>
      <c r="O25" s="93">
        <f t="shared" ref="O25" si="50">SUM(O26:O29)</f>
        <v>148311.42187329626</v>
      </c>
      <c r="P25" s="82">
        <f t="shared" ref="P25" si="51">SUM(P26:P29)</f>
        <v>148311.42187329626</v>
      </c>
      <c r="Q25" s="82">
        <f t="shared" ref="Q25" si="52">SUM(Q26:Q29)</f>
        <v>148311.42187329626</v>
      </c>
      <c r="R25" s="82">
        <f t="shared" ref="R25" si="53">SUM(R26:R29)</f>
        <v>148311.42187329626</v>
      </c>
      <c r="S25" s="82">
        <f t="shared" ref="S25" si="54">SUM(S26:S29)</f>
        <v>148311.42187329626</v>
      </c>
      <c r="T25" s="93">
        <f t="shared" ref="T25" si="55">SUM(T26:T29)</f>
        <v>148311.42187329626</v>
      </c>
      <c r="U25" s="82">
        <f t="shared" ref="U25" si="56">SUM(U26:U29)</f>
        <v>148311.42187329626</v>
      </c>
      <c r="V25" s="82">
        <f t="shared" ref="V25" si="57">SUM(V26:V29)</f>
        <v>148311.42187329626</v>
      </c>
      <c r="W25" s="82">
        <f t="shared" ref="W25" si="58">SUM(W26:W29)</f>
        <v>148311.42187329626</v>
      </c>
      <c r="X25" s="82">
        <f t="shared" ref="X25" si="59">SUM(X26:X29)</f>
        <v>148311.42187329626</v>
      </c>
      <c r="Y25" s="82">
        <f t="shared" ref="Y25" si="60">SUM(Y26:Y29)</f>
        <v>148311.42187329626</v>
      </c>
      <c r="Z25" s="82">
        <f t="shared" ref="Z25" si="61">SUM(Z26:Z29)</f>
        <v>148311.42187329626</v>
      </c>
      <c r="AA25" s="82">
        <f t="shared" ref="AA25" si="62">SUM(AA26:AA29)</f>
        <v>148311.42187329626</v>
      </c>
      <c r="AB25" s="82">
        <f t="shared" ref="AB25" si="63">SUM(AB26:AB29)</f>
        <v>148311.42187329626</v>
      </c>
      <c r="AC25" s="82">
        <f t="shared" ref="AC25" si="64">SUM(AC26:AC29)</f>
        <v>148311.42187329626</v>
      </c>
      <c r="AD25" s="82">
        <f t="shared" ref="AD25" si="65">SUM(AD26:AD29)</f>
        <v>148311.42187329626</v>
      </c>
    </row>
    <row r="26" spans="1:33" x14ac:dyDescent="0.25">
      <c r="A26" s="81" t="str">
        <f>A$3</f>
        <v>Cranes</v>
      </c>
      <c r="E26" s="74">
        <f>E20*Factors!$B$15</f>
        <v>0</v>
      </c>
      <c r="F26" s="74">
        <f>F20*Factors!$B$15</f>
        <v>0</v>
      </c>
      <c r="G26" s="74">
        <f>G20*Factors!$B$15</f>
        <v>0</v>
      </c>
      <c r="H26" s="74">
        <f>H20*Factors!$B$15</f>
        <v>7203.2977468502486</v>
      </c>
      <c r="I26" s="74">
        <f>I20*Factors!$B$15</f>
        <v>28813.190987400994</v>
      </c>
      <c r="J26" s="74">
        <f>J20*Factors!$B$15</f>
        <v>36016.488734251245</v>
      </c>
      <c r="K26" s="74">
        <f>K20*Factors!$B$15</f>
        <v>43219.786481101495</v>
      </c>
      <c r="L26" s="74">
        <f>L20*Factors!$B$15</f>
        <v>50423.084227951738</v>
      </c>
      <c r="M26" s="74">
        <f>M20*Factors!$B$15</f>
        <v>57626.381974801989</v>
      </c>
      <c r="N26" s="74">
        <f>N20*Factors!$B$15</f>
        <v>64829.679721652239</v>
      </c>
      <c r="O26" s="74">
        <f>O20*Factors!$B$15</f>
        <v>72032.97746850249</v>
      </c>
      <c r="P26" s="74">
        <f>P20*Factors!$B$15</f>
        <v>72032.97746850249</v>
      </c>
      <c r="Q26" s="74">
        <f>Q20*Factors!$B$15</f>
        <v>72032.97746850249</v>
      </c>
      <c r="R26" s="74">
        <f>R20*Factors!$B$15</f>
        <v>72032.97746850249</v>
      </c>
      <c r="S26" s="74">
        <f>S20*Factors!$B$15</f>
        <v>72032.97746850249</v>
      </c>
      <c r="T26" s="74">
        <f>T20*Factors!$B$15</f>
        <v>72032.97746850249</v>
      </c>
      <c r="U26" s="74">
        <f>U20*Factors!$B$15</f>
        <v>72032.97746850249</v>
      </c>
      <c r="V26" s="74">
        <f>V20*Factors!$B$15</f>
        <v>72032.97746850249</v>
      </c>
      <c r="W26" s="74">
        <f>W20*Factors!$B$15</f>
        <v>72032.97746850249</v>
      </c>
      <c r="X26" s="74">
        <f>X20*Factors!$B$15</f>
        <v>72032.97746850249</v>
      </c>
      <c r="Y26" s="74">
        <f>Y20*Factors!$B$15</f>
        <v>72032.97746850249</v>
      </c>
      <c r="Z26" s="74">
        <f>Z20*Factors!$B$15</f>
        <v>72032.97746850249</v>
      </c>
      <c r="AA26" s="74">
        <f>AA20*Factors!$B$15</f>
        <v>72032.97746850249</v>
      </c>
      <c r="AB26" s="74">
        <f>AB20*Factors!$B$15</f>
        <v>72032.97746850249</v>
      </c>
      <c r="AC26" s="74">
        <f>AC20*Factors!$B$15</f>
        <v>72032.97746850249</v>
      </c>
      <c r="AD26" s="74">
        <f>AD20*Factors!$B$15</f>
        <v>72032.97746850249</v>
      </c>
    </row>
    <row r="27" spans="1:33" x14ac:dyDescent="0.25">
      <c r="A27" s="81" t="str">
        <f>A$4</f>
        <v>Forklifts</v>
      </c>
      <c r="E27" s="74">
        <f>E21*Factors!$B$15</f>
        <v>0</v>
      </c>
      <c r="F27" s="74">
        <f>F21*Factors!$B$15</f>
        <v>0</v>
      </c>
      <c r="G27" s="74">
        <f>G21*Factors!$B$15</f>
        <v>0</v>
      </c>
      <c r="H27" s="74">
        <f>H21*Factors!$B$15</f>
        <v>528.4094064623996</v>
      </c>
      <c r="I27" s="74">
        <f>I21*Factors!$B$15</f>
        <v>1977.031784974376</v>
      </c>
      <c r="J27" s="74">
        <f>J21*Factors!$B$15</f>
        <v>2368.8353505615523</v>
      </c>
      <c r="K27" s="74">
        <f>K21*Factors!$B$15</f>
        <v>2760.6389161487291</v>
      </c>
      <c r="L27" s="74">
        <f>L21*Factors!$B$15</f>
        <v>3152.4424817359068</v>
      </c>
      <c r="M27" s="74">
        <f>M21*Factors!$B$15</f>
        <v>3152.4424817359068</v>
      </c>
      <c r="N27" s="74">
        <f>N21*Factors!$B$15</f>
        <v>3152.4424817359068</v>
      </c>
      <c r="O27" s="74">
        <f>O21*Factors!$B$15</f>
        <v>3152.4424817359068</v>
      </c>
      <c r="P27" s="74">
        <f>P21*Factors!$B$15</f>
        <v>3152.4424817359068</v>
      </c>
      <c r="Q27" s="74">
        <f>Q21*Factors!$B$15</f>
        <v>3152.4424817359068</v>
      </c>
      <c r="R27" s="74">
        <f>R21*Factors!$B$15</f>
        <v>3152.4424817359068</v>
      </c>
      <c r="S27" s="74">
        <f>S21*Factors!$B$15</f>
        <v>3152.4424817359068</v>
      </c>
      <c r="T27" s="74">
        <f>T21*Factors!$B$15</f>
        <v>3152.4424817359068</v>
      </c>
      <c r="U27" s="74">
        <f>U21*Factors!$B$15</f>
        <v>3152.4424817359068</v>
      </c>
      <c r="V27" s="74">
        <f>V21*Factors!$B$15</f>
        <v>3152.4424817359068</v>
      </c>
      <c r="W27" s="74">
        <f>W21*Factors!$B$15</f>
        <v>3152.4424817359068</v>
      </c>
      <c r="X27" s="74">
        <f>X21*Factors!$B$15</f>
        <v>3152.4424817359068</v>
      </c>
      <c r="Y27" s="74">
        <f>Y21*Factors!$B$15</f>
        <v>3152.4424817359068</v>
      </c>
      <c r="Z27" s="74">
        <f>Z21*Factors!$B$15</f>
        <v>3152.4424817359068</v>
      </c>
      <c r="AA27" s="74">
        <f>AA21*Factors!$B$15</f>
        <v>3152.4424817359068</v>
      </c>
      <c r="AB27" s="74">
        <f>AB21*Factors!$B$15</f>
        <v>3152.4424817359068</v>
      </c>
      <c r="AC27" s="74">
        <f>AC21*Factors!$B$15</f>
        <v>3152.4424817359068</v>
      </c>
      <c r="AD27" s="74">
        <f>AD21*Factors!$B$15</f>
        <v>3152.4424817359068</v>
      </c>
    </row>
    <row r="28" spans="1:33" x14ac:dyDescent="0.25">
      <c r="A28" s="81" t="str">
        <f>A$5</f>
        <v>Container handling</v>
      </c>
      <c r="E28" s="74">
        <f>E22*Factors!$B$15</f>
        <v>0</v>
      </c>
      <c r="F28" s="74">
        <f>F22*Factors!$B$15</f>
        <v>0</v>
      </c>
      <c r="G28" s="74">
        <f>G22*Factors!$B$15</f>
        <v>0</v>
      </c>
      <c r="H28" s="74">
        <f>H22*Factors!$B$15</f>
        <v>467.86778481577295</v>
      </c>
      <c r="I28" s="74">
        <f>I22*Factors!$B$15</f>
        <v>1871.4711392630923</v>
      </c>
      <c r="J28" s="74">
        <f>J22*Factors!$B$15</f>
        <v>2339.3389240788651</v>
      </c>
      <c r="K28" s="74">
        <f>K22*Factors!$B$15</f>
        <v>2807.2067088946378</v>
      </c>
      <c r="L28" s="74">
        <f>L22*Factors!$B$15</f>
        <v>3275.0744937104114</v>
      </c>
      <c r="M28" s="74">
        <f>M22*Factors!$B$15</f>
        <v>3742.9422785261845</v>
      </c>
      <c r="N28" s="74">
        <f>N22*Factors!$B$15</f>
        <v>4210.8100633419572</v>
      </c>
      <c r="O28" s="74">
        <f>O22*Factors!$B$15</f>
        <v>4678.6778481577303</v>
      </c>
      <c r="P28" s="74">
        <f>P22*Factors!$B$15</f>
        <v>4678.6778481577303</v>
      </c>
      <c r="Q28" s="74">
        <f>Q22*Factors!$B$15</f>
        <v>4678.6778481577303</v>
      </c>
      <c r="R28" s="74">
        <f>R22*Factors!$B$15</f>
        <v>4678.6778481577303</v>
      </c>
      <c r="S28" s="74">
        <f>S22*Factors!$B$15</f>
        <v>4678.6778481577303</v>
      </c>
      <c r="T28" s="74">
        <f>T22*Factors!$B$15</f>
        <v>4678.6778481577303</v>
      </c>
      <c r="U28" s="74">
        <f>U22*Factors!$B$15</f>
        <v>4678.6778481577303</v>
      </c>
      <c r="V28" s="74">
        <f>V22*Factors!$B$15</f>
        <v>4678.6778481577303</v>
      </c>
      <c r="W28" s="74">
        <f>W22*Factors!$B$15</f>
        <v>4678.6778481577303</v>
      </c>
      <c r="X28" s="74">
        <f>X22*Factors!$B$15</f>
        <v>4678.6778481577303</v>
      </c>
      <c r="Y28" s="74">
        <f>Y22*Factors!$B$15</f>
        <v>4678.6778481577303</v>
      </c>
      <c r="Z28" s="74">
        <f>Z22*Factors!$B$15</f>
        <v>4678.6778481577303</v>
      </c>
      <c r="AA28" s="74">
        <f>AA22*Factors!$B$15</f>
        <v>4678.6778481577303</v>
      </c>
      <c r="AB28" s="74">
        <f>AB22*Factors!$B$15</f>
        <v>4678.6778481577303</v>
      </c>
      <c r="AC28" s="74">
        <f>AC22*Factors!$B$15</f>
        <v>4678.6778481577303</v>
      </c>
      <c r="AD28" s="74">
        <f>AD22*Factors!$B$15</f>
        <v>4678.6778481577303</v>
      </c>
    </row>
    <row r="29" spans="1:33" x14ac:dyDescent="0.25">
      <c r="A29" s="81" t="str">
        <f>A$6</f>
        <v>Yard trucks</v>
      </c>
      <c r="E29" s="74">
        <f>E23*Factors!$B$15</f>
        <v>0</v>
      </c>
      <c r="F29" s="74">
        <f>F23*Factors!$B$15</f>
        <v>0</v>
      </c>
      <c r="G29" s="74">
        <f>G23*Factors!$B$15</f>
        <v>0</v>
      </c>
      <c r="H29" s="74">
        <f>H23*Factors!$B$15</f>
        <v>11407.887345816687</v>
      </c>
      <c r="I29" s="74">
        <f>I23*Factors!$B$15</f>
        <v>41068.394444940081</v>
      </c>
      <c r="J29" s="74">
        <f>J23*Factors!$B$15</f>
        <v>47913.126852430083</v>
      </c>
      <c r="K29" s="74">
        <f>K23*Factors!$B$15</f>
        <v>54757.8592599201</v>
      </c>
      <c r="L29" s="74">
        <f>L23*Factors!$B$15</f>
        <v>61602.591667410125</v>
      </c>
      <c r="M29" s="74">
        <f>M23*Factors!$B$15</f>
        <v>68447.324074900127</v>
      </c>
      <c r="N29" s="74">
        <f>N23*Factors!$B$15</f>
        <v>68447.324074900127</v>
      </c>
      <c r="O29" s="74">
        <f>O23*Factors!$B$15</f>
        <v>68447.324074900127</v>
      </c>
      <c r="P29" s="74">
        <f>P23*Factors!$B$15</f>
        <v>68447.324074900127</v>
      </c>
      <c r="Q29" s="74">
        <f>Q23*Factors!$B$15</f>
        <v>68447.324074900127</v>
      </c>
      <c r="R29" s="74">
        <f>R23*Factors!$B$15</f>
        <v>68447.324074900127</v>
      </c>
      <c r="S29" s="74">
        <f>S23*Factors!$B$15</f>
        <v>68447.324074900127</v>
      </c>
      <c r="T29" s="74">
        <f>T23*Factors!$B$15</f>
        <v>68447.324074900127</v>
      </c>
      <c r="U29" s="74">
        <f>U23*Factors!$B$15</f>
        <v>68447.324074900127</v>
      </c>
      <c r="V29" s="74">
        <f>V23*Factors!$B$15</f>
        <v>68447.324074900127</v>
      </c>
      <c r="W29" s="74">
        <f>W23*Factors!$B$15</f>
        <v>68447.324074900127</v>
      </c>
      <c r="X29" s="74">
        <f>X23*Factors!$B$15</f>
        <v>68447.324074900127</v>
      </c>
      <c r="Y29" s="74">
        <f>Y23*Factors!$B$15</f>
        <v>68447.324074900127</v>
      </c>
      <c r="Z29" s="74">
        <f>Z23*Factors!$B$15</f>
        <v>68447.324074900127</v>
      </c>
      <c r="AA29" s="74">
        <f>AA23*Factors!$B$15</f>
        <v>68447.324074900127</v>
      </c>
      <c r="AB29" s="74">
        <f>AB23*Factors!$B$15</f>
        <v>68447.324074900127</v>
      </c>
      <c r="AC29" s="74">
        <f>AC23*Factors!$B$15</f>
        <v>68447.324074900127</v>
      </c>
      <c r="AD29" s="74">
        <f>AD23*Factors!$B$15</f>
        <v>68447.324074900127</v>
      </c>
    </row>
    <row r="30" spans="1:33" x14ac:dyDescent="0.25"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</row>
    <row r="31" spans="1:33" x14ac:dyDescent="0.25">
      <c r="A31" s="27" t="s">
        <v>95</v>
      </c>
      <c r="E31" s="82">
        <f>SUM(E32:E35)</f>
        <v>0</v>
      </c>
      <c r="F31" s="82">
        <f t="shared" ref="F31" si="66">SUM(F32:F35)</f>
        <v>0</v>
      </c>
      <c r="G31" s="82">
        <f t="shared" ref="G31" si="67">SUM(G32:G35)</f>
        <v>0</v>
      </c>
      <c r="H31" s="82">
        <f t="shared" ref="H31" si="68">SUM(H32:H35)</f>
        <v>5132.6591007817469</v>
      </c>
      <c r="I31" s="82">
        <f t="shared" ref="I31" si="69">SUM(I32:I35)</f>
        <v>19633.714867760551</v>
      </c>
      <c r="J31" s="93">
        <f t="shared" ref="J31" si="70">SUM(J32:J35)</f>
        <v>23869.452433175858</v>
      </c>
      <c r="K31" s="82">
        <f t="shared" ref="K31" si="71">SUM(K32:K35)</f>
        <v>28105.189998591173</v>
      </c>
      <c r="L31" s="82">
        <f t="shared" ref="L31" si="72">SUM(L32:L35)</f>
        <v>32340.927564006481</v>
      </c>
      <c r="M31" s="82">
        <f t="shared" ref="M31" si="73">SUM(M32:M35)</f>
        <v>36473.558927951482</v>
      </c>
      <c r="N31" s="82">
        <f t="shared" ref="N31" si="74">SUM(N32:N35)</f>
        <v>39314.731347087043</v>
      </c>
      <c r="O31" s="93">
        <f t="shared" ref="O31" si="75">SUM(O32:O35)</f>
        <v>42155.903766222604</v>
      </c>
      <c r="P31" s="82">
        <f t="shared" ref="P31" si="76">SUM(P32:P35)</f>
        <v>42155.903766222604</v>
      </c>
      <c r="Q31" s="82">
        <f t="shared" ref="Q31" si="77">SUM(Q32:Q35)</f>
        <v>42155.903766222604</v>
      </c>
      <c r="R31" s="82">
        <f t="shared" ref="R31" si="78">SUM(R32:R35)</f>
        <v>42155.903766222604</v>
      </c>
      <c r="S31" s="82">
        <f t="shared" ref="S31" si="79">SUM(S32:S35)</f>
        <v>42155.903766222604</v>
      </c>
      <c r="T31" s="93">
        <f t="shared" ref="T31" si="80">SUM(T32:T35)</f>
        <v>42155.903766222604</v>
      </c>
      <c r="U31" s="82">
        <f t="shared" ref="U31" si="81">SUM(U32:U35)</f>
        <v>42155.903766222604</v>
      </c>
      <c r="V31" s="82">
        <f t="shared" ref="V31" si="82">SUM(V32:V35)</f>
        <v>42155.903766222604</v>
      </c>
      <c r="W31" s="82">
        <f t="shared" ref="W31" si="83">SUM(W32:W35)</f>
        <v>42155.903766222604</v>
      </c>
      <c r="X31" s="82">
        <f t="shared" ref="X31" si="84">SUM(X32:X35)</f>
        <v>42155.903766222604</v>
      </c>
      <c r="Y31" s="82">
        <f t="shared" ref="Y31" si="85">SUM(Y32:Y35)</f>
        <v>42155.903766222604</v>
      </c>
      <c r="Z31" s="82">
        <f t="shared" ref="Z31" si="86">SUM(Z32:Z35)</f>
        <v>42155.903766222604</v>
      </c>
      <c r="AA31" s="82">
        <f t="shared" ref="AA31" si="87">SUM(AA32:AA35)</f>
        <v>42155.903766222604</v>
      </c>
      <c r="AB31" s="82">
        <f t="shared" ref="AB31" si="88">SUM(AB32:AB35)</f>
        <v>42155.903766222604</v>
      </c>
      <c r="AC31" s="82">
        <f t="shared" ref="AC31" si="89">SUM(AC32:AC35)</f>
        <v>42155.903766222604</v>
      </c>
      <c r="AD31" s="82">
        <f t="shared" ref="AD31" si="90">SUM(AD32:AD35)</f>
        <v>42155.903766222604</v>
      </c>
    </row>
    <row r="32" spans="1:33" x14ac:dyDescent="0.25">
      <c r="A32" s="81" t="str">
        <f>A$3</f>
        <v>Cranes</v>
      </c>
      <c r="E32" s="83">
        <f>E26/$D3</f>
        <v>0</v>
      </c>
      <c r="F32" s="83">
        <f t="shared" ref="F32:AD35" si="91">F26/$D3</f>
        <v>0</v>
      </c>
      <c r="G32" s="83">
        <f t="shared" si="91"/>
        <v>0</v>
      </c>
      <c r="H32" s="83">
        <f t="shared" si="91"/>
        <v>2667.8880543889809</v>
      </c>
      <c r="I32" s="83">
        <f t="shared" si="91"/>
        <v>10671.552217555924</v>
      </c>
      <c r="J32" s="83">
        <f t="shared" si="91"/>
        <v>13339.440271944904</v>
      </c>
      <c r="K32" s="83">
        <f t="shared" si="91"/>
        <v>16007.328326333885</v>
      </c>
      <c r="L32" s="83">
        <f t="shared" si="91"/>
        <v>18675.216380722864</v>
      </c>
      <c r="M32" s="83">
        <f t="shared" si="91"/>
        <v>21343.104435111847</v>
      </c>
      <c r="N32" s="83">
        <f t="shared" si="91"/>
        <v>24010.992489500826</v>
      </c>
      <c r="O32" s="83">
        <f t="shared" si="91"/>
        <v>26678.880543889809</v>
      </c>
      <c r="P32" s="83">
        <f t="shared" si="91"/>
        <v>26678.880543889809</v>
      </c>
      <c r="Q32" s="83">
        <f t="shared" si="91"/>
        <v>26678.880543889809</v>
      </c>
      <c r="R32" s="83">
        <f t="shared" si="91"/>
        <v>26678.880543889809</v>
      </c>
      <c r="S32" s="83">
        <f t="shared" si="91"/>
        <v>26678.880543889809</v>
      </c>
      <c r="T32" s="83">
        <f t="shared" si="91"/>
        <v>26678.880543889809</v>
      </c>
      <c r="U32" s="83">
        <f t="shared" si="91"/>
        <v>26678.880543889809</v>
      </c>
      <c r="V32" s="83">
        <f t="shared" si="91"/>
        <v>26678.880543889809</v>
      </c>
      <c r="W32" s="83">
        <f t="shared" si="91"/>
        <v>26678.880543889809</v>
      </c>
      <c r="X32" s="83">
        <f t="shared" si="91"/>
        <v>26678.880543889809</v>
      </c>
      <c r="Y32" s="83">
        <f t="shared" si="91"/>
        <v>26678.880543889809</v>
      </c>
      <c r="Z32" s="83">
        <f t="shared" si="91"/>
        <v>26678.880543889809</v>
      </c>
      <c r="AA32" s="83">
        <f t="shared" si="91"/>
        <v>26678.880543889809</v>
      </c>
      <c r="AB32" s="83">
        <f t="shared" si="91"/>
        <v>26678.880543889809</v>
      </c>
      <c r="AC32" s="83">
        <f t="shared" si="91"/>
        <v>26678.880543889809</v>
      </c>
      <c r="AD32" s="83">
        <f t="shared" si="91"/>
        <v>26678.880543889809</v>
      </c>
    </row>
    <row r="33" spans="1:38" x14ac:dyDescent="0.25">
      <c r="A33" s="81" t="str">
        <f>A$4</f>
        <v>Forklifts</v>
      </c>
      <c r="E33" s="83">
        <f t="shared" ref="E33:T35" si="92">E27/$D4</f>
        <v>0</v>
      </c>
      <c r="F33" s="83">
        <f t="shared" si="92"/>
        <v>0</v>
      </c>
      <c r="G33" s="83">
        <f t="shared" si="92"/>
        <v>0</v>
      </c>
      <c r="H33" s="83">
        <f t="shared" si="92"/>
        <v>139.05510696378937</v>
      </c>
      <c r="I33" s="83">
        <f t="shared" si="92"/>
        <v>520.27152236167797</v>
      </c>
      <c r="J33" s="83">
        <f t="shared" si="92"/>
        <v>623.37772383198751</v>
      </c>
      <c r="K33" s="83">
        <f t="shared" si="92"/>
        <v>726.48392530229717</v>
      </c>
      <c r="L33" s="83">
        <f t="shared" si="92"/>
        <v>829.59012677260705</v>
      </c>
      <c r="M33" s="83">
        <f t="shared" si="92"/>
        <v>829.59012677260705</v>
      </c>
      <c r="N33" s="83">
        <f t="shared" si="92"/>
        <v>829.59012677260705</v>
      </c>
      <c r="O33" s="83">
        <f t="shared" si="92"/>
        <v>829.59012677260705</v>
      </c>
      <c r="P33" s="83">
        <f t="shared" si="92"/>
        <v>829.59012677260705</v>
      </c>
      <c r="Q33" s="83">
        <f t="shared" si="92"/>
        <v>829.59012677260705</v>
      </c>
      <c r="R33" s="83">
        <f t="shared" si="92"/>
        <v>829.59012677260705</v>
      </c>
      <c r="S33" s="83">
        <f t="shared" si="92"/>
        <v>829.59012677260705</v>
      </c>
      <c r="T33" s="83">
        <f t="shared" si="92"/>
        <v>829.59012677260705</v>
      </c>
      <c r="U33" s="83">
        <f t="shared" si="91"/>
        <v>829.59012677260705</v>
      </c>
      <c r="V33" s="83">
        <f t="shared" si="91"/>
        <v>829.59012677260705</v>
      </c>
      <c r="W33" s="83">
        <f t="shared" si="91"/>
        <v>829.59012677260705</v>
      </c>
      <c r="X33" s="83">
        <f t="shared" si="91"/>
        <v>829.59012677260705</v>
      </c>
      <c r="Y33" s="83">
        <f t="shared" si="91"/>
        <v>829.59012677260705</v>
      </c>
      <c r="Z33" s="83">
        <f t="shared" si="91"/>
        <v>829.59012677260705</v>
      </c>
      <c r="AA33" s="83">
        <f t="shared" si="91"/>
        <v>829.59012677260705</v>
      </c>
      <c r="AB33" s="83">
        <f t="shared" si="91"/>
        <v>829.59012677260705</v>
      </c>
      <c r="AC33" s="83">
        <f t="shared" si="91"/>
        <v>829.59012677260705</v>
      </c>
      <c r="AD33" s="83">
        <f t="shared" si="91"/>
        <v>829.59012677260705</v>
      </c>
    </row>
    <row r="34" spans="1:38" x14ac:dyDescent="0.25">
      <c r="A34" s="81" t="str">
        <f>A$5</f>
        <v>Container handling</v>
      </c>
      <c r="E34" s="83">
        <f t="shared" si="92"/>
        <v>0</v>
      </c>
      <c r="F34" s="83">
        <f t="shared" si="91"/>
        <v>0</v>
      </c>
      <c r="G34" s="83">
        <f t="shared" si="91"/>
        <v>0</v>
      </c>
      <c r="H34" s="83">
        <f t="shared" si="91"/>
        <v>173.28436474658255</v>
      </c>
      <c r="I34" s="83">
        <f t="shared" si="91"/>
        <v>693.13745898633044</v>
      </c>
      <c r="J34" s="83">
        <f t="shared" si="91"/>
        <v>866.42182373291291</v>
      </c>
      <c r="K34" s="83">
        <f t="shared" si="91"/>
        <v>1039.7061884794955</v>
      </c>
      <c r="L34" s="83">
        <f t="shared" si="91"/>
        <v>1212.9905532260782</v>
      </c>
      <c r="M34" s="83">
        <f t="shared" si="91"/>
        <v>1386.2749179726609</v>
      </c>
      <c r="N34" s="83">
        <f t="shared" si="91"/>
        <v>1559.5592827192434</v>
      </c>
      <c r="O34" s="83">
        <f t="shared" si="91"/>
        <v>1732.8436474658258</v>
      </c>
      <c r="P34" s="83">
        <f t="shared" si="91"/>
        <v>1732.8436474658258</v>
      </c>
      <c r="Q34" s="83">
        <f t="shared" si="91"/>
        <v>1732.8436474658258</v>
      </c>
      <c r="R34" s="83">
        <f t="shared" si="91"/>
        <v>1732.8436474658258</v>
      </c>
      <c r="S34" s="83">
        <f t="shared" si="91"/>
        <v>1732.8436474658258</v>
      </c>
      <c r="T34" s="83">
        <f t="shared" si="91"/>
        <v>1732.8436474658258</v>
      </c>
      <c r="U34" s="83">
        <f t="shared" si="91"/>
        <v>1732.8436474658258</v>
      </c>
      <c r="V34" s="83">
        <f t="shared" si="91"/>
        <v>1732.8436474658258</v>
      </c>
      <c r="W34" s="83">
        <f t="shared" si="91"/>
        <v>1732.8436474658258</v>
      </c>
      <c r="X34" s="83">
        <f t="shared" si="91"/>
        <v>1732.8436474658258</v>
      </c>
      <c r="Y34" s="83">
        <f t="shared" si="91"/>
        <v>1732.8436474658258</v>
      </c>
      <c r="Z34" s="83">
        <f t="shared" si="91"/>
        <v>1732.8436474658258</v>
      </c>
      <c r="AA34" s="83">
        <f t="shared" si="91"/>
        <v>1732.8436474658258</v>
      </c>
      <c r="AB34" s="83">
        <f t="shared" si="91"/>
        <v>1732.8436474658258</v>
      </c>
      <c r="AC34" s="83">
        <f t="shared" si="91"/>
        <v>1732.8436474658258</v>
      </c>
      <c r="AD34" s="83">
        <f t="shared" si="91"/>
        <v>1732.8436474658258</v>
      </c>
    </row>
    <row r="35" spans="1:38" x14ac:dyDescent="0.25">
      <c r="A35" s="81" t="str">
        <f>A$6</f>
        <v>Yard trucks</v>
      </c>
      <c r="E35" s="83">
        <f t="shared" si="92"/>
        <v>0</v>
      </c>
      <c r="F35" s="83">
        <f t="shared" si="91"/>
        <v>0</v>
      </c>
      <c r="G35" s="83">
        <f t="shared" si="91"/>
        <v>0</v>
      </c>
      <c r="H35" s="83">
        <f t="shared" si="91"/>
        <v>2152.4315746823941</v>
      </c>
      <c r="I35" s="83">
        <f t="shared" si="91"/>
        <v>7748.7536688566188</v>
      </c>
      <c r="J35" s="83">
        <f t="shared" si="91"/>
        <v>9040.2126136660536</v>
      </c>
      <c r="K35" s="83">
        <f t="shared" si="91"/>
        <v>10331.671558475491</v>
      </c>
      <c r="L35" s="83">
        <f t="shared" si="91"/>
        <v>11623.130503284929</v>
      </c>
      <c r="M35" s="83">
        <f t="shared" si="91"/>
        <v>12914.589448094364</v>
      </c>
      <c r="N35" s="83">
        <f t="shared" si="91"/>
        <v>12914.589448094364</v>
      </c>
      <c r="O35" s="83">
        <f t="shared" si="91"/>
        <v>12914.589448094364</v>
      </c>
      <c r="P35" s="83">
        <f t="shared" si="91"/>
        <v>12914.589448094364</v>
      </c>
      <c r="Q35" s="83">
        <f t="shared" si="91"/>
        <v>12914.589448094364</v>
      </c>
      <c r="R35" s="83">
        <f t="shared" si="91"/>
        <v>12914.589448094364</v>
      </c>
      <c r="S35" s="83">
        <f t="shared" si="91"/>
        <v>12914.589448094364</v>
      </c>
      <c r="T35" s="83">
        <f t="shared" si="91"/>
        <v>12914.589448094364</v>
      </c>
      <c r="U35" s="83">
        <f t="shared" si="91"/>
        <v>12914.589448094364</v>
      </c>
      <c r="V35" s="83">
        <f t="shared" si="91"/>
        <v>12914.589448094364</v>
      </c>
      <c r="W35" s="83">
        <f t="shared" si="91"/>
        <v>12914.589448094364</v>
      </c>
      <c r="X35" s="83">
        <f t="shared" si="91"/>
        <v>12914.589448094364</v>
      </c>
      <c r="Y35" s="83">
        <f t="shared" si="91"/>
        <v>12914.589448094364</v>
      </c>
      <c r="Z35" s="83">
        <f t="shared" si="91"/>
        <v>12914.589448094364</v>
      </c>
      <c r="AA35" s="83">
        <f t="shared" si="91"/>
        <v>12914.589448094364</v>
      </c>
      <c r="AB35" s="83">
        <f t="shared" si="91"/>
        <v>12914.589448094364</v>
      </c>
      <c r="AC35" s="83">
        <f t="shared" si="91"/>
        <v>12914.589448094364</v>
      </c>
      <c r="AD35" s="83">
        <f t="shared" si="91"/>
        <v>12914.589448094364</v>
      </c>
    </row>
    <row r="37" spans="1:38" x14ac:dyDescent="0.25">
      <c r="A37" s="27" t="s">
        <v>100</v>
      </c>
    </row>
    <row r="38" spans="1:38" x14ac:dyDescent="0.25">
      <c r="A38" s="81" t="s">
        <v>101</v>
      </c>
      <c r="E38" s="76">
        <v>0.65</v>
      </c>
      <c r="F38" s="70">
        <f>$E38+($T38-$E38)*(F$1-$E$1)/($T$1-$E$1)</f>
        <v>0.66</v>
      </c>
      <c r="G38" s="70">
        <f t="shared" ref="G38:S38" si="93">$E38+($T38-$E38)*(G$1-$E$1)/($T$1-$E$1)</f>
        <v>0.67</v>
      </c>
      <c r="H38" s="70">
        <f t="shared" si="93"/>
        <v>0.68</v>
      </c>
      <c r="I38" s="70">
        <f t="shared" si="93"/>
        <v>0.69000000000000006</v>
      </c>
      <c r="J38" s="94">
        <f t="shared" si="93"/>
        <v>0.70000000000000007</v>
      </c>
      <c r="K38" s="70">
        <f t="shared" si="93"/>
        <v>0.71000000000000008</v>
      </c>
      <c r="L38" s="70">
        <f t="shared" si="93"/>
        <v>0.72000000000000008</v>
      </c>
      <c r="M38" s="70">
        <f t="shared" si="93"/>
        <v>0.73</v>
      </c>
      <c r="N38" s="70">
        <f t="shared" si="93"/>
        <v>0.74</v>
      </c>
      <c r="O38" s="94">
        <f t="shared" si="93"/>
        <v>0.75</v>
      </c>
      <c r="P38" s="70">
        <f t="shared" si="93"/>
        <v>0.76</v>
      </c>
      <c r="Q38" s="70">
        <f t="shared" si="93"/>
        <v>0.77</v>
      </c>
      <c r="R38" s="70">
        <f t="shared" si="93"/>
        <v>0.78</v>
      </c>
      <c r="S38" s="70">
        <f t="shared" si="93"/>
        <v>0.79</v>
      </c>
      <c r="T38" s="76">
        <v>0.8</v>
      </c>
      <c r="U38" s="70">
        <f>T38</f>
        <v>0.8</v>
      </c>
      <c r="V38" s="70">
        <f t="shared" ref="V38:AD38" si="94">U38</f>
        <v>0.8</v>
      </c>
      <c r="W38" s="70">
        <f t="shared" si="94"/>
        <v>0.8</v>
      </c>
      <c r="X38" s="70">
        <f t="shared" si="94"/>
        <v>0.8</v>
      </c>
      <c r="Y38" s="70">
        <f t="shared" si="94"/>
        <v>0.8</v>
      </c>
      <c r="Z38" s="70">
        <f t="shared" si="94"/>
        <v>0.8</v>
      </c>
      <c r="AA38" s="70">
        <f t="shared" si="94"/>
        <v>0.8</v>
      </c>
      <c r="AB38" s="70">
        <f t="shared" si="94"/>
        <v>0.8</v>
      </c>
      <c r="AC38" s="70">
        <f t="shared" si="94"/>
        <v>0.8</v>
      </c>
      <c r="AD38" s="70">
        <f t="shared" si="94"/>
        <v>0.8</v>
      </c>
    </row>
    <row r="39" spans="1:38" x14ac:dyDescent="0.25">
      <c r="A39" s="81" t="s">
        <v>102</v>
      </c>
      <c r="E39" s="95">
        <f>MAX(Factors!$B$9-Factors!$B$11*(E1-2022),0)</f>
        <v>0.3537414965986394</v>
      </c>
      <c r="F39" s="85">
        <f>MAX(Factors!$B$9-Factors!$B$11*(F1-2022),0)</f>
        <v>0.33605442176870748</v>
      </c>
      <c r="G39" s="85">
        <f>MAX(Factors!$B$9-Factors!$B$11*(G1-2022),0)</f>
        <v>0.3183673469387755</v>
      </c>
      <c r="H39" s="85">
        <f>MAX(Factors!$B$9-Factors!$B$11*(H1-2022),0)</f>
        <v>0.30068027210884352</v>
      </c>
      <c r="I39" s="85">
        <f>MAX(Factors!$B$9-Factors!$B$11*(I1-2022),0)</f>
        <v>0.28299319727891153</v>
      </c>
      <c r="J39" s="95">
        <f>MAX(Factors!$B$9-Factors!$B$11*(J1-2022),0)</f>
        <v>0.26530612244897955</v>
      </c>
      <c r="K39" s="85">
        <f>MAX(Factors!$B$9-Factors!$B$11*(K1-2022),0)</f>
        <v>0.2476190476190476</v>
      </c>
      <c r="L39" s="85">
        <f>MAX(Factors!$B$9-Factors!$B$11*(L1-2022),0)</f>
        <v>0.22993197278911565</v>
      </c>
      <c r="M39" s="85">
        <f>MAX(Factors!$B$9-Factors!$B$11*(M1-2022),0)</f>
        <v>0.21224489795918366</v>
      </c>
      <c r="N39" s="85">
        <f>MAX(Factors!$B$9-Factors!$B$11*(N1-2022),0)</f>
        <v>0.19455782312925168</v>
      </c>
      <c r="O39" s="95">
        <f>MAX(Factors!$B$9-Factors!$B$11*(O1-2022),0)</f>
        <v>0.17687074829931973</v>
      </c>
      <c r="P39" s="85">
        <f>MAX(Factors!$B$9-Factors!$B$11*(P1-2022),0)</f>
        <v>0.15918367346938775</v>
      </c>
      <c r="Q39" s="85">
        <f>MAX(Factors!$B$9-Factors!$B$11*(Q1-2022),0)</f>
        <v>0.1414965986394558</v>
      </c>
      <c r="R39" s="85">
        <f>MAX(Factors!$B$9-Factors!$B$11*(R1-2022),0)</f>
        <v>0.12380952380952381</v>
      </c>
      <c r="S39" s="85">
        <f>MAX(Factors!$B$9-Factors!$B$11*(S1-2022),0)</f>
        <v>0.10612244897959183</v>
      </c>
      <c r="T39" s="95">
        <f>MAX(Factors!$B$9-Factors!$B$11*(T1-2022),0)</f>
        <v>8.8435374149659851E-2</v>
      </c>
      <c r="U39" s="85">
        <f>MAX(Factors!$B$9-Factors!$B$11*(U1-2022),0)</f>
        <v>7.0748299319727925E-2</v>
      </c>
      <c r="V39" s="85">
        <f>MAX(Factors!$B$9-Factors!$B$11*(V1-2022),0)</f>
        <v>5.3061224489795944E-2</v>
      </c>
      <c r="W39" s="85">
        <f>MAX(Factors!$B$9-Factors!$B$11*(W1-2022),0)</f>
        <v>3.5374149659863963E-2</v>
      </c>
      <c r="X39" s="85">
        <f>MAX(Factors!$B$9-Factors!$B$11*(X1-2022),0)</f>
        <v>1.7687074829931981E-2</v>
      </c>
      <c r="Y39" s="85">
        <f>MAX(Factors!$B$9-Factors!$B$11*(Y1-2022),0)</f>
        <v>0</v>
      </c>
      <c r="Z39" s="85">
        <f>MAX(Factors!$B$9-Factors!$B$11*(Z1-2022),0)</f>
        <v>0</v>
      </c>
      <c r="AA39" s="85">
        <f>MAX(Factors!$B$9-Factors!$B$11*(AA1-2022),0)</f>
        <v>0</v>
      </c>
      <c r="AB39" s="85">
        <f>MAX(Factors!$B$9-Factors!$B$11*(AB1-2022),0)</f>
        <v>0</v>
      </c>
      <c r="AC39" s="85">
        <f>MAX(Factors!$B$9-Factors!$B$11*(AC1-2022),0)</f>
        <v>0</v>
      </c>
      <c r="AD39" s="85">
        <f>MAX(Factors!$B$9-Factors!$B$11*(AD1-2022),0)</f>
        <v>0</v>
      </c>
    </row>
    <row r="40" spans="1:38" x14ac:dyDescent="0.25">
      <c r="A40" s="81" t="s">
        <v>106</v>
      </c>
      <c r="E40" s="95">
        <f>E39*(1-'CPRG calcs'!E38)</f>
        <v>0.12380952380952379</v>
      </c>
      <c r="F40" s="85">
        <f>F39*(1-'CPRG calcs'!F38)</f>
        <v>0.11425850340136053</v>
      </c>
      <c r="G40" s="85">
        <f>G39*(1-'CPRG calcs'!G38)</f>
        <v>0.10506122448979591</v>
      </c>
      <c r="H40" s="85">
        <f>H39*(1-'CPRG calcs'!H38)</f>
        <v>9.6217687074829916E-2</v>
      </c>
      <c r="I40" s="85">
        <f>I39*(1-'CPRG calcs'!I38)</f>
        <v>8.7727891156462554E-2</v>
      </c>
      <c r="J40" s="95">
        <f>J39*(1-'CPRG calcs'!J38)</f>
        <v>7.9591836734693847E-2</v>
      </c>
      <c r="K40" s="85">
        <f>K39*(1-'CPRG calcs'!K38)</f>
        <v>7.1809523809523781E-2</v>
      </c>
      <c r="L40" s="85">
        <f>L39*(1-'CPRG calcs'!L38)</f>
        <v>6.4380952380952358E-2</v>
      </c>
      <c r="M40" s="85">
        <f>M39*(1-'CPRG calcs'!M38)</f>
        <v>5.7306122448979591E-2</v>
      </c>
      <c r="N40" s="85">
        <f>N39*(1-'CPRG calcs'!N38)</f>
        <v>5.0585034013605437E-2</v>
      </c>
      <c r="O40" s="95">
        <f>O39*(1-'CPRG calcs'!O38)</f>
        <v>4.4217687074829932E-2</v>
      </c>
      <c r="P40" s="85">
        <f>P39*(1-'CPRG calcs'!P38)</f>
        <v>3.8204081632653056E-2</v>
      </c>
      <c r="Q40" s="85">
        <f>Q39*(1-'CPRG calcs'!Q38)</f>
        <v>3.2544217687074828E-2</v>
      </c>
      <c r="R40" s="85">
        <f>R39*(1-'CPRG calcs'!R38)</f>
        <v>2.7238095238095235E-2</v>
      </c>
      <c r="S40" s="85">
        <f>S39*(1-'CPRG calcs'!S38)</f>
        <v>2.228571428571428E-2</v>
      </c>
      <c r="T40" s="95">
        <f>T39*(1-'CPRG calcs'!T38)</f>
        <v>1.7687074829931967E-2</v>
      </c>
      <c r="U40" s="85">
        <f>U39*(1-'CPRG calcs'!U38)</f>
        <v>1.4149659863945582E-2</v>
      </c>
      <c r="V40" s="85">
        <f>V39*(1-'CPRG calcs'!V38)</f>
        <v>1.0612244897959186E-2</v>
      </c>
      <c r="W40" s="85">
        <f>W39*(1-'CPRG calcs'!W38)</f>
        <v>7.074829931972791E-3</v>
      </c>
      <c r="X40" s="85">
        <f>X39*(1-'CPRG calcs'!X38)</f>
        <v>3.5374149659863955E-3</v>
      </c>
      <c r="Y40" s="85">
        <f>Y39*(1-'CPRG calcs'!Y38)</f>
        <v>0</v>
      </c>
      <c r="Z40" s="85">
        <f>Z39*(1-'CPRG calcs'!Z38)</f>
        <v>0</v>
      </c>
      <c r="AA40" s="85">
        <f>AA39*(1-'CPRG calcs'!AA38)</f>
        <v>0</v>
      </c>
      <c r="AB40" s="85">
        <f>AB39*(1-'CPRG calcs'!AB38)</f>
        <v>0</v>
      </c>
      <c r="AC40" s="85">
        <f>AC39*(1-'CPRG calcs'!AC38)</f>
        <v>0</v>
      </c>
      <c r="AD40" s="85">
        <f>AD39*(1-'CPRG calcs'!AD38)</f>
        <v>0</v>
      </c>
    </row>
    <row r="41" spans="1:38" x14ac:dyDescent="0.25">
      <c r="A41" s="81" t="s">
        <v>99</v>
      </c>
      <c r="E41" s="74">
        <f>E31*E40</f>
        <v>0</v>
      </c>
      <c r="F41" s="74">
        <f t="shared" ref="F41:AD41" si="95">F31*F40</f>
        <v>0</v>
      </c>
      <c r="G41" s="74">
        <f t="shared" si="95"/>
        <v>0</v>
      </c>
      <c r="H41" s="74">
        <f t="shared" si="95"/>
        <v>493.85258722079601</v>
      </c>
      <c r="I41" s="74">
        <f t="shared" si="95"/>
        <v>1722.4244009159181</v>
      </c>
      <c r="J41" s="74">
        <f t="shared" si="95"/>
        <v>1899.8135610078737</v>
      </c>
      <c r="K41" s="74">
        <f t="shared" si="95"/>
        <v>2018.2203103750226</v>
      </c>
      <c r="L41" s="74">
        <f t="shared" si="95"/>
        <v>2082.1397174541307</v>
      </c>
      <c r="M41" s="74">
        <f t="shared" si="95"/>
        <v>2090.1582340752602</v>
      </c>
      <c r="N41" s="74">
        <f t="shared" si="95"/>
        <v>1988.7370224281581</v>
      </c>
      <c r="O41" s="74">
        <f t="shared" si="95"/>
        <v>1864.0365610914757</v>
      </c>
      <c r="P41" s="74">
        <f t="shared" si="95"/>
        <v>1610.5275887830348</v>
      </c>
      <c r="Q41" s="74">
        <f t="shared" si="95"/>
        <v>1371.9309089633259</v>
      </c>
      <c r="R41" s="74">
        <f t="shared" si="95"/>
        <v>1148.246521632349</v>
      </c>
      <c r="S41" s="74">
        <f t="shared" si="95"/>
        <v>939.47442679010351</v>
      </c>
      <c r="T41" s="74">
        <f t="shared" si="95"/>
        <v>745.61462443659002</v>
      </c>
      <c r="U41" s="74">
        <f t="shared" si="95"/>
        <v>596.49169954927243</v>
      </c>
      <c r="V41" s="74">
        <f t="shared" si="95"/>
        <v>447.36877466195426</v>
      </c>
      <c r="W41" s="74">
        <f t="shared" si="95"/>
        <v>298.24584977463621</v>
      </c>
      <c r="X41" s="74">
        <f t="shared" si="95"/>
        <v>149.12292488731811</v>
      </c>
      <c r="Y41" s="74">
        <f t="shared" si="95"/>
        <v>0</v>
      </c>
      <c r="Z41" s="74">
        <f t="shared" si="95"/>
        <v>0</v>
      </c>
      <c r="AA41" s="74">
        <f t="shared" si="95"/>
        <v>0</v>
      </c>
      <c r="AB41" s="74">
        <f t="shared" si="95"/>
        <v>0</v>
      </c>
      <c r="AC41" s="74">
        <f t="shared" si="95"/>
        <v>0</v>
      </c>
      <c r="AD41" s="74">
        <f t="shared" si="95"/>
        <v>0</v>
      </c>
      <c r="AF41" s="98">
        <f>SUM(E41:J41)</f>
        <v>4116.0905491445874</v>
      </c>
      <c r="AG41" s="98">
        <f>SUM(E41:AD41)</f>
        <v>21466.405714047218</v>
      </c>
    </row>
    <row r="43" spans="1:38" x14ac:dyDescent="0.25">
      <c r="A43" s="88" t="s">
        <v>112</v>
      </c>
    </row>
    <row r="44" spans="1:38" x14ac:dyDescent="0.25">
      <c r="A44" s="81" t="s">
        <v>45</v>
      </c>
      <c r="E44" s="74">
        <f>E13-E41</f>
        <v>0</v>
      </c>
      <c r="F44" s="74">
        <f t="shared" ref="F44:AD44" si="96">F13-F41</f>
        <v>0</v>
      </c>
      <c r="G44" s="74">
        <f t="shared" si="96"/>
        <v>0</v>
      </c>
      <c r="H44" s="74">
        <f t="shared" si="96"/>
        <v>4855.148278580069</v>
      </c>
      <c r="I44" s="74">
        <f t="shared" si="96"/>
        <v>18391.463910772389</v>
      </c>
      <c r="J44" s="74">
        <f t="shared" si="96"/>
        <v>22280.960464966149</v>
      </c>
      <c r="K44" s="74">
        <f t="shared" si="96"/>
        <v>26229.439429884718</v>
      </c>
      <c r="L44" s="74">
        <f t="shared" si="96"/>
        <v>30232.405737091325</v>
      </c>
      <c r="M44" s="74">
        <f t="shared" si="96"/>
        <v>34184.387220470191</v>
      </c>
      <c r="N44" s="74">
        <f t="shared" si="96"/>
        <v>36378.535704844566</v>
      </c>
      <c r="O44" s="74">
        <f t="shared" si="96"/>
        <v>38595.963438908526</v>
      </c>
      <c r="P44" s="74">
        <f t="shared" si="96"/>
        <v>38849.472411216964</v>
      </c>
      <c r="Q44" s="74">
        <f t="shared" si="96"/>
        <v>39088.069091036676</v>
      </c>
      <c r="R44" s="74">
        <f t="shared" si="96"/>
        <v>39311.753478367653</v>
      </c>
      <c r="S44" s="74">
        <f t="shared" si="96"/>
        <v>39520.525573209896</v>
      </c>
      <c r="T44" s="74">
        <f t="shared" si="96"/>
        <v>39714.385375563412</v>
      </c>
      <c r="U44" s="74">
        <f t="shared" si="96"/>
        <v>39863.508300450725</v>
      </c>
      <c r="V44" s="74">
        <f t="shared" si="96"/>
        <v>40012.631225338046</v>
      </c>
      <c r="W44" s="74">
        <f t="shared" si="96"/>
        <v>40161.754150225366</v>
      </c>
      <c r="X44" s="74">
        <f t="shared" si="96"/>
        <v>40310.877075112679</v>
      </c>
      <c r="Y44" s="74">
        <f t="shared" si="96"/>
        <v>40460</v>
      </c>
      <c r="Z44" s="74">
        <f t="shared" si="96"/>
        <v>40460</v>
      </c>
      <c r="AA44" s="74">
        <f t="shared" si="96"/>
        <v>40460</v>
      </c>
      <c r="AB44" s="74">
        <f t="shared" si="96"/>
        <v>40460</v>
      </c>
      <c r="AC44" s="74">
        <f t="shared" si="96"/>
        <v>40460</v>
      </c>
      <c r="AD44" s="74">
        <f t="shared" si="96"/>
        <v>40460</v>
      </c>
      <c r="AF44" s="98">
        <f>SUM(E44:J44)</f>
        <v>45527.572654318603</v>
      </c>
      <c r="AG44" s="98">
        <f>SUM(E44:AD44)</f>
        <v>810741.28086603933</v>
      </c>
      <c r="AI44" s="99">
        <f>Factors!$B$2*1000000/'CPRG calcs'!AF44</f>
        <v>1662.7286627990113</v>
      </c>
      <c r="AJ44" s="90">
        <f>Factors!$B$2*1000000/'CPRG calcs'!AG44</f>
        <v>93.371340261762356</v>
      </c>
      <c r="AK44" s="99">
        <f>Factors!$B$2*1000000/SUM(J44:O44)</f>
        <v>402.87024132568644</v>
      </c>
      <c r="AL44" s="99">
        <f>Factors!$B$2*1000000/SUM(P44:Y44)</f>
        <v>190.53948708706545</v>
      </c>
    </row>
    <row r="47" spans="1:38" x14ac:dyDescent="0.25">
      <c r="AF47" s="97">
        <f>ROUND(AF13,-2)</f>
        <v>49600</v>
      </c>
      <c r="AG47" s="97">
        <f>ROUND(AG13,-2)</f>
        <v>832200</v>
      </c>
    </row>
    <row r="48" spans="1:38" x14ac:dyDescent="0.25">
      <c r="AF48" s="97">
        <f>ROUND(AF41,-2)</f>
        <v>4100</v>
      </c>
      <c r="AG48" s="97">
        <f>ROUND(AG41,-2)</f>
        <v>21500</v>
      </c>
    </row>
    <row r="49" spans="32:33" x14ac:dyDescent="0.25">
      <c r="AF49" s="97">
        <f>ROUND(AF44,-2)</f>
        <v>45500</v>
      </c>
      <c r="AG49" s="97">
        <f>ROUND(AG44,-2)</f>
        <v>810700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12452-349D-4C7D-9146-0A22A1099FF0}">
  <dimension ref="B2:I21"/>
  <sheetViews>
    <sheetView workbookViewId="0">
      <selection activeCell="F14" sqref="F14"/>
    </sheetView>
  </sheetViews>
  <sheetFormatPr defaultRowHeight="15" x14ac:dyDescent="0.25"/>
  <cols>
    <col min="1" max="1" width="2.7109375" customWidth="1"/>
    <col min="3" max="3" width="16.7109375" customWidth="1"/>
    <col min="4" max="4" width="27.28515625" customWidth="1"/>
  </cols>
  <sheetData>
    <row r="2" spans="2:9" x14ac:dyDescent="0.25">
      <c r="B2" s="100">
        <v>75.7</v>
      </c>
      <c r="C2" t="s">
        <v>126</v>
      </c>
    </row>
    <row r="4" spans="2:9" x14ac:dyDescent="0.25">
      <c r="B4" s="77" t="s">
        <v>88</v>
      </c>
    </row>
    <row r="5" spans="2:9" x14ac:dyDescent="0.25">
      <c r="B5" s="70"/>
    </row>
    <row r="6" spans="2:9" x14ac:dyDescent="0.25">
      <c r="B6" s="87" t="s">
        <v>105</v>
      </c>
    </row>
    <row r="7" spans="2:9" x14ac:dyDescent="0.25">
      <c r="B7">
        <v>897</v>
      </c>
      <c r="C7" t="s">
        <v>98</v>
      </c>
      <c r="D7" t="s">
        <v>89</v>
      </c>
    </row>
    <row r="8" spans="2:9" x14ac:dyDescent="0.25">
      <c r="B8">
        <v>2205</v>
      </c>
      <c r="C8" t="s">
        <v>96</v>
      </c>
      <c r="H8" s="67" t="s">
        <v>125</v>
      </c>
    </row>
    <row r="9" spans="2:9" x14ac:dyDescent="0.25">
      <c r="B9" s="85">
        <f>B7/B8</f>
        <v>0.40680272108843535</v>
      </c>
      <c r="C9" t="s">
        <v>97</v>
      </c>
      <c r="H9">
        <v>3.6</v>
      </c>
      <c r="I9" t="s">
        <v>121</v>
      </c>
    </row>
    <row r="10" spans="2:9" x14ac:dyDescent="0.25">
      <c r="B10" s="86">
        <v>2045</v>
      </c>
      <c r="C10" t="s">
        <v>103</v>
      </c>
      <c r="D10" s="89" t="s">
        <v>107</v>
      </c>
      <c r="H10">
        <v>134.47</v>
      </c>
      <c r="I10" t="s">
        <v>122</v>
      </c>
    </row>
    <row r="11" spans="2:9" x14ac:dyDescent="0.25">
      <c r="B11" s="85">
        <f>B9/(2045-2022)</f>
        <v>1.7687074829931971E-2</v>
      </c>
      <c r="C11" t="s">
        <v>104</v>
      </c>
      <c r="H11" s="79">
        <f>H10/H9</f>
        <v>37.352777777777774</v>
      </c>
      <c r="I11" t="s">
        <v>123</v>
      </c>
    </row>
    <row r="12" spans="2:9" x14ac:dyDescent="0.25">
      <c r="B12" s="79">
        <v>1.1000000000000001</v>
      </c>
      <c r="C12" t="s">
        <v>108</v>
      </c>
      <c r="H12" s="84">
        <f>H11/1000</f>
        <v>3.7352777777777776E-2</v>
      </c>
      <c r="I12" t="s">
        <v>124</v>
      </c>
    </row>
    <row r="14" spans="2:9" x14ac:dyDescent="0.25">
      <c r="B14" s="78">
        <v>1.0189999999999999E-2</v>
      </c>
      <c r="C14" t="s">
        <v>90</v>
      </c>
    </row>
    <row r="15" spans="2:9" x14ac:dyDescent="0.25">
      <c r="B15" s="84">
        <f>H12</f>
        <v>3.7352777777777776E-2</v>
      </c>
      <c r="C15" t="s">
        <v>92</v>
      </c>
    </row>
    <row r="17" spans="2:5" x14ac:dyDescent="0.25">
      <c r="B17">
        <v>37.74</v>
      </c>
      <c r="C17" t="s">
        <v>113</v>
      </c>
    </row>
    <row r="18" spans="2:5" x14ac:dyDescent="0.25">
      <c r="B18">
        <v>2.5</v>
      </c>
      <c r="C18" t="s">
        <v>114</v>
      </c>
      <c r="D18" t="s">
        <v>118</v>
      </c>
      <c r="E18" t="s">
        <v>119</v>
      </c>
    </row>
    <row r="19" spans="2:5" x14ac:dyDescent="0.25">
      <c r="B19">
        <f>B17*B18</f>
        <v>94.350000000000009</v>
      </c>
      <c r="C19" t="s">
        <v>115</v>
      </c>
    </row>
    <row r="20" spans="2:5" x14ac:dyDescent="0.25">
      <c r="B20">
        <v>12.5</v>
      </c>
      <c r="C20" t="s">
        <v>116</v>
      </c>
      <c r="D20" t="s">
        <v>120</v>
      </c>
    </row>
    <row r="21" spans="2:5" x14ac:dyDescent="0.25">
      <c r="B21">
        <f>B19/B20</f>
        <v>7.5480000000000009</v>
      </c>
      <c r="C21" t="s">
        <v>117</v>
      </c>
    </row>
  </sheetData>
  <hyperlinks>
    <hyperlink ref="D10" r:id="rId1" xr:uid="{6E9ED4B9-1B2D-434D-86FB-CEAF8CCB1282}"/>
  </hyperlinks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C703B-6407-45CA-B27D-48E567D91E41}">
  <dimension ref="C1:P29"/>
  <sheetViews>
    <sheetView topLeftCell="A6" workbookViewId="0">
      <selection activeCell="H19" sqref="H19"/>
    </sheetView>
  </sheetViews>
  <sheetFormatPr defaultRowHeight="15" x14ac:dyDescent="0.25"/>
  <cols>
    <col min="1" max="1" width="2.7109375" customWidth="1"/>
    <col min="2" max="2" width="3.140625" customWidth="1"/>
    <col min="3" max="3" width="16.28515625" customWidth="1"/>
    <col min="4" max="6" width="7.7109375" customWidth="1"/>
    <col min="7" max="7" width="8.28515625" customWidth="1"/>
    <col min="10" max="10" width="15.7109375" customWidth="1"/>
    <col min="12" max="12" width="19.42578125" customWidth="1"/>
    <col min="13" max="15" width="11.7109375" customWidth="1"/>
    <col min="16" max="16" width="27.28515625" customWidth="1"/>
  </cols>
  <sheetData>
    <row r="1" spans="3:16" x14ac:dyDescent="0.25">
      <c r="C1" s="27" t="s">
        <v>50</v>
      </c>
    </row>
    <row r="2" spans="3:16" x14ac:dyDescent="0.25">
      <c r="C2" s="27" t="s">
        <v>49</v>
      </c>
    </row>
    <row r="3" spans="3:16" x14ac:dyDescent="0.25">
      <c r="C3" s="28" t="s">
        <v>48</v>
      </c>
    </row>
    <row r="4" spans="3:16" x14ac:dyDescent="0.25">
      <c r="C4" s="28"/>
    </row>
    <row r="5" spans="3:16" ht="15.75" thickBot="1" x14ac:dyDescent="0.3">
      <c r="D5" s="27" t="s">
        <v>47</v>
      </c>
      <c r="G5" s="27" t="s">
        <v>46</v>
      </c>
    </row>
    <row r="6" spans="3:16" ht="51.75" thickBot="1" x14ac:dyDescent="0.3">
      <c r="C6" s="25" t="s">
        <v>42</v>
      </c>
      <c r="D6" s="26" t="s">
        <v>45</v>
      </c>
      <c r="E6" s="26" t="s">
        <v>44</v>
      </c>
      <c r="F6" s="26" t="s">
        <v>43</v>
      </c>
      <c r="G6" s="26" t="s">
        <v>45</v>
      </c>
      <c r="H6" s="26" t="s">
        <v>44</v>
      </c>
      <c r="I6" s="26" t="s">
        <v>43</v>
      </c>
      <c r="J6" s="25" t="s">
        <v>38</v>
      </c>
      <c r="L6" s="25" t="s">
        <v>42</v>
      </c>
      <c r="M6" s="24" t="s">
        <v>41</v>
      </c>
      <c r="N6" s="24" t="s">
        <v>40</v>
      </c>
      <c r="O6" s="24" t="s">
        <v>39</v>
      </c>
      <c r="P6" s="24" t="s">
        <v>38</v>
      </c>
    </row>
    <row r="7" spans="3:16" ht="15.75" thickBot="1" x14ac:dyDescent="0.3">
      <c r="C7" s="16" t="s">
        <v>37</v>
      </c>
      <c r="D7" s="23"/>
      <c r="E7" s="22"/>
      <c r="F7" s="21"/>
      <c r="G7" s="23"/>
      <c r="H7" s="22"/>
      <c r="I7" s="21"/>
      <c r="J7" s="20"/>
      <c r="L7" s="101" t="s">
        <v>36</v>
      </c>
      <c r="M7" s="102"/>
      <c r="N7" s="102"/>
      <c r="O7" s="102"/>
      <c r="P7" s="103"/>
    </row>
    <row r="8" spans="3:16" ht="26.25" thickBot="1" x14ac:dyDescent="0.3">
      <c r="C8" s="9" t="s">
        <v>35</v>
      </c>
      <c r="D8" s="18">
        <v>42813</v>
      </c>
      <c r="E8" s="11">
        <v>7.7700000000000005</v>
      </c>
      <c r="F8" s="11">
        <v>1078.8900000000001</v>
      </c>
      <c r="G8" s="10">
        <f t="shared" ref="G8:I10" si="0">D8/D$29</f>
        <v>0.23013658866975215</v>
      </c>
      <c r="H8" s="10">
        <f t="shared" si="0"/>
        <v>0.28704422032583399</v>
      </c>
      <c r="I8" s="10">
        <f t="shared" si="0"/>
        <v>0.55574213820279705</v>
      </c>
      <c r="J8" s="9"/>
      <c r="L8" s="9" t="s">
        <v>35</v>
      </c>
      <c r="M8" s="8">
        <v>0</v>
      </c>
      <c r="N8" s="8">
        <v>0</v>
      </c>
      <c r="O8" s="8" t="s">
        <v>30</v>
      </c>
      <c r="P8" s="8"/>
    </row>
    <row r="9" spans="3:16" ht="39" thickBot="1" x14ac:dyDescent="0.3">
      <c r="C9" s="9" t="s">
        <v>34</v>
      </c>
      <c r="D9" s="18">
        <v>39006</v>
      </c>
      <c r="E9" s="11">
        <v>7.3</v>
      </c>
      <c r="F9" s="11">
        <v>269.60000000000002</v>
      </c>
      <c r="G9" s="10">
        <f t="shared" si="0"/>
        <v>0.20967247746367579</v>
      </c>
      <c r="H9" s="10">
        <f t="shared" si="0"/>
        <v>0.26968118511950939</v>
      </c>
      <c r="I9" s="10">
        <f t="shared" si="0"/>
        <v>0.13887243413088832</v>
      </c>
      <c r="J9" s="9"/>
      <c r="L9" s="9" t="s">
        <v>33</v>
      </c>
      <c r="M9" s="17">
        <v>0.65</v>
      </c>
      <c r="N9" s="8"/>
      <c r="O9" s="8"/>
      <c r="P9" s="8" t="s">
        <v>32</v>
      </c>
    </row>
    <row r="10" spans="3:16" ht="15.75" thickBot="1" x14ac:dyDescent="0.3">
      <c r="C10" s="9" t="s">
        <v>31</v>
      </c>
      <c r="D10" s="19">
        <v>10560</v>
      </c>
      <c r="E10" s="11">
        <v>2.21</v>
      </c>
      <c r="F10" s="11">
        <v>113.36</v>
      </c>
      <c r="G10" s="10">
        <f t="shared" si="0"/>
        <v>5.6764122494396156E-2</v>
      </c>
      <c r="H10" s="10">
        <f t="shared" si="0"/>
        <v>8.1643208097824063E-2</v>
      </c>
      <c r="I10" s="10">
        <f t="shared" si="0"/>
        <v>5.839235583485719E-2</v>
      </c>
      <c r="J10" s="9"/>
      <c r="L10" s="9" t="s">
        <v>31</v>
      </c>
      <c r="M10" s="8">
        <v>0</v>
      </c>
      <c r="N10" s="8">
        <v>0</v>
      </c>
      <c r="O10" s="8" t="s">
        <v>30</v>
      </c>
      <c r="P10" s="8"/>
    </row>
    <row r="11" spans="3:16" ht="15.75" thickBot="1" x14ac:dyDescent="0.3">
      <c r="C11" s="16" t="s">
        <v>29</v>
      </c>
      <c r="D11" s="14"/>
      <c r="E11" s="15"/>
      <c r="F11" s="15"/>
      <c r="G11" s="14"/>
      <c r="H11" s="14"/>
      <c r="I11" s="14"/>
      <c r="J11" s="13"/>
      <c r="L11" s="101" t="s">
        <v>28</v>
      </c>
      <c r="M11" s="102"/>
      <c r="N11" s="102"/>
      <c r="O11" s="102"/>
      <c r="P11" s="103"/>
    </row>
    <row r="12" spans="3:16" ht="15.75" thickBot="1" x14ac:dyDescent="0.3">
      <c r="C12" s="9" t="s">
        <v>27</v>
      </c>
      <c r="D12" s="18">
        <v>6433</v>
      </c>
      <c r="E12" s="11">
        <v>1.57</v>
      </c>
      <c r="F12" s="11">
        <v>50.86</v>
      </c>
      <c r="G12" s="10">
        <f t="shared" ref="G12:I15" si="1">D12/D$29</f>
        <v>3.4579886364247206E-2</v>
      </c>
      <c r="H12" s="10">
        <f t="shared" si="1"/>
        <v>5.7999926114743798E-2</v>
      </c>
      <c r="I12" s="10">
        <f t="shared" si="1"/>
        <v>2.6198264094573365E-2</v>
      </c>
      <c r="J12" s="9"/>
      <c r="L12" s="9" t="s">
        <v>27</v>
      </c>
      <c r="M12" s="8">
        <v>0</v>
      </c>
      <c r="N12" s="8"/>
      <c r="O12" s="8"/>
      <c r="P12" s="8"/>
    </row>
    <row r="13" spans="3:16" ht="15.75" thickBot="1" x14ac:dyDescent="0.3">
      <c r="C13" s="9" t="s">
        <v>26</v>
      </c>
      <c r="D13" s="18">
        <v>13077</v>
      </c>
      <c r="E13" s="11">
        <v>3.52</v>
      </c>
      <c r="F13" s="11">
        <v>103.52</v>
      </c>
      <c r="G13" s="10">
        <f t="shared" si="1"/>
        <v>7.0293980100304784E-2</v>
      </c>
      <c r="H13" s="10">
        <f t="shared" si="1"/>
        <v>0.13003805090694151</v>
      </c>
      <c r="I13" s="10">
        <f t="shared" si="1"/>
        <v>5.3323718031266905E-2</v>
      </c>
      <c r="J13" s="9"/>
      <c r="L13" s="9" t="s">
        <v>26</v>
      </c>
      <c r="M13" s="8">
        <v>0</v>
      </c>
      <c r="N13" s="8"/>
      <c r="O13" s="8"/>
      <c r="P13" s="8"/>
    </row>
    <row r="14" spans="3:16" ht="15.75" thickBot="1" x14ac:dyDescent="0.3">
      <c r="C14" s="9" t="s">
        <v>25</v>
      </c>
      <c r="D14" s="12">
        <v>262</v>
      </c>
      <c r="E14" s="11">
        <v>0.06</v>
      </c>
      <c r="F14" s="11">
        <v>1.63</v>
      </c>
      <c r="G14" s="10">
        <f t="shared" si="1"/>
        <v>1.4083522815844501E-3</v>
      </c>
      <c r="H14" s="10">
        <f t="shared" si="1"/>
        <v>2.2165576859137755E-3</v>
      </c>
      <c r="I14" s="10">
        <f t="shared" si="1"/>
        <v>8.3962191258660213E-4</v>
      </c>
      <c r="J14" s="9"/>
      <c r="L14" s="9" t="s">
        <v>25</v>
      </c>
      <c r="M14" s="8">
        <v>0</v>
      </c>
      <c r="N14" s="8"/>
      <c r="O14" s="8"/>
      <c r="P14" s="8"/>
    </row>
    <row r="15" spans="3:16" ht="15.75" thickBot="1" x14ac:dyDescent="0.3">
      <c r="C15" s="9" t="s">
        <v>24</v>
      </c>
      <c r="D15" s="18">
        <v>2077</v>
      </c>
      <c r="E15" s="11">
        <v>1.1100000000000001</v>
      </c>
      <c r="F15" s="11">
        <v>22.52</v>
      </c>
      <c r="G15" s="10">
        <f t="shared" si="1"/>
        <v>1.116468583530879E-2</v>
      </c>
      <c r="H15" s="10">
        <f t="shared" si="1"/>
        <v>4.1006317189404853E-2</v>
      </c>
      <c r="I15" s="10">
        <f t="shared" si="1"/>
        <v>1.1600175135859068E-2</v>
      </c>
      <c r="J15" s="9"/>
      <c r="L15" s="9" t="s">
        <v>24</v>
      </c>
      <c r="M15" s="8">
        <v>0</v>
      </c>
      <c r="N15" s="8"/>
      <c r="O15" s="8"/>
      <c r="P15" s="8"/>
    </row>
    <row r="16" spans="3:16" ht="15.75" thickBot="1" x14ac:dyDescent="0.3">
      <c r="C16" s="16" t="s">
        <v>23</v>
      </c>
      <c r="D16" s="14"/>
      <c r="E16" s="15"/>
      <c r="F16" s="15"/>
      <c r="G16" s="14"/>
      <c r="H16" s="14"/>
      <c r="I16" s="14"/>
      <c r="J16" s="13"/>
      <c r="L16" s="101" t="s">
        <v>22</v>
      </c>
      <c r="M16" s="102"/>
      <c r="N16" s="102"/>
      <c r="O16" s="102"/>
      <c r="P16" s="103"/>
    </row>
    <row r="17" spans="3:16" ht="15.75" thickBot="1" x14ac:dyDescent="0.3">
      <c r="C17" s="9" t="s">
        <v>21</v>
      </c>
      <c r="D17" s="18">
        <v>21616</v>
      </c>
      <c r="E17" s="11">
        <v>1.3</v>
      </c>
      <c r="F17" s="11">
        <v>124.03</v>
      </c>
      <c r="G17" s="10">
        <f t="shared" ref="G17:I20" si="2">D17/D$29</f>
        <v>0.11619443862110486</v>
      </c>
      <c r="H17" s="10">
        <f t="shared" si="2"/>
        <v>4.802541652813181E-2</v>
      </c>
      <c r="I17" s="10">
        <f t="shared" si="2"/>
        <v>6.388853117675844E-2</v>
      </c>
      <c r="J17" s="9"/>
      <c r="L17" s="9" t="s">
        <v>21</v>
      </c>
      <c r="M17" s="8">
        <v>0</v>
      </c>
      <c r="N17" s="8"/>
      <c r="O17" s="8"/>
      <c r="P17" s="8"/>
    </row>
    <row r="18" spans="3:16" ht="15.75" thickBot="1" x14ac:dyDescent="0.3">
      <c r="C18" s="9" t="s">
        <v>20</v>
      </c>
      <c r="D18" s="12">
        <v>946</v>
      </c>
      <c r="E18" s="11">
        <v>7.0000000000000007E-2</v>
      </c>
      <c r="F18" s="11">
        <v>6.46</v>
      </c>
      <c r="G18" s="10">
        <f t="shared" si="2"/>
        <v>5.0851193067896552E-3</v>
      </c>
      <c r="H18" s="10">
        <f t="shared" si="2"/>
        <v>2.5859839668994052E-3</v>
      </c>
      <c r="I18" s="10">
        <f t="shared" si="2"/>
        <v>3.3275813222757361E-3</v>
      </c>
      <c r="J18" s="9"/>
      <c r="L18" s="9" t="s">
        <v>20</v>
      </c>
      <c r="M18" s="8">
        <v>0</v>
      </c>
      <c r="N18" s="8"/>
      <c r="O18" s="8"/>
      <c r="P18" s="8"/>
    </row>
    <row r="19" spans="3:16" ht="26.25" thickBot="1" x14ac:dyDescent="0.3">
      <c r="C19" s="9" t="s">
        <v>19</v>
      </c>
      <c r="D19" s="18">
        <v>1404</v>
      </c>
      <c r="E19" s="11">
        <v>0.11</v>
      </c>
      <c r="F19" s="11">
        <v>6.34</v>
      </c>
      <c r="G19" s="10">
        <f t="shared" si="2"/>
        <v>7.5470481043685795E-3</v>
      </c>
      <c r="H19" s="10">
        <f t="shared" si="2"/>
        <v>4.0636890908419222E-3</v>
      </c>
      <c r="I19" s="10">
        <f t="shared" si="2"/>
        <v>3.2657686661343912E-3</v>
      </c>
      <c r="J19" s="9"/>
      <c r="L19" s="9" t="s">
        <v>19</v>
      </c>
      <c r="M19" s="8">
        <v>0</v>
      </c>
      <c r="N19" s="8"/>
      <c r="O19" s="8"/>
      <c r="P19" s="8"/>
    </row>
    <row r="20" spans="3:16" ht="15.75" thickBot="1" x14ac:dyDescent="0.3">
      <c r="C20" s="9" t="s">
        <v>18</v>
      </c>
      <c r="D20" s="18">
        <v>20540</v>
      </c>
      <c r="E20" s="11">
        <v>1.05</v>
      </c>
      <c r="F20" s="11">
        <v>59.04</v>
      </c>
      <c r="G20" s="10">
        <f t="shared" si="2"/>
        <v>0.11041051856391071</v>
      </c>
      <c r="H20" s="10">
        <f t="shared" si="2"/>
        <v>3.8789759503491075E-2</v>
      </c>
      <c r="I20" s="10">
        <f t="shared" si="2"/>
        <v>3.0411826821541713E-2</v>
      </c>
      <c r="J20" s="9"/>
      <c r="L20" s="9" t="s">
        <v>18</v>
      </c>
      <c r="M20" s="8">
        <v>0</v>
      </c>
      <c r="N20" s="8"/>
      <c r="O20" s="8"/>
      <c r="P20" s="8"/>
    </row>
    <row r="21" spans="3:16" ht="15.75" thickBot="1" x14ac:dyDescent="0.3">
      <c r="C21" s="16" t="s">
        <v>17</v>
      </c>
      <c r="D21" s="14"/>
      <c r="E21" s="15"/>
      <c r="F21" s="15"/>
      <c r="G21" s="14"/>
      <c r="H21" s="14"/>
      <c r="I21" s="14"/>
      <c r="J21" s="13"/>
      <c r="L21" s="101" t="s">
        <v>17</v>
      </c>
      <c r="M21" s="102"/>
      <c r="N21" s="102"/>
      <c r="O21" s="102"/>
      <c r="P21" s="103"/>
    </row>
    <row r="22" spans="3:16" ht="39" thickBot="1" x14ac:dyDescent="0.3">
      <c r="C22" s="9" t="s">
        <v>15</v>
      </c>
      <c r="D22" s="18">
        <v>25782</v>
      </c>
      <c r="E22" s="11">
        <v>0.69</v>
      </c>
      <c r="F22" s="11">
        <v>89.28</v>
      </c>
      <c r="G22" s="10">
        <f>D22/D$29</f>
        <v>0.13858831497637517</v>
      </c>
      <c r="H22" s="10">
        <f>E22/E$29</f>
        <v>2.5490413388008417E-2</v>
      </c>
      <c r="I22" s="10">
        <f>F22/F$29</f>
        <v>4.598861616916064E-2</v>
      </c>
      <c r="J22" s="9" t="s">
        <v>16</v>
      </c>
      <c r="L22" s="9" t="s">
        <v>15</v>
      </c>
      <c r="M22" s="8">
        <v>0</v>
      </c>
      <c r="N22" s="17">
        <v>0.05</v>
      </c>
      <c r="O22" s="8" t="s">
        <v>14</v>
      </c>
      <c r="P22" s="8" t="s">
        <v>13</v>
      </c>
    </row>
    <row r="23" spans="3:16" ht="15.75" thickBot="1" x14ac:dyDescent="0.3">
      <c r="C23" s="16" t="s">
        <v>12</v>
      </c>
      <c r="D23" s="14"/>
      <c r="E23" s="15"/>
      <c r="F23" s="15"/>
      <c r="G23" s="14"/>
      <c r="H23" s="14"/>
      <c r="I23" s="14"/>
      <c r="J23" s="13"/>
      <c r="L23" s="101" t="s">
        <v>12</v>
      </c>
      <c r="M23" s="102"/>
      <c r="N23" s="102"/>
      <c r="O23" s="102"/>
      <c r="P23" s="103"/>
    </row>
    <row r="24" spans="3:16" ht="15.75" thickBot="1" x14ac:dyDescent="0.3">
      <c r="C24" s="9" t="s">
        <v>11</v>
      </c>
      <c r="D24" s="12">
        <v>353</v>
      </c>
      <c r="E24" s="11">
        <v>0.105</v>
      </c>
      <c r="F24" s="11">
        <v>6.05</v>
      </c>
      <c r="G24" s="10">
        <f t="shared" ref="G24:I26" si="3">D24/D$29</f>
        <v>1.8975128068675988E-3</v>
      </c>
      <c r="H24" s="10">
        <f t="shared" si="3"/>
        <v>3.8789759503491074E-3</v>
      </c>
      <c r="I24" s="10">
        <f t="shared" si="3"/>
        <v>3.116388080459474E-3</v>
      </c>
      <c r="J24" s="9"/>
      <c r="L24" s="9" t="s">
        <v>11</v>
      </c>
      <c r="M24" s="8">
        <v>0</v>
      </c>
      <c r="N24" s="8"/>
      <c r="O24" s="8"/>
      <c r="P24" s="8"/>
    </row>
    <row r="25" spans="3:16" ht="15.75" thickBot="1" x14ac:dyDescent="0.3">
      <c r="C25" s="9" t="s">
        <v>9</v>
      </c>
      <c r="D25" s="12">
        <v>39</v>
      </c>
      <c r="E25" s="11">
        <v>4.0000000000000001E-3</v>
      </c>
      <c r="F25" s="11">
        <v>0.27</v>
      </c>
      <c r="G25" s="10">
        <f t="shared" si="3"/>
        <v>2.0964022512134944E-4</v>
      </c>
      <c r="H25" s="10">
        <f t="shared" si="3"/>
        <v>1.4777051239425171E-4</v>
      </c>
      <c r="I25" s="10">
        <f t="shared" si="3"/>
        <v>1.3907847631802614E-4</v>
      </c>
      <c r="J25" s="9" t="s">
        <v>10</v>
      </c>
      <c r="L25" s="9" t="s">
        <v>9</v>
      </c>
      <c r="M25" s="8">
        <v>0</v>
      </c>
      <c r="N25" s="8">
        <v>0</v>
      </c>
      <c r="O25" s="8"/>
      <c r="P25" s="8"/>
    </row>
    <row r="26" spans="3:16" ht="26.25" thickBot="1" x14ac:dyDescent="0.3">
      <c r="C26" s="9" t="s">
        <v>8</v>
      </c>
      <c r="D26" s="12">
        <v>488</v>
      </c>
      <c r="E26" s="11">
        <v>0.11</v>
      </c>
      <c r="F26" s="11">
        <v>6.46</v>
      </c>
      <c r="G26" s="10">
        <f t="shared" si="3"/>
        <v>2.6231905092107314E-3</v>
      </c>
      <c r="H26" s="10">
        <f t="shared" si="3"/>
        <v>4.0636890908419222E-3</v>
      </c>
      <c r="I26" s="10">
        <f t="shared" si="3"/>
        <v>3.3275813222757361E-3</v>
      </c>
      <c r="J26" s="9"/>
      <c r="L26" s="9" t="s">
        <v>8</v>
      </c>
      <c r="M26" s="8">
        <v>0</v>
      </c>
      <c r="N26" s="8"/>
      <c r="O26" s="8"/>
      <c r="P26" s="8" t="s">
        <v>7</v>
      </c>
    </row>
    <row r="27" spans="3:16" ht="15.75" thickBot="1" x14ac:dyDescent="0.3">
      <c r="C27" s="16" t="s">
        <v>6</v>
      </c>
      <c r="D27" s="14"/>
      <c r="E27" s="15"/>
      <c r="F27" s="15"/>
      <c r="G27" s="14"/>
      <c r="H27" s="14"/>
      <c r="I27" s="14"/>
      <c r="J27" s="13"/>
      <c r="L27" s="101" t="s">
        <v>5</v>
      </c>
      <c r="M27" s="102"/>
      <c r="N27" s="102"/>
      <c r="O27" s="102"/>
      <c r="P27" s="103"/>
    </row>
    <row r="28" spans="3:16" ht="26.25" thickBot="1" x14ac:dyDescent="0.3">
      <c r="C28" s="9" t="s">
        <v>4</v>
      </c>
      <c r="D28" s="12">
        <v>637</v>
      </c>
      <c r="E28" s="11">
        <v>0.09</v>
      </c>
      <c r="F28" s="11">
        <v>3.04</v>
      </c>
      <c r="G28" s="10">
        <f>D28/D$29</f>
        <v>3.424123676982041E-3</v>
      </c>
      <c r="H28" s="10">
        <f>E28/E$29</f>
        <v>3.3248365288706633E-3</v>
      </c>
      <c r="I28" s="10">
        <f>F28/F$29</f>
        <v>1.5659206222474052E-3</v>
      </c>
      <c r="J28" s="9"/>
      <c r="L28" s="9" t="s">
        <v>4</v>
      </c>
      <c r="M28" s="8">
        <v>0</v>
      </c>
      <c r="N28" s="8"/>
      <c r="O28" s="8"/>
      <c r="P28" s="8" t="s">
        <v>3</v>
      </c>
    </row>
    <row r="29" spans="3:16" ht="15.75" thickBot="1" x14ac:dyDescent="0.3">
      <c r="C29" s="4" t="s">
        <v>2</v>
      </c>
      <c r="D29" s="7">
        <f t="shared" ref="D29:I29" si="4">SUM(D8:D28)</f>
        <v>186033</v>
      </c>
      <c r="E29" s="6">
        <f t="shared" si="4"/>
        <v>27.069000000000003</v>
      </c>
      <c r="F29" s="6">
        <f t="shared" si="4"/>
        <v>1941.35</v>
      </c>
      <c r="G29" s="5">
        <f t="shared" si="4"/>
        <v>1</v>
      </c>
      <c r="H29" s="5">
        <f t="shared" si="4"/>
        <v>0.99999999999999989</v>
      </c>
      <c r="I29" s="5">
        <f t="shared" si="4"/>
        <v>0.99999999999999989</v>
      </c>
      <c r="J29" s="4"/>
    </row>
  </sheetData>
  <mergeCells count="6">
    <mergeCell ref="L27:P27"/>
    <mergeCell ref="L7:P7"/>
    <mergeCell ref="L11:P11"/>
    <mergeCell ref="L16:P16"/>
    <mergeCell ref="L21:P21"/>
    <mergeCell ref="L23:P23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84B96-232E-456E-9A69-19FD88A9B33C}">
  <dimension ref="A1:L35"/>
  <sheetViews>
    <sheetView zoomScaleNormal="100" workbookViewId="0">
      <selection activeCell="A4" sqref="A4"/>
    </sheetView>
  </sheetViews>
  <sheetFormatPr defaultRowHeight="15" x14ac:dyDescent="0.25"/>
  <cols>
    <col min="1" max="1" width="18.7109375" customWidth="1"/>
    <col min="2" max="2" width="14" customWidth="1"/>
    <col min="3" max="3" width="14.140625" customWidth="1"/>
    <col min="4" max="4" width="11.5703125" customWidth="1"/>
    <col min="5" max="5" width="14.5703125" customWidth="1"/>
    <col min="6" max="6" width="15.28515625" customWidth="1"/>
    <col min="7" max="7" width="12.5703125" customWidth="1"/>
  </cols>
  <sheetData>
    <row r="1" spans="1:12" ht="35.1" customHeight="1" thickTop="1" thickBot="1" x14ac:dyDescent="0.3">
      <c r="A1" s="29" t="s">
        <v>51</v>
      </c>
      <c r="B1" s="30" t="s">
        <v>2</v>
      </c>
      <c r="C1" s="31" t="s">
        <v>52</v>
      </c>
      <c r="D1" s="32" t="s">
        <v>53</v>
      </c>
      <c r="E1" s="32" t="s">
        <v>54</v>
      </c>
      <c r="F1" s="32" t="s">
        <v>55</v>
      </c>
      <c r="G1" s="33" t="s">
        <v>56</v>
      </c>
      <c r="I1" s="65" t="s">
        <v>78</v>
      </c>
      <c r="J1" s="65" t="s">
        <v>60</v>
      </c>
      <c r="K1" s="65" t="s">
        <v>80</v>
      </c>
      <c r="L1" s="65" t="s">
        <v>79</v>
      </c>
    </row>
    <row r="2" spans="1:12" ht="15.75" thickTop="1" x14ac:dyDescent="0.25">
      <c r="A2" s="34" t="s">
        <v>57</v>
      </c>
      <c r="B2" s="35">
        <f>SUM(C2:G2)</f>
        <v>30</v>
      </c>
      <c r="C2" s="36">
        <f>SUM([1]Everport:STE!C4)</f>
        <v>0</v>
      </c>
      <c r="D2" s="36">
        <f>SUM([1]Everport:STE!D4)</f>
        <v>0</v>
      </c>
      <c r="E2" s="36">
        <f>SUM([1]Everport:STE!E4)</f>
        <v>11</v>
      </c>
      <c r="F2" s="36">
        <f>SUM([1]Everport:STE!F4)</f>
        <v>19</v>
      </c>
      <c r="G2" s="37">
        <f>SUM([1]Everport:STE!G4)</f>
        <v>0</v>
      </c>
      <c r="I2" s="66">
        <v>1</v>
      </c>
      <c r="J2" s="66"/>
      <c r="K2" s="66"/>
      <c r="L2" s="66"/>
    </row>
    <row r="3" spans="1:12" x14ac:dyDescent="0.25">
      <c r="A3" s="38" t="s">
        <v>58</v>
      </c>
      <c r="B3" s="35">
        <f t="shared" ref="B3:B20" si="0">SUM(C3:G3)</f>
        <v>117</v>
      </c>
      <c r="C3" s="36">
        <f>SUM([1]Everport:STE!C5)</f>
        <v>18</v>
      </c>
      <c r="D3" s="36">
        <f>SUM([1]Everport:STE!D5)</f>
        <v>66</v>
      </c>
      <c r="E3" s="36">
        <f>SUM([1]Everport:STE!E5)</f>
        <v>0</v>
      </c>
      <c r="F3" s="36">
        <f>SUM([1]Everport:STE!F5)</f>
        <v>33</v>
      </c>
      <c r="G3" s="37">
        <f>SUM([1]Everport:STE!G5)</f>
        <v>0</v>
      </c>
      <c r="I3" s="66">
        <v>1</v>
      </c>
      <c r="J3" s="66"/>
      <c r="K3" s="66"/>
      <c r="L3" s="66"/>
    </row>
    <row r="4" spans="1:12" x14ac:dyDescent="0.25">
      <c r="A4" s="38" t="s">
        <v>59</v>
      </c>
      <c r="B4" s="35">
        <f t="shared" si="0"/>
        <v>228</v>
      </c>
      <c r="C4" s="36">
        <f>SUM([1]Everport:STE!C6)</f>
        <v>145</v>
      </c>
      <c r="D4" s="36">
        <f>SUM([1]Everport:STE!D6)</f>
        <v>1</v>
      </c>
      <c r="E4" s="36">
        <f>SUM([1]Everport:STE!E6)</f>
        <v>0</v>
      </c>
      <c r="F4" s="36">
        <f>SUM([1]Everport:STE!F6)</f>
        <v>80</v>
      </c>
      <c r="G4" s="37">
        <f>SUM([1]Everport:STE!G6)</f>
        <v>2</v>
      </c>
      <c r="I4" s="66"/>
      <c r="J4" s="66"/>
      <c r="K4" s="66">
        <v>1</v>
      </c>
      <c r="L4" s="66"/>
    </row>
    <row r="5" spans="1:12" x14ac:dyDescent="0.25">
      <c r="A5" s="38" t="s">
        <v>60</v>
      </c>
      <c r="B5" s="35">
        <f t="shared" si="0"/>
        <v>147</v>
      </c>
      <c r="C5" s="36">
        <f>SUM([1]Everport:STE!C7)</f>
        <v>77</v>
      </c>
      <c r="D5" s="36">
        <f>SUM([1]Everport:STE!D7)</f>
        <v>2</v>
      </c>
      <c r="E5" s="36">
        <f>SUM([1]Everport:STE!E7)</f>
        <v>0</v>
      </c>
      <c r="F5" s="36">
        <f>SUM([1]Everport:STE!F7)</f>
        <v>68</v>
      </c>
      <c r="G5" s="37">
        <f>SUM([1]Everport:STE!G7)</f>
        <v>0</v>
      </c>
      <c r="I5" s="66"/>
      <c r="J5" s="66">
        <v>1</v>
      </c>
      <c r="K5" s="66"/>
      <c r="L5" s="66"/>
    </row>
    <row r="6" spans="1:12" x14ac:dyDescent="0.25">
      <c r="A6" s="38" t="s">
        <v>61</v>
      </c>
      <c r="B6" s="39">
        <f t="shared" si="0"/>
        <v>22</v>
      </c>
      <c r="C6" s="36">
        <f>SUM([1]Everport:STE!C8)</f>
        <v>0</v>
      </c>
      <c r="D6" s="36">
        <f>SUM([1]Everport:STE!D8)</f>
        <v>0</v>
      </c>
      <c r="E6" s="36">
        <f>SUM([1]Everport:STE!E8)</f>
        <v>0</v>
      </c>
      <c r="F6" s="36">
        <f>SUM([1]Everport:STE!F8)</f>
        <v>22</v>
      </c>
      <c r="G6" s="37">
        <f>SUM([1]Everport:STE!G8)</f>
        <v>0</v>
      </c>
      <c r="I6" s="66">
        <v>1</v>
      </c>
      <c r="J6" s="66"/>
      <c r="K6" s="66"/>
      <c r="L6" s="66"/>
    </row>
    <row r="7" spans="1:12" x14ac:dyDescent="0.25">
      <c r="A7" s="38" t="s">
        <v>62</v>
      </c>
      <c r="B7" s="39">
        <f t="shared" si="0"/>
        <v>3</v>
      </c>
      <c r="C7" s="40">
        <f>[1]TraPac!C9</f>
        <v>0</v>
      </c>
      <c r="D7" s="41">
        <f>[1]TraPac!D9</f>
        <v>0</v>
      </c>
      <c r="E7" s="41">
        <f>[1]TraPac!E9</f>
        <v>0</v>
      </c>
      <c r="F7" s="41">
        <f>[1]TraPac!F9</f>
        <v>3</v>
      </c>
      <c r="G7" s="42">
        <v>0</v>
      </c>
      <c r="I7" s="66">
        <v>1</v>
      </c>
      <c r="J7" s="66"/>
      <c r="K7" s="66"/>
      <c r="L7" s="66"/>
    </row>
    <row r="8" spans="1:12" x14ac:dyDescent="0.25">
      <c r="A8" s="38" t="s">
        <v>63</v>
      </c>
      <c r="B8" s="39">
        <f t="shared" si="0"/>
        <v>1</v>
      </c>
      <c r="C8" s="40">
        <f>[1]Unicold!C9</f>
        <v>1</v>
      </c>
      <c r="D8" s="41">
        <f>[1]Unicold!D9</f>
        <v>0</v>
      </c>
      <c r="E8" s="41">
        <f>[1]Unicold!E9</f>
        <v>0</v>
      </c>
      <c r="F8" s="41">
        <f>[1]Unicold!F9</f>
        <v>0</v>
      </c>
      <c r="G8" s="42">
        <v>0</v>
      </c>
      <c r="I8" s="66"/>
      <c r="J8" s="66"/>
      <c r="K8" s="66"/>
      <c r="L8" s="66">
        <v>1</v>
      </c>
    </row>
    <row r="9" spans="1:12" x14ac:dyDescent="0.25">
      <c r="A9" s="38" t="s">
        <v>64</v>
      </c>
      <c r="B9" s="39">
        <f t="shared" si="0"/>
        <v>2</v>
      </c>
      <c r="C9" s="43">
        <f>[1]Unicold!C10</f>
        <v>2</v>
      </c>
      <c r="D9" s="44">
        <f>[1]Unicold!D10</f>
        <v>0</v>
      </c>
      <c r="E9" s="44">
        <f>[1]Unicold!E10</f>
        <v>0</v>
      </c>
      <c r="F9" s="44">
        <f>[1]Unicold!F10</f>
        <v>0</v>
      </c>
      <c r="G9" s="42">
        <v>0</v>
      </c>
      <c r="I9" s="66"/>
      <c r="J9" s="66"/>
      <c r="K9" s="66"/>
      <c r="L9" s="66">
        <v>1</v>
      </c>
    </row>
    <row r="10" spans="1:12" x14ac:dyDescent="0.25">
      <c r="A10" s="45" t="s">
        <v>65</v>
      </c>
      <c r="B10" s="39">
        <f t="shared" si="0"/>
        <v>4</v>
      </c>
      <c r="C10" s="40">
        <f>'[1]Impact Transportation'!C9+'[1]Pac Coast 16th St'!C9</f>
        <v>3</v>
      </c>
      <c r="D10" s="40">
        <f>'[1]Impact Transportation'!D9+'[1]Pac Coast 16th St'!D9</f>
        <v>0</v>
      </c>
      <c r="E10" s="40">
        <f>'[1]Impact Transportation'!E9+'[1]Pac Coast 16th St'!E9</f>
        <v>0</v>
      </c>
      <c r="F10" s="40">
        <f>'[1]Impact Transportation'!F9+'[1]Pac Coast 16th St'!F9</f>
        <v>1</v>
      </c>
      <c r="G10" s="42">
        <v>0</v>
      </c>
      <c r="I10" s="66"/>
      <c r="J10" s="66"/>
      <c r="K10" s="66">
        <v>1</v>
      </c>
      <c r="L10" s="66"/>
    </row>
    <row r="11" spans="1:12" x14ac:dyDescent="0.25">
      <c r="A11" s="46" t="s">
        <v>66</v>
      </c>
      <c r="B11" s="39">
        <f t="shared" si="0"/>
        <v>1</v>
      </c>
      <c r="C11" s="40">
        <f>'[1]Impact Transportation'!C10</f>
        <v>0</v>
      </c>
      <c r="D11" s="41">
        <f>'[1]Impact Transportation'!D10</f>
        <v>0</v>
      </c>
      <c r="E11" s="41">
        <f>'[1]Impact Transportation'!E10</f>
        <v>0</v>
      </c>
      <c r="F11" s="41">
        <f>'[1]Impact Transportation'!F10</f>
        <v>1</v>
      </c>
      <c r="G11" s="42">
        <v>0</v>
      </c>
      <c r="I11" s="66"/>
      <c r="J11" s="66"/>
      <c r="K11" s="66"/>
      <c r="L11" s="66">
        <v>1</v>
      </c>
    </row>
    <row r="12" spans="1:12" x14ac:dyDescent="0.25">
      <c r="A12" s="46" t="s">
        <v>67</v>
      </c>
      <c r="B12" s="39">
        <f t="shared" si="0"/>
        <v>1</v>
      </c>
      <c r="C12" s="40">
        <f>'[1]Impact Transportation'!C11</f>
        <v>0</v>
      </c>
      <c r="D12" s="41">
        <f>'[1]Impact Transportation'!D11</f>
        <v>0</v>
      </c>
      <c r="E12" s="41">
        <f>'[1]Impact Transportation'!E11</f>
        <v>0</v>
      </c>
      <c r="F12" s="41">
        <f>'[1]Impact Transportation'!F11</f>
        <v>1</v>
      </c>
      <c r="G12" s="42">
        <v>0</v>
      </c>
      <c r="I12" s="66"/>
      <c r="J12" s="66"/>
      <c r="K12" s="66"/>
      <c r="L12" s="66">
        <v>1</v>
      </c>
    </row>
    <row r="13" spans="1:12" x14ac:dyDescent="0.25">
      <c r="A13" s="47" t="s">
        <v>68</v>
      </c>
      <c r="B13" s="48">
        <f t="shared" si="0"/>
        <v>1</v>
      </c>
      <c r="C13" s="49">
        <f>'[1]Impact Transportation'!C12</f>
        <v>0</v>
      </c>
      <c r="D13" s="50">
        <f>'[1]Impact Transportation'!D12</f>
        <v>0</v>
      </c>
      <c r="E13" s="50">
        <f>'[1]Impact Transportation'!E12</f>
        <v>0</v>
      </c>
      <c r="F13" s="50">
        <f>'[1]Impact Transportation'!F12</f>
        <v>1</v>
      </c>
      <c r="G13" s="42">
        <v>0</v>
      </c>
      <c r="I13" s="66"/>
      <c r="J13" s="66"/>
      <c r="K13" s="66"/>
      <c r="L13" s="66">
        <v>1</v>
      </c>
    </row>
    <row r="14" spans="1:12" x14ac:dyDescent="0.25">
      <c r="A14" s="46" t="s">
        <v>69</v>
      </c>
      <c r="B14" s="39">
        <f t="shared" si="0"/>
        <v>1</v>
      </c>
      <c r="C14" s="40">
        <f>'[1]Impact Transportation'!C13</f>
        <v>0</v>
      </c>
      <c r="D14" s="41">
        <f>'[1]Impact Transportation'!D13</f>
        <v>0</v>
      </c>
      <c r="E14" s="41">
        <f>'[1]Impact Transportation'!E13</f>
        <v>0</v>
      </c>
      <c r="F14" s="41">
        <f>'[1]Impact Transportation'!F13</f>
        <v>1</v>
      </c>
      <c r="G14" s="42">
        <v>0</v>
      </c>
      <c r="I14" s="66"/>
      <c r="J14" s="66"/>
      <c r="K14" s="66"/>
      <c r="L14" s="66">
        <v>1</v>
      </c>
    </row>
    <row r="15" spans="1:12" x14ac:dyDescent="0.25">
      <c r="A15" s="46" t="s">
        <v>70</v>
      </c>
      <c r="B15" s="39">
        <f t="shared" si="0"/>
        <v>2</v>
      </c>
      <c r="C15" s="40">
        <f>'[1]Central Valley Ag Grinding'!C9</f>
        <v>0</v>
      </c>
      <c r="D15" s="41">
        <f>'[1]Central Valley Ag Grinding'!D9</f>
        <v>2</v>
      </c>
      <c r="E15" s="41">
        <f>'[1]Central Valley Ag Grinding'!E9</f>
        <v>0</v>
      </c>
      <c r="F15" s="41">
        <f>'[1]Central Valley Ag Grinding'!F9</f>
        <v>0</v>
      </c>
      <c r="G15" s="42">
        <v>0</v>
      </c>
      <c r="I15" s="66"/>
      <c r="J15" s="66"/>
      <c r="K15" s="66"/>
      <c r="L15" s="66">
        <v>1</v>
      </c>
    </row>
    <row r="16" spans="1:12" x14ac:dyDescent="0.25">
      <c r="A16" s="46" t="s">
        <v>71</v>
      </c>
      <c r="B16" s="39">
        <f t="shared" si="0"/>
        <v>2</v>
      </c>
      <c r="C16" s="40">
        <f>'[1]Central Valley Ag Grinding'!C10</f>
        <v>0</v>
      </c>
      <c r="D16" s="41">
        <f>'[1]Central Valley Ag Grinding'!D10</f>
        <v>2</v>
      </c>
      <c r="E16" s="41">
        <f>'[1]Central Valley Ag Grinding'!E10</f>
        <v>0</v>
      </c>
      <c r="F16" s="41">
        <f>'[1]Central Valley Ag Grinding'!F10</f>
        <v>0</v>
      </c>
      <c r="G16" s="42">
        <v>0</v>
      </c>
      <c r="I16" s="66"/>
      <c r="J16" s="66"/>
      <c r="K16" s="66"/>
      <c r="L16" s="66">
        <v>1</v>
      </c>
    </row>
    <row r="17" spans="1:12" x14ac:dyDescent="0.25">
      <c r="A17" s="46" t="s">
        <v>72</v>
      </c>
      <c r="B17" s="39">
        <f t="shared" si="0"/>
        <v>8</v>
      </c>
      <c r="C17" s="40">
        <f>'[1]Central Valley Ag Grinding'!C11</f>
        <v>0</v>
      </c>
      <c r="D17" s="41">
        <f>'[1]Central Valley Ag Grinding'!D11</f>
        <v>5</v>
      </c>
      <c r="E17" s="41">
        <f>'[1]Central Valley Ag Grinding'!E11</f>
        <v>0</v>
      </c>
      <c r="F17" s="41">
        <f>'[1]Central Valley Ag Grinding'!F11+'[1]Port Transfer Inc'!F9</f>
        <v>3</v>
      </c>
      <c r="G17" s="42">
        <v>0</v>
      </c>
      <c r="I17" s="66"/>
      <c r="J17" s="66"/>
      <c r="K17" s="66">
        <v>1</v>
      </c>
      <c r="L17" s="66"/>
    </row>
    <row r="18" spans="1:12" x14ac:dyDescent="0.25">
      <c r="A18" s="46" t="s">
        <v>73</v>
      </c>
      <c r="B18" s="39">
        <f t="shared" si="0"/>
        <v>1</v>
      </c>
      <c r="C18" s="40">
        <f>'[1]Central Valley Ag Grinding'!C12</f>
        <v>0</v>
      </c>
      <c r="D18" s="41">
        <f>'[1]Central Valley Ag Grinding'!D12</f>
        <v>1</v>
      </c>
      <c r="E18" s="41">
        <f>'[1]Central Valley Ag Grinding'!E12</f>
        <v>0</v>
      </c>
      <c r="F18" s="41">
        <f>'[1]Central Valley Ag Grinding'!F12</f>
        <v>0</v>
      </c>
      <c r="G18" s="42">
        <v>0</v>
      </c>
      <c r="I18" s="66"/>
      <c r="J18" s="66"/>
      <c r="K18" s="66"/>
      <c r="L18" s="66">
        <v>1</v>
      </c>
    </row>
    <row r="19" spans="1:12" x14ac:dyDescent="0.25">
      <c r="A19" s="46" t="s">
        <v>74</v>
      </c>
      <c r="B19" s="39">
        <f t="shared" si="0"/>
        <v>1</v>
      </c>
      <c r="C19" s="40">
        <f>'[1]Central Valley Ag Grinding'!C13</f>
        <v>0</v>
      </c>
      <c r="D19" s="41">
        <f>'[1]Central Valley Ag Grinding'!D13</f>
        <v>1</v>
      </c>
      <c r="E19" s="41">
        <f>'[1]Central Valley Ag Grinding'!E13</f>
        <v>0</v>
      </c>
      <c r="F19" s="41">
        <f>'[1]Central Valley Ag Grinding'!F13</f>
        <v>0</v>
      </c>
      <c r="G19" s="42">
        <v>0</v>
      </c>
      <c r="I19" s="66"/>
      <c r="J19" s="66"/>
      <c r="K19" s="66">
        <v>1</v>
      </c>
      <c r="L19" s="66"/>
    </row>
    <row r="20" spans="1:12" ht="15.75" thickBot="1" x14ac:dyDescent="0.3">
      <c r="A20" s="51" t="s">
        <v>75</v>
      </c>
      <c r="B20" s="52">
        <f t="shared" si="0"/>
        <v>2</v>
      </c>
      <c r="C20" s="53">
        <v>0</v>
      </c>
      <c r="D20" s="54">
        <v>0</v>
      </c>
      <c r="E20" s="55">
        <v>0</v>
      </c>
      <c r="F20" s="56">
        <f>'[1]Port Transfer Inc'!F10</f>
        <v>2</v>
      </c>
      <c r="G20" s="57">
        <v>0</v>
      </c>
      <c r="I20" s="66"/>
      <c r="J20" s="66"/>
      <c r="K20" s="66"/>
      <c r="L20" s="66">
        <v>1</v>
      </c>
    </row>
    <row r="21" spans="1:12" ht="18.75" customHeight="1" thickBot="1" x14ac:dyDescent="0.3">
      <c r="A21" s="58" t="s">
        <v>76</v>
      </c>
      <c r="B21" s="59">
        <f>SUM(B2:B20)</f>
        <v>574</v>
      </c>
      <c r="C21" s="60">
        <f t="shared" ref="C21:G21" si="1">SUM(C2:C20)</f>
        <v>246</v>
      </c>
      <c r="D21" s="61">
        <f t="shared" si="1"/>
        <v>80</v>
      </c>
      <c r="E21" s="61">
        <f t="shared" si="1"/>
        <v>11</v>
      </c>
      <c r="F21" s="61">
        <f t="shared" si="1"/>
        <v>235</v>
      </c>
      <c r="G21" s="62">
        <f t="shared" si="1"/>
        <v>2</v>
      </c>
      <c r="H21" s="63" t="str">
        <f>IF(SUM(C21:G21)=B21,"ok","error")</f>
        <v>ok</v>
      </c>
    </row>
    <row r="22" spans="1:12" ht="15.75" thickTop="1" x14ac:dyDescent="0.25">
      <c r="C22" s="91">
        <f>C21/$B21</f>
        <v>0.42857142857142855</v>
      </c>
      <c r="D22" s="91">
        <f t="shared" ref="D22:G22" si="2">D21/$B21</f>
        <v>0.13937282229965156</v>
      </c>
      <c r="E22" s="91">
        <f t="shared" si="2"/>
        <v>1.9163763066202089E-2</v>
      </c>
      <c r="F22" s="91">
        <f t="shared" si="2"/>
        <v>0.4094076655052265</v>
      </c>
      <c r="G22" s="91">
        <f t="shared" si="2"/>
        <v>3.4843205574912892E-3</v>
      </c>
    </row>
    <row r="23" spans="1:12" x14ac:dyDescent="0.25">
      <c r="B23" s="63"/>
    </row>
    <row r="24" spans="1:12" x14ac:dyDescent="0.25">
      <c r="A24" s="64" t="s">
        <v>77</v>
      </c>
      <c r="B24" s="64">
        <f>SUM([1]Everport!B9,[1]GSC!B9,[1]Bridgeport!B9,[1]ConGlobal!B9,[1]Unicold!B11,'[1]SSA _B63'!B9,[1]SSA_OICT!B9,[1]TraPac!B10,'[1]Impact Transportation'!B14,'[1]Central Valley Ag Grinding'!B14,'[1]Sea-Logix, LLC'!B9,'[1]Port Transfer Inc'!B11,[1]BNSF!B9,'[1]Pac Coast Maritime St'!B9,'[1]Pac Coast 16th St'!B10,[1]STE!B10)</f>
        <v>574</v>
      </c>
    </row>
    <row r="25" spans="1:12" x14ac:dyDescent="0.25">
      <c r="I25" s="67" t="s">
        <v>83</v>
      </c>
    </row>
    <row r="26" spans="1:12" x14ac:dyDescent="0.25">
      <c r="A26" t="s">
        <v>78</v>
      </c>
      <c r="B26">
        <f>SUMPRODUCT(B$2:B$20,$I$2:$I$20)</f>
        <v>172</v>
      </c>
      <c r="C26">
        <f t="shared" ref="C26:G26" si="3">SUMPRODUCT(C$2:C$20,$I$2:$I$20)</f>
        <v>18</v>
      </c>
      <c r="D26">
        <f t="shared" si="3"/>
        <v>66</v>
      </c>
      <c r="E26">
        <f t="shared" si="3"/>
        <v>11</v>
      </c>
      <c r="F26">
        <f t="shared" si="3"/>
        <v>77</v>
      </c>
      <c r="G26">
        <f t="shared" si="3"/>
        <v>0</v>
      </c>
      <c r="I26" s="67">
        <f>SUM(C26:G26)</f>
        <v>172</v>
      </c>
    </row>
    <row r="27" spans="1:12" x14ac:dyDescent="0.25">
      <c r="A27" t="s">
        <v>60</v>
      </c>
      <c r="B27">
        <f>SUMPRODUCT(B$2:B$20,$J$2:$J$20)</f>
        <v>147</v>
      </c>
      <c r="C27">
        <f t="shared" ref="C27:G27" si="4">SUMPRODUCT(C$2:C$20,$J$2:$J$20)</f>
        <v>77</v>
      </c>
      <c r="D27">
        <f t="shared" si="4"/>
        <v>2</v>
      </c>
      <c r="E27">
        <f t="shared" si="4"/>
        <v>0</v>
      </c>
      <c r="F27">
        <f t="shared" si="4"/>
        <v>68</v>
      </c>
      <c r="G27">
        <f t="shared" si="4"/>
        <v>0</v>
      </c>
      <c r="I27" s="67">
        <f t="shared" ref="I27:I29" si="5">SUM(C27:G27)</f>
        <v>147</v>
      </c>
    </row>
    <row r="28" spans="1:12" x14ac:dyDescent="0.25">
      <c r="A28" t="s">
        <v>81</v>
      </c>
      <c r="B28">
        <f>SUMPRODUCT(B$2:B$20,$K$2:$K$20)</f>
        <v>241</v>
      </c>
      <c r="C28">
        <f t="shared" ref="C28:G28" si="6">SUMPRODUCT(C$2:C$20,$K$2:$K$20)</f>
        <v>148</v>
      </c>
      <c r="D28">
        <f t="shared" si="6"/>
        <v>7</v>
      </c>
      <c r="E28">
        <f t="shared" si="6"/>
        <v>0</v>
      </c>
      <c r="F28">
        <f t="shared" si="6"/>
        <v>84</v>
      </c>
      <c r="G28">
        <f t="shared" si="6"/>
        <v>2</v>
      </c>
      <c r="I28" s="67">
        <f t="shared" si="5"/>
        <v>241</v>
      </c>
    </row>
    <row r="29" spans="1:12" x14ac:dyDescent="0.25">
      <c r="A29" t="s">
        <v>82</v>
      </c>
      <c r="B29">
        <f>SUMPRODUCT(B$2:B$20,$L$2:$L$20)</f>
        <v>14</v>
      </c>
      <c r="C29">
        <f t="shared" ref="C29:G29" si="7">SUMPRODUCT(C$2:C$20,$L$2:$L$20)</f>
        <v>3</v>
      </c>
      <c r="D29">
        <f t="shared" si="7"/>
        <v>5</v>
      </c>
      <c r="E29">
        <f t="shared" si="7"/>
        <v>0</v>
      </c>
      <c r="F29">
        <f t="shared" si="7"/>
        <v>6</v>
      </c>
      <c r="G29">
        <f t="shared" si="7"/>
        <v>0</v>
      </c>
      <c r="I29" s="67">
        <f t="shared" si="5"/>
        <v>14</v>
      </c>
    </row>
    <row r="31" spans="1:12" x14ac:dyDescent="0.25">
      <c r="D31" t="s">
        <v>129</v>
      </c>
    </row>
    <row r="32" spans="1:12" x14ac:dyDescent="0.25">
      <c r="A32" t="s">
        <v>78</v>
      </c>
      <c r="C32" s="71">
        <f>C26/SUM(C26:E26)</f>
        <v>0.18947368421052632</v>
      </c>
      <c r="D32" s="71">
        <f>(C26+F26)/SUM(C26:G26)</f>
        <v>0.55232558139534882</v>
      </c>
    </row>
    <row r="33" spans="1:4" x14ac:dyDescent="0.25">
      <c r="A33" t="s">
        <v>60</v>
      </c>
      <c r="C33" s="71">
        <f t="shared" ref="C33:C35" si="8">C27/SUM(C27:E27)</f>
        <v>0.97468354430379744</v>
      </c>
      <c r="D33" s="71">
        <f t="shared" ref="D33:D35" si="9">(C27+F27)/SUM(C27:G27)</f>
        <v>0.98639455782312924</v>
      </c>
    </row>
    <row r="34" spans="1:4" x14ac:dyDescent="0.25">
      <c r="A34" t="s">
        <v>81</v>
      </c>
      <c r="C34" s="71">
        <f t="shared" si="8"/>
        <v>0.95483870967741935</v>
      </c>
      <c r="D34" s="71">
        <f t="shared" si="9"/>
        <v>0.96265560165975106</v>
      </c>
    </row>
    <row r="35" spans="1:4" x14ac:dyDescent="0.25">
      <c r="A35" t="s">
        <v>82</v>
      </c>
      <c r="C35" s="71">
        <f t="shared" si="8"/>
        <v>0.375</v>
      </c>
      <c r="D35" s="71">
        <f t="shared" si="9"/>
        <v>0.6428571428571429</v>
      </c>
    </row>
  </sheetData>
  <pageMargins left="0.7" right="0.7" top="0.75" bottom="0.75" header="0.3" footer="0.3"/>
  <pageSetup scale="90" orientation="portrait" verticalDpi="0" r:id="rId1"/>
  <headerFooter>
    <oddHeader>&amp;CPORT OF OAKLAND
TENANT IMPLEMENTATION PLANS</oddHeader>
  </headerFooter>
  <colBreaks count="1" manualBreakCount="1">
    <brk id="7" max="10485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0BA40-4B68-4CBC-A1E3-A301BA5EE05B}">
  <dimension ref="A1"/>
  <sheetViews>
    <sheetView workbookViewId="0">
      <selection activeCell="G44" sqref="G44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c89d084-24e0-470a-98fe-819dc695751e" xsi:nil="true"/>
    <lcf76f155ced4ddcb4097134ff3c332f xmlns="afbe3252-3da5-436d-9c1d-9369b982a509">
      <Terms xmlns="http://schemas.microsoft.com/office/infopath/2007/PartnerControls"/>
    </lcf76f155ced4ddcb4097134ff3c332f>
    <PortRetentionExpirationDate xmlns="26ee3924-799d-4b59-ac9e-492af8226641" xsi:nil="true"/>
    <PortRetentionDestructionDate xmlns="26ee3924-799d-4b59-ac9e-492af8226641" xsi:nil="true"/>
    <PortRetentionInDocSetFlag xmlns="26ee3924-799d-4b59-ac9e-492af8226641">false</PortRetentionInDocSetFlag>
    <PortRetentionKey xmlns="26ee3924-799d-4b59-ac9e-492af8226641">None</PortRetentionKey>
    <PortRetentionTriggerStartDat20e xmlns="26ee3924-799d-4b59-ac9e-492af822664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Retention" ma:contentTypeID="0x0101003C342E8B05BFF6458C47A1FE224FD53E003DC802457863C04599D377BDB288B487" ma:contentTypeVersion="62" ma:contentTypeDescription="Content type is for Document Retention" ma:contentTypeScope="" ma:versionID="646286d2222c082ac5abbd7509580628">
  <xsd:schema xmlns:xsd="http://www.w3.org/2001/XMLSchema" xmlns:xs="http://www.w3.org/2001/XMLSchema" xmlns:p="http://schemas.microsoft.com/office/2006/metadata/properties" xmlns:ns1="http://schemas.microsoft.com/sharepoint/v3" xmlns:ns2="26ee3924-799d-4b59-ac9e-492af8226641" xmlns:ns3="afbe3252-3da5-436d-9c1d-9369b982a509" xmlns:ns4="dc89d084-24e0-470a-98fe-819dc695751e" targetNamespace="http://schemas.microsoft.com/office/2006/metadata/properties" ma:root="true" ma:fieldsID="3b3ddbd22f3a1322e92a791f02ff08a4" ns1:_="" ns2:_="" ns3:_="" ns4:_="">
    <xsd:import namespace="http://schemas.microsoft.com/sharepoint/v3"/>
    <xsd:import namespace="26ee3924-799d-4b59-ac9e-492af8226641"/>
    <xsd:import namespace="afbe3252-3da5-436d-9c1d-9369b982a509"/>
    <xsd:import namespace="dc89d084-24e0-470a-98fe-819dc695751e"/>
    <xsd:element name="properties">
      <xsd:complexType>
        <xsd:sequence>
          <xsd:element name="documentManagement">
            <xsd:complexType>
              <xsd:all>
                <xsd:element ref="ns2:PortRetentionKey" minOccurs="0"/>
                <xsd:element ref="ns2:PortRetentionTriggerStartDat20e" minOccurs="0"/>
                <xsd:element ref="ns2:PortRetentionExpirationDate" minOccurs="0"/>
                <xsd:element ref="ns2:PortRetentionDestructionDate" minOccurs="0"/>
                <xsd:element ref="ns2:PortRetentionInDocSetFlag" minOccurs="0"/>
                <xsd:element ref="ns1:_dlc_Exempt" minOccurs="0"/>
                <xsd:element ref="ns1:_dlc_ExpireDateSaved" minOccurs="0"/>
                <xsd:element ref="ns1:_dlc_ExpireDate" minOccurs="0"/>
                <xsd:element ref="ns3:lcf76f155ced4ddcb4097134ff3c332f" minOccurs="0"/>
                <xsd:element ref="ns4:TaxCatchAll" minOccurs="0"/>
                <xsd:element ref="ns3:MediaServiceObjectDetectorVersions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13" nillable="true" ma:displayName="Exempt from Policy" ma:hidden="true" ma:internalName="_dlc_Exempt" ma:readOnly="true">
      <xsd:simpleType>
        <xsd:restriction base="dms:Unknown"/>
      </xsd:simpleType>
    </xsd:element>
    <xsd:element name="_dlc_ExpireDateSaved" ma:index="14" nillable="true" ma:displayName="Original Expiration Date" ma:hidden="true" ma:internalName="_dlc_ExpireDateSaved" ma:readOnly="true">
      <xsd:simpleType>
        <xsd:restriction base="dms:DateTime"/>
      </xsd:simpleType>
    </xsd:element>
    <xsd:element name="_dlc_ExpireDate" ma:index="15" nillable="true" ma:displayName="Expiration Date" ma:description="" ma:hidden="true" ma:indexed="true" ma:internalName="_dlc_ExpireDat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ee3924-799d-4b59-ac9e-492af8226641" elementFormDefault="qualified">
    <xsd:import namespace="http://schemas.microsoft.com/office/2006/documentManagement/types"/>
    <xsd:import namespace="http://schemas.microsoft.com/office/infopath/2007/PartnerControls"/>
    <xsd:element name="PortRetentionKey" ma:index="8" nillable="true" ma:displayName="File Series" ma:default="None" ma:format="Dropdown" ma:internalName="PortRetentionKey">
      <xsd:simpleType>
        <xsd:restriction base="dms:Choice">
          <xsd:enumeration value="None"/>
          <xsd:enumeration value="Completion + 5"/>
          <xsd:enumeration value="Completion + 10"/>
          <xsd:enumeration value="Expiration + 5"/>
          <xsd:enumeration value="Permanent"/>
        </xsd:restriction>
      </xsd:simpleType>
    </xsd:element>
    <xsd:element name="PortRetentionTriggerStartDat20e" ma:index="9" nillable="true" ma:displayName="Trigger Date" ma:format="DateOnly" ma:internalName="PortRetentionTriggerStartDate">
      <xsd:simpleType>
        <xsd:restriction base="dms:DateTime"/>
      </xsd:simpleType>
    </xsd:element>
    <xsd:element name="PortRetentionExpirationDate" ma:index="10" nillable="true" ma:displayName="Eligible For Destruction" ma:format="DateOnly" ma:hidden="true" ma:internalName="PortRetentionExpirationDate" ma:readOnly="false">
      <xsd:simpleType>
        <xsd:restriction base="dms:DateTime"/>
      </xsd:simpleType>
    </xsd:element>
    <xsd:element name="PortRetentionDestructionDate" ma:index="11" nillable="true" ma:displayName="Destruction Date" ma:format="DateOnly" ma:hidden="true" ma:internalName="PortRetentionDestructionDate" ma:readOnly="false">
      <xsd:simpleType>
        <xsd:restriction base="dms:DateTime"/>
      </xsd:simpleType>
    </xsd:element>
    <xsd:element name="PortRetentionInDocSetFlag" ma:index="12" nillable="true" ma:displayName="Is Doc in a Doc Set" ma:default="0" ma:internalName="PortRetentionInDocSetFlag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be3252-3da5-436d-9c1d-9369b982a509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ceefe213-a710-48ef-a469-987646fd95b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89d084-24e0-470a-98fe-819dc695751e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cae8025-0237-442b-82a2-44cb930433a7}" ma:internalName="TaxCatchAll" ma:showField="CatchAllData" ma:web="dc89d084-24e0-470a-98fe-819dc69575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p:Policy xmlns:p="office.server.policy" id="" local="true">
  <p:Name>DocumentRetention</p:Name>
  <p:Description/>
  <p:Statement/>
  <p:PolicyItems>
    <p:PolicyItem featureId="Microsoft.Office.RecordsManagement.PolicyFeatures.Expiration" staticId="0x0101003C342E8B05BFF6458C47A1FE224FD53E|781879962" UniqueId="680c001f-0f3e-4f5d-a7d4-bcfd6b8e9ced">
      <p:Name>Retention</p:Name>
      <p:Description>Automatic scheduling of content for processing, and performing a retention action on content that has reached its due date.</p:Description>
      <p:CustomData>
        <Schedules nextStageId="3">
          <Schedule type="Default">
            <stages>
              <data stageId="1">
                <formula id="Microsoft.Office.RecordsManagement.PolicyFeatures.Expiration.Formula.BuiltIn">
                  <number>25</number>
                  <property>Modified</property>
                  <propertyId>28cf69c5-fa48-462a-b5cd-27b6f9d2bd5f</propertyId>
                  <period>months</period>
                </formula>
                <action type="action" id="Microsoft.Office.RecordsManagement.PolicyFeatures.Expiration.Action.Skip"/>
              </data>
              <data stageId="2" stageDeleted="true"/>
            </stages>
          </Schedule>
        </Schedules>
      </p:CustomData>
    </p:PolicyItem>
  </p:PolicyItems>
</p:Policy>
</file>

<file path=customXml/item5.xml><?xml version="1.0" encoding="utf-8"?>
<?mso-contentType ?>
<SharedContentType xmlns="Microsoft.SharePoint.Taxonomy.ContentTypeSync" SourceId="ceefe213-a710-48ef-a469-987646fd95b1" ContentTypeId="0x0101003C342E8B05BFF6458C47A1FE224FD53E" PreviousValue="false"/>
</file>

<file path=customXml/item6.xml><?xml version="1.0" encoding="utf-8"?>
<?mso-contentType ?>
<spe:Receivers xmlns:spe="http://schemas.microsoft.com/sharepoint/events">
  <Receiver>
    <Name>Microsoft.Office.RecordsManagement.PolicyFeatures.ExpirationEventReceiver</Name>
    <Synchronization>Synchronous</Synchronization>
    <Type>10001</Type>
    <SequenceNumber>101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10002</Type>
    <SequenceNumber>102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10004</Type>
    <SequenceNumber>103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10006</Type>
    <SequenceNumber>104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10009</Type>
    <SequenceNumber>105</SequenceNumber>
    <Url/>
    <Assembly>Microsoft.Office.Policy, Version=16.0.0.0, Culture=neutral, PublicKeyToken=71e9bce111e9429c</Assembly>
    <Class>Microsoft.Office.RecordsManagement.Internal.UpdateExpireDate</Class>
    <Data/>
    <Filter/>
  </Receiver>
</spe:Receivers>
</file>

<file path=customXml/item7.xml><?xml version="1.0" encoding="utf-8"?>
<?mso-contentType ?>
<PolicyDirtyBag xmlns="microsoft.office.server.policy.changes">
  <Microsoft.Office.RecordsManagement.PolicyFeatures.Expiration op="Change"/>
</PolicyDirtyBag>
</file>

<file path=customXml/itemProps1.xml><?xml version="1.0" encoding="utf-8"?>
<ds:datastoreItem xmlns:ds="http://schemas.openxmlformats.org/officeDocument/2006/customXml" ds:itemID="{9D93A88B-642B-43D0-ABE1-9A9BB364F321}">
  <ds:schemaRefs>
    <ds:schemaRef ds:uri="http://schemas.openxmlformats.org/package/2006/metadata/core-properties"/>
    <ds:schemaRef ds:uri="http://purl.org/dc/dcmitype/"/>
    <ds:schemaRef ds:uri="http://purl.org/dc/terms/"/>
    <ds:schemaRef ds:uri="http://schemas.microsoft.com/office/2006/documentManagement/types"/>
    <ds:schemaRef ds:uri="448f3437-6110-4f96-93cd-af52bcb3f4b8"/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6311012d-c32c-4ec1-ad40-b15fd75245cf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927D4082-F5A8-436E-ABD2-02E9EB71A8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398D28F-7480-4F0C-A2BB-4C7979BFAFB6}"/>
</file>

<file path=customXml/itemProps4.xml><?xml version="1.0" encoding="utf-8"?>
<ds:datastoreItem xmlns:ds="http://schemas.openxmlformats.org/officeDocument/2006/customXml" ds:itemID="{E5304DA6-17B6-4668-B8F3-2BBDCA0AB13A}"/>
</file>

<file path=customXml/itemProps5.xml><?xml version="1.0" encoding="utf-8"?>
<ds:datastoreItem xmlns:ds="http://schemas.openxmlformats.org/officeDocument/2006/customXml" ds:itemID="{CC5744D3-8CDE-4308-A9A3-D2DB31B64D94}"/>
</file>

<file path=customXml/itemProps6.xml><?xml version="1.0" encoding="utf-8"?>
<ds:datastoreItem xmlns:ds="http://schemas.openxmlformats.org/officeDocument/2006/customXml" ds:itemID="{0B0259A9-1F8D-4E66-9499-1138A2CC1197}"/>
</file>

<file path=customXml/itemProps7.xml><?xml version="1.0" encoding="utf-8"?>
<ds:datastoreItem xmlns:ds="http://schemas.openxmlformats.org/officeDocument/2006/customXml" ds:itemID="{B78BFEBB-42CF-4896-9713-0129D884A8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CPRG calcs</vt:lpstr>
      <vt:lpstr>Factors</vt:lpstr>
      <vt:lpstr>2020 Inventory</vt:lpstr>
      <vt:lpstr>Tenant Plans</vt:lpstr>
      <vt:lpstr>Sheet2</vt:lpstr>
      <vt:lpstr>'Tenant Plans'!Print_Area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Porter</dc:creator>
  <cp:lastModifiedBy>Price Armstrong</cp:lastModifiedBy>
  <dcterms:created xsi:type="dcterms:W3CDTF">2024-03-19T17:30:53Z</dcterms:created>
  <dcterms:modified xsi:type="dcterms:W3CDTF">2024-03-29T15:53:43Z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0x01010022EBA402519AB445BC03A02CE9369671</vt:lpwstr>
  </property>
  <property fmtid="{D5CDD505-2E9C-101B-9397-08002B2CF9AE}" pid="3" name="MediaServiceImageTags">
    <vt:lpwstr/>
  </property>
</Properties>
</file>