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71" documentId="8_{149BC7B8-36CF-4FB2-A795-BDE6CCFD4764}" xr6:coauthVersionLast="47" xr6:coauthVersionMax="47" xr10:uidLastSave="{755E4AB9-40CB-4095-8752-8AEC396C80BE}"/>
  <bookViews>
    <workbookView xWindow="2868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1 Budget" sheetId="35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0" l="1"/>
  <c r="E16" i="30"/>
  <c r="F16" i="30"/>
  <c r="G16" i="30"/>
  <c r="H16" i="30"/>
  <c r="D16" i="30"/>
  <c r="E8" i="30"/>
  <c r="F8" i="30"/>
  <c r="G8" i="30"/>
  <c r="H8" i="30"/>
  <c r="E9" i="30"/>
  <c r="F9" i="30"/>
  <c r="G9" i="30"/>
  <c r="H9" i="30"/>
  <c r="E10" i="30"/>
  <c r="F10" i="30"/>
  <c r="G10" i="30"/>
  <c r="H10" i="30"/>
  <c r="E11" i="30"/>
  <c r="F11" i="30"/>
  <c r="G11" i="30"/>
  <c r="H11" i="30"/>
  <c r="E12" i="30"/>
  <c r="F12" i="30"/>
  <c r="G12" i="30"/>
  <c r="H12" i="30"/>
  <c r="E13" i="30"/>
  <c r="F13" i="30"/>
  <c r="G13" i="30"/>
  <c r="H13" i="30"/>
  <c r="D13" i="30"/>
  <c r="D12" i="30"/>
  <c r="D11" i="30"/>
  <c r="D10" i="30"/>
  <c r="D9" i="30"/>
  <c r="D8" i="30"/>
  <c r="E7" i="30"/>
  <c r="F7" i="30"/>
  <c r="G7" i="30"/>
  <c r="H7" i="30"/>
  <c r="D7" i="30"/>
  <c r="D52" i="35"/>
  <c r="E52" i="35"/>
  <c r="F52" i="35"/>
  <c r="G52" i="35"/>
  <c r="H52" i="35"/>
  <c r="J45" i="35"/>
  <c r="J52" i="35"/>
  <c r="G41" i="35"/>
  <c r="H41" i="35"/>
  <c r="F41" i="35"/>
  <c r="E41" i="35"/>
  <c r="D37" i="35"/>
  <c r="E37" i="35"/>
  <c r="F37" i="35"/>
  <c r="F34" i="35"/>
  <c r="D15" i="35"/>
  <c r="F36" i="35"/>
  <c r="H36" i="35"/>
  <c r="H33" i="35"/>
  <c r="G33" i="35"/>
  <c r="F33" i="35"/>
  <c r="E33" i="35"/>
  <c r="H32" i="35"/>
  <c r="G32" i="35"/>
  <c r="F32" i="35"/>
  <c r="E32" i="35"/>
  <c r="F42" i="35"/>
  <c r="G42" i="35"/>
  <c r="H42" i="35"/>
  <c r="E42" i="35"/>
  <c r="G36" i="35"/>
  <c r="J15" i="35"/>
  <c r="E15" i="35"/>
  <c r="F15" i="35"/>
  <c r="G15" i="35"/>
  <c r="H15" i="35"/>
  <c r="H35" i="35"/>
  <c r="J31" i="35"/>
  <c r="D12" i="35"/>
  <c r="E12" i="35" s="1"/>
  <c r="F12" i="35" s="1"/>
  <c r="G12" i="35" s="1"/>
  <c r="H12" i="35" s="1"/>
  <c r="D11" i="35"/>
  <c r="D10" i="35"/>
  <c r="E10" i="35" s="1"/>
  <c r="F10" i="35" s="1"/>
  <c r="G10" i="35" s="1"/>
  <c r="H10" i="35" s="1"/>
  <c r="D9" i="35"/>
  <c r="D8" i="35"/>
  <c r="E8" i="35" s="1"/>
  <c r="F8" i="35" s="1"/>
  <c r="G8" i="35" s="1"/>
  <c r="H8" i="35" s="1"/>
  <c r="E50" i="35"/>
  <c r="F50" i="35"/>
  <c r="G50" i="35"/>
  <c r="H50" i="35"/>
  <c r="D50" i="35"/>
  <c r="J36" i="35" l="1"/>
  <c r="G34" i="35"/>
  <c r="H34" i="35" s="1"/>
  <c r="D13" i="35"/>
  <c r="E11" i="35"/>
  <c r="F11" i="35" s="1"/>
  <c r="G11" i="35" s="1"/>
  <c r="H11" i="35" s="1"/>
  <c r="J10" i="35"/>
  <c r="E9" i="35"/>
  <c r="F9" i="35" s="1"/>
  <c r="G9" i="35" s="1"/>
  <c r="H9" i="35" s="1"/>
  <c r="J34" i="35" l="1"/>
  <c r="J39" i="35" s="1"/>
  <c r="J11" i="35"/>
  <c r="J9" i="35"/>
  <c r="G37" i="35" l="1"/>
  <c r="H37" i="35"/>
  <c r="J42" i="35" l="1"/>
  <c r="J35" i="35"/>
  <c r="J50" i="35"/>
  <c r="H44" i="35"/>
  <c r="G44" i="35"/>
  <c r="F44" i="35"/>
  <c r="D44" i="35"/>
  <c r="J43" i="35"/>
  <c r="D39" i="35"/>
  <c r="J38" i="35"/>
  <c r="H29" i="35"/>
  <c r="G29" i="35"/>
  <c r="F29" i="35"/>
  <c r="E29" i="35"/>
  <c r="D29" i="35"/>
  <c r="J28" i="35"/>
  <c r="J27" i="35"/>
  <c r="H25" i="35"/>
  <c r="G25" i="35"/>
  <c r="F25" i="35"/>
  <c r="E25" i="35"/>
  <c r="D25" i="35"/>
  <c r="J24" i="35"/>
  <c r="J23" i="35"/>
  <c r="H21" i="35"/>
  <c r="G21" i="35"/>
  <c r="F21" i="35"/>
  <c r="E21" i="35"/>
  <c r="D21" i="35"/>
  <c r="J20" i="35"/>
  <c r="J21" i="35" s="1"/>
  <c r="J17" i="35"/>
  <c r="J16" i="35"/>
  <c r="H13" i="35"/>
  <c r="H18" i="35" s="1"/>
  <c r="G13" i="35"/>
  <c r="G18" i="35" s="1"/>
  <c r="F13" i="35"/>
  <c r="F18" i="35" s="1"/>
  <c r="E13" i="35"/>
  <c r="E18" i="35" s="1"/>
  <c r="D18" i="35"/>
  <c r="J12" i="35"/>
  <c r="J8" i="35"/>
  <c r="J13" i="35" s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33" i="35" l="1"/>
  <c r="F39" i="35"/>
  <c r="F45" i="35" s="1"/>
  <c r="G39" i="35"/>
  <c r="G45" i="35" s="1"/>
  <c r="J29" i="35"/>
  <c r="H39" i="35"/>
  <c r="H45" i="35" s="1"/>
  <c r="J25" i="35"/>
  <c r="D45" i="35"/>
  <c r="J32" i="35"/>
  <c r="E39" i="35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51" i="27"/>
  <c r="H58" i="27" s="1"/>
  <c r="J13" i="27"/>
  <c r="J16" i="27" s="1"/>
  <c r="G51" i="27"/>
  <c r="G58" i="27" s="1"/>
  <c r="D51" i="27"/>
  <c r="D58" i="27" s="1"/>
  <c r="J56" i="28"/>
  <c r="J54" i="28"/>
  <c r="J42" i="28"/>
  <c r="J31" i="28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J10" i="30" l="1"/>
  <c r="J18" i="35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8" i="30"/>
  <c r="J51" i="28"/>
  <c r="J58" i="28" s="1"/>
  <c r="D25" i="30" s="1"/>
  <c r="G14" i="30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D18" i="30" l="1"/>
  <c r="G18" i="30"/>
  <c r="F18" i="30"/>
  <c r="J14" i="30"/>
  <c r="D29" i="30"/>
  <c r="E24" i="30" s="1"/>
  <c r="J16" i="30" l="1"/>
  <c r="J18" i="30" s="1"/>
  <c r="E18" i="30"/>
  <c r="E25" i="30"/>
  <c r="E23" i="30"/>
  <c r="E26" i="30"/>
  <c r="E27" i="30"/>
  <c r="E29" i="30" l="1"/>
  <c r="E44" i="35"/>
  <c r="E45" i="35" s="1"/>
  <c r="J41" i="35"/>
  <c r="J44" i="35" s="1"/>
</calcChain>
</file>

<file path=xl/sharedStrings.xml><?xml version="1.0" encoding="utf-8"?>
<sst xmlns="http://schemas.openxmlformats.org/spreadsheetml/2006/main" count="510" uniqueCount="101">
  <si>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</si>
  <si>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</si>
  <si>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</si>
  <si>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</si>
  <si>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</si>
  <si>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</si>
  <si>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</si>
  <si>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</si>
  <si>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</si>
  <si>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</si>
  <si>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</si>
  <si>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</si>
  <si>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</si>
  <si>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</si>
  <si>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</si>
  <si>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</si>
  <si>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</si>
  <si>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</si>
  <si>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</si>
  <si>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</si>
  <si>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</si>
  <si>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</si>
  <si>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</si>
  <si>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</si>
  <si>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</si>
  <si>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</si>
  <si>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</si>
  <si>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</si>
  <si>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</si>
  <si>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</si>
  <si>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</si>
  <si>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</si>
  <si>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</si>
  <si>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</si>
  <si>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</si>
  <si>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BUDGET BY YEAR - Measure 6, Implement Bioenergy Projects GHG Measure</t>
  </si>
  <si>
    <t>YEAR 1 - FY25</t>
  </si>
  <si>
    <t>YEAR 2 - FY26</t>
  </si>
  <si>
    <t>YEAR 3 - FY27</t>
  </si>
  <si>
    <t>YEAR 4 - FY28</t>
  </si>
  <si>
    <t>YEAR 5 - FY29</t>
  </si>
  <si>
    <t>Personnel</t>
  </si>
  <si>
    <t> </t>
  </si>
  <si>
    <t>Port Electrical/Mechanical Engineers  (3,475 hours x $93/hr)</t>
  </si>
  <si>
    <t>Port Supervisor Electrical/Mechanical Engineer  (1,491 hours x $93/hr)</t>
  </si>
  <si>
    <t>Port Civil Engineers  (3,475 hours x $93/hr)</t>
  </si>
  <si>
    <t>Port Supervisor Civil Engineer  (1,488 hours x $93/hr)</t>
  </si>
  <si>
    <t>Port Environmental Labor (1,075 hours x $93/hr)</t>
  </si>
  <si>
    <t xml:space="preserve"> Fringe Benefits </t>
  </si>
  <si>
    <t>Fringe Benefits @ 87.40% of Port labor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</si>
  <si>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</si>
  <si>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</si>
  <si>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</si>
  <si>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</si>
  <si>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</si>
  <si>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Design RFP Consultant</t>
  </si>
  <si>
    <t xml:space="preserve">Design Consultant to design Phase 1 and Phase 2 of Project.  </t>
  </si>
  <si>
    <t xml:space="preserve">Contractor to Construct Phase 1 and Phase 2 of Project.  </t>
  </si>
  <si>
    <t>Inspector Contractor</t>
  </si>
  <si>
    <t>1 year Operations &amp; Maintenance of Fuel Cells</t>
  </si>
  <si>
    <t>Environmental Reporting Contractor</t>
  </si>
  <si>
    <t>Contractor to perform Community Engagement</t>
  </si>
  <si>
    <t>OTHER</t>
  </si>
  <si>
    <t>Security</t>
  </si>
  <si>
    <t>OCIP (Owner Controlled Insurance Program)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</si>
  <si>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</si>
  <si>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</si>
  <si>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</si>
  <si>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</si>
  <si>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</si>
  <si>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</si>
  <si>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</si>
  <si>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</si>
  <si>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</si>
  <si>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</si>
  <si>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</si>
  <si>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</si>
  <si>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</si>
  <si>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</si>
  <si>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</si>
  <si>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</si>
  <si>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</si>
  <si>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</si>
  <si>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</si>
  <si>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</si>
  <si>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</si>
  <si>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</si>
  <si>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</si>
  <si>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</si>
  <si>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</si>
  <si>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</si>
  <si>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</si>
  <si>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</si>
  <si>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</si>
  <si>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</si>
  <si>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</si>
  <si>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</si>
  <si>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</si>
  <si>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</si>
  <si>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</si>
  <si>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Decarbonizing the Future: Renewable Natural Gas Utilization at Oakland International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</si>
</sst>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Aptos Narrow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0" fillId="0" borderId="0" xfId="0" applyFont="1"/>
    <xf numFmtId="0" fontId="19" fillId="0" borderId="0" xfId="0" applyFont="1"/>
    <xf numFmtId="0" fontId="22" fillId="6" borderId="13" xfId="0" applyFont="1" applyFill="1" applyBorder="1" applyAlignment="1">
      <alignment wrapText="1"/>
    </xf>
    <xf numFmtId="0" fontId="22" fillId="6" borderId="14" xfId="0" applyFont="1" applyFill="1" applyBorder="1" applyAlignment="1">
      <alignment wrapText="1"/>
    </xf>
    <xf numFmtId="0" fontId="22" fillId="6" borderId="15" xfId="0" applyFont="1" applyFill="1" applyBorder="1" applyAlignment="1">
      <alignment wrapText="1"/>
    </xf>
    <xf numFmtId="0" fontId="22" fillId="6" borderId="7" xfId="0" applyFont="1" applyFill="1" applyBorder="1" applyAlignment="1">
      <alignment wrapText="1"/>
    </xf>
    <xf numFmtId="0" fontId="22" fillId="6" borderId="3" xfId="0" applyFont="1" applyFill="1" applyBorder="1"/>
    <xf numFmtId="0" fontId="22" fillId="0" borderId="2" xfId="0" applyFont="1" applyBorder="1" applyAlignment="1">
      <alignment vertical="top" wrapText="1"/>
    </xf>
    <xf numFmtId="0" fontId="22" fillId="0" borderId="1" xfId="0" applyFont="1" applyBorder="1" applyAlignment="1">
      <alignment vertical="top"/>
    </xf>
    <xf numFmtId="0" fontId="23" fillId="0" borderId="1" xfId="0" applyFont="1" applyBorder="1" applyAlignment="1">
      <alignment wrapText="1"/>
    </xf>
    <xf numFmtId="0" fontId="23" fillId="0" borderId="0" xfId="0" applyFont="1"/>
    <xf numFmtId="0" fontId="23" fillId="0" borderId="1" xfId="0" applyFont="1" applyBorder="1"/>
    <xf numFmtId="0" fontId="23" fillId="0" borderId="5" xfId="0" applyFont="1" applyBorder="1" applyAlignment="1">
      <alignment vertical="top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23" fillId="0" borderId="0" xfId="0" applyNumberFormat="1" applyFont="1"/>
    <xf numFmtId="0" fontId="18" fillId="0" borderId="1" xfId="0" applyFont="1" applyBorder="1" applyAlignment="1">
      <alignment horizontal="left" vertical="top" wrapText="1" indent="2"/>
    </xf>
    <xf numFmtId="0" fontId="23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23" fillId="0" borderId="0" xfId="0" applyFont="1" applyAlignment="1">
      <alignment vertical="top"/>
    </xf>
    <xf numFmtId="164" fontId="23" fillId="0" borderId="0" xfId="1" applyNumberFormat="1" applyFont="1" applyBorder="1"/>
    <xf numFmtId="0" fontId="18" fillId="0" borderId="1" xfId="0" applyFont="1" applyBorder="1" applyAlignment="1">
      <alignment horizontal="left" indent="2"/>
    </xf>
    <xf numFmtId="6" fontId="23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24" fillId="0" borderId="1" xfId="0" applyFont="1" applyBorder="1" applyAlignment="1">
      <alignment horizontal="left" wrapText="1" indent="2"/>
    </xf>
    <xf numFmtId="0" fontId="23" fillId="0" borderId="3" xfId="0" applyFont="1" applyBorder="1" applyAlignment="1">
      <alignment vertical="top"/>
    </xf>
    <xf numFmtId="0" fontId="22" fillId="0" borderId="1" xfId="0" applyFont="1" applyBorder="1"/>
    <xf numFmtId="3" fontId="23" fillId="0" borderId="1" xfId="0" applyNumberFormat="1" applyFont="1" applyBorder="1" applyAlignment="1">
      <alignment wrapText="1"/>
    </xf>
    <xf numFmtId="0" fontId="22" fillId="0" borderId="11" xfId="0" applyFont="1" applyBorder="1" applyAlignment="1">
      <alignment wrapText="1"/>
    </xf>
    <xf numFmtId="6" fontId="25" fillId="0" borderId="12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10</xdr:row>
      <xdr:rowOff>40948</xdr:rowOff>
    </xdr:from>
    <xdr:to>
      <xdr:col>14</xdr:col>
      <xdr:colOff>86391</xdr:colOff>
      <xdr:row>41</xdr:row>
      <xdr:rowOff>9525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  <a:ext uri="{147F2762-F138-4A5C-976F-8EAC2B608ADB}">
              <a16:predDERef xmlns:a16="http://schemas.microsoft.com/office/drawing/2014/main" pred="{FD1992C7-AA22-4941-9568-B6DA7EAA81E5}"/>
            </a:ext>
          </a:extLst>
        </xdr:cNvPr>
        <xdr:cNvSpPr/>
      </xdr:nvSpPr>
      <xdr:spPr>
        <a:xfrm>
          <a:off x="165612" y="1803073"/>
          <a:ext cx="10207779" cy="5693102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1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91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69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 t="s">
        <v>70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 t="s">
        <v>86</v>
      </c>
      <c r="D18" s="13"/>
      <c r="E18" s="10"/>
      <c r="F18" s="10"/>
      <c r="G18" s="10"/>
      <c r="H18" s="10"/>
      <c r="J18" s="15" t="s">
        <v>42</v>
      </c>
    </row>
    <row r="19" spans="2:10" x14ac:dyDescent="0.25">
      <c r="B19" s="23"/>
      <c r="C19" s="29" t="s">
        <v>71</v>
      </c>
      <c r="D19" s="15" t="s">
        <v>52</v>
      </c>
      <c r="E19" s="11" t="s">
        <v>52</v>
      </c>
      <c r="F19" s="11" t="s">
        <v>52</v>
      </c>
      <c r="G19" s="11"/>
      <c r="H19" s="11"/>
      <c r="J19" s="15"/>
    </row>
    <row r="20" spans="2:10" x14ac:dyDescent="0.25">
      <c r="B20" s="23"/>
      <c r="C20" s="29" t="s">
        <v>72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73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92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75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76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77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 t="s">
        <v>80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93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94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95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96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97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62</v>
      </c>
      <c r="D43" s="13" t="s">
        <v>42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98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65</v>
      </c>
      <c r="C53" s="17" t="s">
        <v>65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99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O17" sqref="O1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3.140625" customWidth="1"/>
    <col min="8" max="8" width="14.5703125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04" t="s">
        <v>1</v>
      </c>
      <c r="C3" s="104"/>
      <c r="D3" s="104"/>
      <c r="E3" s="104"/>
      <c r="F3" s="104"/>
      <c r="G3" s="104"/>
      <c r="H3" s="104"/>
      <c r="I3" s="104"/>
      <c r="J3" s="104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Budget'!D13+'Measure 2 Budget'!D11+'Measure 3 Budget'!D11+'Measure 4 Budget'!D11+'Measure 5 Budget'!D11</f>
        <v>204600</v>
      </c>
      <c r="E7" s="52">
        <f>'Measure 1 Budget'!E13+'Measure 2 Budget'!E11+'Measure 3 Budget'!E11+'Measure 4 Budget'!E11+'Measure 5 Budget'!E11</f>
        <v>204600</v>
      </c>
      <c r="F7" s="52">
        <f>'Measure 1 Budget'!F13+'Measure 2 Budget'!F11+'Measure 3 Budget'!F11+'Measure 4 Budget'!F11+'Measure 5 Budget'!F11</f>
        <v>204600</v>
      </c>
      <c r="G7" s="52">
        <f>'Measure 1 Budget'!G13+'Measure 2 Budget'!G11+'Measure 3 Budget'!G11+'Measure 4 Budget'!G11+'Measure 5 Budget'!G11</f>
        <v>204600</v>
      </c>
      <c r="H7" s="52">
        <f>'Measure 1 Budget'!H13+'Measure 2 Budget'!H11+'Measure 3 Budget'!H11+'Measure 4 Budget'!H11+'Measure 5 Budget'!H11</f>
        <v>204600</v>
      </c>
      <c r="I7" s="53"/>
      <c r="J7" s="52">
        <f>SUM(D7:I7)</f>
        <v>1023000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Budget'!D18+'Measure 2 Budget'!D16+'Measure 3 Budget'!D16+'Measure 4 Budget'!D16+'Measure 5 Budget'!D16</f>
        <v>178800</v>
      </c>
      <c r="E8" s="52">
        <f>'Measure 1 Budget'!E18+'Measure 2 Budget'!E16+'Measure 3 Budget'!E16+'Measure 4 Budget'!E16+'Measure 5 Budget'!E16</f>
        <v>178800</v>
      </c>
      <c r="F8" s="52">
        <f>'Measure 1 Budget'!F18+'Measure 2 Budget'!F16+'Measure 3 Budget'!F16+'Measure 4 Budget'!F16+'Measure 5 Budget'!F16</f>
        <v>178800</v>
      </c>
      <c r="G8" s="52">
        <f>'Measure 1 Budget'!G18+'Measure 2 Budget'!G16+'Measure 3 Budget'!G16+'Measure 4 Budget'!G16+'Measure 5 Budget'!G16</f>
        <v>178800</v>
      </c>
      <c r="H8" s="52">
        <f>'Measure 1 Budget'!H18+'Measure 2 Budget'!H16+'Measure 3 Budget'!H16+'Measure 4 Budget'!H16+'Measure 5 Budget'!H16</f>
        <v>178800</v>
      </c>
      <c r="I8" s="53"/>
      <c r="J8" s="52">
        <f t="shared" ref="J8:J14" si="0">SUM(D8:I8)</f>
        <v>894000</v>
      </c>
    </row>
    <row r="9" spans="2:39" x14ac:dyDescent="0.25">
      <c r="B9" s="23"/>
      <c r="C9" s="51" t="s">
        <v>14</v>
      </c>
      <c r="D9" s="52">
        <f>'Measure 1 Budget'!D21+'Measure 2 Budget'!D27+'Measure 3 Budget'!D27+'Measure 4 Budget'!D27+'Measure 5 Budget'!D27</f>
        <v>0</v>
      </c>
      <c r="E9" s="52">
        <f>'Measure 1 Budget'!E21+'Measure 2 Budget'!E27+'Measure 3 Budget'!E27+'Measure 4 Budget'!E27+'Measure 5 Budget'!E27</f>
        <v>0</v>
      </c>
      <c r="F9" s="52">
        <f>'Measure 1 Budget'!F21+'Measure 2 Budget'!F27+'Measure 3 Budget'!F27+'Measure 4 Budget'!F27+'Measure 5 Budget'!F27</f>
        <v>0</v>
      </c>
      <c r="G9" s="52">
        <f>'Measure 1 Budget'!G21+'Measure 2 Budget'!G27+'Measure 3 Budget'!G27+'Measure 4 Budget'!G27+'Measure 5 Budget'!G27</f>
        <v>0</v>
      </c>
      <c r="H9" s="52">
        <f>'Measure 1 Budget'!H21+'Measure 2 Budget'!H27+'Measure 3 Budget'!H27+'Measure 4 Budget'!H27+'Measure 5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Budget'!D25+'Measure 2 Budget'!D31+'Measure 3 Budget'!D31+'Measure 4 Budget'!D31+'Measure 5 Budget'!D31</f>
        <v>0</v>
      </c>
      <c r="E10" s="52">
        <f>'Measure 1 Budget'!E25+'Measure 2 Budget'!E31+'Measure 3 Budget'!E31+'Measure 4 Budget'!E31+'Measure 5 Budget'!E31</f>
        <v>0</v>
      </c>
      <c r="F10" s="52">
        <f>'Measure 1 Budget'!F25+'Measure 2 Budget'!F31+'Measure 3 Budget'!F31+'Measure 4 Budget'!F31+'Measure 5 Budget'!F31</f>
        <v>0</v>
      </c>
      <c r="G10" s="52">
        <f>'Measure 1 Budget'!G25+'Measure 2 Budget'!G31+'Measure 3 Budget'!G31+'Measure 4 Budget'!G31+'Measure 5 Budget'!G31</f>
        <v>0</v>
      </c>
      <c r="H10" s="52">
        <f>'Measure 1 Budget'!H25+'Measure 2 Budget'!H31+'Measure 3 Budget'!H31+'Measure 4 Budget'!H31+'Measure 5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Budget'!D29+'Measure 2 Budget'!D35+'Measure 3 Budget'!D35+'Measure 4 Budget'!D35+'Measure 5 Budget'!D35</f>
        <v>0</v>
      </c>
      <c r="E11" s="52">
        <f>'Measure 1 Budget'!E29+'Measure 2 Budget'!E35+'Measure 3 Budget'!E35+'Measure 4 Budget'!E35+'Measure 5 Budget'!E35</f>
        <v>0</v>
      </c>
      <c r="F11" s="52">
        <f>'Measure 1 Budget'!F29+'Measure 2 Budget'!F35+'Measure 3 Budget'!F35+'Measure 4 Budget'!F35+'Measure 5 Budget'!F35</f>
        <v>0</v>
      </c>
      <c r="G11" s="52">
        <f>'Measure 1 Budget'!G29+'Measure 2 Budget'!G35+'Measure 3 Budget'!G35+'Measure 4 Budget'!G35+'Measure 5 Budget'!G35</f>
        <v>0</v>
      </c>
      <c r="H11" s="52">
        <f>'Measure 1 Budget'!H29+'Measure 2 Budget'!H35+'Measure 3 Budget'!H35+'Measure 4 Budget'!H35+'Measure 5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Budget'!D39+'Measure 2 Budget'!D42+'Measure 3 Budget'!D42+'Measure 4 Budget'!D41+'Measure 5 Budget'!D41</f>
        <v>441000</v>
      </c>
      <c r="E12" s="52">
        <f>'Measure 1 Budget'!E39+'Measure 2 Budget'!E42+'Measure 3 Budget'!E42+'Measure 4 Budget'!E41+'Measure 5 Budget'!E41</f>
        <v>5375200</v>
      </c>
      <c r="F12" s="52">
        <f>'Measure 1 Budget'!F39+'Measure 2 Budget'!F42+'Measure 3 Budget'!F42+'Measure 4 Budget'!F41+'Measure 5 Budget'!F41</f>
        <v>2509900</v>
      </c>
      <c r="G12" s="52">
        <f>'Measure 1 Budget'!G39+'Measure 2 Budget'!G42+'Measure 3 Budget'!G42+'Measure 4 Budget'!G41+'Measure 5 Budget'!G41</f>
        <v>9598200</v>
      </c>
      <c r="H12" s="52">
        <f>'Measure 1 Budget'!H39+'Measure 2 Budget'!H42+'Measure 3 Budget'!H42+'Measure 4 Budget'!H41+'Measure 5 Budget'!H41</f>
        <v>11169800</v>
      </c>
      <c r="I12" s="53"/>
      <c r="J12" s="52">
        <f t="shared" si="0"/>
        <v>29094100</v>
      </c>
    </row>
    <row r="13" spans="2:39" x14ac:dyDescent="0.25">
      <c r="B13" s="23"/>
      <c r="C13" s="51" t="s">
        <v>18</v>
      </c>
      <c r="D13" s="52">
        <f>'Measure 1 Budget'!D44+'Measure 2 Budget'!D50+'Measure 3 Budget'!D50+'Measure 4 Budget'!D49+'Measure 5 Budget'!D49</f>
        <v>0</v>
      </c>
      <c r="E13" s="52">
        <f>'Measure 1 Budget'!E44+'Measure 2 Budget'!E50+'Measure 3 Budget'!E50+'Measure 4 Budget'!E49+'Measure 5 Budget'!E49</f>
        <v>237800</v>
      </c>
      <c r="F13" s="52">
        <f>'Measure 1 Budget'!F44+'Measure 2 Budget'!F50+'Measure 3 Budget'!F50+'Measure 4 Budget'!F49+'Measure 5 Budget'!F49</f>
        <v>237800</v>
      </c>
      <c r="G13" s="52">
        <f>'Measure 1 Budget'!G44+'Measure 2 Budget'!G50+'Measure 3 Budget'!G50+'Measure 4 Budget'!G49+'Measure 5 Budget'!G49</f>
        <v>237800</v>
      </c>
      <c r="H13" s="52">
        <f>'Measure 1 Budget'!H44+'Measure 2 Budget'!H50+'Measure 3 Budget'!H50+'Measure 4 Budget'!H49+'Measure 5 Budget'!H49</f>
        <v>237800</v>
      </c>
      <c r="I13" s="53"/>
      <c r="J13" s="52">
        <f t="shared" si="0"/>
        <v>951200</v>
      </c>
    </row>
    <row r="14" spans="2:39" x14ac:dyDescent="0.25">
      <c r="B14" s="24"/>
      <c r="C14" s="9" t="s">
        <v>19</v>
      </c>
      <c r="D14" s="16">
        <f>D13+D12+D11+D10+D9+D8+D7</f>
        <v>824400</v>
      </c>
      <c r="E14" s="16">
        <f>E13+E12+E11+E10+E9+E8+E7</f>
        <v>5996400</v>
      </c>
      <c r="F14" s="16">
        <f>F13+F12+F11+F10+F9+F8+F7</f>
        <v>3131100</v>
      </c>
      <c r="G14" s="16">
        <f>G13+G12+G11+G10+G9+G8+G7</f>
        <v>10219400</v>
      </c>
      <c r="H14" s="16">
        <f>H13+H12+H11+H10+H9+H8+H7</f>
        <v>11791000</v>
      </c>
      <c r="J14" s="16">
        <f t="shared" si="0"/>
        <v>31962300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Budget'!D50+'Measure 2 Budget'!D56+'Measure 3 Budget'!D56+'Measure 4 Budget'!D55+'Measure 5 Budget'!D55</f>
        <v>0</v>
      </c>
      <c r="E16" s="59">
        <f>'Measure 1 Budget'!E50+'Measure 2 Budget'!E56+'Measure 3 Budget'!E56+'Measure 4 Budget'!E55+'Measure 5 Budget'!E55</f>
        <v>0</v>
      </c>
      <c r="F16" s="59">
        <f>'Measure 1 Budget'!F50+'Measure 2 Budget'!F56+'Measure 3 Budget'!F56+'Measure 4 Budget'!F55+'Measure 5 Budget'!F55</f>
        <v>0</v>
      </c>
      <c r="G16" s="59">
        <f>'Measure 1 Budget'!G50+'Measure 2 Budget'!G56+'Measure 3 Budget'!G56+'Measure 4 Budget'!G55+'Measure 5 Budget'!G55</f>
        <v>0</v>
      </c>
      <c r="H16" s="59">
        <f>'Measure 1 Budget'!H50+'Measure 2 Budget'!H56+'Measure 3 Budget'!H56+'Measure 4 Budget'!H55+'Measure 5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824400</v>
      </c>
      <c r="E18" s="54">
        <f>E14+E16</f>
        <v>5996400</v>
      </c>
      <c r="F18" s="54">
        <f>F14+F16</f>
        <v>3131100</v>
      </c>
      <c r="G18" s="54">
        <f>G14+G16</f>
        <v>10219400</v>
      </c>
      <c r="H18" s="54">
        <f>H14+H16</f>
        <v>11791000</v>
      </c>
      <c r="I18" s="55"/>
      <c r="J18" s="70">
        <f>J14+J16</f>
        <v>31962300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106"/>
      <c r="F21" s="106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107" t="s">
        <v>27</v>
      </c>
      <c r="F22" s="107"/>
      <c r="H22"/>
      <c r="I22"/>
    </row>
    <row r="23" spans="2:10" ht="60" x14ac:dyDescent="0.25">
      <c r="B23" s="51">
        <v>1</v>
      </c>
      <c r="C23" s="57" t="s">
        <v>100</v>
      </c>
      <c r="D23" s="58">
        <f>'Measure 1 Budget'!J52</f>
        <v>31962300</v>
      </c>
      <c r="E23" s="105">
        <f>D23/D$29</f>
        <v>1</v>
      </c>
      <c r="F23" s="105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105">
        <f t="shared" ref="E24:E27" si="1">D24/D$29</f>
        <v>0</v>
      </c>
      <c r="F24" s="105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105">
        <f t="shared" si="1"/>
        <v>0</v>
      </c>
      <c r="F25" s="105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105">
        <f t="shared" si="1"/>
        <v>0</v>
      </c>
      <c r="F26" s="105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105">
        <f t="shared" si="1"/>
        <v>0</v>
      </c>
      <c r="F27" s="105"/>
      <c r="H27"/>
      <c r="I27"/>
    </row>
    <row r="28" spans="2:10" ht="15" customHeight="1" x14ac:dyDescent="0.25">
      <c r="B28" s="51"/>
      <c r="C28" s="52"/>
      <c r="D28" s="58"/>
      <c r="E28" s="105"/>
      <c r="F28" s="105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31962300</v>
      </c>
      <c r="E29" s="105">
        <f t="shared" ref="E29" si="2">SUM(E23:E28)</f>
        <v>1</v>
      </c>
      <c r="F29" s="105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honeticPr fontId="21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FB1DB-F867-4858-A087-9DC7A580204C}">
  <sheetPr>
    <tabColor theme="9" tint="0.39997558519241921"/>
    <pageSetUpPr fitToPage="1"/>
  </sheetPr>
  <dimension ref="B2:AM67"/>
  <sheetViews>
    <sheetView showGridLines="0" topLeftCell="A21" zoomScale="85" zoomScaleNormal="85" workbookViewId="0">
      <selection activeCell="K45" sqref="K4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0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3.140625" style="2" customWidth="1"/>
    <col min="9" max="9" width="1.7109375" style="7" customWidth="1"/>
    <col min="10" max="10" width="12.85546875" customWidth="1"/>
    <col min="11" max="11" width="14" customWidth="1"/>
    <col min="12" max="12" width="12.42578125" bestFit="1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35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74" t="s">
        <v>3</v>
      </c>
      <c r="C6" s="74" t="s">
        <v>4</v>
      </c>
      <c r="D6" s="74" t="s">
        <v>36</v>
      </c>
      <c r="E6" s="75" t="s">
        <v>37</v>
      </c>
      <c r="F6" s="75" t="s">
        <v>38</v>
      </c>
      <c r="G6" s="75" t="s">
        <v>39</v>
      </c>
      <c r="H6" s="76" t="s">
        <v>40</v>
      </c>
      <c r="I6" s="77"/>
      <c r="J6" s="78" t="s">
        <v>10</v>
      </c>
    </row>
    <row r="7" spans="2:39" s="5" customFormat="1" ht="30" x14ac:dyDescent="0.25">
      <c r="B7" s="79" t="s">
        <v>11</v>
      </c>
      <c r="C7" s="80" t="s">
        <v>41</v>
      </c>
      <c r="D7" s="81" t="s">
        <v>42</v>
      </c>
      <c r="E7" s="81" t="s">
        <v>42</v>
      </c>
      <c r="F7" s="81" t="s">
        <v>42</v>
      </c>
      <c r="G7" s="81"/>
      <c r="H7" s="81" t="s">
        <v>42</v>
      </c>
      <c r="I7" s="82"/>
      <c r="J7" s="83" t="s">
        <v>42</v>
      </c>
      <c r="K7"/>
      <c r="L7" s="7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84"/>
      <c r="C8" s="85" t="s">
        <v>43</v>
      </c>
      <c r="D8" s="86">
        <f>ROUND((3475*93)/5,-2)</f>
        <v>64600</v>
      </c>
      <c r="E8" s="86">
        <f>D8</f>
        <v>64600</v>
      </c>
      <c r="F8" s="86">
        <f t="shared" ref="F8:H8" si="0">E8</f>
        <v>64600</v>
      </c>
      <c r="G8" s="86">
        <f t="shared" si="0"/>
        <v>64600</v>
      </c>
      <c r="H8" s="86">
        <f t="shared" si="0"/>
        <v>64600</v>
      </c>
      <c r="I8" s="87"/>
      <c r="J8" s="86">
        <f>SUM(D8:H8)</f>
        <v>323000</v>
      </c>
      <c r="L8" s="72"/>
      <c r="M8" s="73"/>
    </row>
    <row r="9" spans="2:39" ht="30" x14ac:dyDescent="0.25">
      <c r="B9" s="84"/>
      <c r="C9" s="85" t="s">
        <v>44</v>
      </c>
      <c r="D9" s="86">
        <f>ROUND((1491*93)/5,-2)</f>
        <v>27700</v>
      </c>
      <c r="E9" s="86">
        <f t="shared" ref="E9:H9" si="1">D9</f>
        <v>27700</v>
      </c>
      <c r="F9" s="86">
        <f t="shared" si="1"/>
        <v>27700</v>
      </c>
      <c r="G9" s="86">
        <f t="shared" si="1"/>
        <v>27700</v>
      </c>
      <c r="H9" s="86">
        <f t="shared" si="1"/>
        <v>27700</v>
      </c>
      <c r="I9" s="82"/>
      <c r="J9" s="86">
        <f t="shared" ref="J9:J11" si="2">SUM(D9:H9)</f>
        <v>138500</v>
      </c>
    </row>
    <row r="10" spans="2:39" ht="30" x14ac:dyDescent="0.25">
      <c r="B10" s="84"/>
      <c r="C10" s="88" t="s">
        <v>45</v>
      </c>
      <c r="D10" s="86">
        <f>ROUND((3475*93)/5,-2)</f>
        <v>64600</v>
      </c>
      <c r="E10" s="86">
        <f t="shared" ref="E10:H10" si="3">D10</f>
        <v>64600</v>
      </c>
      <c r="F10" s="86">
        <f t="shared" si="3"/>
        <v>64600</v>
      </c>
      <c r="G10" s="86">
        <f t="shared" si="3"/>
        <v>64600</v>
      </c>
      <c r="H10" s="86">
        <f t="shared" si="3"/>
        <v>64600</v>
      </c>
      <c r="I10" s="82"/>
      <c r="J10" s="86">
        <f t="shared" si="2"/>
        <v>323000</v>
      </c>
      <c r="K10" s="34"/>
    </row>
    <row r="11" spans="2:39" ht="30" x14ac:dyDescent="0.25">
      <c r="B11" s="84"/>
      <c r="C11" s="85" t="s">
        <v>46</v>
      </c>
      <c r="D11" s="86">
        <f>ROUND((1488*93)/5,-2)</f>
        <v>27700</v>
      </c>
      <c r="E11" s="86">
        <f t="shared" ref="E11:H12" si="4">D11</f>
        <v>27700</v>
      </c>
      <c r="F11" s="86">
        <f t="shared" si="4"/>
        <v>27700</v>
      </c>
      <c r="G11" s="86">
        <f t="shared" si="4"/>
        <v>27700</v>
      </c>
      <c r="H11" s="86">
        <f t="shared" si="4"/>
        <v>27700</v>
      </c>
      <c r="I11" s="82"/>
      <c r="J11" s="86">
        <f t="shared" si="2"/>
        <v>138500</v>
      </c>
    </row>
    <row r="12" spans="2:39" ht="30" x14ac:dyDescent="0.25">
      <c r="B12" s="84"/>
      <c r="C12" s="85" t="s">
        <v>47</v>
      </c>
      <c r="D12" s="86">
        <f>ROUND((1076*93)/5,-2)</f>
        <v>20000</v>
      </c>
      <c r="E12" s="86">
        <f t="shared" si="4"/>
        <v>20000</v>
      </c>
      <c r="F12" s="86">
        <f t="shared" si="4"/>
        <v>20000</v>
      </c>
      <c r="G12" s="86">
        <f t="shared" si="4"/>
        <v>20000</v>
      </c>
      <c r="H12" s="86">
        <f t="shared" si="4"/>
        <v>20000</v>
      </c>
      <c r="I12" s="82"/>
      <c r="J12" s="86">
        <f>SUM(D12:H12)</f>
        <v>100000</v>
      </c>
      <c r="L12" s="72"/>
    </row>
    <row r="13" spans="2:39" x14ac:dyDescent="0.25">
      <c r="B13" s="84"/>
      <c r="C13" s="89" t="s">
        <v>12</v>
      </c>
      <c r="D13" s="90">
        <f>SUM(D8:D12)</f>
        <v>204600</v>
      </c>
      <c r="E13" s="90">
        <f>SUM(E8:E12)</f>
        <v>204600</v>
      </c>
      <c r="F13" s="90">
        <f>SUM(F8:F12)</f>
        <v>204600</v>
      </c>
      <c r="G13" s="90">
        <f>SUM(G8:G12)</f>
        <v>204600</v>
      </c>
      <c r="H13" s="90">
        <f>SUM(H8:H12)</f>
        <v>204600</v>
      </c>
      <c r="I13" s="82"/>
      <c r="J13" s="90">
        <f>SUM(J8:J12)</f>
        <v>1023000</v>
      </c>
    </row>
    <row r="14" spans="2:39" x14ac:dyDescent="0.25">
      <c r="B14" s="84"/>
      <c r="C14" s="91" t="s">
        <v>48</v>
      </c>
      <c r="D14" s="92"/>
      <c r="E14" s="93"/>
      <c r="F14" s="82"/>
      <c r="G14" s="82"/>
      <c r="H14" s="93"/>
      <c r="I14" s="82"/>
      <c r="J14" s="86"/>
    </row>
    <row r="15" spans="2:39" x14ac:dyDescent="0.25">
      <c r="B15" s="84"/>
      <c r="C15" s="94" t="s">
        <v>49</v>
      </c>
      <c r="D15" s="86">
        <f>ROUND((D13*0.874),-2)</f>
        <v>178800</v>
      </c>
      <c r="E15" s="86">
        <f t="shared" ref="E15:H15" si="5">ROUND((E13*0.874),-2)</f>
        <v>178800</v>
      </c>
      <c r="F15" s="86">
        <f t="shared" si="5"/>
        <v>178800</v>
      </c>
      <c r="G15" s="86">
        <f t="shared" si="5"/>
        <v>178800</v>
      </c>
      <c r="H15" s="86">
        <f t="shared" si="5"/>
        <v>178800</v>
      </c>
      <c r="I15" s="82"/>
      <c r="J15" s="86">
        <f>SUM(D15:H15)</f>
        <v>894000</v>
      </c>
      <c r="L15" s="72"/>
    </row>
    <row r="16" spans="2:39" x14ac:dyDescent="0.25">
      <c r="B16" s="84"/>
      <c r="C16" s="85"/>
      <c r="D16" s="86"/>
      <c r="E16" s="86"/>
      <c r="F16" s="86"/>
      <c r="G16" s="86"/>
      <c r="H16" s="86"/>
      <c r="I16" s="82"/>
      <c r="J16" s="86">
        <f t="shared" ref="J16:J17" si="6">SUM(D16:H16)</f>
        <v>0</v>
      </c>
    </row>
    <row r="17" spans="2:12" x14ac:dyDescent="0.25">
      <c r="B17" s="84"/>
      <c r="C17" s="81"/>
      <c r="D17" s="86"/>
      <c r="E17" s="95"/>
      <c r="F17" s="95"/>
      <c r="G17" s="95"/>
      <c r="H17" s="95"/>
      <c r="I17" s="82"/>
      <c r="J17" s="86">
        <f t="shared" si="6"/>
        <v>0</v>
      </c>
    </row>
    <row r="18" spans="2:12" x14ac:dyDescent="0.25">
      <c r="B18" s="84"/>
      <c r="C18" s="89" t="s">
        <v>13</v>
      </c>
      <c r="D18" s="90">
        <f>SUM(D15:D17)</f>
        <v>178800</v>
      </c>
      <c r="E18" s="90">
        <f>SUM(E15:E17)</f>
        <v>178800</v>
      </c>
      <c r="F18" s="90">
        <f>SUM(F15:F17)</f>
        <v>178800</v>
      </c>
      <c r="G18" s="90">
        <f>SUM(G15:G17)</f>
        <v>178800</v>
      </c>
      <c r="H18" s="90">
        <f>SUM(H15:H17)</f>
        <v>178800</v>
      </c>
      <c r="I18" s="82"/>
      <c r="J18" s="90">
        <f t="shared" ref="J18" si="7">SUM(J15:J17)</f>
        <v>894000</v>
      </c>
      <c r="L18" s="34"/>
    </row>
    <row r="19" spans="2:12" x14ac:dyDescent="0.25">
      <c r="B19" s="84"/>
      <c r="C19" s="91" t="s">
        <v>50</v>
      </c>
      <c r="D19" s="96">
        <v>0</v>
      </c>
      <c r="E19" s="81">
        <v>0</v>
      </c>
      <c r="F19" s="81">
        <v>0</v>
      </c>
      <c r="G19" s="81">
        <v>0</v>
      </c>
      <c r="H19" s="81">
        <v>0</v>
      </c>
      <c r="I19" s="82"/>
      <c r="J19" s="83" t="s">
        <v>42</v>
      </c>
    </row>
    <row r="20" spans="2:12" x14ac:dyDescent="0.25">
      <c r="B20" s="84"/>
      <c r="C20" s="85"/>
      <c r="D20" s="86"/>
      <c r="E20" s="86"/>
      <c r="F20" s="86"/>
      <c r="G20" s="86"/>
      <c r="H20" s="86"/>
      <c r="I20" s="87"/>
      <c r="J20" s="86">
        <f t="shared" ref="J20" si="8">SUM(D20:H20)</f>
        <v>0</v>
      </c>
    </row>
    <row r="21" spans="2:12" x14ac:dyDescent="0.25">
      <c r="B21" s="84"/>
      <c r="C21" s="89" t="s">
        <v>14</v>
      </c>
      <c r="D21" s="90">
        <f>SUM(D20:D20)</f>
        <v>0</v>
      </c>
      <c r="E21" s="90">
        <f>SUM(E20:E20)</f>
        <v>0</v>
      </c>
      <c r="F21" s="90">
        <f>SUM(F20:F20)</f>
        <v>0</v>
      </c>
      <c r="G21" s="90">
        <f>SUM(G20:G20)</f>
        <v>0</v>
      </c>
      <c r="H21" s="90">
        <f>SUM(H20:H20)</f>
        <v>0</v>
      </c>
      <c r="I21" s="82"/>
      <c r="J21" s="90">
        <f>SUM(J20:J20)</f>
        <v>0</v>
      </c>
    </row>
    <row r="22" spans="2:12" x14ac:dyDescent="0.25">
      <c r="B22" s="84"/>
      <c r="C22" s="91" t="s">
        <v>51</v>
      </c>
      <c r="D22" s="86"/>
      <c r="E22" s="81"/>
      <c r="F22" s="81"/>
      <c r="G22" s="81"/>
      <c r="H22" s="81"/>
      <c r="I22" s="82"/>
      <c r="J22" s="86" t="s">
        <v>20</v>
      </c>
    </row>
    <row r="23" spans="2:12" x14ac:dyDescent="0.25">
      <c r="B23" s="84"/>
      <c r="C23" s="85"/>
      <c r="D23" s="86"/>
      <c r="E23" s="81"/>
      <c r="F23" s="81"/>
      <c r="G23" s="81"/>
      <c r="H23" s="81"/>
      <c r="I23" s="82"/>
      <c r="J23" s="86">
        <f>SUM(D23:H23)</f>
        <v>0</v>
      </c>
    </row>
    <row r="24" spans="2:12" x14ac:dyDescent="0.25">
      <c r="B24" s="84" t="s">
        <v>52</v>
      </c>
      <c r="C24" s="96" t="s">
        <v>52</v>
      </c>
      <c r="D24" s="96" t="s">
        <v>42</v>
      </c>
      <c r="E24" s="81"/>
      <c r="F24" s="81"/>
      <c r="G24" s="81"/>
      <c r="H24" s="81"/>
      <c r="I24" s="82"/>
      <c r="J24" s="86">
        <f t="shared" ref="J24:J43" si="9">SUM(D24:H24)</f>
        <v>0</v>
      </c>
    </row>
    <row r="25" spans="2:12" x14ac:dyDescent="0.25">
      <c r="B25" s="84"/>
      <c r="C25" s="89" t="s">
        <v>15</v>
      </c>
      <c r="D25" s="97">
        <f>SUM(D23:D24)</f>
        <v>0</v>
      </c>
      <c r="E25" s="97">
        <f t="shared" ref="E25:H25" si="10">SUM(E23:E24)</f>
        <v>0</v>
      </c>
      <c r="F25" s="97">
        <f t="shared" si="10"/>
        <v>0</v>
      </c>
      <c r="G25" s="97">
        <f t="shared" si="10"/>
        <v>0</v>
      </c>
      <c r="H25" s="97">
        <f t="shared" si="10"/>
        <v>0</v>
      </c>
      <c r="I25" s="82"/>
      <c r="J25" s="90">
        <f>SUM(J23:J24)</f>
        <v>0</v>
      </c>
    </row>
    <row r="26" spans="2:12" x14ac:dyDescent="0.25">
      <c r="B26" s="84"/>
      <c r="C26" s="91" t="s">
        <v>53</v>
      </c>
      <c r="D26" s="96" t="s">
        <v>42</v>
      </c>
      <c r="E26" s="81"/>
      <c r="F26" s="81"/>
      <c r="G26" s="81"/>
      <c r="H26" s="81"/>
      <c r="I26" s="82"/>
      <c r="J26" s="86"/>
    </row>
    <row r="27" spans="2:12" x14ac:dyDescent="0.25">
      <c r="B27" s="84"/>
      <c r="C27" s="85"/>
      <c r="D27" s="86"/>
      <c r="E27" s="86"/>
      <c r="F27" s="86"/>
      <c r="G27" s="86"/>
      <c r="H27" s="86"/>
      <c r="I27" s="87"/>
      <c r="J27" s="86">
        <f t="shared" si="9"/>
        <v>0</v>
      </c>
    </row>
    <row r="28" spans="2:12" x14ac:dyDescent="0.25">
      <c r="B28" s="84"/>
      <c r="C28" s="85"/>
      <c r="D28" s="86"/>
      <c r="E28" s="95"/>
      <c r="F28" s="95"/>
      <c r="G28" s="95"/>
      <c r="H28" s="95"/>
      <c r="I28" s="82"/>
      <c r="J28" s="86">
        <f t="shared" si="9"/>
        <v>0</v>
      </c>
    </row>
    <row r="29" spans="2:12" x14ac:dyDescent="0.25">
      <c r="B29" s="84"/>
      <c r="C29" s="89" t="s">
        <v>16</v>
      </c>
      <c r="D29" s="90">
        <f>SUM(D27:D28)</f>
        <v>0</v>
      </c>
      <c r="E29" s="90">
        <f t="shared" ref="E29:H29" si="11">SUM(E27:E28)</f>
        <v>0</v>
      </c>
      <c r="F29" s="90">
        <f t="shared" si="11"/>
        <v>0</v>
      </c>
      <c r="G29" s="90">
        <f t="shared" si="11"/>
        <v>0</v>
      </c>
      <c r="H29" s="90">
        <f t="shared" si="11"/>
        <v>0</v>
      </c>
      <c r="I29" s="82"/>
      <c r="J29" s="90">
        <f>SUM(J27:J28)</f>
        <v>0</v>
      </c>
    </row>
    <row r="30" spans="2:12" x14ac:dyDescent="0.25">
      <c r="B30" s="84"/>
      <c r="C30" s="91" t="s">
        <v>54</v>
      </c>
      <c r="D30" s="96" t="s">
        <v>42</v>
      </c>
      <c r="E30" s="81"/>
      <c r="F30" s="81"/>
      <c r="G30" s="81"/>
      <c r="H30" s="81"/>
      <c r="I30" s="82"/>
      <c r="J30" s="86"/>
    </row>
    <row r="31" spans="2:12" x14ac:dyDescent="0.25">
      <c r="B31" s="84"/>
      <c r="C31" s="98" t="s">
        <v>55</v>
      </c>
      <c r="D31" s="86">
        <v>60000</v>
      </c>
      <c r="E31" s="86"/>
      <c r="F31" s="86"/>
      <c r="G31" s="86"/>
      <c r="H31" s="86"/>
      <c r="I31" s="87"/>
      <c r="J31" s="86">
        <f t="shared" si="9"/>
        <v>60000</v>
      </c>
    </row>
    <row r="32" spans="2:12" ht="30" x14ac:dyDescent="0.25">
      <c r="B32" s="84"/>
      <c r="C32" s="98" t="s">
        <v>56</v>
      </c>
      <c r="D32" s="86">
        <v>401000</v>
      </c>
      <c r="E32" s="86">
        <f>ROUND(449521,-2)</f>
        <v>449500</v>
      </c>
      <c r="F32" s="86">
        <f>ROUND(214521, -2)</f>
        <v>214500</v>
      </c>
      <c r="G32" s="86">
        <f>ROUND(117680,-2)</f>
        <v>117700</v>
      </c>
      <c r="H32" s="86">
        <f>ROUND(117278, -2)</f>
        <v>117300</v>
      </c>
      <c r="I32" s="87"/>
      <c r="J32" s="86">
        <f t="shared" si="9"/>
        <v>1300000</v>
      </c>
    </row>
    <row r="33" spans="2:12" ht="33" customHeight="1" x14ac:dyDescent="0.25">
      <c r="B33" s="84"/>
      <c r="C33" s="98" t="s">
        <v>57</v>
      </c>
      <c r="D33" s="86"/>
      <c r="E33" s="86">
        <f>ROUND(4885661,-2)</f>
        <v>4885700</v>
      </c>
      <c r="F33" s="86">
        <f>ROUND(2003750,-2)</f>
        <v>2003800</v>
      </c>
      <c r="G33" s="86">
        <f>ROUND(9188786,-2)</f>
        <v>9188800</v>
      </c>
      <c r="H33" s="86">
        <f>ROUND(10419187,-2)</f>
        <v>10419200</v>
      </c>
      <c r="I33" s="87"/>
      <c r="J33" s="86">
        <f t="shared" si="9"/>
        <v>26497500</v>
      </c>
    </row>
    <row r="34" spans="2:12" x14ac:dyDescent="0.25">
      <c r="B34" s="84"/>
      <c r="C34" s="98" t="s">
        <v>58</v>
      </c>
      <c r="D34" s="86"/>
      <c r="E34" s="86"/>
      <c r="F34" s="86">
        <f>705000/3</f>
        <v>235000</v>
      </c>
      <c r="G34" s="86">
        <f>F34</f>
        <v>235000</v>
      </c>
      <c r="H34" s="86">
        <f>G34</f>
        <v>235000</v>
      </c>
      <c r="I34" s="87"/>
      <c r="J34" s="86">
        <f t="shared" si="9"/>
        <v>705000</v>
      </c>
    </row>
    <row r="35" spans="2:12" ht="30.75" customHeight="1" x14ac:dyDescent="0.25">
      <c r="B35" s="84"/>
      <c r="C35" s="85" t="s">
        <v>59</v>
      </c>
      <c r="D35" s="86"/>
      <c r="E35" s="86"/>
      <c r="F35" s="86"/>
      <c r="G35" s="86"/>
      <c r="H35" s="86">
        <f>ROUND(341640, -2)</f>
        <v>341600</v>
      </c>
      <c r="I35" s="87"/>
      <c r="J35" s="86">
        <f t="shared" si="9"/>
        <v>341600</v>
      </c>
    </row>
    <row r="36" spans="2:12" x14ac:dyDescent="0.25">
      <c r="B36" s="84"/>
      <c r="C36" s="85" t="s">
        <v>60</v>
      </c>
      <c r="D36" s="86"/>
      <c r="E36" s="93"/>
      <c r="F36" s="86">
        <f>ROUNDDOWN(50000/3, -2)</f>
        <v>16600</v>
      </c>
      <c r="G36" s="86">
        <f t="shared" ref="G36" si="12">ROUND(50000/3, -2)</f>
        <v>16700</v>
      </c>
      <c r="H36" s="86">
        <f>ROUND(50000/3, -2)</f>
        <v>16700</v>
      </c>
      <c r="I36" s="87"/>
      <c r="J36" s="86">
        <f t="shared" si="9"/>
        <v>50000</v>
      </c>
      <c r="L36" s="72"/>
    </row>
    <row r="37" spans="2:12" ht="30" x14ac:dyDescent="0.25">
      <c r="B37" s="84"/>
      <c r="C37" s="85" t="s">
        <v>61</v>
      </c>
      <c r="D37" s="86">
        <f>$J$37/5</f>
        <v>40000</v>
      </c>
      <c r="E37" s="86">
        <f t="shared" ref="E37:H37" si="13">$J$37/5</f>
        <v>40000</v>
      </c>
      <c r="F37" s="86">
        <f t="shared" si="13"/>
        <v>40000</v>
      </c>
      <c r="G37" s="86">
        <f t="shared" si="13"/>
        <v>40000</v>
      </c>
      <c r="H37" s="86">
        <f t="shared" si="13"/>
        <v>40000</v>
      </c>
      <c r="I37" s="87"/>
      <c r="J37" s="86">
        <v>200000</v>
      </c>
      <c r="L37" s="72"/>
    </row>
    <row r="38" spans="2:12" x14ac:dyDescent="0.25">
      <c r="B38" s="84"/>
      <c r="C38" s="85"/>
      <c r="D38" s="86"/>
      <c r="E38" s="95"/>
      <c r="F38" s="95"/>
      <c r="G38" s="95"/>
      <c r="H38" s="95"/>
      <c r="I38" s="82"/>
      <c r="J38" s="86">
        <f t="shared" si="9"/>
        <v>0</v>
      </c>
    </row>
    <row r="39" spans="2:12" x14ac:dyDescent="0.25">
      <c r="B39" s="84"/>
      <c r="C39" s="89" t="s">
        <v>17</v>
      </c>
      <c r="D39" s="90">
        <f>SUM(D32:D38)</f>
        <v>441000</v>
      </c>
      <c r="E39" s="90">
        <f>SUM(E32:E38)</f>
        <v>5375200</v>
      </c>
      <c r="F39" s="90">
        <f>SUM(F32:F38)</f>
        <v>2509900</v>
      </c>
      <c r="G39" s="90">
        <f>SUM(G32:G38)</f>
        <v>9598200</v>
      </c>
      <c r="H39" s="90">
        <f>SUM(H32:H38)</f>
        <v>11169800</v>
      </c>
      <c r="I39" s="82"/>
      <c r="J39" s="90">
        <f>SUM(J32:J38)</f>
        <v>29094100</v>
      </c>
    </row>
    <row r="40" spans="2:12" x14ac:dyDescent="0.25">
      <c r="B40" s="84"/>
      <c r="C40" s="91" t="s">
        <v>62</v>
      </c>
      <c r="D40" s="96" t="s">
        <v>42</v>
      </c>
      <c r="E40" s="81"/>
      <c r="F40" s="81"/>
      <c r="G40" s="81"/>
      <c r="H40" s="81"/>
      <c r="I40" s="82"/>
      <c r="J40" s="86"/>
    </row>
    <row r="41" spans="2:12" x14ac:dyDescent="0.25">
      <c r="B41" s="84"/>
      <c r="C41" s="85" t="s">
        <v>63</v>
      </c>
      <c r="D41" s="86"/>
      <c r="E41" s="86">
        <f>ROUND(36472,-2)</f>
        <v>36500</v>
      </c>
      <c r="F41" s="86">
        <f>E41</f>
        <v>36500</v>
      </c>
      <c r="G41" s="86">
        <f t="shared" ref="G41:H41" si="14">F41</f>
        <v>36500</v>
      </c>
      <c r="H41" s="86">
        <f t="shared" si="14"/>
        <v>36500</v>
      </c>
      <c r="I41" s="82"/>
      <c r="J41" s="86">
        <f t="shared" ref="J41" si="15">SUM(D41:H41)</f>
        <v>146000</v>
      </c>
    </row>
    <row r="42" spans="2:12" ht="30" x14ac:dyDescent="0.25">
      <c r="B42" s="84"/>
      <c r="C42" s="85" t="s">
        <v>64</v>
      </c>
      <c r="D42" s="86"/>
      <c r="E42" s="86">
        <f>ROUND(805171/4, -2)</f>
        <v>201300</v>
      </c>
      <c r="F42" s="86">
        <f t="shared" ref="F42:H42" si="16">ROUND(805171/4, -2)</f>
        <v>201300</v>
      </c>
      <c r="G42" s="86">
        <f t="shared" si="16"/>
        <v>201300</v>
      </c>
      <c r="H42" s="86">
        <f t="shared" si="16"/>
        <v>201300</v>
      </c>
      <c r="I42" s="82"/>
      <c r="J42" s="86">
        <f>SUM(D42:H42)</f>
        <v>805200</v>
      </c>
    </row>
    <row r="43" spans="2:12" x14ac:dyDescent="0.25">
      <c r="B43" s="84"/>
      <c r="C43" s="81"/>
      <c r="D43" s="86"/>
      <c r="E43" s="95"/>
      <c r="F43" s="95"/>
      <c r="G43" s="95"/>
      <c r="H43" s="95"/>
      <c r="I43" s="82"/>
      <c r="J43" s="86">
        <f t="shared" si="9"/>
        <v>0</v>
      </c>
    </row>
    <row r="44" spans="2:12" x14ac:dyDescent="0.25">
      <c r="B44" s="99"/>
      <c r="C44" s="89" t="s">
        <v>18</v>
      </c>
      <c r="D44" s="90">
        <f>SUM(D41:D43)</f>
        <v>0</v>
      </c>
      <c r="E44" s="90">
        <f>SUM(E41:E43)</f>
        <v>237800</v>
      </c>
      <c r="F44" s="90">
        <f>SUM(F41:F43)</f>
        <v>237800</v>
      </c>
      <c r="G44" s="90">
        <f>SUM(G41:G43)</f>
        <v>237800</v>
      </c>
      <c r="H44" s="90">
        <f>SUM(H41:H43)</f>
        <v>237800</v>
      </c>
      <c r="I44" s="82"/>
      <c r="J44" s="90">
        <f>SUM(J41:J43)</f>
        <v>951200</v>
      </c>
    </row>
    <row r="45" spans="2:12" x14ac:dyDescent="0.25">
      <c r="B45" s="99"/>
      <c r="C45" s="89" t="s">
        <v>19</v>
      </c>
      <c r="D45" s="90">
        <f>SUM(D44,D39,D29,D25,D21,D18,D13)</f>
        <v>824400</v>
      </c>
      <c r="E45" s="90">
        <f>SUM(E44,E39,E29,E25,E21,E18,E13)</f>
        <v>5996400</v>
      </c>
      <c r="F45" s="90">
        <f>SUM(F44,F39,F29,F25,F21,F18,F13)</f>
        <v>3131100</v>
      </c>
      <c r="G45" s="90">
        <f>SUM(G44,G39,G29,G25,G21,G18,G13)</f>
        <v>10219400</v>
      </c>
      <c r="H45" s="90">
        <f>SUM(H44,H39,H29,H25,H21,H18,H13)</f>
        <v>11791000</v>
      </c>
      <c r="I45" s="82"/>
      <c r="J45" s="90">
        <f>SUM(D45:H45)</f>
        <v>31962300</v>
      </c>
      <c r="K45" s="34"/>
    </row>
    <row r="46" spans="2:12" x14ac:dyDescent="0.25">
      <c r="B46" s="92"/>
      <c r="C46" s="82"/>
      <c r="D46" s="82"/>
      <c r="E46" s="82"/>
      <c r="F46" s="82"/>
      <c r="G46" s="82"/>
      <c r="H46" s="82"/>
      <c r="I46" s="82"/>
      <c r="J46" s="82" t="s">
        <v>20</v>
      </c>
    </row>
    <row r="47" spans="2:12" ht="30" x14ac:dyDescent="0.25">
      <c r="B47" s="79" t="s">
        <v>65</v>
      </c>
      <c r="C47" s="100" t="s">
        <v>65</v>
      </c>
      <c r="D47" s="83"/>
      <c r="E47" s="83"/>
      <c r="F47" s="83"/>
      <c r="G47" s="83"/>
      <c r="H47" s="83"/>
      <c r="I47" s="82"/>
      <c r="J47" s="83" t="s">
        <v>20</v>
      </c>
    </row>
    <row r="48" spans="2:12" x14ac:dyDescent="0.25">
      <c r="B48" s="84"/>
      <c r="C48" s="85"/>
      <c r="D48" s="96"/>
      <c r="E48" s="81"/>
      <c r="F48" s="81"/>
      <c r="G48" s="81"/>
      <c r="H48" s="101"/>
      <c r="I48" s="82"/>
      <c r="J48" s="86"/>
    </row>
    <row r="49" spans="2:10" x14ac:dyDescent="0.25">
      <c r="B49" s="84"/>
      <c r="C49" s="82"/>
      <c r="D49" s="92"/>
      <c r="E49" s="93"/>
      <c r="F49" s="82"/>
      <c r="G49" s="82"/>
      <c r="H49" s="93"/>
      <c r="I49" s="82"/>
      <c r="J49" s="82"/>
    </row>
    <row r="50" spans="2:10" x14ac:dyDescent="0.25">
      <c r="B50" s="99"/>
      <c r="C50" s="89" t="s">
        <v>21</v>
      </c>
      <c r="D50" s="90">
        <f>SUM(D48:D49)</f>
        <v>0</v>
      </c>
      <c r="E50" s="90">
        <f t="shared" ref="E50:H50" si="17">SUM(E48:E49)</f>
        <v>0</v>
      </c>
      <c r="F50" s="90">
        <f t="shared" si="17"/>
        <v>0</v>
      </c>
      <c r="G50" s="90">
        <f t="shared" si="17"/>
        <v>0</v>
      </c>
      <c r="H50" s="90">
        <f t="shared" si="17"/>
        <v>0</v>
      </c>
      <c r="I50" s="82"/>
      <c r="J50" s="90">
        <f>SUM(J48:J49)</f>
        <v>0</v>
      </c>
    </row>
    <row r="51" spans="2:10" ht="15.75" thickBot="1" x14ac:dyDescent="0.3">
      <c r="B51" s="92"/>
      <c r="C51" s="82"/>
      <c r="D51" s="82"/>
      <c r="E51" s="82"/>
      <c r="F51" s="82"/>
      <c r="G51" s="82"/>
      <c r="H51" s="82"/>
      <c r="I51" s="82"/>
      <c r="J51" s="82" t="s">
        <v>20</v>
      </c>
    </row>
    <row r="52" spans="2:10" ht="30.75" thickBot="1" x14ac:dyDescent="0.3">
      <c r="B52" s="102" t="s">
        <v>22</v>
      </c>
      <c r="C52" s="102"/>
      <c r="D52" s="103">
        <f>SUM(D50,D45)</f>
        <v>824400</v>
      </c>
      <c r="E52" s="103">
        <f>SUM(E50,E45)</f>
        <v>5996400</v>
      </c>
      <c r="F52" s="103">
        <f>SUM(F50,F45)</f>
        <v>3131100</v>
      </c>
      <c r="G52" s="103">
        <f>SUM(G50,G45)</f>
        <v>10219400</v>
      </c>
      <c r="H52" s="103">
        <f>SUM(H50,H45)</f>
        <v>11791000</v>
      </c>
      <c r="I52" s="82"/>
      <c r="J52" s="103">
        <f>SUM(J50,J45)</f>
        <v>31962300</v>
      </c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s="1" customFormat="1" x14ac:dyDescent="0.25">
      <c r="B59" s="6"/>
      <c r="C59"/>
      <c r="D59" s="6"/>
      <c r="E59" s="2"/>
      <c r="F59"/>
      <c r="G59"/>
      <c r="H59" s="2"/>
      <c r="I59" s="7"/>
      <c r="J59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</sheetData>
  <phoneticPr fontId="21" type="noConversion"/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62</v>
      </c>
      <c r="D43" s="13" t="s">
        <v>42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65</v>
      </c>
      <c r="C53" s="17" t="s">
        <v>65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J23" sqref="J23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42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65</v>
      </c>
      <c r="C53" s="17" t="s">
        <v>65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52</v>
      </c>
      <c r="E19" s="11" t="s">
        <v>52</v>
      </c>
      <c r="F19" s="11" t="s">
        <v>52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66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65</v>
      </c>
      <c r="C52" s="17" t="s">
        <v>65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62</v>
      </c>
      <c r="D42" s="13" t="s">
        <v>42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65</v>
      </c>
      <c r="C52" s="17" t="s">
        <v>65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6" zoomScale="85" zoomScaleNormal="85" workbookViewId="0">
      <selection activeCell="C36" sqref="C36:C3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69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 t="s">
        <v>70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9" t="s">
        <v>71</v>
      </c>
      <c r="D18" s="15" t="s">
        <v>52</v>
      </c>
      <c r="E18" s="11" t="s">
        <v>52</v>
      </c>
      <c r="F18" s="11" t="s">
        <v>52</v>
      </c>
      <c r="G18" s="11"/>
      <c r="H18" s="11"/>
      <c r="J18" s="15"/>
    </row>
    <row r="19" spans="2:10" x14ac:dyDescent="0.25">
      <c r="B19" s="23"/>
      <c r="C19" s="29" t="s">
        <v>72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73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74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75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76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77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78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51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79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52</v>
      </c>
      <c r="C29" s="28" t="s">
        <v>52</v>
      </c>
      <c r="D29" s="13" t="s">
        <v>42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53</v>
      </c>
      <c r="D31" s="13" t="s">
        <v>42</v>
      </c>
      <c r="E31" s="10"/>
      <c r="F31" s="10"/>
      <c r="G31" s="10"/>
      <c r="H31" s="10"/>
      <c r="J31" s="15"/>
    </row>
    <row r="32" spans="2:10" x14ac:dyDescent="0.25">
      <c r="B32" s="23"/>
      <c r="C32" s="25" t="s">
        <v>80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54</v>
      </c>
      <c r="D35" s="13" t="s">
        <v>42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81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82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83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62</v>
      </c>
      <c r="D41" s="13" t="s">
        <v>42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84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85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65</v>
      </c>
      <c r="C48" s="17" t="s">
        <v>65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48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25">
      <c r="B13" s="23"/>
      <c r="C13" s="25" t="s">
        <v>70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50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25">
      <c r="B18" s="23"/>
      <c r="C18" s="25" t="s">
        <v>86</v>
      </c>
      <c r="D18" s="13"/>
      <c r="E18" s="10"/>
      <c r="F18" s="10"/>
      <c r="G18" s="10"/>
      <c r="H18" s="10"/>
      <c r="J18" s="15" t="s">
        <v>42</v>
      </c>
    </row>
    <row r="19" spans="2:10" x14ac:dyDescent="0.25">
      <c r="B19" s="23"/>
      <c r="C19" s="29" t="s">
        <v>71</v>
      </c>
      <c r="D19" s="15" t="s">
        <v>52</v>
      </c>
      <c r="E19" s="11" t="s">
        <v>52</v>
      </c>
      <c r="F19" s="11" t="s">
        <v>52</v>
      </c>
      <c r="G19" s="11"/>
      <c r="H19" s="11"/>
      <c r="J19" s="15"/>
    </row>
    <row r="20" spans="2:10" x14ac:dyDescent="0.25">
      <c r="B20" s="23"/>
      <c r="C20" s="29" t="s">
        <v>72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73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74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75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76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77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78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51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52</v>
      </c>
      <c r="C30" s="28" t="s">
        <v>52</v>
      </c>
      <c r="D30" s="13" t="s">
        <v>42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53</v>
      </c>
      <c r="D32" s="13" t="s">
        <v>42</v>
      </c>
      <c r="E32" s="10"/>
      <c r="F32" s="10"/>
      <c r="G32" s="10"/>
      <c r="H32" s="10"/>
      <c r="J32" s="15"/>
    </row>
    <row r="33" spans="2:10" x14ac:dyDescent="0.25">
      <c r="B33" s="23"/>
      <c r="C33" s="25" t="s">
        <v>87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54</v>
      </c>
      <c r="D36" s="13" t="s">
        <v>42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42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88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89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90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65</v>
      </c>
      <c r="C53" s="17" t="s">
        <v>65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Retention" ma:contentTypeID="0x0101003C342E8B05BFF6458C47A1FE224FD53E003DC802457863C04599D377BDB288B487" ma:contentTypeVersion="62" ma:contentTypeDescription="Content type is for Document Retention" ma:contentTypeScope="" ma:versionID="646286d2222c082ac5abbd7509580628">
  <xsd:schema xmlns:xsd="http://www.w3.org/2001/XMLSchema" xmlns:xs="http://www.w3.org/2001/XMLSchema" xmlns:p="http://schemas.microsoft.com/office/2006/metadata/properties" xmlns:ns1="http://schemas.microsoft.com/sharepoint/v3" xmlns:ns2="26ee3924-799d-4b59-ac9e-492af8226641" xmlns:ns3="afbe3252-3da5-436d-9c1d-9369b982a509" xmlns:ns4="dc89d084-24e0-470a-98fe-819dc695751e" targetNamespace="http://schemas.microsoft.com/office/2006/metadata/properties" ma:root="true" ma:fieldsID="3b3ddbd22f3a1322e92a791f02ff08a4" ns1:_="" ns2:_="" ns3:_="" ns4:_="">
    <xsd:import namespace="http://schemas.microsoft.com/sharepoint/v3"/>
    <xsd:import namespace="26ee3924-799d-4b59-ac9e-492af8226641"/>
    <xsd:import namespace="afbe3252-3da5-436d-9c1d-9369b982a509"/>
    <xsd:import namespace="dc89d084-24e0-470a-98fe-819dc695751e"/>
    <xsd:element name="properties">
      <xsd:complexType>
        <xsd:sequence>
          <xsd:element name="documentManagement">
            <xsd:complexType>
              <xsd:all>
                <xsd:element ref="ns2:PortRetentionKey" minOccurs="0"/>
                <xsd:element ref="ns2:PortRetentionTriggerStartDat20e" minOccurs="0"/>
                <xsd:element ref="ns2:PortRetentionExpirationDate" minOccurs="0"/>
                <xsd:element ref="ns2:PortRetentionDestructionDate" minOccurs="0"/>
                <xsd:element ref="ns2:PortRetentionInDocSetFlag" minOccurs="0"/>
                <xsd:element ref="ns1:_dlc_Exempt" minOccurs="0"/>
                <xsd:element ref="ns1:_dlc_ExpireDateSaved" minOccurs="0"/>
                <xsd:element ref="ns1:_dlc_ExpireDate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3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4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15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e3924-799d-4b59-ac9e-492af8226641" elementFormDefault="qualified">
    <xsd:import namespace="http://schemas.microsoft.com/office/2006/documentManagement/types"/>
    <xsd:import namespace="http://schemas.microsoft.com/office/infopath/2007/PartnerControls"/>
    <xsd:element name="PortRetentionKey" ma:index="8" nillable="true" ma:displayName="File Series" ma:default="None" ma:format="Dropdown" ma:internalName="PortRetentionKey">
      <xsd:simpleType>
        <xsd:restriction base="dms:Choice">
          <xsd:enumeration value="None"/>
          <xsd:enumeration value="Completion + 5"/>
          <xsd:enumeration value="Completion + 10"/>
          <xsd:enumeration value="Expiration + 5"/>
          <xsd:enumeration value="Permanent"/>
        </xsd:restriction>
      </xsd:simpleType>
    </xsd:element>
    <xsd:element name="PortRetentionTriggerStartDat20e" ma:index="9" nillable="true" ma:displayName="Trigger Date" ma:format="DateOnly" ma:internalName="PortRetentionTriggerStartDate">
      <xsd:simpleType>
        <xsd:restriction base="dms:DateTime"/>
      </xsd:simpleType>
    </xsd:element>
    <xsd:element name="PortRetentionExpirationDate" ma:index="10" nillable="true" ma:displayName="Eligible For Destruction" ma:format="DateOnly" ma:hidden="true" ma:internalName="PortRetentionExpirationDate" ma:readOnly="false">
      <xsd:simpleType>
        <xsd:restriction base="dms:DateTime"/>
      </xsd:simpleType>
    </xsd:element>
    <xsd:element name="PortRetentionDestructionDate" ma:index="11" nillable="true" ma:displayName="Destruction Date" ma:format="DateOnly" ma:hidden="true" ma:internalName="PortRetentionDestructionDate" ma:readOnly="false">
      <xsd:simpleType>
        <xsd:restriction base="dms:DateTime"/>
      </xsd:simpleType>
    </xsd:element>
    <xsd:element name="PortRetentionInDocSetFlag" ma:index="12" nillable="true" ma:displayName="Is Doc in a Doc Set" ma:default="0" ma:internalName="PortRetentionInDocSetFla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e3252-3da5-436d-9c1d-9369b982a50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eefe213-a710-48ef-a469-987646fd95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9d084-24e0-470a-98fe-819dc695751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cae8025-0237-442b-82a2-44cb930433a7}" ma:internalName="TaxCatchAll" ma:showField="CatchAllData" ma:web="dc89d084-24e0-470a-98fe-819dc69575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be3252-3da5-436d-9c1d-9369b982a509">
      <Terms xmlns="http://schemas.microsoft.com/office/infopath/2007/PartnerControls"/>
    </lcf76f155ced4ddcb4097134ff3c332f>
    <TaxCatchAll xmlns="dc89d084-24e0-470a-98fe-819dc695751e" xsi:nil="true"/>
    <PortRetentionExpirationDate xmlns="26ee3924-799d-4b59-ac9e-492af8226641" xsi:nil="true"/>
    <PortRetentionDestructionDate xmlns="26ee3924-799d-4b59-ac9e-492af8226641" xsi:nil="true"/>
    <PortRetentionInDocSetFlag xmlns="26ee3924-799d-4b59-ac9e-492af8226641">false</PortRetentionInDocSetFlag>
    <PortRetentionKey xmlns="26ee3924-799d-4b59-ac9e-492af8226641">None</PortRetentionKey>
    <PortRetentionTriggerStartDat20e xmlns="26ee3924-799d-4b59-ac9e-492af8226641" xsi:nil="true"/>
  </documentManagement>
</p:properties>
</file>

<file path=customXml/item5.xml><?xml version="1.0" encoding="utf-8"?>
<?mso-contentType ?>
<p:Policy xmlns:p="office.server.policy" id="" local="true">
  <p:Name>DocumentRetention</p:Name>
  <p:Description/>
  <p:Statement/>
  <p:PolicyItems>
    <p:PolicyItem featureId="Microsoft.Office.RecordsManagement.PolicyFeatures.Expiration" staticId="0x0101003C342E8B05BFF6458C47A1FE224FD53E|781879962" UniqueId="680c001f-0f3e-4f5d-a7d4-bcfd6b8e9ced">
      <p:Name>Retention</p:Name>
      <p:Description>Automatic scheduling of content for processing, and performing a retention action on content that has reached its due date.</p:Description>
      <p:CustomData>
        <Schedules nextStageId="3">
          <Schedule type="Default">
            <stages>
              <data stageId="1">
                <formula id="Microsoft.Office.RecordsManagement.PolicyFeatures.Expiration.Formula.BuiltIn">
                  <number>25</number>
                  <property>Modified</property>
                  <propertyId>28cf69c5-fa48-462a-b5cd-27b6f9d2bd5f</propertyId>
                  <period>months</period>
                </formula>
                <action type="action" id="Microsoft.Office.RecordsManagement.PolicyFeatures.Expiration.Action.Skip"/>
              </data>
              <data stageId="2" stageDeleted="true"/>
            </stages>
          </Schedule>
        </Schedules>
      </p:CustomData>
    </p:PolicyItem>
  </p:PolicyItems>
</p:Policy>
</file>

<file path=customXml/item6.xml><?xml version="1.0" encoding="utf-8"?>
<?mso-contentType ?>
<SharedContentType xmlns="Microsoft.SharePoint.Taxonomy.ContentTypeSync" SourceId="ceefe213-a710-48ef-a469-987646fd95b1" ContentTypeId="0x0101003C342E8B05BFF6458C47A1FE224FD53E" PreviousValue="false"/>
</file>

<file path=customXml/item7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8.xml><?xml version="1.0" encoding="utf-8"?>
<?mso-contentType ?>
<PolicyDirtyBag xmlns="microsoft.office.server.policy.changes">
  <Microsoft.Office.RecordsManagement.PolicyFeatures.Expiration op="Change"/>
</PolicyDirtyBag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9A0C8C-9A64-44B8-B7FF-D61F21157E6F}"/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6311012d-c32c-4ec1-ad40-b15fd75245cf"/>
    <ds:schemaRef ds:uri="448f3437-6110-4f96-93cd-af52bcb3f4b8"/>
    <ds:schemaRef ds:uri="http://schemas.microsoft.com/sharepoint/v3"/>
  </ds:schemaRefs>
</ds:datastoreItem>
</file>

<file path=customXml/itemProps5.xml><?xml version="1.0" encoding="utf-8"?>
<ds:datastoreItem xmlns:ds="http://schemas.openxmlformats.org/officeDocument/2006/customXml" ds:itemID="{DDB4C3AB-8B55-4255-93CA-E4CCF714745E}"/>
</file>

<file path=customXml/itemProps6.xml><?xml version="1.0" encoding="utf-8"?>
<ds:datastoreItem xmlns:ds="http://schemas.openxmlformats.org/officeDocument/2006/customXml" ds:itemID="{4364C5C3-5289-4FC7-BE17-472BD1AAF1E8}"/>
</file>

<file path=customXml/itemProps7.xml><?xml version="1.0" encoding="utf-8"?>
<ds:datastoreItem xmlns:ds="http://schemas.openxmlformats.org/officeDocument/2006/customXml" ds:itemID="{85D52927-A341-429C-8B34-DA262166AA15}"/>
</file>

<file path=customXml/itemProps8.xml><?xml version="1.0" encoding="utf-8"?>
<ds:datastoreItem xmlns:ds="http://schemas.openxmlformats.org/officeDocument/2006/customXml" ds:itemID="{4B595280-AF59-456F-B169-ED512CE853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2024-03-29T19:41:52Z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