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https://camsys.sharepoint.com/sites/PROJPortofOaklandGrantSupport/Shared Documents/General/2024 EPA CPRG - Airport/Emissions/"/>
    </mc:Choice>
  </mc:AlternateContent>
  <xr:revisionPtr revIDLastSave="345" documentId="8_{4AA14B34-54A2-4FE5-9048-DEC45BD2CB35}" xr6:coauthVersionLast="47" xr6:coauthVersionMax="47" xr10:uidLastSave="{C380EF19-D946-4CD8-BD03-D4448122ED8C}"/>
  <bookViews>
    <workbookView xWindow="7812" yWindow="-17496" windowWidth="31152" windowHeight="1650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G43" i="1"/>
  <c r="H43" i="1"/>
  <c r="E43" i="1"/>
  <c r="F57" i="1"/>
  <c r="B12" i="1"/>
  <c r="B13" i="1" s="1"/>
  <c r="B22" i="1"/>
  <c r="B20" i="1"/>
  <c r="B55" i="1"/>
  <c r="E20" i="1"/>
  <c r="B24" i="1" l="1"/>
  <c r="B21" i="1"/>
  <c r="B6" i="1"/>
  <c r="B14" i="1" s="1"/>
  <c r="B8" i="1" l="1"/>
  <c r="F34" i="1" s="1"/>
  <c r="B26" i="1"/>
  <c r="B27" i="1" s="1"/>
  <c r="B28" i="1" s="1"/>
  <c r="B29" i="1" s="1"/>
  <c r="B36" i="1"/>
  <c r="F36" i="1" s="1"/>
  <c r="F33" i="1" l="1"/>
  <c r="F35" i="1"/>
  <c r="F32" i="1"/>
  <c r="G34" i="1" s="1"/>
  <c r="H34" i="1" s="1"/>
  <c r="J44" i="1"/>
  <c r="Q32" i="1"/>
  <c r="F37" i="1"/>
  <c r="G37" i="1" s="1"/>
  <c r="H37" i="1" s="1"/>
  <c r="G36" i="1"/>
  <c r="H36" i="1" s="1"/>
  <c r="G33" i="1"/>
  <c r="H33" i="1" s="1"/>
  <c r="G35" i="1" l="1"/>
  <c r="H35" i="1" s="1"/>
  <c r="K34" i="1"/>
  <c r="J34" i="1"/>
  <c r="K35" i="1"/>
  <c r="J35" i="1"/>
  <c r="K33" i="1"/>
  <c r="J33" i="1"/>
  <c r="K36" i="1"/>
  <c r="J36" i="1"/>
  <c r="K37" i="1"/>
  <c r="M37" i="1" s="1"/>
  <c r="J37" i="1"/>
  <c r="L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Porter</author>
  </authors>
  <commentList>
    <comment ref="G44" authorId="0" shapeId="0" xr:uid="{9F42E87C-96AC-4342-B885-54B284ACAC18}">
      <text>
        <r>
          <rPr>
            <b/>
            <sz val="9"/>
            <color indexed="81"/>
            <rFont val="Tahoma"/>
            <family val="2"/>
          </rPr>
          <t>Chris Porter:</t>
        </r>
        <r>
          <rPr>
            <sz val="9"/>
            <color indexed="81"/>
            <rFont val="Tahoma"/>
            <family val="2"/>
          </rPr>
          <t xml:space="preserve">
PM2.5</t>
        </r>
      </text>
    </comment>
  </commentList>
</comments>
</file>

<file path=xl/sharedStrings.xml><?xml version="1.0" encoding="utf-8"?>
<sst xmlns="http://schemas.openxmlformats.org/spreadsheetml/2006/main" count="82" uniqueCount="71">
  <si>
    <t>Volume of RNG supplied:</t>
  </si>
  <si>
    <t>mmBTU/day</t>
  </si>
  <si>
    <t xml:space="preserve">Source: </t>
  </si>
  <si>
    <t>waste from a local milk processing plant (mostly milk solids) and a local beverage manufacturer (mostly sugar)</t>
  </si>
  <si>
    <t>g/MJ</t>
  </si>
  <si>
    <t>North American natural gas</t>
  </si>
  <si>
    <t>Carbon intensity:</t>
  </si>
  <si>
    <t>California producer, landfill-diverted food scraps transported by pipeline</t>
  </si>
  <si>
    <t>B042001</t>
  </si>
  <si>
    <t>California producer, landfill-diverted food scraps &amp; urban landscaping waste transported by pipeline</t>
  </si>
  <si>
    <t>B048501</t>
  </si>
  <si>
    <t>California producer, wastewater sludge dispensed by pipeline (average, 5)</t>
  </si>
  <si>
    <t>CA food scraps + pipeline, average</t>
  </si>
  <si>
    <t>BTU/MJ</t>
  </si>
  <si>
    <t>mmBTU/year</t>
  </si>
  <si>
    <t>MJ/year</t>
  </si>
  <si>
    <t>tonnes CO2/year</t>
  </si>
  <si>
    <t>delta</t>
  </si>
  <si>
    <t>2025-2030</t>
  </si>
  <si>
    <t>2025-2050</t>
  </si>
  <si>
    <t>BTU/truck</t>
  </si>
  <si>
    <t>miles per round trip</t>
  </si>
  <si>
    <t>mpgde (AEO Freight  Truck, 2028)</t>
  </si>
  <si>
    <t>gal diesel per trip</t>
  </si>
  <si>
    <t>Freight Truck</t>
  </si>
  <si>
    <t>Transportation: Energy Efficiency Indicators: Freight Truck: Reference case</t>
  </si>
  <si>
    <t>AEO.2023.REF2023.EFI_NA_TRN_HWY_FRTT_STK_NA_MLSPGLN.A</t>
  </si>
  <si>
    <t>mpg</t>
  </si>
  <si>
    <t>full name</t>
  </si>
  <si>
    <t>api key</t>
  </si>
  <si>
    <t>units</t>
  </si>
  <si>
    <t>Growth (2022-2050)</t>
  </si>
  <si>
    <t>mt CO2/gal diesel</t>
  </si>
  <si>
    <t>truck trips/year</t>
  </si>
  <si>
    <t>truck VMT/year</t>
  </si>
  <si>
    <t>gal diesel/year</t>
  </si>
  <si>
    <t>mt CO2/year</t>
  </si>
  <si>
    <t>Truck transport emissions:</t>
  </si>
  <si>
    <t>delta including trucks</t>
  </si>
  <si>
    <t>Assumption</t>
  </si>
  <si>
    <t>Start year of trucking</t>
  </si>
  <si>
    <t>Start year of pipeline</t>
  </si>
  <si>
    <t>Based on our current schedule, we would be ready to accept trucked RNG beginning 2027. Our pipeline would be up and running beginning 2029.</t>
  </si>
  <si>
    <t>Brenden Power</t>
  </si>
  <si>
    <t>Unique system capacity of up to 645,014 SCF</t>
  </si>
  <si>
    <t>https://www.qtww.com/product/virtual-pipeline-cng/</t>
  </si>
  <si>
    <t>(45' shipping container packed with tanks)</t>
  </si>
  <si>
    <t>84,000 SCF in a 10' container</t>
  </si>
  <si>
    <t>BTU/scf</t>
  </si>
  <si>
    <t>scf/trailer</t>
  </si>
  <si>
    <t>https://www.eia.gov/energyexplained/units-and-calculators/british-thermal-units.php</t>
  </si>
  <si>
    <t>million</t>
  </si>
  <si>
    <t>Project grant funded cost:</t>
  </si>
  <si>
    <t>Cost-Effectiveness</t>
  </si>
  <si>
    <t>Flare:</t>
  </si>
  <si>
    <t>scf/m annual average</t>
  </si>
  <si>
    <t>scf/year</t>
  </si>
  <si>
    <t>of annual average avoided by Port diversion</t>
  </si>
  <si>
    <t>Flare emissions:</t>
  </si>
  <si>
    <t>Biogas Upgrading System online, Tail Gas at 21% Methane + Natural Gas</t>
  </si>
  <si>
    <t>Nox</t>
  </si>
  <si>
    <t>SO2</t>
  </si>
  <si>
    <t>POC</t>
  </si>
  <si>
    <t>t/yr</t>
  </si>
  <si>
    <t>Avoided flare emissions</t>
  </si>
  <si>
    <t>$/ton</t>
  </si>
  <si>
    <t>Damage costs</t>
  </si>
  <si>
    <t>PM10</t>
  </si>
  <si>
    <t>Brown and Caldwell (2022), San Leandro WPCP Biogas Upgrading Project Air Permit Application, prepared for City of San Leandro.</t>
  </si>
  <si>
    <t>Biogas Upgrading System offline, Biogas Flared</t>
  </si>
  <si>
    <t>Google maps, San Leandro water treatment plant to Oakland Airport (approximate - exact length depends on destination/access)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</si>
</sst>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0_);_(* \(#,##0.00000\);_(* &quot;-&quot;??_);_(@_)"/>
    <numFmt numFmtId="166" formatCode="_(&quot;$&quot;* #,##0_);_(&quot;$&quot;* \(#,##0\);_(&quot;$&quot;* &quot;-&quot;??_);_(@_)"/>
    <numFmt numFmtId="167" formatCode="_(* #,##0.0_);_(* \(#,##0.0\);_(* &quot;-&quot;??_);_(@_)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Aptos"/>
      <family val="2"/>
    </font>
    <font>
      <b/>
      <sz val="11"/>
      <color rgb="FF3660AC"/>
      <name val="Aptos"/>
      <family val="2"/>
    </font>
    <font>
      <u/>
      <sz val="11"/>
      <color theme="1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0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164" fontId="0" fillId="2" borderId="0" xfId="0" applyNumberFormat="1" applyFill="1"/>
    <xf numFmtId="164" fontId="0" fillId="3" borderId="0" xfId="0" applyNumberFormat="1" applyFill="1"/>
    <xf numFmtId="0" fontId="0" fillId="4" borderId="0" xfId="0" applyFill="1"/>
    <xf numFmtId="164" fontId="0" fillId="5" borderId="0" xfId="0" applyNumberFormat="1" applyFill="1"/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quotePrefix="1"/>
    <xf numFmtId="0" fontId="6" fillId="0" borderId="0" xfId="3"/>
    <xf numFmtId="166" fontId="0" fillId="3" borderId="0" xfId="2" applyNumberFormat="1" applyFont="1" applyFill="1"/>
    <xf numFmtId="166" fontId="0" fillId="2" borderId="0" xfId="2" applyNumberFormat="1" applyFont="1" applyFill="1"/>
    <xf numFmtId="167" fontId="0" fillId="3" borderId="0" xfId="0" applyNumberFormat="1" applyFill="1"/>
    <xf numFmtId="167" fontId="0" fillId="2" borderId="0" xfId="0" applyNumberFormat="1" applyFill="1"/>
    <xf numFmtId="9" fontId="0" fillId="0" borderId="0" xfId="4" applyFont="1"/>
    <xf numFmtId="166" fontId="0" fillId="0" borderId="0" xfId="2" applyNumberFormat="1" applyFont="1"/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Percent" xfId="4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qtww.com/product/virtual-pipeline-cng/" TargetMode="External"/><Relationship Id="rId1" Type="http://schemas.openxmlformats.org/officeDocument/2006/relationships/hyperlink" Target="https://www.eia.gov/energyexplained/units-and-calculators/british-thermal-units.ph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57"/>
  <sheetViews>
    <sheetView tabSelected="1" zoomScaleNormal="100" workbookViewId="0">
      <selection activeCell="D23" sqref="D23"/>
    </sheetView>
  </sheetViews>
  <sheetFormatPr defaultRowHeight="14.75" x14ac:dyDescent="0.75"/>
  <cols>
    <col min="1" max="1" width="2.7265625" customWidth="1"/>
    <col min="2" max="2" width="14.54296875" customWidth="1"/>
    <col min="3" max="3" width="11.953125" customWidth="1"/>
    <col min="4" max="4" width="52.6796875" customWidth="1"/>
    <col min="5" max="5" width="10.04296875" customWidth="1"/>
    <col min="6" max="6" width="9.26953125" customWidth="1"/>
    <col min="7" max="8" width="10.36328125" customWidth="1"/>
    <col min="9" max="9" width="3.81640625" customWidth="1"/>
    <col min="10" max="10" width="10.953125" bestFit="1" customWidth="1"/>
    <col min="11" max="11" width="9.953125" bestFit="1" customWidth="1"/>
    <col min="12" max="13" width="9.81640625" customWidth="1"/>
  </cols>
  <sheetData>
    <row r="3" spans="2:4" x14ac:dyDescent="0.75">
      <c r="B3" t="s">
        <v>2</v>
      </c>
      <c r="C3" s="2" t="s">
        <v>3</v>
      </c>
    </row>
    <row r="4" spans="2:4" x14ac:dyDescent="0.75">
      <c r="B4" s="1" t="s">
        <v>0</v>
      </c>
    </row>
    <row r="5" spans="2:4" x14ac:dyDescent="0.75">
      <c r="B5" s="14">
        <v>96</v>
      </c>
      <c r="C5" t="s">
        <v>1</v>
      </c>
    </row>
    <row r="6" spans="2:4" x14ac:dyDescent="0.75">
      <c r="B6" s="4">
        <f>B5*365</f>
        <v>35040</v>
      </c>
      <c r="C6" t="s">
        <v>14</v>
      </c>
    </row>
    <row r="7" spans="2:4" x14ac:dyDescent="0.75">
      <c r="B7">
        <v>947</v>
      </c>
      <c r="C7" t="s">
        <v>13</v>
      </c>
    </row>
    <row r="8" spans="2:4" x14ac:dyDescent="0.75">
      <c r="B8" s="5">
        <f>B6*1000000/B7</f>
        <v>37001055.966209084</v>
      </c>
      <c r="C8" t="s">
        <v>15</v>
      </c>
    </row>
    <row r="9" spans="2:4" x14ac:dyDescent="0.75">
      <c r="B9" s="5"/>
    </row>
    <row r="10" spans="2:4" x14ac:dyDescent="0.75">
      <c r="B10" s="11" t="s">
        <v>54</v>
      </c>
      <c r="D10" t="s">
        <v>68</v>
      </c>
    </row>
    <row r="11" spans="2:4" x14ac:dyDescent="0.75">
      <c r="B11" s="5">
        <v>150</v>
      </c>
      <c r="C11" t="s">
        <v>55</v>
      </c>
    </row>
    <row r="12" spans="2:4" x14ac:dyDescent="0.75">
      <c r="B12" s="5">
        <f>B11*60*24*365</f>
        <v>78840000</v>
      </c>
      <c r="C12" t="s">
        <v>56</v>
      </c>
    </row>
    <row r="13" spans="2:4" x14ac:dyDescent="0.75">
      <c r="B13" s="5">
        <f>B12*B19/1000000</f>
        <v>81678.240000000005</v>
      </c>
      <c r="C13" t="s">
        <v>14</v>
      </c>
    </row>
    <row r="14" spans="2:4" x14ac:dyDescent="0.75">
      <c r="B14" s="24">
        <f>B6/B13</f>
        <v>0.42900042900042895</v>
      </c>
      <c r="C14" t="s">
        <v>57</v>
      </c>
    </row>
    <row r="15" spans="2:4" x14ac:dyDescent="0.75">
      <c r="B15" s="5"/>
    </row>
    <row r="16" spans="2:4" x14ac:dyDescent="0.75">
      <c r="B16" s="5"/>
    </row>
    <row r="17" spans="2:17" x14ac:dyDescent="0.75">
      <c r="B17" s="5"/>
      <c r="K17" t="s">
        <v>52</v>
      </c>
    </row>
    <row r="18" spans="2:17" x14ac:dyDescent="0.75">
      <c r="B18" s="11" t="s">
        <v>37</v>
      </c>
      <c r="K18" s="20">
        <v>32</v>
      </c>
      <c r="L18" t="s">
        <v>51</v>
      </c>
    </row>
    <row r="19" spans="2:17" x14ac:dyDescent="0.75">
      <c r="B19" s="5">
        <v>1036</v>
      </c>
      <c r="C19" t="s">
        <v>48</v>
      </c>
      <c r="D19" s="19" t="s">
        <v>50</v>
      </c>
    </row>
    <row r="20" spans="2:17" x14ac:dyDescent="0.75">
      <c r="B20" s="13">
        <f>84000*4</f>
        <v>336000</v>
      </c>
      <c r="C20" t="s">
        <v>49</v>
      </c>
      <c r="D20" s="19" t="s">
        <v>45</v>
      </c>
      <c r="E20">
        <f>40*(7/2)^2*3.14</f>
        <v>1538.6000000000001</v>
      </c>
    </row>
    <row r="21" spans="2:17" x14ac:dyDescent="0.75">
      <c r="B21" s="5">
        <f>B19*B20</f>
        <v>348096000</v>
      </c>
      <c r="C21" t="s">
        <v>20</v>
      </c>
    </row>
    <row r="22" spans="2:17" x14ac:dyDescent="0.75">
      <c r="B22" s="22">
        <f>1.2*2</f>
        <v>2.4</v>
      </c>
      <c r="C22" t="s">
        <v>21</v>
      </c>
      <c r="D22" t="s">
        <v>70</v>
      </c>
    </row>
    <row r="23" spans="2:17" x14ac:dyDescent="0.75">
      <c r="B23" s="6">
        <v>8.16</v>
      </c>
      <c r="C23" t="s">
        <v>22</v>
      </c>
    </row>
    <row r="24" spans="2:17" x14ac:dyDescent="0.75">
      <c r="B24" s="6">
        <f>B22/B23</f>
        <v>0.29411764705882354</v>
      </c>
      <c r="C24" t="s">
        <v>23</v>
      </c>
    </row>
    <row r="25" spans="2:17" x14ac:dyDescent="0.75">
      <c r="B25" s="10">
        <v>1.0189999999999999E-2</v>
      </c>
      <c r="C25" t="s">
        <v>32</v>
      </c>
    </row>
    <row r="26" spans="2:17" x14ac:dyDescent="0.75">
      <c r="B26" s="5">
        <f>B6*1000000/B21</f>
        <v>100.66188637617209</v>
      </c>
      <c r="C26" t="s">
        <v>33</v>
      </c>
    </row>
    <row r="27" spans="2:17" x14ac:dyDescent="0.75">
      <c r="B27" s="5">
        <f>B26*B22</f>
        <v>241.58852730281302</v>
      </c>
      <c r="C27" t="s">
        <v>34</v>
      </c>
      <c r="J27">
        <v>2027</v>
      </c>
      <c r="K27" t="s">
        <v>40</v>
      </c>
    </row>
    <row r="28" spans="2:17" x14ac:dyDescent="0.75">
      <c r="B28" s="5">
        <f>B27/B23</f>
        <v>29.606437169462378</v>
      </c>
      <c r="C28" t="s">
        <v>35</v>
      </c>
      <c r="J28">
        <v>2029</v>
      </c>
      <c r="K28" t="s">
        <v>41</v>
      </c>
    </row>
    <row r="29" spans="2:17" x14ac:dyDescent="0.75">
      <c r="B29" s="23">
        <f>B28*B25</f>
        <v>0.30168959475682161</v>
      </c>
      <c r="C29" t="s">
        <v>36</v>
      </c>
    </row>
    <row r="30" spans="2:17" x14ac:dyDescent="0.75">
      <c r="L30" s="1" t="s">
        <v>53</v>
      </c>
    </row>
    <row r="31" spans="2:17" ht="44.25" x14ac:dyDescent="0.75">
      <c r="B31" s="1" t="s">
        <v>6</v>
      </c>
      <c r="F31" s="7" t="s">
        <v>16</v>
      </c>
      <c r="G31" s="8" t="s">
        <v>17</v>
      </c>
      <c r="H31" s="7" t="s">
        <v>38</v>
      </c>
      <c r="J31" s="1" t="s">
        <v>18</v>
      </c>
      <c r="K31" s="1" t="s">
        <v>19</v>
      </c>
      <c r="L31" s="1" t="s">
        <v>18</v>
      </c>
      <c r="M31" s="1" t="s">
        <v>19</v>
      </c>
    </row>
    <row r="32" spans="2:17" x14ac:dyDescent="0.75">
      <c r="B32">
        <v>80.59</v>
      </c>
      <c r="C32" t="s">
        <v>4</v>
      </c>
      <c r="D32" t="s">
        <v>5</v>
      </c>
      <c r="F32" s="5">
        <f>B32*$B$8/1000000</f>
        <v>2981.9151003167899</v>
      </c>
      <c r="G32" s="15"/>
      <c r="H32" s="15"/>
      <c r="J32" s="5"/>
      <c r="K32" s="5"/>
      <c r="Q32" s="5">
        <f>B$8*B32/1000000</f>
        <v>2981.9151003167899</v>
      </c>
    </row>
    <row r="33" spans="2:13" x14ac:dyDescent="0.75">
      <c r="B33">
        <v>34.26</v>
      </c>
      <c r="C33" t="s">
        <v>4</v>
      </c>
      <c r="D33" t="s">
        <v>11</v>
      </c>
      <c r="F33" s="5">
        <f t="shared" ref="F33:F36" si="0">B33*$B$8/1000000</f>
        <v>1267.6561774023232</v>
      </c>
      <c r="G33" s="5">
        <f>F33-F$32</f>
        <v>-1714.2589229144667</v>
      </c>
      <c r="H33" s="5">
        <f>G33+$B$29</f>
        <v>-1713.9572333197098</v>
      </c>
      <c r="J33" s="5">
        <f>$H33*($J$28-$J$27)+$G33*(2030-$J$28+1)</f>
        <v>-6856.4323124683524</v>
      </c>
      <c r="K33" s="5">
        <f>$H33*($J$28-$J$27)+$G33*(2050-$J$28+1)</f>
        <v>-41141.610770757688</v>
      </c>
    </row>
    <row r="34" spans="2:13" x14ac:dyDescent="0.75">
      <c r="B34" s="3">
        <v>-28.2</v>
      </c>
      <c r="C34" t="s">
        <v>4</v>
      </c>
      <c r="D34" t="s">
        <v>7</v>
      </c>
      <c r="E34" t="s">
        <v>8</v>
      </c>
      <c r="F34" s="5">
        <f t="shared" si="0"/>
        <v>-1043.4297782470962</v>
      </c>
      <c r="G34" s="5">
        <f t="shared" ref="G34:G36" si="1">F34-F$32</f>
        <v>-4025.3448785638861</v>
      </c>
      <c r="H34" s="5">
        <f t="shared" ref="H34:H37" si="2">G34+$B$29</f>
        <v>-4025.0431889691295</v>
      </c>
      <c r="J34" s="5">
        <f t="shared" ref="J34:J37" si="3">$H34*($J$28-$J$27)+$G34*(2030-$J$28+1)</f>
        <v>-16100.776135066031</v>
      </c>
      <c r="K34" s="5">
        <f t="shared" ref="K34:K37" si="4">$H34*($J$28-$J$27)+$G34*(2050-$J$28+1)</f>
        <v>-96607.673706343761</v>
      </c>
    </row>
    <row r="35" spans="2:13" x14ac:dyDescent="0.75">
      <c r="B35" s="3">
        <v>-38.799999999999997</v>
      </c>
      <c r="C35" t="s">
        <v>4</v>
      </c>
      <c r="D35" t="s">
        <v>9</v>
      </c>
      <c r="E35" t="s">
        <v>10</v>
      </c>
      <c r="F35" s="5">
        <f t="shared" si="0"/>
        <v>-1435.6409714889123</v>
      </c>
      <c r="G35" s="5">
        <f t="shared" si="1"/>
        <v>-4417.5560718057022</v>
      </c>
      <c r="H35" s="5">
        <f t="shared" si="2"/>
        <v>-4417.2543822109456</v>
      </c>
      <c r="J35" s="5">
        <f t="shared" si="3"/>
        <v>-17669.620908033296</v>
      </c>
      <c r="K35" s="5">
        <f t="shared" si="4"/>
        <v>-106020.74234414734</v>
      </c>
    </row>
    <row r="36" spans="2:13" x14ac:dyDescent="0.75">
      <c r="B36" s="3">
        <f>AVERAGE(B34,B35)</f>
        <v>-33.5</v>
      </c>
      <c r="C36" t="s">
        <v>4</v>
      </c>
      <c r="D36" t="s">
        <v>12</v>
      </c>
      <c r="F36" s="5">
        <f t="shared" si="0"/>
        <v>-1239.5353748680043</v>
      </c>
      <c r="G36" s="5">
        <f t="shared" si="1"/>
        <v>-4221.4504751847944</v>
      </c>
      <c r="H36" s="5">
        <f t="shared" si="2"/>
        <v>-4221.1487855900377</v>
      </c>
      <c r="J36" s="5">
        <f t="shared" si="3"/>
        <v>-16885.198521549664</v>
      </c>
      <c r="K36" s="5">
        <f t="shared" si="4"/>
        <v>-101314.20802524555</v>
      </c>
    </row>
    <row r="37" spans="2:13" x14ac:dyDescent="0.75">
      <c r="B37" s="3">
        <v>0</v>
      </c>
      <c r="C37" t="s">
        <v>4</v>
      </c>
      <c r="D37" t="s">
        <v>39</v>
      </c>
      <c r="F37" s="5">
        <f t="shared" ref="F37" si="5">B37*$B$8/1000000</f>
        <v>0</v>
      </c>
      <c r="G37" s="5">
        <f t="shared" ref="G37" si="6">F37-F$32</f>
        <v>-2981.9151003167899</v>
      </c>
      <c r="H37" s="5">
        <f t="shared" si="2"/>
        <v>-2981.6134107220332</v>
      </c>
      <c r="J37" s="12">
        <f t="shared" si="3"/>
        <v>-11927.057022077646</v>
      </c>
      <c r="K37" s="12">
        <f t="shared" si="4"/>
        <v>-71565.359028413441</v>
      </c>
      <c r="L37" s="21">
        <f>-$K$18*1000000/J37</f>
        <v>2682.975350982746</v>
      </c>
      <c r="M37" s="21">
        <f>-$K$18*1000000/K37</f>
        <v>447.14370799558355</v>
      </c>
    </row>
    <row r="40" spans="2:13" x14ac:dyDescent="0.75">
      <c r="B40" s="1" t="s">
        <v>58</v>
      </c>
      <c r="E40" s="8" t="s">
        <v>60</v>
      </c>
      <c r="F40" s="8" t="s">
        <v>62</v>
      </c>
      <c r="G40" s="8" t="s">
        <v>67</v>
      </c>
      <c r="H40" s="8" t="s">
        <v>61</v>
      </c>
    </row>
    <row r="41" spans="2:13" x14ac:dyDescent="0.75">
      <c r="C41" t="s">
        <v>63</v>
      </c>
      <c r="D41" t="s">
        <v>59</v>
      </c>
      <c r="E41">
        <v>0.37</v>
      </c>
      <c r="F41">
        <v>0.05</v>
      </c>
      <c r="G41">
        <v>0.32</v>
      </c>
      <c r="H41">
        <v>0.06</v>
      </c>
    </row>
    <row r="42" spans="2:13" x14ac:dyDescent="0.75">
      <c r="C42" t="s">
        <v>63</v>
      </c>
      <c r="D42" t="s">
        <v>69</v>
      </c>
      <c r="E42">
        <v>1.51</v>
      </c>
      <c r="F42" s="3">
        <v>0.1</v>
      </c>
      <c r="G42">
        <v>0.67</v>
      </c>
      <c r="H42">
        <v>1.31</v>
      </c>
    </row>
    <row r="43" spans="2:13" x14ac:dyDescent="0.75">
      <c r="C43" t="s">
        <v>63</v>
      </c>
      <c r="D43" t="s">
        <v>64</v>
      </c>
      <c r="E43" s="3">
        <f>E42*$B$14</f>
        <v>0.64779064779064777</v>
      </c>
      <c r="F43" s="3">
        <f t="shared" ref="F43:H43" si="7">F42*$B$14</f>
        <v>4.2900042900042901E-2</v>
      </c>
      <c r="G43" s="3">
        <f t="shared" si="7"/>
        <v>0.28743028743028742</v>
      </c>
      <c r="H43" s="3">
        <f t="shared" si="7"/>
        <v>0.56199056199056197</v>
      </c>
    </row>
    <row r="44" spans="2:13" x14ac:dyDescent="0.75">
      <c r="C44" t="s">
        <v>65</v>
      </c>
      <c r="D44" t="s">
        <v>66</v>
      </c>
      <c r="E44" s="25">
        <v>18900</v>
      </c>
      <c r="F44" s="25"/>
      <c r="G44" s="25">
        <v>90800</v>
      </c>
      <c r="H44" s="25">
        <v>65</v>
      </c>
      <c r="J44" s="25">
        <f>SUMPRODUCT(E43:H43,E44:H44)</f>
        <v>38378.442728442729</v>
      </c>
    </row>
    <row r="47" spans="2:13" x14ac:dyDescent="0.75">
      <c r="B47" s="2"/>
    </row>
    <row r="48" spans="2:13" x14ac:dyDescent="0.75">
      <c r="B48" s="16" t="s">
        <v>42</v>
      </c>
    </row>
    <row r="49" spans="2:6" x14ac:dyDescent="0.75">
      <c r="C49" s="17" t="s">
        <v>43</v>
      </c>
    </row>
    <row r="51" spans="2:6" x14ac:dyDescent="0.75">
      <c r="B51" t="s">
        <v>45</v>
      </c>
    </row>
    <row r="52" spans="2:6" x14ac:dyDescent="0.75">
      <c r="B52" t="s">
        <v>44</v>
      </c>
    </row>
    <row r="53" spans="2:6" x14ac:dyDescent="0.75">
      <c r="B53" s="18" t="s">
        <v>46</v>
      </c>
    </row>
    <row r="54" spans="2:6" x14ac:dyDescent="0.75">
      <c r="B54" t="s">
        <v>47</v>
      </c>
    </row>
    <row r="55" spans="2:6" x14ac:dyDescent="0.75">
      <c r="B55">
        <f>84000*4</f>
        <v>336000</v>
      </c>
    </row>
    <row r="57" spans="2:6" x14ac:dyDescent="0.75">
      <c r="F57">
        <f>24*365</f>
        <v>8760</v>
      </c>
    </row>
  </sheetData>
  <hyperlinks>
    <hyperlink ref="D19" r:id="rId1" xr:uid="{8DAA52C1-D9F0-4264-959B-E74651A6677D}"/>
    <hyperlink ref="D20" r:id="rId2" xr:uid="{841ADE72-0890-47D4-9263-2637A2FC5EDA}"/>
  </hyperlinks>
  <pageMargins left="0.7" right="0.7" top="0.75" bottom="0.75" header="0.3" footer="0.3"/>
  <pageSetup orientation="portrait" horizontalDpi="1200" verticalDpi="1200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A7656-3479-4941-A883-4C535D8AE888}">
  <dimension ref="A3:AI4"/>
  <sheetViews>
    <sheetView workbookViewId="0">
      <selection activeCell="F35" sqref="F35"/>
    </sheetView>
  </sheetViews>
  <sheetFormatPr defaultRowHeight="14.75" x14ac:dyDescent="0.75"/>
  <sheetData>
    <row r="3" spans="1:35" x14ac:dyDescent="0.75">
      <c r="B3" t="s">
        <v>28</v>
      </c>
      <c r="C3" t="s">
        <v>29</v>
      </c>
      <c r="D3" t="s">
        <v>30</v>
      </c>
      <c r="E3">
        <v>2021</v>
      </c>
      <c r="F3">
        <v>2022</v>
      </c>
      <c r="G3">
        <v>2023</v>
      </c>
      <c r="H3">
        <v>2024</v>
      </c>
      <c r="I3">
        <v>2025</v>
      </c>
      <c r="J3">
        <v>2026</v>
      </c>
      <c r="K3">
        <v>2027</v>
      </c>
      <c r="L3">
        <v>2028</v>
      </c>
      <c r="M3">
        <v>2029</v>
      </c>
      <c r="N3">
        <v>2030</v>
      </c>
      <c r="O3">
        <v>2031</v>
      </c>
      <c r="P3">
        <v>2032</v>
      </c>
      <c r="Q3">
        <v>2033</v>
      </c>
      <c r="R3">
        <v>2034</v>
      </c>
      <c r="S3">
        <v>2035</v>
      </c>
      <c r="T3">
        <v>2036</v>
      </c>
      <c r="U3">
        <v>2037</v>
      </c>
      <c r="V3">
        <v>2038</v>
      </c>
      <c r="W3">
        <v>2039</v>
      </c>
      <c r="X3">
        <v>2040</v>
      </c>
      <c r="Y3">
        <v>2041</v>
      </c>
      <c r="Z3">
        <v>2042</v>
      </c>
      <c r="AA3">
        <v>2043</v>
      </c>
      <c r="AB3">
        <v>2044</v>
      </c>
      <c r="AC3">
        <v>2045</v>
      </c>
      <c r="AD3">
        <v>2046</v>
      </c>
      <c r="AE3">
        <v>2047</v>
      </c>
      <c r="AF3">
        <v>2048</v>
      </c>
      <c r="AG3">
        <v>2049</v>
      </c>
      <c r="AH3">
        <v>2050</v>
      </c>
      <c r="AI3" t="s">
        <v>31</v>
      </c>
    </row>
    <row r="4" spans="1:35" x14ac:dyDescent="0.75">
      <c r="A4" t="s">
        <v>24</v>
      </c>
      <c r="B4" t="s">
        <v>25</v>
      </c>
      <c r="C4" t="s">
        <v>26</v>
      </c>
      <c r="D4" t="s">
        <v>27</v>
      </c>
      <c r="F4">
        <v>7.4724060000000003</v>
      </c>
      <c r="G4">
        <v>7.5785289999999996</v>
      </c>
      <c r="H4">
        <v>7.7053229999999999</v>
      </c>
      <c r="I4">
        <v>7.8485899999999997</v>
      </c>
      <c r="J4">
        <v>8.002383</v>
      </c>
      <c r="K4">
        <v>8.1636769999999999</v>
      </c>
      <c r="L4">
        <v>8.3212849999999996</v>
      </c>
      <c r="M4">
        <v>8.4797550000000008</v>
      </c>
      <c r="N4">
        <v>8.6382940000000001</v>
      </c>
      <c r="O4">
        <v>8.7959300000000002</v>
      </c>
      <c r="P4">
        <v>8.9485489999999999</v>
      </c>
      <c r="Q4">
        <v>9.0909969999999998</v>
      </c>
      <c r="R4">
        <v>9.2225160000000006</v>
      </c>
      <c r="S4">
        <v>9.3430680000000006</v>
      </c>
      <c r="T4">
        <v>9.4533149999999999</v>
      </c>
      <c r="U4">
        <v>9.5530629999999999</v>
      </c>
      <c r="V4">
        <v>9.6434440000000006</v>
      </c>
      <c r="W4">
        <v>9.7267100000000006</v>
      </c>
      <c r="X4">
        <v>9.8045930000000006</v>
      </c>
      <c r="Y4">
        <v>9.8772749999999991</v>
      </c>
      <c r="Z4">
        <v>9.9424309999999991</v>
      </c>
      <c r="AA4">
        <v>10.001567</v>
      </c>
      <c r="AB4">
        <v>10.055840999999999</v>
      </c>
      <c r="AC4">
        <v>10.108454</v>
      </c>
      <c r="AD4">
        <v>10.161227999999999</v>
      </c>
      <c r="AE4">
        <v>10.213310999999999</v>
      </c>
      <c r="AF4">
        <v>10.263764</v>
      </c>
      <c r="AG4">
        <v>10.314513</v>
      </c>
      <c r="AH4">
        <v>10.365861000000001</v>
      </c>
      <c r="AI4" s="9">
        <v>1.2E-2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Retention" ma:contentTypeID="0x0101003C342E8B05BFF6458C47A1FE224FD53E003DC802457863C04599D377BDB288B487" ma:contentTypeVersion="62" ma:contentTypeDescription="Content type is for Document Retention" ma:contentTypeScope="" ma:versionID="646286d2222c082ac5abbd7509580628">
  <xsd:schema xmlns:xsd="http://www.w3.org/2001/XMLSchema" xmlns:xs="http://www.w3.org/2001/XMLSchema" xmlns:p="http://schemas.microsoft.com/office/2006/metadata/properties" xmlns:ns1="http://schemas.microsoft.com/sharepoint/v3" xmlns:ns2="26ee3924-799d-4b59-ac9e-492af8226641" xmlns:ns3="afbe3252-3da5-436d-9c1d-9369b982a509" xmlns:ns4="dc89d084-24e0-470a-98fe-819dc695751e" targetNamespace="http://schemas.microsoft.com/office/2006/metadata/properties" ma:root="true" ma:fieldsID="3b3ddbd22f3a1322e92a791f02ff08a4" ns1:_="" ns2:_="" ns3:_="" ns4:_="">
    <xsd:import namespace="http://schemas.microsoft.com/sharepoint/v3"/>
    <xsd:import namespace="26ee3924-799d-4b59-ac9e-492af8226641"/>
    <xsd:import namespace="afbe3252-3da5-436d-9c1d-9369b982a509"/>
    <xsd:import namespace="dc89d084-24e0-470a-98fe-819dc695751e"/>
    <xsd:element name="properties">
      <xsd:complexType>
        <xsd:sequence>
          <xsd:element name="documentManagement">
            <xsd:complexType>
              <xsd:all>
                <xsd:element ref="ns2:PortRetentionKey" minOccurs="0"/>
                <xsd:element ref="ns2:PortRetentionTriggerStartDat20e" minOccurs="0"/>
                <xsd:element ref="ns2:PortRetentionExpirationDate" minOccurs="0"/>
                <xsd:element ref="ns2:PortRetentionDestructionDate" minOccurs="0"/>
                <xsd:element ref="ns2:PortRetentionInDocSetFlag" minOccurs="0"/>
                <xsd:element ref="ns1:_dlc_Exempt" minOccurs="0"/>
                <xsd:element ref="ns1:_dlc_ExpireDateSaved" minOccurs="0"/>
                <xsd:element ref="ns1:_dlc_ExpireDate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3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4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15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e3924-799d-4b59-ac9e-492af8226641" elementFormDefault="qualified">
    <xsd:import namespace="http://schemas.microsoft.com/office/2006/documentManagement/types"/>
    <xsd:import namespace="http://schemas.microsoft.com/office/infopath/2007/PartnerControls"/>
    <xsd:element name="PortRetentionKey" ma:index="8" nillable="true" ma:displayName="File Series" ma:default="None" ma:format="Dropdown" ma:internalName="PortRetentionKey">
      <xsd:simpleType>
        <xsd:restriction base="dms:Choice">
          <xsd:enumeration value="None"/>
          <xsd:enumeration value="Completion + 5"/>
          <xsd:enumeration value="Completion + 10"/>
          <xsd:enumeration value="Expiration + 5"/>
          <xsd:enumeration value="Permanent"/>
        </xsd:restriction>
      </xsd:simpleType>
    </xsd:element>
    <xsd:element name="PortRetentionTriggerStartDat20e" ma:index="9" nillable="true" ma:displayName="Trigger Date" ma:format="DateOnly" ma:internalName="PortRetentionTriggerStartDate">
      <xsd:simpleType>
        <xsd:restriction base="dms:DateTime"/>
      </xsd:simpleType>
    </xsd:element>
    <xsd:element name="PortRetentionExpirationDate" ma:index="10" nillable="true" ma:displayName="Eligible For Destruction" ma:format="DateOnly" ma:hidden="true" ma:internalName="PortRetentionExpirationDate" ma:readOnly="false">
      <xsd:simpleType>
        <xsd:restriction base="dms:DateTime"/>
      </xsd:simpleType>
    </xsd:element>
    <xsd:element name="PortRetentionDestructionDate" ma:index="11" nillable="true" ma:displayName="Destruction Date" ma:format="DateOnly" ma:hidden="true" ma:internalName="PortRetentionDestructionDate" ma:readOnly="false">
      <xsd:simpleType>
        <xsd:restriction base="dms:DateTime"/>
      </xsd:simpleType>
    </xsd:element>
    <xsd:element name="PortRetentionInDocSetFlag" ma:index="12" nillable="true" ma:displayName="Is Doc in a Doc Set" ma:default="0" ma:internalName="PortRetentionInDocSetFla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e3252-3da5-436d-9c1d-9369b982a50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eefe213-a710-48ef-a469-987646fd95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9d084-24e0-470a-98fe-819dc695751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cae8025-0237-442b-82a2-44cb930433a7}" ma:internalName="TaxCatchAll" ma:showField="CatchAllData" ma:web="dc89d084-24e0-470a-98fe-819dc69575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89d084-24e0-470a-98fe-819dc695751e" xsi:nil="true"/>
    <lcf76f155ced4ddcb4097134ff3c332f xmlns="afbe3252-3da5-436d-9c1d-9369b982a509">
      <Terms xmlns="http://schemas.microsoft.com/office/infopath/2007/PartnerControls"/>
    </lcf76f155ced4ddcb4097134ff3c332f>
    <PortRetentionExpirationDate xmlns="26ee3924-799d-4b59-ac9e-492af8226641" xsi:nil="true"/>
    <PortRetentionDestructionDate xmlns="26ee3924-799d-4b59-ac9e-492af8226641" xsi:nil="true"/>
    <PortRetentionInDocSetFlag xmlns="26ee3924-799d-4b59-ac9e-492af8226641">false</PortRetentionInDocSetFlag>
    <PortRetentionKey xmlns="26ee3924-799d-4b59-ac9e-492af8226641">None</PortRetentionKey>
    <PortRetentionTriggerStartDat20e xmlns="26ee3924-799d-4b59-ac9e-492af8226641" xsi:nil="true"/>
  </documentManagement>
</p:properties>
</file>

<file path=customXml/item4.xml><?xml version="1.0" encoding="utf-8"?>
<?mso-contentType ?>
<p:Policy xmlns:p="office.server.policy" id="" local="true">
  <p:Name>DocumentRetention</p:Name>
  <p:Description/>
  <p:Statement/>
  <p:PolicyItems>
    <p:PolicyItem featureId="Microsoft.Office.RecordsManagement.PolicyFeatures.Expiration" staticId="0x0101003C342E8B05BFF6458C47A1FE224FD53E|781879962" UniqueId="680c001f-0f3e-4f5d-a7d4-bcfd6b8e9ced">
      <p:Name>Retention</p:Name>
      <p:Description>Automatic scheduling of content for processing, and performing a retention action on content that has reached its due date.</p:Description>
      <p:CustomData>
        <Schedules nextStageId="3">
          <Schedule type="Default">
            <stages>
              <data stageId="1">
                <formula id="Microsoft.Office.RecordsManagement.PolicyFeatures.Expiration.Formula.BuiltIn">
                  <number>25</number>
                  <property>Modified</property>
                  <propertyId>28cf69c5-fa48-462a-b5cd-27b6f9d2bd5f</propertyId>
                  <period>months</period>
                </formula>
                <action type="action" id="Microsoft.Office.RecordsManagement.PolicyFeatures.Expiration.Action.Skip"/>
              </data>
              <data stageId="2" stageDeleted="true"/>
            </stages>
          </Schedule>
        </Schedules>
      </p:CustomData>
    </p:PolicyItem>
  </p:PolicyItems>
</p:Policy>
</file>

<file path=customXml/item5.xml><?xml version="1.0" encoding="utf-8"?>
<?mso-contentType ?>
<SharedContentType xmlns="Microsoft.SharePoint.Taxonomy.ContentTypeSync" SourceId="ceefe213-a710-48ef-a469-987646fd95b1" ContentTypeId="0x0101003C342E8B05BFF6458C47A1FE224FD53E" PreviousValue="false"/>
</file>

<file path=customXml/item6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7.xml><?xml version="1.0" encoding="utf-8"?>
<?mso-contentType ?>
<PolicyDirtyBag xmlns="microsoft.office.server.policy.changes">
  <Microsoft.Office.RecordsManagement.PolicyFeatures.Expiration op="Change"/>
</PolicyDirtyBag>
</file>

<file path=customXml/itemProps1.xml><?xml version="1.0" encoding="utf-8"?>
<ds:datastoreItem xmlns:ds="http://schemas.openxmlformats.org/officeDocument/2006/customXml" ds:itemID="{139C24AA-67A0-47CB-9BA5-8A5C424FC7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7B29CF-34F4-4D04-9E54-3F8974786C32}"/>
</file>

<file path=customXml/itemProps3.xml><?xml version="1.0" encoding="utf-8"?>
<ds:datastoreItem xmlns:ds="http://schemas.openxmlformats.org/officeDocument/2006/customXml" ds:itemID="{F7A5B921-C913-4930-9869-B4171C36903C}">
  <ds:schemaRefs>
    <ds:schemaRef ds:uri="6311012d-c32c-4ec1-ad40-b15fd75245cf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terms/"/>
    <ds:schemaRef ds:uri="http://purl.org/dc/dcmitype/"/>
    <ds:schemaRef ds:uri="448f3437-6110-4f96-93cd-af52bcb3f4b8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7ADDCBC3-85F9-428B-AE5C-48313D997EBF}"/>
</file>

<file path=customXml/itemProps5.xml><?xml version="1.0" encoding="utf-8"?>
<ds:datastoreItem xmlns:ds="http://schemas.openxmlformats.org/officeDocument/2006/customXml" ds:itemID="{0EE8FB81-40FC-4594-8DCE-EAA030B1D23A}"/>
</file>

<file path=customXml/itemProps6.xml><?xml version="1.0" encoding="utf-8"?>
<ds:datastoreItem xmlns:ds="http://schemas.openxmlformats.org/officeDocument/2006/customXml" ds:itemID="{6D2FBB6F-9720-41F7-B26B-60FA5F8A1ECB}"/>
</file>

<file path=customXml/itemProps7.xml><?xml version="1.0" encoding="utf-8"?>
<ds:datastoreItem xmlns:ds="http://schemas.openxmlformats.org/officeDocument/2006/customXml" ds:itemID="{FBF47120-A855-481F-B42E-60F12EA629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Porter</dc:creator>
  <cp:keywords/>
  <dc:description/>
  <cp:lastModifiedBy>Chris Porter</cp:lastModifiedBy>
  <cp:revision/>
  <dcterms:created xsi:type="dcterms:W3CDTF">2024-03-19T15:55:30Z</dcterms:created>
  <dcterms:modified xsi:type="dcterms:W3CDTF">2024-03-29T17:28:59Z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0x01010022EBA402519AB445BC03A02CE9369671</vt:lpwstr>
  </property>
  <property fmtid="{D5CDD505-2E9C-101B-9397-08002B2CF9AE}" pid="3" name="MediaServiceImageTags">
    <vt:lpwstr/>
  </property>
</Properties>
</file>