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798A3216-1097-4418-A9A9-2CBD0D56ED9F}" xr6:coauthVersionLast="47" xr6:coauthVersionMax="47" xr10:uidLastSave="{00000000-0000-0000-0000-000000000000}"/>
  <bookViews>
    <workbookView xWindow="31680" yWindow="2250" windowWidth="21600" windowHeight="11235" xr2:uid="{7FBA5A36-5954-4FA7-92BD-7DD935054F58}"/>
  </bookViews>
  <sheets>
    <sheet name="County MSW Data" sheetId="1" r:id="rId1"/>
    <sheet name="Initial GHG Reduction" sheetId="2" r:id="rId2"/>
    <sheet name="Equipment Offset" sheetId="3" r:id="rId3"/>
    <sheet name="Final GHG Reduc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2" l="1"/>
  <c r="O10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" i="4"/>
  <c r="G4" i="3"/>
  <c r="F4" i="3"/>
  <c r="E4" i="3"/>
  <c r="D4" i="3"/>
  <c r="G3" i="3"/>
  <c r="F3" i="3"/>
  <c r="E3" i="3"/>
  <c r="D3" i="3"/>
  <c r="K3" i="2" l="1"/>
  <c r="B3" i="4" s="1"/>
  <c r="F3" i="4" s="1"/>
  <c r="K4" i="2"/>
  <c r="B4" i="4" s="1"/>
  <c r="F4" i="4" s="1"/>
  <c r="K5" i="2"/>
  <c r="B5" i="4" s="1"/>
  <c r="F5" i="4" s="1"/>
  <c r="K6" i="2"/>
  <c r="B6" i="4" s="1"/>
  <c r="F6" i="4" s="1"/>
  <c r="K7" i="2"/>
  <c r="B7" i="4" s="1"/>
  <c r="F7" i="4" s="1"/>
  <c r="K8" i="2"/>
  <c r="B8" i="4" s="1"/>
  <c r="F8" i="4" s="1"/>
  <c r="K9" i="2"/>
  <c r="B9" i="4" s="1"/>
  <c r="F9" i="4" s="1"/>
  <c r="K10" i="2"/>
  <c r="B10" i="4" s="1"/>
  <c r="F10" i="4" s="1"/>
  <c r="K11" i="2"/>
  <c r="B11" i="4" s="1"/>
  <c r="F11" i="4" s="1"/>
  <c r="K12" i="2"/>
  <c r="B12" i="4" s="1"/>
  <c r="F12" i="4" s="1"/>
  <c r="K13" i="2"/>
  <c r="B13" i="4" s="1"/>
  <c r="F13" i="4" s="1"/>
  <c r="K14" i="2"/>
  <c r="B14" i="4" s="1"/>
  <c r="F14" i="4" s="1"/>
  <c r="K15" i="2"/>
  <c r="B15" i="4" s="1"/>
  <c r="F15" i="4" s="1"/>
  <c r="K16" i="2"/>
  <c r="B16" i="4" s="1"/>
  <c r="F16" i="4" s="1"/>
  <c r="K17" i="2"/>
  <c r="B17" i="4" s="1"/>
  <c r="F17" i="4" s="1"/>
  <c r="K18" i="2"/>
  <c r="B18" i="4" s="1"/>
  <c r="F18" i="4" s="1"/>
  <c r="K19" i="2"/>
  <c r="B19" i="4" s="1"/>
  <c r="F19" i="4" s="1"/>
  <c r="K20" i="2"/>
  <c r="B20" i="4" s="1"/>
  <c r="F20" i="4" s="1"/>
  <c r="K21" i="2"/>
  <c r="B21" i="4" s="1"/>
  <c r="F21" i="4" s="1"/>
  <c r="K22" i="2"/>
  <c r="B22" i="4" s="1"/>
  <c r="F22" i="4" s="1"/>
  <c r="K23" i="2"/>
  <c r="B23" i="4" s="1"/>
  <c r="F23" i="4" s="1"/>
  <c r="K24" i="2"/>
  <c r="B24" i="4" s="1"/>
  <c r="F24" i="4" s="1"/>
  <c r="K25" i="2"/>
  <c r="B25" i="4" s="1"/>
  <c r="F25" i="4" s="1"/>
  <c r="K26" i="2"/>
  <c r="B26" i="4" s="1"/>
  <c r="F26" i="4" s="1"/>
  <c r="K2" i="2"/>
  <c r="B2" i="4" s="1"/>
  <c r="F2" i="4" s="1"/>
  <c r="H12" i="2"/>
  <c r="E3" i="2"/>
  <c r="E4" i="2"/>
  <c r="E5" i="2"/>
  <c r="E6" i="2"/>
  <c r="E7" i="2"/>
  <c r="E8" i="2"/>
  <c r="E9" i="2"/>
  <c r="E10" i="2"/>
  <c r="E19" i="2"/>
  <c r="E20" i="2"/>
  <c r="E21" i="2"/>
  <c r="E22" i="2"/>
  <c r="E23" i="2"/>
  <c r="E24" i="2"/>
  <c r="E25" i="2"/>
  <c r="E26" i="2"/>
  <c r="C3" i="2"/>
  <c r="H3" i="2" s="1"/>
  <c r="C4" i="2"/>
  <c r="H4" i="2" s="1"/>
  <c r="C5" i="2"/>
  <c r="H5" i="2" s="1"/>
  <c r="C6" i="2"/>
  <c r="H6" i="2" s="1"/>
  <c r="C7" i="2"/>
  <c r="H7" i="2" s="1"/>
  <c r="C8" i="2"/>
  <c r="H8" i="2" s="1"/>
  <c r="C9" i="2"/>
  <c r="H9" i="2" s="1"/>
  <c r="C10" i="2"/>
  <c r="H10" i="2" s="1"/>
  <c r="C11" i="2"/>
  <c r="H11" i="2" s="1"/>
  <c r="C12" i="2"/>
  <c r="E12" i="2" s="1"/>
  <c r="C13" i="2"/>
  <c r="E13" i="2" s="1"/>
  <c r="C14" i="2"/>
  <c r="H14" i="2" s="1"/>
  <c r="C15" i="2"/>
  <c r="E15" i="2" s="1"/>
  <c r="C16" i="2"/>
  <c r="H16" i="2" s="1"/>
  <c r="C17" i="2"/>
  <c r="H17" i="2" s="1"/>
  <c r="C18" i="2"/>
  <c r="H18" i="2" s="1"/>
  <c r="C19" i="2"/>
  <c r="H19" i="2" s="1"/>
  <c r="C20" i="2"/>
  <c r="H20" i="2" s="1"/>
  <c r="C21" i="2"/>
  <c r="H21" i="2" s="1"/>
  <c r="C22" i="2"/>
  <c r="H22" i="2" s="1"/>
  <c r="C23" i="2"/>
  <c r="H23" i="2" s="1"/>
  <c r="C24" i="2"/>
  <c r="H24" i="2" s="1"/>
  <c r="C25" i="2"/>
  <c r="H25" i="2" s="1"/>
  <c r="C26" i="2"/>
  <c r="H26" i="2" s="1"/>
  <c r="C2" i="2"/>
  <c r="H2" i="2" s="1"/>
  <c r="D18" i="1"/>
  <c r="E18" i="1"/>
  <c r="C18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  <c r="H15" i="2" l="1"/>
  <c r="H13" i="2"/>
  <c r="E17" i="2"/>
  <c r="E16" i="2"/>
  <c r="E14" i="2"/>
  <c r="E18" i="2"/>
  <c r="E11" i="2"/>
  <c r="J3" i="4"/>
  <c r="J2" i="4"/>
  <c r="E2" i="2"/>
  <c r="O4" i="2" l="1"/>
  <c r="O3" i="2"/>
</calcChain>
</file>

<file path=xl/sharedStrings.xml><?xml version="1.0" encoding="utf-8"?>
<sst xmlns="http://schemas.openxmlformats.org/spreadsheetml/2006/main" count="82" uniqueCount="64">
  <si>
    <t>County</t>
  </si>
  <si>
    <t>State</t>
  </si>
  <si>
    <t>Waste (Tons)</t>
  </si>
  <si>
    <t>OH</t>
  </si>
  <si>
    <t>Brown</t>
  </si>
  <si>
    <t>Butler</t>
  </si>
  <si>
    <t>Clermont</t>
  </si>
  <si>
    <t>Hamilton</t>
  </si>
  <si>
    <t>Warren</t>
  </si>
  <si>
    <t>KY</t>
  </si>
  <si>
    <t>Boone</t>
  </si>
  <si>
    <t>Bracken</t>
  </si>
  <si>
    <t>Campbell</t>
  </si>
  <si>
    <t>Gallatin</t>
  </si>
  <si>
    <t>Grant</t>
  </si>
  <si>
    <t>Kenton</t>
  </si>
  <si>
    <t>Pendleton</t>
  </si>
  <si>
    <t>Dearborn</t>
  </si>
  <si>
    <t>IN</t>
  </si>
  <si>
    <t>Ohio</t>
  </si>
  <si>
    <t>Franklin</t>
  </si>
  <si>
    <t>Union</t>
  </si>
  <si>
    <t>Food Waste (Tons)</t>
  </si>
  <si>
    <t>Yard Waste (Tons)</t>
  </si>
  <si>
    <t xml:space="preserve">https://epa.ohio.gov/static/Portals/34/document/general/2022%20waste%20flows.pdf </t>
  </si>
  <si>
    <t>OH Source</t>
  </si>
  <si>
    <t>KY Source</t>
  </si>
  <si>
    <t>https://eec.ky.gov/_layouts/download.aspx?SourceUrl=https://eec.ky.gov/Environmental-Protection/Waste/Solid%20Waste%20Branch%20Facility%20Reports/Waste%20Quantity%20Report%202022.xlsx</t>
  </si>
  <si>
    <t>IN Source</t>
  </si>
  <si>
    <t>https://www.in.gov/idem/waste/resources/solid-waste-reporting/</t>
  </si>
  <si>
    <t>TOTAL</t>
  </si>
  <si>
    <t>Year</t>
  </si>
  <si>
    <t>rescue %</t>
  </si>
  <si>
    <t>compost %</t>
  </si>
  <si>
    <t>Total CO2e Reduction (MT)</t>
  </si>
  <si>
    <t>Total Waste (US Ton)</t>
  </si>
  <si>
    <t>Food waste (US Ton)</t>
  </si>
  <si>
    <t>Food waste rescued (US Ton)</t>
  </si>
  <si>
    <t>Food waste composted (US Ton)</t>
  </si>
  <si>
    <t>Rescue CO2 reduction (MT)</t>
  </si>
  <si>
    <t>Compost CO2 reduction (MT)</t>
  </si>
  <si>
    <t>Equipment</t>
  </si>
  <si>
    <t>Energy Use</t>
  </si>
  <si>
    <t>Walk-in Freezer</t>
  </si>
  <si>
    <r>
      <t>CO</t>
    </r>
    <r>
      <rPr>
        <vertAlign val="subscript"/>
        <sz val="11"/>
        <color theme="1"/>
        <rFont val="Aptos Narrow"/>
        <family val="2"/>
      </rPr>
      <t xml:space="preserve">2 </t>
    </r>
    <r>
      <rPr>
        <sz val="11"/>
        <color theme="1"/>
        <rFont val="Aptos Narrow"/>
        <family val="2"/>
      </rPr>
      <t>(MT)</t>
    </r>
  </si>
  <si>
    <r>
      <t>CH</t>
    </r>
    <r>
      <rPr>
        <vertAlign val="subscript"/>
        <sz val="11"/>
        <color theme="1"/>
        <rFont val="Aptos Narrow"/>
        <family val="2"/>
      </rPr>
      <t xml:space="preserve">4 </t>
    </r>
    <r>
      <rPr>
        <sz val="11"/>
        <color theme="1"/>
        <rFont val="Aptos Narrow"/>
        <family val="2"/>
      </rPr>
      <t>(MT)</t>
    </r>
  </si>
  <si>
    <r>
      <t>N</t>
    </r>
    <r>
      <rPr>
        <vertAlign val="sub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>O (MT)</t>
    </r>
  </si>
  <si>
    <r>
      <t>CO</t>
    </r>
    <r>
      <rPr>
        <vertAlign val="sub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>e (MT)</t>
    </r>
  </si>
  <si>
    <t>Refrigerated Truck (refrigeration unit)</t>
  </si>
  <si>
    <t>Diesel/
Electric</t>
  </si>
  <si>
    <t>per year</t>
  </si>
  <si>
    <t>Refrigerated Truck Mobile</t>
  </si>
  <si>
    <t>CO2e Reduced</t>
  </si>
  <si>
    <t>Total CO2e Reduced</t>
  </si>
  <si>
    <t>Freezers</t>
  </si>
  <si>
    <t>Refrigerated Trucks</t>
  </si>
  <si>
    <t>CO2e equipment emissions</t>
  </si>
  <si>
    <t>2025-2029</t>
  </si>
  <si>
    <t>GHG Reduction</t>
  </si>
  <si>
    <t>2025-2049</t>
  </si>
  <si>
    <t>Food waste diverted (US ton)</t>
  </si>
  <si>
    <t>Meals (1.2 lbs per meal)</t>
  </si>
  <si>
    <t>*Source: https://www.epa.gov/system/files/documents/2023-10/food-waste-landfill-methane-10-8-23-final_508-compliant.pdf</t>
  </si>
  <si>
    <t>Estimated methane reduction (MT)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</si>
</sst>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</font>
    <font>
      <vertAlign val="subscript"/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4" fontId="0" fillId="0" borderId="0" xfId="0" applyNumberFormat="1"/>
    <xf numFmtId="0" fontId="2" fillId="0" borderId="0" xfId="1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0" fillId="0" borderId="0" xfId="0" applyNumberFormat="1"/>
    <xf numFmtId="9" fontId="0" fillId="0" borderId="0" xfId="0" applyNumberFormat="1"/>
    <xf numFmtId="0" fontId="1" fillId="0" borderId="0" xfId="0" applyFont="1"/>
    <xf numFmtId="4" fontId="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.gov/idem/waste/resources/solid-waste-reporting/" TargetMode="External"/><Relationship Id="rId2" Type="http://schemas.openxmlformats.org/officeDocument/2006/relationships/hyperlink" Target="https://eec.ky.gov/_layouts/download.aspx?SourceUrl=https://eec.ky.gov/Environmental-Protection/Waste/Solid%20Waste%20Branch%20Facility%20Reports/Waste%20Quantity%20Report%202022.xlsx" TargetMode="External"/><Relationship Id="rId1" Type="http://schemas.openxmlformats.org/officeDocument/2006/relationships/hyperlink" Target="https://epa.ohio.gov/static/Portals/34/document/general/2022%20waste%20flow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CDB37-3182-477E-85CB-A801C71E5033}">
  <dimension ref="A1:E22"/>
  <sheetViews>
    <sheetView tabSelected="1" workbookViewId="0">
      <selection activeCell="A23" sqref="A23"/>
    </sheetView>
  </sheetViews>
  <sheetFormatPr defaultRowHeight="15" x14ac:dyDescent="0.25"/>
  <cols>
    <col min="1" max="1" width="12.140625" customWidth="1"/>
    <col min="3" max="3" width="14.85546875" customWidth="1"/>
    <col min="4" max="4" width="19.140625" customWidth="1"/>
    <col min="5" max="5" width="18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22</v>
      </c>
      <c r="E1" t="s">
        <v>23</v>
      </c>
    </row>
    <row r="2" spans="1:5" x14ac:dyDescent="0.25">
      <c r="A2" t="s">
        <v>4</v>
      </c>
      <c r="B2" t="s">
        <v>3</v>
      </c>
      <c r="C2" s="1">
        <v>29432.49</v>
      </c>
      <c r="D2" s="1">
        <f>0.15*C2</f>
        <v>4414.8734999999997</v>
      </c>
      <c r="E2" s="1">
        <f>0.17*C2</f>
        <v>5003.5233000000007</v>
      </c>
    </row>
    <row r="3" spans="1:5" x14ac:dyDescent="0.25">
      <c r="A3" t="s">
        <v>5</v>
      </c>
      <c r="B3" t="s">
        <v>3</v>
      </c>
      <c r="C3" s="1">
        <v>422499.23</v>
      </c>
      <c r="D3" s="1">
        <f t="shared" ref="D3:D17" si="0">0.15*C3</f>
        <v>63374.884499999993</v>
      </c>
      <c r="E3" s="1">
        <f t="shared" ref="E3:E17" si="1">0.17*C3</f>
        <v>71824.869099999996</v>
      </c>
    </row>
    <row r="4" spans="1:5" x14ac:dyDescent="0.25">
      <c r="A4" t="s">
        <v>6</v>
      </c>
      <c r="B4" t="s">
        <v>3</v>
      </c>
      <c r="C4" s="1">
        <v>156958.89000000001</v>
      </c>
      <c r="D4" s="1">
        <f t="shared" si="0"/>
        <v>23543.833500000001</v>
      </c>
      <c r="E4" s="1">
        <f t="shared" si="1"/>
        <v>26683.011300000006</v>
      </c>
    </row>
    <row r="5" spans="1:5" x14ac:dyDescent="0.25">
      <c r="A5" t="s">
        <v>7</v>
      </c>
      <c r="B5" t="s">
        <v>3</v>
      </c>
      <c r="C5" s="1">
        <v>885789.06</v>
      </c>
      <c r="D5" s="1">
        <f t="shared" si="0"/>
        <v>132868.359</v>
      </c>
      <c r="E5" s="1">
        <f t="shared" si="1"/>
        <v>150584.14020000002</v>
      </c>
    </row>
    <row r="6" spans="1:5" x14ac:dyDescent="0.25">
      <c r="A6" t="s">
        <v>8</v>
      </c>
      <c r="B6" t="s">
        <v>3</v>
      </c>
      <c r="C6" s="1">
        <v>207923.65</v>
      </c>
      <c r="D6" s="1">
        <f t="shared" si="0"/>
        <v>31188.547499999997</v>
      </c>
      <c r="E6" s="1">
        <f t="shared" si="1"/>
        <v>35347.020499999999</v>
      </c>
    </row>
    <row r="7" spans="1:5" x14ac:dyDescent="0.25">
      <c r="A7" t="s">
        <v>10</v>
      </c>
      <c r="B7" t="s">
        <v>9</v>
      </c>
      <c r="C7" s="1">
        <v>157691.38</v>
      </c>
      <c r="D7" s="1">
        <f t="shared" si="0"/>
        <v>23653.706999999999</v>
      </c>
      <c r="E7" s="1">
        <f t="shared" si="1"/>
        <v>26807.534600000003</v>
      </c>
    </row>
    <row r="8" spans="1:5" x14ac:dyDescent="0.25">
      <c r="A8" t="s">
        <v>11</v>
      </c>
      <c r="B8" t="s">
        <v>9</v>
      </c>
      <c r="C8" s="1">
        <v>7830.7</v>
      </c>
      <c r="D8" s="1">
        <f t="shared" si="0"/>
        <v>1174.605</v>
      </c>
      <c r="E8" s="1">
        <f t="shared" si="1"/>
        <v>1331.2190000000001</v>
      </c>
    </row>
    <row r="9" spans="1:5" x14ac:dyDescent="0.25">
      <c r="A9" t="s">
        <v>12</v>
      </c>
      <c r="B9" t="s">
        <v>9</v>
      </c>
      <c r="C9" s="1">
        <v>48115.92</v>
      </c>
      <c r="D9" s="1">
        <f t="shared" si="0"/>
        <v>7217.3879999999999</v>
      </c>
      <c r="E9" s="1">
        <f t="shared" si="1"/>
        <v>8179.7064</v>
      </c>
    </row>
    <row r="10" spans="1:5" x14ac:dyDescent="0.25">
      <c r="A10" t="s">
        <v>13</v>
      </c>
      <c r="B10" t="s">
        <v>9</v>
      </c>
      <c r="C10" s="1">
        <v>11711.3</v>
      </c>
      <c r="D10" s="1">
        <f t="shared" si="0"/>
        <v>1756.6949999999999</v>
      </c>
      <c r="E10" s="1">
        <f t="shared" si="1"/>
        <v>1990.921</v>
      </c>
    </row>
    <row r="11" spans="1:5" x14ac:dyDescent="0.25">
      <c r="A11" t="s">
        <v>14</v>
      </c>
      <c r="B11" t="s">
        <v>9</v>
      </c>
      <c r="C11" s="1">
        <v>20467</v>
      </c>
      <c r="D11" s="1">
        <f t="shared" si="0"/>
        <v>3070.0499999999997</v>
      </c>
      <c r="E11" s="1">
        <f t="shared" si="1"/>
        <v>3479.3900000000003</v>
      </c>
    </row>
    <row r="12" spans="1:5" x14ac:dyDescent="0.25">
      <c r="A12" t="s">
        <v>15</v>
      </c>
      <c r="B12" t="s">
        <v>9</v>
      </c>
      <c r="C12" s="1">
        <v>343713.41</v>
      </c>
      <c r="D12" s="1">
        <f t="shared" si="0"/>
        <v>51557.011499999993</v>
      </c>
      <c r="E12" s="1">
        <f t="shared" si="1"/>
        <v>58431.279699999999</v>
      </c>
    </row>
    <row r="13" spans="1:5" x14ac:dyDescent="0.25">
      <c r="A13" t="s">
        <v>16</v>
      </c>
      <c r="B13" t="s">
        <v>9</v>
      </c>
      <c r="C13" s="1">
        <v>10221.5</v>
      </c>
      <c r="D13" s="1">
        <f t="shared" si="0"/>
        <v>1533.2249999999999</v>
      </c>
      <c r="E13" s="1">
        <f t="shared" si="1"/>
        <v>1737.6550000000002</v>
      </c>
    </row>
    <row r="14" spans="1:5" x14ac:dyDescent="0.25">
      <c r="A14" t="s">
        <v>17</v>
      </c>
      <c r="B14" t="s">
        <v>18</v>
      </c>
      <c r="C14" s="1">
        <v>109282.79</v>
      </c>
      <c r="D14" s="1">
        <f t="shared" si="0"/>
        <v>16392.4185</v>
      </c>
      <c r="E14" s="1">
        <f t="shared" si="1"/>
        <v>18578.0743</v>
      </c>
    </row>
    <row r="15" spans="1:5" x14ac:dyDescent="0.25">
      <c r="A15" t="s">
        <v>20</v>
      </c>
      <c r="B15" t="s">
        <v>18</v>
      </c>
      <c r="C15" s="1">
        <v>3680.5</v>
      </c>
      <c r="D15" s="1">
        <f t="shared" si="0"/>
        <v>552.07499999999993</v>
      </c>
      <c r="E15" s="1">
        <f t="shared" si="1"/>
        <v>625.68500000000006</v>
      </c>
    </row>
    <row r="16" spans="1:5" x14ac:dyDescent="0.25">
      <c r="A16" t="s">
        <v>19</v>
      </c>
      <c r="B16" t="s">
        <v>18</v>
      </c>
      <c r="C16" s="1">
        <v>658.24</v>
      </c>
      <c r="D16" s="1">
        <f t="shared" si="0"/>
        <v>98.736000000000004</v>
      </c>
      <c r="E16" s="1">
        <f t="shared" si="1"/>
        <v>111.9008</v>
      </c>
    </row>
    <row r="17" spans="1:5" x14ac:dyDescent="0.25">
      <c r="A17" t="s">
        <v>21</v>
      </c>
      <c r="B17" t="s">
        <v>18</v>
      </c>
      <c r="C17" s="1">
        <v>1371.95</v>
      </c>
      <c r="D17" s="1">
        <f t="shared" si="0"/>
        <v>205.79249999999999</v>
      </c>
      <c r="E17" s="1">
        <f t="shared" si="1"/>
        <v>233.23150000000001</v>
      </c>
    </row>
    <row r="18" spans="1:5" s="9" customFormat="1" x14ac:dyDescent="0.25">
      <c r="A18" s="9" t="s">
        <v>30</v>
      </c>
      <c r="C18" s="10">
        <f>SUM(C2:C17)</f>
        <v>2417348.0100000002</v>
      </c>
      <c r="D18" s="10">
        <f t="shared" ref="D18:E18" si="2">SUM(D2:D17)</f>
        <v>362602.20149999985</v>
      </c>
      <c r="E18" s="10">
        <f t="shared" si="2"/>
        <v>410949.16170000006</v>
      </c>
    </row>
    <row r="20" spans="1:5" x14ac:dyDescent="0.25">
      <c r="A20" t="s">
        <v>25</v>
      </c>
      <c r="B20" s="2" t="s">
        <v>24</v>
      </c>
    </row>
    <row r="21" spans="1:5" x14ac:dyDescent="0.25">
      <c r="A21" t="s">
        <v>26</v>
      </c>
      <c r="B21" s="2" t="s">
        <v>27</v>
      </c>
    </row>
    <row r="22" spans="1:5" x14ac:dyDescent="0.25">
      <c r="A22" t="s">
        <v>28</v>
      </c>
      <c r="B22" s="2" t="s">
        <v>29</v>
      </c>
    </row>
  </sheetData>
  <hyperlinks>
    <hyperlink ref="B20" r:id="rId1" xr:uid="{8D02373C-D726-4BFC-B24C-F34B7BDCE7FF}"/>
    <hyperlink ref="B21" r:id="rId2" xr:uid="{B69F4E49-A939-4192-B1E1-0C5581E5B043}"/>
    <hyperlink ref="B22" r:id="rId3" xr:uid="{041C32BF-E993-429C-8F2F-A955F2F845F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7BAE1-6E25-4956-A9E6-734B4E9F2ECE}">
  <dimension ref="A1:O26"/>
  <sheetViews>
    <sheetView workbookViewId="0">
      <selection activeCell="O10" sqref="O10"/>
    </sheetView>
  </sheetViews>
  <sheetFormatPr defaultRowHeight="15" x14ac:dyDescent="0.25"/>
  <cols>
    <col min="5" max="6" width="15.140625" customWidth="1"/>
    <col min="8" max="8" width="12.140625" customWidth="1"/>
    <col min="9" max="9" width="12.5703125" customWidth="1"/>
    <col min="10" max="10" width="14.5703125" customWidth="1"/>
    <col min="11" max="11" width="11.28515625" customWidth="1"/>
  </cols>
  <sheetData>
    <row r="1" spans="1:15" s="3" customFormat="1" ht="45" x14ac:dyDescent="0.25">
      <c r="A1" s="3" t="s">
        <v>31</v>
      </c>
      <c r="B1" s="3" t="s">
        <v>35</v>
      </c>
      <c r="C1" s="3" t="s">
        <v>36</v>
      </c>
      <c r="D1" s="3" t="s">
        <v>32</v>
      </c>
      <c r="E1" s="3" t="s">
        <v>37</v>
      </c>
      <c r="F1" s="3" t="s">
        <v>61</v>
      </c>
      <c r="G1" s="3" t="s">
        <v>33</v>
      </c>
      <c r="H1" s="3" t="s">
        <v>38</v>
      </c>
      <c r="I1" s="3" t="s">
        <v>39</v>
      </c>
      <c r="J1" s="3" t="s">
        <v>40</v>
      </c>
      <c r="K1" s="3" t="s">
        <v>34</v>
      </c>
    </row>
    <row r="2" spans="1:15" x14ac:dyDescent="0.25">
      <c r="A2">
        <v>2025</v>
      </c>
      <c r="B2" s="7">
        <v>2417348.0100000002</v>
      </c>
      <c r="C2" s="7">
        <f>0.15*B2</f>
        <v>362602.20150000002</v>
      </c>
      <c r="D2" s="8">
        <v>0.02</v>
      </c>
      <c r="E2" s="7">
        <f>D2*C2</f>
        <v>7252.0440300000009</v>
      </c>
      <c r="F2" s="7">
        <f>E2*2000/1.2</f>
        <v>12086740.050000003</v>
      </c>
      <c r="G2" s="8">
        <v>0.05</v>
      </c>
      <c r="H2" s="7">
        <f>C2*G2</f>
        <v>18130.110075000001</v>
      </c>
      <c r="I2" s="7">
        <v>30177</v>
      </c>
      <c r="J2" s="7">
        <v>11526</v>
      </c>
      <c r="K2" s="7">
        <f>I2+J2</f>
        <v>41703</v>
      </c>
      <c r="O2" t="s">
        <v>60</v>
      </c>
    </row>
    <row r="3" spans="1:15" x14ac:dyDescent="0.25">
      <c r="A3">
        <v>2026</v>
      </c>
      <c r="B3" s="7">
        <v>2417348.0100000002</v>
      </c>
      <c r="C3" s="7">
        <f t="shared" ref="C3:C26" si="0">0.15*B3</f>
        <v>362602.20150000002</v>
      </c>
      <c r="D3" s="8">
        <v>0.04</v>
      </c>
      <c r="E3" s="7">
        <f t="shared" ref="E3:E26" si="1">D3*C3</f>
        <v>14504.088060000002</v>
      </c>
      <c r="F3" s="7">
        <f t="shared" ref="F3:F26" si="2">E3*2000/1.2</f>
        <v>24173480.100000005</v>
      </c>
      <c r="G3" s="8">
        <v>0.1</v>
      </c>
      <c r="H3" s="7">
        <f t="shared" ref="H3:H26" si="3">C3*G3</f>
        <v>36260.220150000001</v>
      </c>
      <c r="I3" s="7">
        <v>60354</v>
      </c>
      <c r="J3" s="7">
        <v>23051</v>
      </c>
      <c r="K3" s="7">
        <f t="shared" ref="K3:K26" si="4">I3+J3</f>
        <v>83405</v>
      </c>
      <c r="N3" t="s">
        <v>57</v>
      </c>
      <c r="O3" s="7">
        <f>SUM(E2:E6)+SUM(H2:H6)</f>
        <v>391610.37761999998</v>
      </c>
    </row>
    <row r="4" spans="1:15" x14ac:dyDescent="0.25">
      <c r="A4">
        <v>2027</v>
      </c>
      <c r="B4" s="7">
        <v>2417348.0100000002</v>
      </c>
      <c r="C4" s="7">
        <f t="shared" si="0"/>
        <v>362602.20150000002</v>
      </c>
      <c r="D4" s="8">
        <v>7.0000000000000007E-2</v>
      </c>
      <c r="E4" s="7">
        <f t="shared" si="1"/>
        <v>25382.154105000005</v>
      </c>
      <c r="F4" s="7">
        <f t="shared" si="2"/>
        <v>42303590.175000012</v>
      </c>
      <c r="G4" s="8">
        <v>0.15</v>
      </c>
      <c r="H4" s="7">
        <f t="shared" si="3"/>
        <v>54390.330225000005</v>
      </c>
      <c r="I4" s="7">
        <v>105620</v>
      </c>
      <c r="J4" s="7">
        <v>34577</v>
      </c>
      <c r="K4" s="7">
        <f t="shared" si="4"/>
        <v>140197</v>
      </c>
      <c r="N4" t="s">
        <v>59</v>
      </c>
      <c r="O4" s="7">
        <f>SUM(E2:E26)+SUM(H2:H26)</f>
        <v>2929825.7881200006</v>
      </c>
    </row>
    <row r="5" spans="1:15" x14ac:dyDescent="0.25">
      <c r="A5">
        <v>2028</v>
      </c>
      <c r="B5" s="7">
        <v>2417348.0100000002</v>
      </c>
      <c r="C5" s="7">
        <f t="shared" si="0"/>
        <v>362602.20150000002</v>
      </c>
      <c r="D5" s="8">
        <v>0.1</v>
      </c>
      <c r="E5" s="7">
        <f t="shared" si="1"/>
        <v>36260.220150000001</v>
      </c>
      <c r="F5" s="7">
        <f t="shared" si="2"/>
        <v>60433700.25</v>
      </c>
      <c r="G5" s="8">
        <v>0.2</v>
      </c>
      <c r="H5" s="7">
        <f t="shared" si="3"/>
        <v>72520.440300000002</v>
      </c>
      <c r="I5" s="7">
        <v>150885</v>
      </c>
      <c r="J5" s="7">
        <v>46103</v>
      </c>
      <c r="K5" s="7">
        <f t="shared" si="4"/>
        <v>196988</v>
      </c>
    </row>
    <row r="6" spans="1:15" x14ac:dyDescent="0.25">
      <c r="A6">
        <v>2029</v>
      </c>
      <c r="B6" s="7">
        <v>2417348.0100000002</v>
      </c>
      <c r="C6" s="7">
        <f t="shared" si="0"/>
        <v>362602.20150000002</v>
      </c>
      <c r="D6" s="8">
        <v>0.1</v>
      </c>
      <c r="E6" s="7">
        <f t="shared" si="1"/>
        <v>36260.220150000001</v>
      </c>
      <c r="F6" s="7">
        <f t="shared" si="2"/>
        <v>60433700.25</v>
      </c>
      <c r="G6" s="8">
        <v>0.25</v>
      </c>
      <c r="H6" s="7">
        <f t="shared" si="3"/>
        <v>90650.550375000006</v>
      </c>
      <c r="I6" s="7">
        <v>150885</v>
      </c>
      <c r="J6" s="7">
        <v>57629</v>
      </c>
      <c r="K6" s="7">
        <f t="shared" si="4"/>
        <v>208514</v>
      </c>
    </row>
    <row r="7" spans="1:15" x14ac:dyDescent="0.25">
      <c r="A7">
        <v>2030</v>
      </c>
      <c r="B7" s="7">
        <v>2417348.0100000002</v>
      </c>
      <c r="C7" s="7">
        <f t="shared" si="0"/>
        <v>362602.20150000002</v>
      </c>
      <c r="D7" s="8">
        <v>0.1</v>
      </c>
      <c r="E7" s="7">
        <f t="shared" si="1"/>
        <v>36260.220150000001</v>
      </c>
      <c r="F7" s="7">
        <f t="shared" si="2"/>
        <v>60433700.25</v>
      </c>
      <c r="G7" s="8">
        <v>0.25</v>
      </c>
      <c r="H7" s="7">
        <f t="shared" si="3"/>
        <v>90650.550375000006</v>
      </c>
      <c r="I7" s="7">
        <v>150885</v>
      </c>
      <c r="J7" s="7">
        <v>57629</v>
      </c>
      <c r="K7" s="7">
        <f t="shared" si="4"/>
        <v>208514</v>
      </c>
    </row>
    <row r="8" spans="1:15" x14ac:dyDescent="0.25">
      <c r="A8">
        <v>2031</v>
      </c>
      <c r="B8" s="7">
        <v>2417348.0100000002</v>
      </c>
      <c r="C8" s="7">
        <f t="shared" si="0"/>
        <v>362602.20150000002</v>
      </c>
      <c r="D8" s="8">
        <v>0.1</v>
      </c>
      <c r="E8" s="7">
        <f t="shared" si="1"/>
        <v>36260.220150000001</v>
      </c>
      <c r="F8" s="7">
        <f t="shared" si="2"/>
        <v>60433700.25</v>
      </c>
      <c r="G8" s="8">
        <v>0.25</v>
      </c>
      <c r="H8" s="7">
        <f t="shared" si="3"/>
        <v>90650.550375000006</v>
      </c>
      <c r="I8" s="7">
        <v>150885</v>
      </c>
      <c r="J8" s="7">
        <v>57629</v>
      </c>
      <c r="K8" s="7">
        <f t="shared" si="4"/>
        <v>208514</v>
      </c>
    </row>
    <row r="9" spans="1:15" x14ac:dyDescent="0.25">
      <c r="A9">
        <v>2032</v>
      </c>
      <c r="B9" s="7">
        <v>2417348.0100000002</v>
      </c>
      <c r="C9" s="7">
        <f t="shared" si="0"/>
        <v>362602.20150000002</v>
      </c>
      <c r="D9" s="8">
        <v>0.1</v>
      </c>
      <c r="E9" s="7">
        <f t="shared" si="1"/>
        <v>36260.220150000001</v>
      </c>
      <c r="F9" s="7">
        <f t="shared" si="2"/>
        <v>60433700.25</v>
      </c>
      <c r="G9" s="8">
        <v>0.25</v>
      </c>
      <c r="H9" s="7">
        <f t="shared" si="3"/>
        <v>90650.550375000006</v>
      </c>
      <c r="I9" s="7">
        <v>150885</v>
      </c>
      <c r="J9" s="7">
        <v>57629</v>
      </c>
      <c r="K9" s="7">
        <f t="shared" si="4"/>
        <v>208514</v>
      </c>
      <c r="O9" t="s">
        <v>63</v>
      </c>
    </row>
    <row r="10" spans="1:15" x14ac:dyDescent="0.25">
      <c r="A10">
        <v>2033</v>
      </c>
      <c r="B10" s="7">
        <v>2417348.0100000002</v>
      </c>
      <c r="C10" s="7">
        <f t="shared" si="0"/>
        <v>362602.20150000002</v>
      </c>
      <c r="D10" s="8">
        <v>0.1</v>
      </c>
      <c r="E10" s="7">
        <f t="shared" si="1"/>
        <v>36260.220150000001</v>
      </c>
      <c r="F10" s="7">
        <f t="shared" si="2"/>
        <v>60433700.25</v>
      </c>
      <c r="G10" s="8">
        <v>0.25</v>
      </c>
      <c r="H10" s="7">
        <f t="shared" si="3"/>
        <v>90650.550375000006</v>
      </c>
      <c r="I10" s="7">
        <v>150885</v>
      </c>
      <c r="J10" s="7">
        <v>57629</v>
      </c>
      <c r="K10" s="7">
        <f t="shared" si="4"/>
        <v>208514</v>
      </c>
      <c r="N10" t="s">
        <v>57</v>
      </c>
      <c r="O10">
        <f>(SUM(E2:E6)+SUM(H2:H6))/1000*34</f>
        <v>13314.75283908</v>
      </c>
    </row>
    <row r="11" spans="1:15" x14ac:dyDescent="0.25">
      <c r="A11">
        <v>2034</v>
      </c>
      <c r="B11" s="7">
        <v>2417348.0100000002</v>
      </c>
      <c r="C11" s="7">
        <f t="shared" si="0"/>
        <v>362602.20150000002</v>
      </c>
      <c r="D11" s="8">
        <v>0.1</v>
      </c>
      <c r="E11" s="7">
        <f t="shared" si="1"/>
        <v>36260.220150000001</v>
      </c>
      <c r="F11" s="7">
        <f t="shared" si="2"/>
        <v>60433700.25</v>
      </c>
      <c r="G11" s="8">
        <v>0.25</v>
      </c>
      <c r="H11" s="7">
        <f t="shared" si="3"/>
        <v>90650.550375000006</v>
      </c>
      <c r="I11" s="7">
        <v>150885</v>
      </c>
      <c r="J11" s="7">
        <v>57629</v>
      </c>
      <c r="K11" s="7">
        <f t="shared" si="4"/>
        <v>208514</v>
      </c>
      <c r="N11" t="s">
        <v>59</v>
      </c>
      <c r="O11">
        <f>(SUM(E2:E26)+SUM(H2:H26))/1000*34</f>
        <v>99614.076796080015</v>
      </c>
    </row>
    <row r="12" spans="1:15" x14ac:dyDescent="0.25">
      <c r="A12">
        <v>2035</v>
      </c>
      <c r="B12" s="7">
        <v>2417348.0100000002</v>
      </c>
      <c r="C12" s="7">
        <f t="shared" si="0"/>
        <v>362602.20150000002</v>
      </c>
      <c r="D12" s="8">
        <v>0.1</v>
      </c>
      <c r="E12" s="7">
        <f t="shared" si="1"/>
        <v>36260.220150000001</v>
      </c>
      <c r="F12" s="7">
        <f t="shared" si="2"/>
        <v>60433700.25</v>
      </c>
      <c r="G12" s="8">
        <v>0.25</v>
      </c>
      <c r="H12" s="7">
        <f t="shared" si="3"/>
        <v>90650.550375000006</v>
      </c>
      <c r="I12" s="7">
        <v>150885</v>
      </c>
      <c r="J12" s="7">
        <v>57629</v>
      </c>
      <c r="K12" s="7">
        <f t="shared" si="4"/>
        <v>208514</v>
      </c>
    </row>
    <row r="13" spans="1:15" x14ac:dyDescent="0.25">
      <c r="A13">
        <v>2036</v>
      </c>
      <c r="B13" s="7">
        <v>2417348.0100000002</v>
      </c>
      <c r="C13" s="7">
        <f t="shared" si="0"/>
        <v>362602.20150000002</v>
      </c>
      <c r="D13" s="8">
        <v>0.1</v>
      </c>
      <c r="E13" s="7">
        <f t="shared" si="1"/>
        <v>36260.220150000001</v>
      </c>
      <c r="F13" s="7">
        <f t="shared" si="2"/>
        <v>60433700.25</v>
      </c>
      <c r="G13" s="8">
        <v>0.25</v>
      </c>
      <c r="H13" s="7">
        <f t="shared" si="3"/>
        <v>90650.550375000006</v>
      </c>
      <c r="I13" s="7">
        <v>150885</v>
      </c>
      <c r="J13" s="7">
        <v>57629</v>
      </c>
      <c r="K13" s="7">
        <f t="shared" si="4"/>
        <v>208514</v>
      </c>
    </row>
    <row r="14" spans="1:15" x14ac:dyDescent="0.25">
      <c r="A14">
        <v>2037</v>
      </c>
      <c r="B14" s="7">
        <v>2417348.0100000002</v>
      </c>
      <c r="C14" s="7">
        <f t="shared" si="0"/>
        <v>362602.20150000002</v>
      </c>
      <c r="D14" s="8">
        <v>0.1</v>
      </c>
      <c r="E14" s="7">
        <f t="shared" si="1"/>
        <v>36260.220150000001</v>
      </c>
      <c r="F14" s="7">
        <f t="shared" si="2"/>
        <v>60433700.25</v>
      </c>
      <c r="G14" s="8">
        <v>0.25</v>
      </c>
      <c r="H14" s="7">
        <f t="shared" si="3"/>
        <v>90650.550375000006</v>
      </c>
      <c r="I14" s="7">
        <v>150885</v>
      </c>
      <c r="J14" s="7">
        <v>57629</v>
      </c>
      <c r="K14" s="7">
        <f t="shared" si="4"/>
        <v>208514</v>
      </c>
    </row>
    <row r="15" spans="1:15" x14ac:dyDescent="0.25">
      <c r="A15">
        <v>2038</v>
      </c>
      <c r="B15" s="7">
        <v>2417348.0100000002</v>
      </c>
      <c r="C15" s="7">
        <f t="shared" si="0"/>
        <v>362602.20150000002</v>
      </c>
      <c r="D15" s="8">
        <v>0.1</v>
      </c>
      <c r="E15" s="7">
        <f t="shared" si="1"/>
        <v>36260.220150000001</v>
      </c>
      <c r="F15" s="7">
        <f t="shared" si="2"/>
        <v>60433700.25</v>
      </c>
      <c r="G15" s="8">
        <v>0.25</v>
      </c>
      <c r="H15" s="7">
        <f t="shared" si="3"/>
        <v>90650.550375000006</v>
      </c>
      <c r="I15" s="7">
        <v>150885</v>
      </c>
      <c r="J15" s="7">
        <v>57629</v>
      </c>
      <c r="K15" s="7">
        <f t="shared" si="4"/>
        <v>208514</v>
      </c>
      <c r="N15" t="s">
        <v>62</v>
      </c>
    </row>
    <row r="16" spans="1:15" x14ac:dyDescent="0.25">
      <c r="A16">
        <v>2039</v>
      </c>
      <c r="B16" s="7">
        <v>2417348.0100000002</v>
      </c>
      <c r="C16" s="7">
        <f t="shared" si="0"/>
        <v>362602.20150000002</v>
      </c>
      <c r="D16" s="8">
        <v>0.1</v>
      </c>
      <c r="E16" s="7">
        <f t="shared" si="1"/>
        <v>36260.220150000001</v>
      </c>
      <c r="F16" s="7">
        <f t="shared" si="2"/>
        <v>60433700.25</v>
      </c>
      <c r="G16" s="8">
        <v>0.25</v>
      </c>
      <c r="H16" s="7">
        <f t="shared" si="3"/>
        <v>90650.550375000006</v>
      </c>
      <c r="I16" s="7">
        <v>150885</v>
      </c>
      <c r="J16" s="7">
        <v>57629</v>
      </c>
      <c r="K16" s="7">
        <f t="shared" si="4"/>
        <v>208514</v>
      </c>
    </row>
    <row r="17" spans="1:11" x14ac:dyDescent="0.25">
      <c r="A17">
        <v>2040</v>
      </c>
      <c r="B17" s="7">
        <v>2417348.0100000002</v>
      </c>
      <c r="C17" s="7">
        <f t="shared" si="0"/>
        <v>362602.20150000002</v>
      </c>
      <c r="D17" s="8">
        <v>0.1</v>
      </c>
      <c r="E17" s="7">
        <f t="shared" si="1"/>
        <v>36260.220150000001</v>
      </c>
      <c r="F17" s="7">
        <f t="shared" si="2"/>
        <v>60433700.25</v>
      </c>
      <c r="G17" s="8">
        <v>0.25</v>
      </c>
      <c r="H17" s="7">
        <f t="shared" si="3"/>
        <v>90650.550375000006</v>
      </c>
      <c r="I17" s="7">
        <v>150885</v>
      </c>
      <c r="J17" s="7">
        <v>57629</v>
      </c>
      <c r="K17" s="7">
        <f t="shared" si="4"/>
        <v>208514</v>
      </c>
    </row>
    <row r="18" spans="1:11" x14ac:dyDescent="0.25">
      <c r="A18">
        <v>2041</v>
      </c>
      <c r="B18" s="7">
        <v>2417348.0100000002</v>
      </c>
      <c r="C18" s="7">
        <f t="shared" si="0"/>
        <v>362602.20150000002</v>
      </c>
      <c r="D18" s="8">
        <v>0.1</v>
      </c>
      <c r="E18" s="7">
        <f t="shared" si="1"/>
        <v>36260.220150000001</v>
      </c>
      <c r="F18" s="7">
        <f t="shared" si="2"/>
        <v>60433700.25</v>
      </c>
      <c r="G18" s="8">
        <v>0.25</v>
      </c>
      <c r="H18" s="7">
        <f t="shared" si="3"/>
        <v>90650.550375000006</v>
      </c>
      <c r="I18" s="7">
        <v>150885</v>
      </c>
      <c r="J18" s="7">
        <v>57629</v>
      </c>
      <c r="K18" s="7">
        <f t="shared" si="4"/>
        <v>208514</v>
      </c>
    </row>
    <row r="19" spans="1:11" x14ac:dyDescent="0.25">
      <c r="A19">
        <v>2042</v>
      </c>
      <c r="B19" s="7">
        <v>2417348.0100000002</v>
      </c>
      <c r="C19" s="7">
        <f t="shared" si="0"/>
        <v>362602.20150000002</v>
      </c>
      <c r="D19" s="8">
        <v>0.1</v>
      </c>
      <c r="E19" s="7">
        <f t="shared" si="1"/>
        <v>36260.220150000001</v>
      </c>
      <c r="F19" s="7">
        <f t="shared" si="2"/>
        <v>60433700.25</v>
      </c>
      <c r="G19" s="8">
        <v>0.25</v>
      </c>
      <c r="H19" s="7">
        <f t="shared" si="3"/>
        <v>90650.550375000006</v>
      </c>
      <c r="I19" s="7">
        <v>150885</v>
      </c>
      <c r="J19" s="7">
        <v>57629</v>
      </c>
      <c r="K19" s="7">
        <f t="shared" si="4"/>
        <v>208514</v>
      </c>
    </row>
    <row r="20" spans="1:11" x14ac:dyDescent="0.25">
      <c r="A20">
        <v>2043</v>
      </c>
      <c r="B20" s="7">
        <v>2417348.0100000002</v>
      </c>
      <c r="C20" s="7">
        <f t="shared" si="0"/>
        <v>362602.20150000002</v>
      </c>
      <c r="D20" s="8">
        <v>0.1</v>
      </c>
      <c r="E20" s="7">
        <f t="shared" si="1"/>
        <v>36260.220150000001</v>
      </c>
      <c r="F20" s="7">
        <f t="shared" si="2"/>
        <v>60433700.25</v>
      </c>
      <c r="G20" s="8">
        <v>0.25</v>
      </c>
      <c r="H20" s="7">
        <f t="shared" si="3"/>
        <v>90650.550375000006</v>
      </c>
      <c r="I20" s="7">
        <v>150885</v>
      </c>
      <c r="J20" s="7">
        <v>57629</v>
      </c>
      <c r="K20" s="7">
        <f t="shared" si="4"/>
        <v>208514</v>
      </c>
    </row>
    <row r="21" spans="1:11" x14ac:dyDescent="0.25">
      <c r="A21">
        <v>2044</v>
      </c>
      <c r="B21" s="7">
        <v>2417348.0100000002</v>
      </c>
      <c r="C21" s="7">
        <f t="shared" si="0"/>
        <v>362602.20150000002</v>
      </c>
      <c r="D21" s="8">
        <v>0.1</v>
      </c>
      <c r="E21" s="7">
        <f t="shared" si="1"/>
        <v>36260.220150000001</v>
      </c>
      <c r="F21" s="7">
        <f t="shared" si="2"/>
        <v>60433700.25</v>
      </c>
      <c r="G21" s="8">
        <v>0.25</v>
      </c>
      <c r="H21" s="7">
        <f t="shared" si="3"/>
        <v>90650.550375000006</v>
      </c>
      <c r="I21" s="7">
        <v>150885</v>
      </c>
      <c r="J21" s="7">
        <v>57629</v>
      </c>
      <c r="K21" s="7">
        <f t="shared" si="4"/>
        <v>208514</v>
      </c>
    </row>
    <row r="22" spans="1:11" x14ac:dyDescent="0.25">
      <c r="A22">
        <v>2045</v>
      </c>
      <c r="B22" s="7">
        <v>2417348.0100000002</v>
      </c>
      <c r="C22" s="7">
        <f t="shared" si="0"/>
        <v>362602.20150000002</v>
      </c>
      <c r="D22" s="8">
        <v>0.1</v>
      </c>
      <c r="E22" s="7">
        <f t="shared" si="1"/>
        <v>36260.220150000001</v>
      </c>
      <c r="F22" s="7">
        <f t="shared" si="2"/>
        <v>60433700.25</v>
      </c>
      <c r="G22" s="8">
        <v>0.25</v>
      </c>
      <c r="H22" s="7">
        <f t="shared" si="3"/>
        <v>90650.550375000006</v>
      </c>
      <c r="I22" s="7">
        <v>150885</v>
      </c>
      <c r="J22" s="7">
        <v>57629</v>
      </c>
      <c r="K22" s="7">
        <f t="shared" si="4"/>
        <v>208514</v>
      </c>
    </row>
    <row r="23" spans="1:11" x14ac:dyDescent="0.25">
      <c r="A23">
        <v>2046</v>
      </c>
      <c r="B23" s="7">
        <v>2417348.0100000002</v>
      </c>
      <c r="C23" s="7">
        <f t="shared" si="0"/>
        <v>362602.20150000002</v>
      </c>
      <c r="D23" s="8">
        <v>0.1</v>
      </c>
      <c r="E23" s="7">
        <f t="shared" si="1"/>
        <v>36260.220150000001</v>
      </c>
      <c r="F23" s="7">
        <f t="shared" si="2"/>
        <v>60433700.25</v>
      </c>
      <c r="G23" s="8">
        <v>0.25</v>
      </c>
      <c r="H23" s="7">
        <f t="shared" si="3"/>
        <v>90650.550375000006</v>
      </c>
      <c r="I23" s="7">
        <v>150885</v>
      </c>
      <c r="J23" s="7">
        <v>57629</v>
      </c>
      <c r="K23" s="7">
        <f t="shared" si="4"/>
        <v>208514</v>
      </c>
    </row>
    <row r="24" spans="1:11" x14ac:dyDescent="0.25">
      <c r="A24">
        <v>2047</v>
      </c>
      <c r="B24" s="7">
        <v>2417348.0100000002</v>
      </c>
      <c r="C24" s="7">
        <f t="shared" si="0"/>
        <v>362602.20150000002</v>
      </c>
      <c r="D24" s="8">
        <v>0.1</v>
      </c>
      <c r="E24" s="7">
        <f t="shared" si="1"/>
        <v>36260.220150000001</v>
      </c>
      <c r="F24" s="7">
        <f t="shared" si="2"/>
        <v>60433700.25</v>
      </c>
      <c r="G24" s="8">
        <v>0.25</v>
      </c>
      <c r="H24" s="7">
        <f t="shared" si="3"/>
        <v>90650.550375000006</v>
      </c>
      <c r="I24" s="7">
        <v>150885</v>
      </c>
      <c r="J24" s="7">
        <v>57629</v>
      </c>
      <c r="K24" s="7">
        <f t="shared" si="4"/>
        <v>208514</v>
      </c>
    </row>
    <row r="25" spans="1:11" x14ac:dyDescent="0.25">
      <c r="A25">
        <v>2048</v>
      </c>
      <c r="B25" s="7">
        <v>2417348.0100000002</v>
      </c>
      <c r="C25" s="7">
        <f t="shared" si="0"/>
        <v>362602.20150000002</v>
      </c>
      <c r="D25" s="8">
        <v>0.1</v>
      </c>
      <c r="E25" s="7">
        <f t="shared" si="1"/>
        <v>36260.220150000001</v>
      </c>
      <c r="F25" s="7">
        <f t="shared" si="2"/>
        <v>60433700.25</v>
      </c>
      <c r="G25" s="8">
        <v>0.25</v>
      </c>
      <c r="H25" s="7">
        <f t="shared" si="3"/>
        <v>90650.550375000006</v>
      </c>
      <c r="I25" s="7">
        <v>150885</v>
      </c>
      <c r="J25" s="7">
        <v>57629</v>
      </c>
      <c r="K25" s="7">
        <f t="shared" si="4"/>
        <v>208514</v>
      </c>
    </row>
    <row r="26" spans="1:11" x14ac:dyDescent="0.25">
      <c r="A26">
        <v>2049</v>
      </c>
      <c r="B26" s="7">
        <v>2417348.0100000002</v>
      </c>
      <c r="C26" s="7">
        <f t="shared" si="0"/>
        <v>362602.20150000002</v>
      </c>
      <c r="D26" s="8">
        <v>0.1</v>
      </c>
      <c r="E26" s="7">
        <f t="shared" si="1"/>
        <v>36260.220150000001</v>
      </c>
      <c r="F26" s="7">
        <f t="shared" si="2"/>
        <v>60433700.25</v>
      </c>
      <c r="G26" s="8">
        <v>0.25</v>
      </c>
      <c r="H26" s="7">
        <f t="shared" si="3"/>
        <v>90650.550375000006</v>
      </c>
      <c r="I26" s="7">
        <v>150885</v>
      </c>
      <c r="J26" s="7">
        <v>57629</v>
      </c>
      <c r="K26" s="7">
        <f t="shared" si="4"/>
        <v>208514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A92B2-7224-4F97-A131-760D86266207}">
  <dimension ref="A1:G6"/>
  <sheetViews>
    <sheetView workbookViewId="0">
      <selection activeCell="H2" sqref="H2"/>
    </sheetView>
  </sheetViews>
  <sheetFormatPr defaultRowHeight="15" x14ac:dyDescent="0.25"/>
  <cols>
    <col min="1" max="1" width="15.42578125" customWidth="1"/>
    <col min="4" max="6" width="11.5703125" bestFit="1" customWidth="1"/>
    <col min="7" max="7" width="13" customWidth="1"/>
  </cols>
  <sheetData>
    <row r="1" spans="1:7" ht="30" x14ac:dyDescent="0.25">
      <c r="A1" s="5" t="s">
        <v>41</v>
      </c>
      <c r="B1" s="5" t="s">
        <v>42</v>
      </c>
      <c r="C1" s="5" t="s">
        <v>50</v>
      </c>
      <c r="D1" s="5" t="s">
        <v>44</v>
      </c>
      <c r="E1" s="5" t="s">
        <v>45</v>
      </c>
      <c r="F1" s="6" t="s">
        <v>46</v>
      </c>
      <c r="G1" s="6" t="s">
        <v>47</v>
      </c>
    </row>
    <row r="2" spans="1:7" ht="60" x14ac:dyDescent="0.25">
      <c r="A2" s="5" t="s">
        <v>48</v>
      </c>
      <c r="B2" s="5" t="s">
        <v>49</v>
      </c>
      <c r="C2" s="5">
        <v>1040</v>
      </c>
      <c r="D2" s="5">
        <v>2.8</v>
      </c>
      <c r="E2" s="5">
        <v>1.8000000000000001E-4</v>
      </c>
      <c r="F2" s="5">
        <v>0</v>
      </c>
      <c r="G2" s="5">
        <v>2.8</v>
      </c>
    </row>
    <row r="3" spans="1:7" ht="30" x14ac:dyDescent="0.25">
      <c r="A3" s="5" t="s">
        <v>51</v>
      </c>
      <c r="B3" s="5">
        <v>22</v>
      </c>
      <c r="C3" s="5">
        <v>30000</v>
      </c>
      <c r="D3" s="5">
        <f>C3/B3*10.21/1000</f>
        <v>13.922727272727276</v>
      </c>
      <c r="E3" s="5">
        <f>0.0095*C3/1000000</f>
        <v>2.8499999999999999E-4</v>
      </c>
      <c r="F3" s="5">
        <f>0.0431*C3/1000000</f>
        <v>1.2930000000000001E-3</v>
      </c>
      <c r="G3" s="5">
        <f>D3+25*E3+298*F3</f>
        <v>14.315166272727275</v>
      </c>
    </row>
    <row r="4" spans="1:7" x14ac:dyDescent="0.25">
      <c r="A4" s="5" t="s">
        <v>43</v>
      </c>
      <c r="B4" s="5">
        <v>3.9</v>
      </c>
      <c r="C4" s="5">
        <v>7008</v>
      </c>
      <c r="D4" s="5">
        <f>1798.8*B4*C4/1000/2204.6</f>
        <v>22.300354966887415</v>
      </c>
      <c r="E4" s="5">
        <f>0.172*B4*C4/1000/2204.6</f>
        <v>2.132344370860927E-3</v>
      </c>
      <c r="F4" s="5">
        <f>0.025*B4*C4/1000/2204.6</f>
        <v>3.0993377483443709E-4</v>
      </c>
      <c r="G4" s="5">
        <f>D4+25*E4+298*F4</f>
        <v>22.446023841059599</v>
      </c>
    </row>
    <row r="5" spans="1:7" x14ac:dyDescent="0.25">
      <c r="A5" s="4"/>
      <c r="B5" s="4"/>
      <c r="C5" s="4"/>
      <c r="D5" s="4"/>
      <c r="E5" s="4"/>
      <c r="F5" s="4"/>
      <c r="G5" s="4"/>
    </row>
    <row r="6" spans="1:7" x14ac:dyDescent="0.25">
      <c r="A6" s="4"/>
      <c r="B6" s="4"/>
      <c r="C6" s="4"/>
      <c r="D6" s="4"/>
      <c r="E6" s="4"/>
      <c r="F6" s="4"/>
      <c r="G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A7A8-4D57-4841-82E6-BD59AF3FACF5}">
  <dimension ref="A1:J26"/>
  <sheetViews>
    <sheetView workbookViewId="0">
      <selection activeCell="J2" sqref="J2"/>
    </sheetView>
  </sheetViews>
  <sheetFormatPr defaultRowHeight="15" x14ac:dyDescent="0.25"/>
  <cols>
    <col min="2" max="2" width="18.28515625" customWidth="1"/>
    <col min="3" max="3" width="11.85546875" customWidth="1"/>
    <col min="4" max="4" width="9.85546875" customWidth="1"/>
    <col min="5" max="5" width="14.42578125" customWidth="1"/>
    <col min="6" max="6" width="19.140625" customWidth="1"/>
    <col min="10" max="10" width="17.28515625" customWidth="1"/>
  </cols>
  <sheetData>
    <row r="1" spans="1:10" ht="45" x14ac:dyDescent="0.25">
      <c r="A1" t="s">
        <v>31</v>
      </c>
      <c r="B1" t="s">
        <v>52</v>
      </c>
      <c r="C1" s="3" t="s">
        <v>55</v>
      </c>
      <c r="D1" t="s">
        <v>54</v>
      </c>
      <c r="E1" s="3" t="s">
        <v>56</v>
      </c>
      <c r="F1" t="s">
        <v>53</v>
      </c>
      <c r="J1" t="s">
        <v>58</v>
      </c>
    </row>
    <row r="2" spans="1:10" x14ac:dyDescent="0.25">
      <c r="A2">
        <v>2025</v>
      </c>
      <c r="B2" s="7">
        <f>'Initial GHG Reduction'!K2</f>
        <v>41703</v>
      </c>
      <c r="C2">
        <v>5</v>
      </c>
      <c r="D2">
        <v>3</v>
      </c>
      <c r="E2" s="1">
        <f>C2*('Equipment Offset'!G$2+'Equipment Offset'!G$3)+D2*'Equipment Offset'!G$4</f>
        <v>152.91390288681518</v>
      </c>
      <c r="F2" s="7">
        <f>B2-C2*('Equipment Offset'!G$2+'Equipment Offset'!G$3)-D2*'Equipment Offset'!G$4</f>
        <v>41550.086097113184</v>
      </c>
      <c r="I2" t="s">
        <v>57</v>
      </c>
      <c r="J2" s="7">
        <f>SUM(F2:F6)</f>
        <v>668513.29145669774</v>
      </c>
    </row>
    <row r="3" spans="1:10" x14ac:dyDescent="0.25">
      <c r="A3">
        <v>2026</v>
      </c>
      <c r="B3" s="7">
        <f>'Initial GHG Reduction'!K3</f>
        <v>83405</v>
      </c>
      <c r="C3">
        <v>10</v>
      </c>
      <c r="D3">
        <v>6</v>
      </c>
      <c r="E3" s="1">
        <f>C3*('Equipment Offset'!G$2+'Equipment Offset'!G$3)+D3*'Equipment Offset'!G$4</f>
        <v>305.82780577363036</v>
      </c>
      <c r="F3" s="7">
        <f>B3-C3*('Equipment Offset'!G$2+'Equipment Offset'!G$3)-D3*'Equipment Offset'!G$4</f>
        <v>83099.172194226368</v>
      </c>
      <c r="I3" t="s">
        <v>59</v>
      </c>
      <c r="J3" s="7">
        <f>SUM(F2:F26)</f>
        <v>4823501.9011680186</v>
      </c>
    </row>
    <row r="4" spans="1:10" x14ac:dyDescent="0.25">
      <c r="A4">
        <v>2027</v>
      </c>
      <c r="B4" s="7">
        <f>'Initial GHG Reduction'!K4</f>
        <v>140197</v>
      </c>
      <c r="C4">
        <v>15</v>
      </c>
      <c r="D4">
        <v>9</v>
      </c>
      <c r="E4" s="1">
        <f>C4*('Equipment Offset'!G$2+'Equipment Offset'!G$3)+D4*'Equipment Offset'!G$4</f>
        <v>458.74170866044551</v>
      </c>
      <c r="F4" s="7">
        <f>B4-C4*('Equipment Offset'!G$2+'Equipment Offset'!G$3)-D4*'Equipment Offset'!G$4</f>
        <v>139738.25829133956</v>
      </c>
    </row>
    <row r="5" spans="1:10" x14ac:dyDescent="0.25">
      <c r="A5">
        <v>2028</v>
      </c>
      <c r="B5" s="7">
        <f>'Initial GHG Reduction'!K5</f>
        <v>196988</v>
      </c>
      <c r="C5">
        <v>20</v>
      </c>
      <c r="D5">
        <v>12</v>
      </c>
      <c r="E5" s="1">
        <f>C5*('Equipment Offset'!G$2+'Equipment Offset'!G$3)+D5*'Equipment Offset'!G$4</f>
        <v>611.65561154726072</v>
      </c>
      <c r="F5" s="7">
        <f>B5-C5*('Equipment Offset'!G$2+'Equipment Offset'!G$3)-D5*'Equipment Offset'!G$4</f>
        <v>196376.34438845274</v>
      </c>
    </row>
    <row r="6" spans="1:10" x14ac:dyDescent="0.25">
      <c r="A6">
        <v>2029</v>
      </c>
      <c r="B6" s="7">
        <f>'Initial GHG Reduction'!K6</f>
        <v>208514</v>
      </c>
      <c r="C6">
        <v>25</v>
      </c>
      <c r="D6">
        <v>15</v>
      </c>
      <c r="E6" s="1">
        <f>C6*('Equipment Offset'!G$2+'Equipment Offset'!G$3)+D6*'Equipment Offset'!G$4</f>
        <v>764.56951443407593</v>
      </c>
      <c r="F6" s="7">
        <f>B6-C6*('Equipment Offset'!G$2+'Equipment Offset'!G$3)-D6*'Equipment Offset'!G$4</f>
        <v>207749.43048556594</v>
      </c>
    </row>
    <row r="7" spans="1:10" x14ac:dyDescent="0.25">
      <c r="A7">
        <v>2030</v>
      </c>
      <c r="B7" s="7">
        <f>'Initial GHG Reduction'!K7</f>
        <v>208514</v>
      </c>
      <c r="C7">
        <v>25</v>
      </c>
      <c r="D7">
        <v>15</v>
      </c>
      <c r="E7" s="1">
        <f>C7*('Equipment Offset'!G$2+'Equipment Offset'!G$3)+D7*'Equipment Offset'!G$4</f>
        <v>764.56951443407593</v>
      </c>
      <c r="F7" s="7">
        <f>B7-C7*('Equipment Offset'!G$2+'Equipment Offset'!G$3)-D7*'Equipment Offset'!G$4</f>
        <v>207749.43048556594</v>
      </c>
    </row>
    <row r="8" spans="1:10" x14ac:dyDescent="0.25">
      <c r="A8">
        <v>2031</v>
      </c>
      <c r="B8" s="7">
        <f>'Initial GHG Reduction'!K8</f>
        <v>208514</v>
      </c>
      <c r="C8">
        <v>25</v>
      </c>
      <c r="D8">
        <v>15</v>
      </c>
      <c r="E8" s="1">
        <f>C8*('Equipment Offset'!G$2+'Equipment Offset'!G$3)+D8*'Equipment Offset'!G$4</f>
        <v>764.56951443407593</v>
      </c>
      <c r="F8" s="7">
        <f>B8-C8*('Equipment Offset'!G$2+'Equipment Offset'!G$3)-D8*'Equipment Offset'!G$4</f>
        <v>207749.43048556594</v>
      </c>
    </row>
    <row r="9" spans="1:10" x14ac:dyDescent="0.25">
      <c r="A9">
        <v>2032</v>
      </c>
      <c r="B9" s="7">
        <f>'Initial GHG Reduction'!K9</f>
        <v>208514</v>
      </c>
      <c r="C9">
        <v>25</v>
      </c>
      <c r="D9">
        <v>15</v>
      </c>
      <c r="E9" s="1">
        <f>C9*('Equipment Offset'!G$2+'Equipment Offset'!G$3)+D9*'Equipment Offset'!G$4</f>
        <v>764.56951443407593</v>
      </c>
      <c r="F9" s="7">
        <f>B9-C9*('Equipment Offset'!G$2+'Equipment Offset'!G$3)-D9*'Equipment Offset'!G$4</f>
        <v>207749.43048556594</v>
      </c>
    </row>
    <row r="10" spans="1:10" x14ac:dyDescent="0.25">
      <c r="A10">
        <v>2033</v>
      </c>
      <c r="B10" s="7">
        <f>'Initial GHG Reduction'!K10</f>
        <v>208514</v>
      </c>
      <c r="C10">
        <v>25</v>
      </c>
      <c r="D10">
        <v>15</v>
      </c>
      <c r="E10" s="1">
        <f>C10*('Equipment Offset'!G$2+'Equipment Offset'!G$3)+D10*'Equipment Offset'!G$4</f>
        <v>764.56951443407593</v>
      </c>
      <c r="F10" s="7">
        <f>B10-C10*('Equipment Offset'!G$2+'Equipment Offset'!G$3)-D10*'Equipment Offset'!G$4</f>
        <v>207749.43048556594</v>
      </c>
    </row>
    <row r="11" spans="1:10" x14ac:dyDescent="0.25">
      <c r="A11">
        <v>2034</v>
      </c>
      <c r="B11" s="7">
        <f>'Initial GHG Reduction'!K11</f>
        <v>208514</v>
      </c>
      <c r="C11">
        <v>25</v>
      </c>
      <c r="D11">
        <v>15</v>
      </c>
      <c r="E11" s="1">
        <f>C11*('Equipment Offset'!G$2+'Equipment Offset'!G$3)+D11*'Equipment Offset'!G$4</f>
        <v>764.56951443407593</v>
      </c>
      <c r="F11" s="7">
        <f>B11-C11*('Equipment Offset'!G$2+'Equipment Offset'!G$3)-D11*'Equipment Offset'!G$4</f>
        <v>207749.43048556594</v>
      </c>
    </row>
    <row r="12" spans="1:10" x14ac:dyDescent="0.25">
      <c r="A12">
        <v>2035</v>
      </c>
      <c r="B12" s="7">
        <f>'Initial GHG Reduction'!K12</f>
        <v>208514</v>
      </c>
      <c r="C12">
        <v>25</v>
      </c>
      <c r="D12">
        <v>15</v>
      </c>
      <c r="E12" s="1">
        <f>C12*('Equipment Offset'!G$2+'Equipment Offset'!G$3)+D12*'Equipment Offset'!G$4</f>
        <v>764.56951443407593</v>
      </c>
      <c r="F12" s="7">
        <f>B12-C12*('Equipment Offset'!G$2+'Equipment Offset'!G$3)-D12*'Equipment Offset'!G$4</f>
        <v>207749.43048556594</v>
      </c>
    </row>
    <row r="13" spans="1:10" x14ac:dyDescent="0.25">
      <c r="A13">
        <v>2036</v>
      </c>
      <c r="B13" s="7">
        <f>'Initial GHG Reduction'!K13</f>
        <v>208514</v>
      </c>
      <c r="C13">
        <v>25</v>
      </c>
      <c r="D13">
        <v>15</v>
      </c>
      <c r="E13" s="1">
        <f>C13*('Equipment Offset'!G$2+'Equipment Offset'!G$3)+D13*'Equipment Offset'!G$4</f>
        <v>764.56951443407593</v>
      </c>
      <c r="F13" s="7">
        <f>B13-C13*('Equipment Offset'!G$2+'Equipment Offset'!G$3)-D13*'Equipment Offset'!G$4</f>
        <v>207749.43048556594</v>
      </c>
    </row>
    <row r="14" spans="1:10" x14ac:dyDescent="0.25">
      <c r="A14">
        <v>2037</v>
      </c>
      <c r="B14" s="7">
        <f>'Initial GHG Reduction'!K14</f>
        <v>208514</v>
      </c>
      <c r="C14">
        <v>25</v>
      </c>
      <c r="D14">
        <v>15</v>
      </c>
      <c r="E14" s="1">
        <f>C14*('Equipment Offset'!G$2+'Equipment Offset'!G$3)+D14*'Equipment Offset'!G$4</f>
        <v>764.56951443407593</v>
      </c>
      <c r="F14" s="7">
        <f>B14-C14*('Equipment Offset'!G$2+'Equipment Offset'!G$3)-D14*'Equipment Offset'!G$4</f>
        <v>207749.43048556594</v>
      </c>
    </row>
    <row r="15" spans="1:10" x14ac:dyDescent="0.25">
      <c r="A15">
        <v>2038</v>
      </c>
      <c r="B15" s="7">
        <f>'Initial GHG Reduction'!K15</f>
        <v>208514</v>
      </c>
      <c r="C15">
        <v>25</v>
      </c>
      <c r="D15">
        <v>15</v>
      </c>
      <c r="E15" s="1">
        <f>C15*('Equipment Offset'!G$2+'Equipment Offset'!G$3)+D15*'Equipment Offset'!G$4</f>
        <v>764.56951443407593</v>
      </c>
      <c r="F15" s="7">
        <f>B15-C15*('Equipment Offset'!G$2+'Equipment Offset'!G$3)-D15*'Equipment Offset'!G$4</f>
        <v>207749.43048556594</v>
      </c>
    </row>
    <row r="16" spans="1:10" x14ac:dyDescent="0.25">
      <c r="A16">
        <v>2039</v>
      </c>
      <c r="B16" s="7">
        <f>'Initial GHG Reduction'!K16</f>
        <v>208514</v>
      </c>
      <c r="C16">
        <v>25</v>
      </c>
      <c r="D16">
        <v>15</v>
      </c>
      <c r="E16" s="1">
        <f>C16*('Equipment Offset'!G$2+'Equipment Offset'!G$3)+D16*'Equipment Offset'!G$4</f>
        <v>764.56951443407593</v>
      </c>
      <c r="F16" s="7">
        <f>B16-C16*('Equipment Offset'!G$2+'Equipment Offset'!G$3)-D16*'Equipment Offset'!G$4</f>
        <v>207749.43048556594</v>
      </c>
    </row>
    <row r="17" spans="1:6" x14ac:dyDescent="0.25">
      <c r="A17">
        <v>2040</v>
      </c>
      <c r="B17" s="7">
        <f>'Initial GHG Reduction'!K17</f>
        <v>208514</v>
      </c>
      <c r="C17">
        <v>25</v>
      </c>
      <c r="D17">
        <v>15</v>
      </c>
      <c r="E17" s="1">
        <f>C17*('Equipment Offset'!G$2+'Equipment Offset'!G$3)+D17*'Equipment Offset'!G$4</f>
        <v>764.56951443407593</v>
      </c>
      <c r="F17" s="7">
        <f>B17-C17*('Equipment Offset'!G$2+'Equipment Offset'!G$3)-D17*'Equipment Offset'!G$4</f>
        <v>207749.43048556594</v>
      </c>
    </row>
    <row r="18" spans="1:6" x14ac:dyDescent="0.25">
      <c r="A18">
        <v>2041</v>
      </c>
      <c r="B18" s="7">
        <f>'Initial GHG Reduction'!K18</f>
        <v>208514</v>
      </c>
      <c r="C18">
        <v>25</v>
      </c>
      <c r="D18">
        <v>15</v>
      </c>
      <c r="E18" s="1">
        <f>C18*('Equipment Offset'!G$2+'Equipment Offset'!G$3)+D18*'Equipment Offset'!G$4</f>
        <v>764.56951443407593</v>
      </c>
      <c r="F18" s="7">
        <f>B18-C18*('Equipment Offset'!G$2+'Equipment Offset'!G$3)-D18*'Equipment Offset'!G$4</f>
        <v>207749.43048556594</v>
      </c>
    </row>
    <row r="19" spans="1:6" x14ac:dyDescent="0.25">
      <c r="A19">
        <v>2042</v>
      </c>
      <c r="B19" s="7">
        <f>'Initial GHG Reduction'!K19</f>
        <v>208514</v>
      </c>
      <c r="C19">
        <v>25</v>
      </c>
      <c r="D19">
        <v>15</v>
      </c>
      <c r="E19" s="1">
        <f>C19*('Equipment Offset'!G$2+'Equipment Offset'!G$3)+D19*'Equipment Offset'!G$4</f>
        <v>764.56951443407593</v>
      </c>
      <c r="F19" s="7">
        <f>B19-C19*('Equipment Offset'!G$2+'Equipment Offset'!G$3)-D19*'Equipment Offset'!G$4</f>
        <v>207749.43048556594</v>
      </c>
    </row>
    <row r="20" spans="1:6" x14ac:dyDescent="0.25">
      <c r="A20">
        <v>2043</v>
      </c>
      <c r="B20" s="7">
        <f>'Initial GHG Reduction'!K20</f>
        <v>208514</v>
      </c>
      <c r="C20">
        <v>25</v>
      </c>
      <c r="D20">
        <v>15</v>
      </c>
      <c r="E20" s="1">
        <f>C20*('Equipment Offset'!G$2+'Equipment Offset'!G$3)+D20*'Equipment Offset'!G$4</f>
        <v>764.56951443407593</v>
      </c>
      <c r="F20" s="7">
        <f>B20-C20*('Equipment Offset'!G$2+'Equipment Offset'!G$3)-D20*'Equipment Offset'!G$4</f>
        <v>207749.43048556594</v>
      </c>
    </row>
    <row r="21" spans="1:6" x14ac:dyDescent="0.25">
      <c r="A21">
        <v>2044</v>
      </c>
      <c r="B21" s="7">
        <f>'Initial GHG Reduction'!K21</f>
        <v>208514</v>
      </c>
      <c r="C21">
        <v>25</v>
      </c>
      <c r="D21">
        <v>15</v>
      </c>
      <c r="E21" s="1">
        <f>C21*('Equipment Offset'!G$2+'Equipment Offset'!G$3)+D21*'Equipment Offset'!G$4</f>
        <v>764.56951443407593</v>
      </c>
      <c r="F21" s="7">
        <f>B21-C21*('Equipment Offset'!G$2+'Equipment Offset'!G$3)-D21*'Equipment Offset'!G$4</f>
        <v>207749.43048556594</v>
      </c>
    </row>
    <row r="22" spans="1:6" x14ac:dyDescent="0.25">
      <c r="A22">
        <v>2045</v>
      </c>
      <c r="B22" s="7">
        <f>'Initial GHG Reduction'!K22</f>
        <v>208514</v>
      </c>
      <c r="C22">
        <v>25</v>
      </c>
      <c r="D22">
        <v>15</v>
      </c>
      <c r="E22" s="1">
        <f>C22*('Equipment Offset'!G$2+'Equipment Offset'!G$3)+D22*'Equipment Offset'!G$4</f>
        <v>764.56951443407593</v>
      </c>
      <c r="F22" s="7">
        <f>B22-C22*('Equipment Offset'!G$2+'Equipment Offset'!G$3)-D22*'Equipment Offset'!G$4</f>
        <v>207749.43048556594</v>
      </c>
    </row>
    <row r="23" spans="1:6" x14ac:dyDescent="0.25">
      <c r="A23">
        <v>2046</v>
      </c>
      <c r="B23" s="7">
        <f>'Initial GHG Reduction'!K23</f>
        <v>208514</v>
      </c>
      <c r="C23">
        <v>25</v>
      </c>
      <c r="D23">
        <v>15</v>
      </c>
      <c r="E23" s="1">
        <f>C23*('Equipment Offset'!G$2+'Equipment Offset'!G$3)+D23*'Equipment Offset'!G$4</f>
        <v>764.56951443407593</v>
      </c>
      <c r="F23" s="7">
        <f>B23-C23*('Equipment Offset'!G$2+'Equipment Offset'!G$3)-D23*'Equipment Offset'!G$4</f>
        <v>207749.43048556594</v>
      </c>
    </row>
    <row r="24" spans="1:6" x14ac:dyDescent="0.25">
      <c r="A24">
        <v>2047</v>
      </c>
      <c r="B24" s="7">
        <f>'Initial GHG Reduction'!K24</f>
        <v>208514</v>
      </c>
      <c r="C24">
        <v>25</v>
      </c>
      <c r="D24">
        <v>15</v>
      </c>
      <c r="E24" s="1">
        <f>C24*('Equipment Offset'!G$2+'Equipment Offset'!G$3)+D24*'Equipment Offset'!G$4</f>
        <v>764.56951443407593</v>
      </c>
      <c r="F24" s="7">
        <f>B24-C24*('Equipment Offset'!G$2+'Equipment Offset'!G$3)-D24*'Equipment Offset'!G$4</f>
        <v>207749.43048556594</v>
      </c>
    </row>
    <row r="25" spans="1:6" x14ac:dyDescent="0.25">
      <c r="A25">
        <v>2048</v>
      </c>
      <c r="B25" s="7">
        <f>'Initial GHG Reduction'!K25</f>
        <v>208514</v>
      </c>
      <c r="C25">
        <v>25</v>
      </c>
      <c r="D25">
        <v>15</v>
      </c>
      <c r="E25" s="1">
        <f>C25*('Equipment Offset'!G$2+'Equipment Offset'!G$3)+D25*'Equipment Offset'!G$4</f>
        <v>764.56951443407593</v>
      </c>
      <c r="F25" s="7">
        <f>B25-C25*('Equipment Offset'!G$2+'Equipment Offset'!G$3)-D25*'Equipment Offset'!G$4</f>
        <v>207749.43048556594</v>
      </c>
    </row>
    <row r="26" spans="1:6" x14ac:dyDescent="0.25">
      <c r="A26">
        <v>2049</v>
      </c>
      <c r="B26" s="7">
        <f>'Initial GHG Reduction'!K26</f>
        <v>208514</v>
      </c>
      <c r="C26">
        <v>25</v>
      </c>
      <c r="D26">
        <v>15</v>
      </c>
      <c r="E26" s="1">
        <f>C26*('Equipment Offset'!G$2+'Equipment Offset'!G$3)+D26*'Equipment Offset'!G$4</f>
        <v>764.56951443407593</v>
      </c>
      <c r="F26" s="7">
        <f>B26-C26*('Equipment Offset'!G$2+'Equipment Offset'!G$3)-D26*'Equipment Offset'!G$4</f>
        <v>207749.43048556594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County MSW Data</vt:lpstr>
      <vt:lpstr>Initial GHG Reduction</vt:lpstr>
      <vt:lpstr>Equipment Offset</vt:lpstr>
      <vt:lpstr>Final GHG Reduction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Niese</dc:creator>
  <cp:lastModifiedBy>Travis Miller</cp:lastModifiedBy>
  <dcterms:created xsi:type="dcterms:W3CDTF">2024-03-19T13:50:07Z</dcterms:created>
  <dcterms:modified xsi:type="dcterms:W3CDTF">2024-03-29T17:28:47Z</dcterms:modified>
</cp:coreProperties>
</file>