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RegionalPlanning\RegPlan\EPA Climate Reduction Planning Grant\Implementation Grants\OKI Staff grant preparations\ATTACHMENTS\"/>
    </mc:Choice>
  </mc:AlternateContent>
  <xr:revisionPtr revIDLastSave="0" documentId="8_{A3F4C6A8-F9FD-4F0A-8DF9-76D57760D222}" xr6:coauthVersionLast="47" xr6:coauthVersionMax="47" xr10:uidLastSave="{00000000-0000-0000-0000-000000000000}"/>
  <bookViews>
    <workbookView xWindow="31680" yWindow="2250" windowWidth="21600" windowHeight="11235" activeTab="1" xr2:uid="{2036A265-F70C-4A56-9369-945EF6E6EECD}"/>
  </bookViews>
  <sheets>
    <sheet name="Equipment" sheetId="2" r:id="rId1"/>
    <sheet name="GHG Emissions Equipmen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3" l="1"/>
  <c r="D26" i="3"/>
  <c r="C26" i="3"/>
  <c r="B26" i="3"/>
  <c r="B20" i="3"/>
  <c r="G18" i="3"/>
  <c r="F13" i="3"/>
  <c r="H13" i="2" l="1"/>
  <c r="H15" i="3"/>
  <c r="H5" i="3"/>
  <c r="I5" i="3"/>
  <c r="J5" i="3"/>
  <c r="J15" i="3"/>
  <c r="I15" i="3"/>
  <c r="J17" i="3"/>
  <c r="I17" i="3"/>
  <c r="H17" i="3"/>
  <c r="H16" i="3"/>
  <c r="I16" i="3"/>
  <c r="J16" i="3"/>
  <c r="J14" i="3"/>
  <c r="I14" i="3"/>
  <c r="H14" i="3"/>
  <c r="H3" i="3"/>
  <c r="I3" i="3"/>
  <c r="J3" i="3"/>
  <c r="H4" i="3"/>
  <c r="I4" i="3"/>
  <c r="J4" i="3"/>
  <c r="D24" i="3" s="1"/>
  <c r="H6" i="3"/>
  <c r="I6" i="3"/>
  <c r="J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J2" i="3"/>
  <c r="I2" i="3"/>
  <c r="H2" i="3"/>
  <c r="C24" i="3" l="1"/>
  <c r="B24" i="3"/>
  <c r="K17" i="3"/>
  <c r="K14" i="3"/>
  <c r="K6" i="3"/>
  <c r="K10" i="3"/>
  <c r="K11" i="3"/>
  <c r="K7" i="3"/>
  <c r="K16" i="3"/>
  <c r="K13" i="3"/>
  <c r="K9" i="3"/>
  <c r="K5" i="3"/>
  <c r="K3" i="3"/>
  <c r="K4" i="3"/>
  <c r="E24" i="3" s="1"/>
  <c r="K2" i="3"/>
  <c r="K12" i="3"/>
  <c r="K8" i="3"/>
  <c r="K15" i="3"/>
  <c r="B25" i="3" l="1"/>
  <c r="C27" i="3" l="1"/>
  <c r="C28" i="3"/>
  <c r="B28" i="3"/>
  <c r="B27" i="3"/>
  <c r="E26" i="3"/>
  <c r="D27" i="3"/>
  <c r="D28" i="3"/>
  <c r="E27" i="3" l="1"/>
  <c r="E28" i="3"/>
</calcChain>
</file>

<file path=xl/sharedStrings.xml><?xml version="1.0" encoding="utf-8"?>
<sst xmlns="http://schemas.openxmlformats.org/spreadsheetml/2006/main" count="134" uniqueCount="63">
  <si>
    <t>Status</t>
  </si>
  <si>
    <t>Fuel Type</t>
  </si>
  <si>
    <t>Existing</t>
  </si>
  <si>
    <t>Replacement</t>
  </si>
  <si>
    <t>Electric</t>
  </si>
  <si>
    <t>CO2</t>
  </si>
  <si>
    <t>CH4</t>
  </si>
  <si>
    <t>N2O</t>
  </si>
  <si>
    <t>CO2e</t>
  </si>
  <si>
    <t xml:space="preserve">Diesel </t>
  </si>
  <si>
    <t>Equipment Type</t>
  </si>
  <si>
    <t>Example Unit</t>
  </si>
  <si>
    <t>Wheel Loader</t>
  </si>
  <si>
    <t>Diesel (Tier 4)</t>
  </si>
  <si>
    <t>Diesel (Tier 3)</t>
  </si>
  <si>
    <t>Rail Car Mover</t>
  </si>
  <si>
    <t>Skid Steer</t>
  </si>
  <si>
    <t>Locomotive</t>
  </si>
  <si>
    <t>Trackmobile TITAN</t>
  </si>
  <si>
    <t>New TITAN</t>
  </si>
  <si>
    <t>Forklift (8,000 - 10,000 LB)</t>
  </si>
  <si>
    <t>Diesel (Tier 2)</t>
  </si>
  <si>
    <t>Taylor TN30 30,000 LB</t>
  </si>
  <si>
    <t xml:space="preserve">Toyota 7FDU45 10,000 LB </t>
  </si>
  <si>
    <t xml:space="preserve">Toyota 05-8FBm40T 8,000 LB </t>
  </si>
  <si>
    <t xml:space="preserve">2024 Volvo L220H </t>
  </si>
  <si>
    <t xml:space="preserve"> Volvo L220E </t>
  </si>
  <si>
    <t>https://californiacore.org/equipment/z-360l/</t>
  </si>
  <si>
    <t>Hyster 2016 550</t>
  </si>
  <si>
    <t>https://www.toyotaforklift.com/content/dam/tmh/marketing/en/pdf/product-spec-brochures/2023_80V%20Electric%20Pneumatic_Spec%20Sheet_Digital.pdf#page=2</t>
  </si>
  <si>
    <t>Data Source</t>
  </si>
  <si>
    <t>Forklift (30,000 - 40,000 LB)</t>
  </si>
  <si>
    <t>Forklift (50,000+ LB)</t>
  </si>
  <si>
    <t>Bobcat S250</t>
  </si>
  <si>
    <t>Diesel (Tier 0)</t>
  </si>
  <si>
    <t>EMD MP15AC</t>
  </si>
  <si>
    <t>Fuel  (gal/yr)</t>
  </si>
  <si>
    <t>Battery (kWh)</t>
  </si>
  <si>
    <t>Est. Cost</t>
  </si>
  <si>
    <t>Hours/yr</t>
  </si>
  <si>
    <t>EMD SD40-2</t>
  </si>
  <si>
    <t xml:space="preserve">Z18C-RS </t>
  </si>
  <si>
    <t xml:space="preserve">900 THP 115-TON ECOx2 </t>
  </si>
  <si>
    <t>Switcher Locomotive</t>
  </si>
  <si>
    <t xml:space="preserve">Taylor Z360M 36,000 LB </t>
  </si>
  <si>
    <t xml:space="preserve">CO2 (MT/yr) </t>
  </si>
  <si>
    <t>CH4 (MT/yr)</t>
  </si>
  <si>
    <t>N2O (MT/yr)</t>
  </si>
  <si>
    <t>CO2e (MT/yr)</t>
  </si>
  <si>
    <t>Energy per hour (kWh)</t>
  </si>
  <si>
    <t>Bobcat T7X</t>
  </si>
  <si>
    <t>https://www.designfax.net/cms/dfx/opens/article-view-dfx.php?nid=4&amp;bid=1314&amp;aid=12858&amp;et=featurearticle&amp;pn=01#:~:text=SunBelt%20Rentals%20is%20the%20first,a%20basic%20Bobcat%20loader%20model).</t>
  </si>
  <si>
    <t xml:space="preserve"> No Electric Options with comparable weight capacities</t>
  </si>
  <si>
    <t>Taylor ZH 550M</t>
  </si>
  <si>
    <t>Total Annual Reduction</t>
  </si>
  <si>
    <t>Cost per MT CO2e Red</t>
  </si>
  <si>
    <t>Over 5 years of program</t>
  </si>
  <si>
    <t>Annual Reduction</t>
  </si>
  <si>
    <t>Direct communication from manufacturer</t>
  </si>
  <si>
    <t>Amt of equipment factor</t>
  </si>
  <si>
    <t>2025 - 2029</t>
  </si>
  <si>
    <t>2025 - 2049</t>
  </si>
  <si>
    <t>Total Diesel Reduced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</si>
</sst>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"/>
    <numFmt numFmtId="165" formatCode="0.000"/>
    <numFmt numFmtId="166" formatCode="&quot;$&quot;#,##0.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wrapText="1"/>
    </xf>
    <xf numFmtId="0" fontId="0" fillId="2" borderId="0" xfId="0" applyFill="1"/>
    <xf numFmtId="3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 wrapText="1"/>
    </xf>
    <xf numFmtId="0" fontId="2" fillId="2" borderId="0" xfId="1" applyFill="1"/>
    <xf numFmtId="0" fontId="0" fillId="2" borderId="0" xfId="0" applyFill="1" applyAlignment="1">
      <alignment horizontal="center"/>
    </xf>
    <xf numFmtId="165" fontId="0" fillId="0" borderId="0" xfId="0" applyNumberFormat="1"/>
    <xf numFmtId="166" fontId="0" fillId="0" borderId="0" xfId="0" applyNumberFormat="1"/>
    <xf numFmtId="4" fontId="0" fillId="0" borderId="0" xfId="0" applyNumberFormat="1"/>
    <xf numFmtId="3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aliforniacore.org/equipment/z-360l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90895-F1BD-42FA-BCCE-0DA9F09C856D}">
  <dimension ref="A1:J37"/>
  <sheetViews>
    <sheetView workbookViewId="0">
      <selection activeCell="J16" sqref="J16"/>
    </sheetView>
  </sheetViews>
  <sheetFormatPr defaultRowHeight="15" x14ac:dyDescent="0.25"/>
  <cols>
    <col min="1" max="1" width="12.42578125" customWidth="1"/>
    <col min="2" max="2" width="24.28515625" customWidth="1"/>
    <col min="3" max="3" width="27" customWidth="1"/>
    <col min="4" max="4" width="14" customWidth="1"/>
    <col min="5" max="7" width="12.85546875" customWidth="1"/>
    <col min="8" max="8" width="9.7109375" customWidth="1"/>
    <col min="9" max="9" width="10" customWidth="1"/>
  </cols>
  <sheetData>
    <row r="1" spans="1:10" s="2" customFormat="1" ht="30" x14ac:dyDescent="0.25">
      <c r="A1" s="2" t="s">
        <v>0</v>
      </c>
      <c r="B1" s="2" t="s">
        <v>10</v>
      </c>
      <c r="C1" s="2" t="s">
        <v>11</v>
      </c>
      <c r="D1" s="2" t="s">
        <v>1</v>
      </c>
      <c r="E1" s="3" t="s">
        <v>36</v>
      </c>
      <c r="F1" s="3" t="s">
        <v>37</v>
      </c>
      <c r="G1" s="6" t="s">
        <v>49</v>
      </c>
      <c r="H1" s="3" t="s">
        <v>39</v>
      </c>
      <c r="I1" s="3" t="s">
        <v>38</v>
      </c>
      <c r="J1" s="2" t="s">
        <v>30</v>
      </c>
    </row>
    <row r="2" spans="1:10" hidden="1" x14ac:dyDescent="0.25">
      <c r="A2" t="s">
        <v>2</v>
      </c>
      <c r="B2" t="s">
        <v>12</v>
      </c>
      <c r="C2" t="s">
        <v>26</v>
      </c>
      <c r="D2" t="s">
        <v>14</v>
      </c>
      <c r="E2" s="4">
        <v>4500</v>
      </c>
      <c r="F2" s="4"/>
      <c r="G2" s="4"/>
      <c r="H2" s="4"/>
      <c r="I2" s="5"/>
    </row>
    <row r="3" spans="1:10" s="10" customFormat="1" hidden="1" x14ac:dyDescent="0.25">
      <c r="A3" s="10" t="s">
        <v>3</v>
      </c>
      <c r="B3" s="10" t="s">
        <v>12</v>
      </c>
      <c r="C3" s="10" t="s">
        <v>25</v>
      </c>
      <c r="D3" s="10" t="s">
        <v>13</v>
      </c>
      <c r="E3" s="11">
        <v>3150</v>
      </c>
      <c r="F3" s="11"/>
      <c r="G3" s="11"/>
      <c r="H3" s="11"/>
      <c r="I3" s="12">
        <v>665461</v>
      </c>
      <c r="J3" s="10" t="s">
        <v>52</v>
      </c>
    </row>
    <row r="4" spans="1:10" x14ac:dyDescent="0.25">
      <c r="A4" t="s">
        <v>2</v>
      </c>
      <c r="B4" t="s">
        <v>20</v>
      </c>
      <c r="C4" t="s">
        <v>23</v>
      </c>
      <c r="D4" t="s">
        <v>14</v>
      </c>
      <c r="E4" s="4">
        <v>600</v>
      </c>
      <c r="F4" s="4"/>
      <c r="G4" s="4"/>
      <c r="H4" s="4"/>
      <c r="I4" s="5"/>
    </row>
    <row r="5" spans="1:10" s="10" customFormat="1" x14ac:dyDescent="0.25">
      <c r="A5" s="10" t="s">
        <v>3</v>
      </c>
      <c r="B5" s="10" t="s">
        <v>20</v>
      </c>
      <c r="C5" s="10" t="s">
        <v>24</v>
      </c>
      <c r="D5" s="10" t="s">
        <v>4</v>
      </c>
      <c r="E5" s="11"/>
      <c r="F5" s="11">
        <v>67</v>
      </c>
      <c r="G5" s="11"/>
      <c r="H5" s="11">
        <v>1000</v>
      </c>
      <c r="I5" s="12">
        <v>89747</v>
      </c>
      <c r="J5" s="10" t="s">
        <v>29</v>
      </c>
    </row>
    <row r="6" spans="1:10" x14ac:dyDescent="0.25">
      <c r="A6" t="s">
        <v>2</v>
      </c>
      <c r="B6" t="s">
        <v>31</v>
      </c>
      <c r="C6" t="s">
        <v>22</v>
      </c>
      <c r="D6" t="s">
        <v>21</v>
      </c>
      <c r="E6" s="4">
        <v>2200</v>
      </c>
      <c r="F6" s="4"/>
      <c r="G6" s="4"/>
      <c r="H6" s="4"/>
      <c r="I6" s="5"/>
    </row>
    <row r="7" spans="1:10" s="10" customFormat="1" x14ac:dyDescent="0.25">
      <c r="A7" s="10" t="s">
        <v>3</v>
      </c>
      <c r="B7" s="10" t="s">
        <v>31</v>
      </c>
      <c r="C7" s="10" t="s">
        <v>44</v>
      </c>
      <c r="D7" s="10" t="s">
        <v>4</v>
      </c>
      <c r="E7" s="11"/>
      <c r="F7" s="11">
        <v>245</v>
      </c>
      <c r="G7" s="11"/>
      <c r="H7" s="11">
        <v>1000</v>
      </c>
      <c r="I7" s="12">
        <v>634000</v>
      </c>
      <c r="J7" s="15" t="s">
        <v>27</v>
      </c>
    </row>
    <row r="8" spans="1:10" hidden="1" x14ac:dyDescent="0.25">
      <c r="A8" t="s">
        <v>2</v>
      </c>
      <c r="B8" t="s">
        <v>32</v>
      </c>
      <c r="C8" t="s">
        <v>28</v>
      </c>
      <c r="D8" t="s">
        <v>14</v>
      </c>
      <c r="E8" s="4">
        <v>4500</v>
      </c>
      <c r="F8" s="4"/>
      <c r="G8" s="4"/>
      <c r="H8" s="4"/>
      <c r="I8" s="5"/>
    </row>
    <row r="9" spans="1:10" s="10" customFormat="1" hidden="1" x14ac:dyDescent="0.25">
      <c r="A9" s="10" t="s">
        <v>3</v>
      </c>
      <c r="B9" s="10" t="s">
        <v>32</v>
      </c>
      <c r="C9" s="10" t="s">
        <v>53</v>
      </c>
      <c r="D9" s="10" t="s">
        <v>4</v>
      </c>
      <c r="E9" s="11"/>
      <c r="F9" s="11"/>
      <c r="G9" s="11"/>
      <c r="H9" s="11"/>
      <c r="I9" s="12"/>
    </row>
    <row r="10" spans="1:10" hidden="1" x14ac:dyDescent="0.25">
      <c r="A10" t="s">
        <v>2</v>
      </c>
      <c r="B10" t="s">
        <v>15</v>
      </c>
      <c r="C10" t="s">
        <v>18</v>
      </c>
      <c r="D10" t="s">
        <v>14</v>
      </c>
      <c r="E10" s="4">
        <v>2800</v>
      </c>
      <c r="F10" s="4"/>
      <c r="G10" s="4"/>
      <c r="H10" s="4"/>
      <c r="I10" s="5"/>
    </row>
    <row r="11" spans="1:10" s="10" customFormat="1" hidden="1" x14ac:dyDescent="0.25">
      <c r="A11" s="10" t="s">
        <v>3</v>
      </c>
      <c r="B11" s="10" t="s">
        <v>15</v>
      </c>
      <c r="C11" s="10" t="s">
        <v>19</v>
      </c>
      <c r="D11" s="10" t="s">
        <v>13</v>
      </c>
      <c r="E11" s="11">
        <v>1820</v>
      </c>
      <c r="F11" s="11"/>
      <c r="G11" s="11"/>
      <c r="H11" s="11"/>
      <c r="I11" s="12">
        <v>648134</v>
      </c>
    </row>
    <row r="12" spans="1:10" x14ac:dyDescent="0.25">
      <c r="A12" t="s">
        <v>2</v>
      </c>
      <c r="B12" t="s">
        <v>16</v>
      </c>
      <c r="C12" t="s">
        <v>33</v>
      </c>
      <c r="D12" t="s">
        <v>14</v>
      </c>
      <c r="E12" s="4">
        <v>600</v>
      </c>
      <c r="F12" s="4"/>
      <c r="G12" s="4"/>
      <c r="H12" s="4"/>
      <c r="I12" s="5"/>
    </row>
    <row r="13" spans="1:10" s="10" customFormat="1" x14ac:dyDescent="0.25">
      <c r="A13" s="10" t="s">
        <v>3</v>
      </c>
      <c r="B13" s="10" t="s">
        <v>16</v>
      </c>
      <c r="C13" s="10" t="s">
        <v>50</v>
      </c>
      <c r="D13" s="10" t="s">
        <v>4</v>
      </c>
      <c r="E13" s="11"/>
      <c r="F13" s="10">
        <v>72</v>
      </c>
      <c r="G13" s="11"/>
      <c r="H13" s="11">
        <f>ROUND(600/3.2,0)</f>
        <v>188</v>
      </c>
      <c r="I13" s="12">
        <v>200000</v>
      </c>
      <c r="J13" s="10" t="s">
        <v>51</v>
      </c>
    </row>
    <row r="14" spans="1:10" x14ac:dyDescent="0.25">
      <c r="A14" t="s">
        <v>2</v>
      </c>
      <c r="B14" t="s">
        <v>17</v>
      </c>
      <c r="C14" t="s">
        <v>40</v>
      </c>
      <c r="D14" t="s">
        <v>34</v>
      </c>
      <c r="E14" s="4">
        <v>30000</v>
      </c>
      <c r="F14" s="4"/>
      <c r="G14" s="4"/>
      <c r="H14" s="4"/>
      <c r="I14" s="5"/>
    </row>
    <row r="15" spans="1:10" s="10" customFormat="1" x14ac:dyDescent="0.25">
      <c r="A15" s="10" t="s">
        <v>3</v>
      </c>
      <c r="B15" s="10" t="s">
        <v>17</v>
      </c>
      <c r="C15" s="10" t="s">
        <v>41</v>
      </c>
      <c r="D15" s="10" t="s">
        <v>4</v>
      </c>
      <c r="E15" s="11"/>
      <c r="G15" s="11">
        <v>124</v>
      </c>
      <c r="H15" s="11">
        <v>2500</v>
      </c>
      <c r="I15" s="12">
        <v>2200000</v>
      </c>
      <c r="J15" s="10" t="s">
        <v>58</v>
      </c>
    </row>
    <row r="16" spans="1:10" x14ac:dyDescent="0.25">
      <c r="A16" t="s">
        <v>2</v>
      </c>
      <c r="B16" t="s">
        <v>43</v>
      </c>
      <c r="C16" t="s">
        <v>35</v>
      </c>
      <c r="D16" t="s">
        <v>9</v>
      </c>
      <c r="E16" s="4">
        <v>11500</v>
      </c>
      <c r="G16" s="4"/>
      <c r="H16" s="4"/>
      <c r="I16" s="5"/>
    </row>
    <row r="17" spans="1:9" s="10" customFormat="1" x14ac:dyDescent="0.25">
      <c r="A17" s="10" t="s">
        <v>3</v>
      </c>
      <c r="B17" s="10" t="s">
        <v>43</v>
      </c>
      <c r="C17" s="10" t="s">
        <v>42</v>
      </c>
      <c r="D17" s="10" t="s">
        <v>4</v>
      </c>
      <c r="E17" s="11"/>
      <c r="G17" s="11">
        <v>80</v>
      </c>
      <c r="H17" s="11">
        <v>2500</v>
      </c>
      <c r="I17" s="12">
        <v>1300000</v>
      </c>
    </row>
    <row r="18" spans="1:9" x14ac:dyDescent="0.25">
      <c r="I18" s="1"/>
    </row>
    <row r="19" spans="1:9" x14ac:dyDescent="0.25">
      <c r="I19" s="1"/>
    </row>
    <row r="20" spans="1:9" x14ac:dyDescent="0.25">
      <c r="I20" s="1"/>
    </row>
    <row r="21" spans="1:9" x14ac:dyDescent="0.25">
      <c r="I21" s="1"/>
    </row>
    <row r="22" spans="1:9" x14ac:dyDescent="0.25">
      <c r="I22" s="1"/>
    </row>
    <row r="23" spans="1:9" x14ac:dyDescent="0.25">
      <c r="I23" s="1"/>
    </row>
    <row r="24" spans="1:9" x14ac:dyDescent="0.25">
      <c r="I24" s="1"/>
    </row>
    <row r="25" spans="1:9" x14ac:dyDescent="0.25">
      <c r="I25" s="1"/>
    </row>
    <row r="26" spans="1:9" x14ac:dyDescent="0.25">
      <c r="I26" s="1"/>
    </row>
    <row r="27" spans="1:9" x14ac:dyDescent="0.25">
      <c r="I27" s="1"/>
    </row>
    <row r="28" spans="1:9" x14ac:dyDescent="0.25">
      <c r="I28" s="1"/>
    </row>
    <row r="29" spans="1:9" x14ac:dyDescent="0.25">
      <c r="I29" s="1"/>
    </row>
    <row r="30" spans="1:9" x14ac:dyDescent="0.25">
      <c r="I30" s="1"/>
    </row>
    <row r="31" spans="1:9" x14ac:dyDescent="0.25">
      <c r="I31" s="1"/>
    </row>
    <row r="32" spans="1:9" x14ac:dyDescent="0.25">
      <c r="I32" s="1"/>
    </row>
    <row r="33" spans="9:9" x14ac:dyDescent="0.25">
      <c r="I33" s="1"/>
    </row>
    <row r="34" spans="9:9" x14ac:dyDescent="0.25">
      <c r="I34" s="1"/>
    </row>
    <row r="35" spans="9:9" x14ac:dyDescent="0.25">
      <c r="I35" s="1"/>
    </row>
    <row r="36" spans="9:9" x14ac:dyDescent="0.25">
      <c r="I36" s="1"/>
    </row>
    <row r="37" spans="9:9" x14ac:dyDescent="0.25">
      <c r="I37" s="1"/>
    </row>
  </sheetData>
  <hyperlinks>
    <hyperlink ref="J7" r:id="rId1" xr:uid="{19CF5A7C-D013-4177-BC37-DB49C33C2DC8}"/>
  </hyperlinks>
  <printOptions gridLines="1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432AC-AC40-46C7-A37C-9B4F6A2A61A3}">
  <dimension ref="A1:N33"/>
  <sheetViews>
    <sheetView tabSelected="1" workbookViewId="0">
      <selection activeCell="M19" sqref="M19"/>
    </sheetView>
  </sheetViews>
  <sheetFormatPr defaultRowHeight="15" x14ac:dyDescent="0.25"/>
  <cols>
    <col min="1" max="1" width="26.85546875" customWidth="1"/>
    <col min="2" max="2" width="9.7109375" customWidth="1"/>
    <col min="3" max="3" width="11.7109375" customWidth="1"/>
    <col min="4" max="5" width="8.85546875" customWidth="1"/>
    <col min="6" max="6" width="9.5703125" customWidth="1"/>
    <col min="7" max="7" width="11.42578125" customWidth="1"/>
    <col min="8" max="8" width="11.7109375" customWidth="1"/>
    <col min="9" max="9" width="15.28515625" customWidth="1"/>
    <col min="10" max="10" width="13.42578125" style="7" customWidth="1"/>
    <col min="11" max="11" width="12.7109375" style="7" customWidth="1"/>
    <col min="16" max="16" width="21.28515625" customWidth="1"/>
    <col min="17" max="17" width="10.140625" bestFit="1" customWidth="1"/>
  </cols>
  <sheetData>
    <row r="1" spans="1:11" ht="45" x14ac:dyDescent="0.25">
      <c r="A1" s="2" t="s">
        <v>10</v>
      </c>
      <c r="B1" s="2" t="s">
        <v>1</v>
      </c>
      <c r="C1" s="3" t="s">
        <v>36</v>
      </c>
      <c r="D1" s="6" t="s">
        <v>37</v>
      </c>
      <c r="E1" s="6" t="s">
        <v>49</v>
      </c>
      <c r="F1" s="3" t="s">
        <v>39</v>
      </c>
      <c r="G1" s="3" t="s">
        <v>38</v>
      </c>
      <c r="H1" s="6" t="s">
        <v>45</v>
      </c>
      <c r="I1" s="6" t="s">
        <v>46</v>
      </c>
      <c r="J1" s="6" t="s">
        <v>47</v>
      </c>
      <c r="K1" s="6" t="s">
        <v>48</v>
      </c>
    </row>
    <row r="2" spans="1:11" hidden="1" x14ac:dyDescent="0.25">
      <c r="A2" t="s">
        <v>12</v>
      </c>
      <c r="B2" t="s">
        <v>9</v>
      </c>
      <c r="C2" s="4">
        <v>4500</v>
      </c>
      <c r="D2" s="4"/>
      <c r="E2" s="4"/>
      <c r="F2" s="4"/>
      <c r="G2" s="5"/>
      <c r="H2" s="8">
        <f>IF(B2="Diesel ",C2*10.29/1000,D2/1000*F2/8*0.8*1046.1/2205)</f>
        <v>46.304999999999993</v>
      </c>
      <c r="I2" s="8">
        <f>IF(B2="Diesel ",C2*0.42/(1000*1000),D2/1000*F2/8*0.8*0.095/2205)</f>
        <v>1.89E-3</v>
      </c>
      <c r="J2" s="9">
        <f>IF(B2="Diesel ",C2*0.08/(1000*1000),D2/1000*F2/8*0.8*0.014/2205)</f>
        <v>3.6000000000000002E-4</v>
      </c>
      <c r="K2" s="9">
        <f>H2+25*I2+298*J2</f>
        <v>46.459529999999994</v>
      </c>
    </row>
    <row r="3" spans="1:11" s="10" customFormat="1" hidden="1" x14ac:dyDescent="0.25">
      <c r="A3" s="10" t="s">
        <v>12</v>
      </c>
      <c r="B3" s="10" t="s">
        <v>9</v>
      </c>
      <c r="C3" s="11">
        <v>3150</v>
      </c>
      <c r="D3" s="11"/>
      <c r="E3" s="11"/>
      <c r="F3" s="11"/>
      <c r="G3" s="12">
        <v>665461</v>
      </c>
      <c r="H3" s="13">
        <f t="shared" ref="H3:H13" si="0">IF(B3="Diesel ",C3*10.29/1000,D3/1000*F3/8*0.8*1046.1/2205)</f>
        <v>32.413499999999999</v>
      </c>
      <c r="I3" s="13">
        <f t="shared" ref="I3:I13" si="1">IF(B3="Diesel ",C3*0.42/(1000*1000),D3/1000*F3/8*0.8*0.095/2205)</f>
        <v>1.323E-3</v>
      </c>
      <c r="J3" s="14">
        <f t="shared" ref="J3:J13" si="2">IF(B3="Diesel ",C3*0.08/(1000*1000),D3/1000*F3/8*0.8*0.014/2205)</f>
        <v>2.52E-4</v>
      </c>
      <c r="K3" s="14">
        <f t="shared" ref="K3:K13" si="3">H3+25*I3+298*J3</f>
        <v>32.521670999999998</v>
      </c>
    </row>
    <row r="4" spans="1:11" x14ac:dyDescent="0.25">
      <c r="A4" t="s">
        <v>20</v>
      </c>
      <c r="B4" t="s">
        <v>9</v>
      </c>
      <c r="C4" s="4">
        <v>600</v>
      </c>
      <c r="D4" s="4"/>
      <c r="E4" s="4"/>
      <c r="F4" s="4"/>
      <c r="G4" s="5"/>
      <c r="H4" s="8">
        <f t="shared" si="0"/>
        <v>6.1739999999999995</v>
      </c>
      <c r="I4" s="8">
        <f t="shared" si="1"/>
        <v>2.52E-4</v>
      </c>
      <c r="J4" s="9">
        <f t="shared" si="2"/>
        <v>4.8000000000000001E-5</v>
      </c>
      <c r="K4" s="9">
        <f t="shared" si="3"/>
        <v>6.194604</v>
      </c>
    </row>
    <row r="5" spans="1:11" s="10" customFormat="1" x14ac:dyDescent="0.25">
      <c r="A5" s="10" t="s">
        <v>20</v>
      </c>
      <c r="B5" s="10" t="s">
        <v>4</v>
      </c>
      <c r="C5" s="11"/>
      <c r="D5" s="11">
        <v>67</v>
      </c>
      <c r="E5" s="11"/>
      <c r="F5" s="11">
        <v>1000</v>
      </c>
      <c r="G5" s="12">
        <v>89747</v>
      </c>
      <c r="H5" s="13">
        <f t="shared" ref="H5" si="4">IF(B5="Diesel ",C5*10.29/1000,D5/1000*F5/8*0.8*1046.1/2205)</f>
        <v>3.1786258503401359</v>
      </c>
      <c r="I5" s="13">
        <f t="shared" ref="I5" si="5">IF(B5="Diesel ",C5*0.42/(1000*1000),D5/1000*F5/8*0.8*0.095/2205)</f>
        <v>2.8866213151927439E-4</v>
      </c>
      <c r="J5" s="14">
        <f t="shared" ref="J5" si="6">IF(B5="Diesel ",C5*0.08/(1000*1000),D5/1000*F5/8*0.8*0.014/2205)</f>
        <v>4.2539682539682542E-5</v>
      </c>
      <c r="K5" s="14">
        <f t="shared" ref="K5" si="7">H5+25*I5+298*J5</f>
        <v>3.1985192290249431</v>
      </c>
    </row>
    <row r="6" spans="1:11" x14ac:dyDescent="0.25">
      <c r="A6" t="s">
        <v>31</v>
      </c>
      <c r="B6" t="s">
        <v>9</v>
      </c>
      <c r="C6" s="4">
        <v>2200</v>
      </c>
      <c r="D6" s="4"/>
      <c r="E6" s="4"/>
      <c r="F6" s="4"/>
      <c r="G6" s="5"/>
      <c r="H6" s="8">
        <f t="shared" si="0"/>
        <v>22.637999999999998</v>
      </c>
      <c r="I6" s="8">
        <f t="shared" si="1"/>
        <v>9.2400000000000002E-4</v>
      </c>
      <c r="J6" s="9">
        <f t="shared" si="2"/>
        <v>1.76E-4</v>
      </c>
      <c r="K6" s="9">
        <f t="shared" si="3"/>
        <v>22.713547999999996</v>
      </c>
    </row>
    <row r="7" spans="1:11" s="10" customFormat="1" x14ac:dyDescent="0.25">
      <c r="A7" s="10" t="s">
        <v>31</v>
      </c>
      <c r="B7" s="10" t="s">
        <v>4</v>
      </c>
      <c r="C7" s="11"/>
      <c r="D7" s="11">
        <v>245</v>
      </c>
      <c r="E7" s="11"/>
      <c r="F7" s="11">
        <v>1000</v>
      </c>
      <c r="G7" s="12">
        <v>634000</v>
      </c>
      <c r="H7" s="13">
        <f t="shared" si="0"/>
        <v>11.623333333333331</v>
      </c>
      <c r="I7" s="13">
        <f t="shared" si="1"/>
        <v>1.0555555555555557E-3</v>
      </c>
      <c r="J7" s="14">
        <f t="shared" si="2"/>
        <v>1.5555555555555556E-4</v>
      </c>
      <c r="K7" s="14">
        <f t="shared" si="3"/>
        <v>11.696077777777775</v>
      </c>
    </row>
    <row r="8" spans="1:11" hidden="1" x14ac:dyDescent="0.25">
      <c r="A8" t="s">
        <v>32</v>
      </c>
      <c r="B8" t="s">
        <v>9</v>
      </c>
      <c r="C8" s="4">
        <v>4500</v>
      </c>
      <c r="D8" s="4"/>
      <c r="E8" s="4"/>
      <c r="F8" s="4"/>
      <c r="G8" s="5"/>
      <c r="H8" s="8">
        <f t="shared" si="0"/>
        <v>46.304999999999993</v>
      </c>
      <c r="I8" s="8">
        <f t="shared" si="1"/>
        <v>1.89E-3</v>
      </c>
      <c r="J8" s="9">
        <f t="shared" si="2"/>
        <v>3.6000000000000002E-4</v>
      </c>
      <c r="K8" s="9">
        <f t="shared" si="3"/>
        <v>46.459529999999994</v>
      </c>
    </row>
    <row r="9" spans="1:11" s="10" customFormat="1" hidden="1" x14ac:dyDescent="0.25">
      <c r="A9" s="10" t="s">
        <v>32</v>
      </c>
      <c r="B9" s="10" t="s">
        <v>9</v>
      </c>
      <c r="C9" s="11">
        <v>2925</v>
      </c>
      <c r="D9" s="11"/>
      <c r="E9" s="11"/>
      <c r="F9" s="11"/>
      <c r="G9" s="12">
        <v>688733</v>
      </c>
      <c r="H9" s="13">
        <f t="shared" si="0"/>
        <v>30.098249999999997</v>
      </c>
      <c r="I9" s="13">
        <f t="shared" si="1"/>
        <v>1.2285E-3</v>
      </c>
      <c r="J9" s="14">
        <f t="shared" si="2"/>
        <v>2.34E-4</v>
      </c>
      <c r="K9" s="14">
        <f t="shared" si="3"/>
        <v>30.198694499999995</v>
      </c>
    </row>
    <row r="10" spans="1:11" hidden="1" x14ac:dyDescent="0.25">
      <c r="A10" t="s">
        <v>15</v>
      </c>
      <c r="B10" t="s">
        <v>9</v>
      </c>
      <c r="C10" s="4">
        <v>2800</v>
      </c>
      <c r="D10" s="4"/>
      <c r="E10" s="4"/>
      <c r="F10" s="4"/>
      <c r="G10" s="5"/>
      <c r="H10" s="8">
        <f t="shared" si="0"/>
        <v>28.811999999999998</v>
      </c>
      <c r="I10" s="8">
        <f t="shared" si="1"/>
        <v>1.176E-3</v>
      </c>
      <c r="J10" s="9">
        <f t="shared" si="2"/>
        <v>2.24E-4</v>
      </c>
      <c r="K10" s="9">
        <f t="shared" si="3"/>
        <v>28.908151999999998</v>
      </c>
    </row>
    <row r="11" spans="1:11" s="10" customFormat="1" hidden="1" x14ac:dyDescent="0.25">
      <c r="A11" s="10" t="s">
        <v>15</v>
      </c>
      <c r="B11" s="10" t="s">
        <v>9</v>
      </c>
      <c r="C11" s="11">
        <v>1820</v>
      </c>
      <c r="D11" s="11"/>
      <c r="E11" s="11"/>
      <c r="F11" s="11"/>
      <c r="G11" s="12">
        <v>648134</v>
      </c>
      <c r="H11" s="13">
        <f t="shared" si="0"/>
        <v>18.727799999999998</v>
      </c>
      <c r="I11" s="13">
        <f t="shared" si="1"/>
        <v>7.6439999999999993E-4</v>
      </c>
      <c r="J11" s="14">
        <f t="shared" si="2"/>
        <v>1.4559999999999999E-4</v>
      </c>
      <c r="K11" s="14">
        <f t="shared" si="3"/>
        <v>18.790298799999999</v>
      </c>
    </row>
    <row r="12" spans="1:11" x14ac:dyDescent="0.25">
      <c r="A12" t="s">
        <v>16</v>
      </c>
      <c r="B12" t="s">
        <v>9</v>
      </c>
      <c r="C12" s="4">
        <v>600</v>
      </c>
      <c r="D12" s="4"/>
      <c r="E12" s="4"/>
      <c r="F12" s="4"/>
      <c r="G12" s="5"/>
      <c r="H12" s="8">
        <f t="shared" si="0"/>
        <v>6.1739999999999995</v>
      </c>
      <c r="I12" s="8">
        <f t="shared" si="1"/>
        <v>2.52E-4</v>
      </c>
      <c r="J12" s="9">
        <f t="shared" si="2"/>
        <v>4.8000000000000001E-5</v>
      </c>
      <c r="K12" s="9">
        <f t="shared" si="3"/>
        <v>6.194604</v>
      </c>
    </row>
    <row r="13" spans="1:11" s="10" customFormat="1" x14ac:dyDescent="0.25">
      <c r="A13" s="10" t="s">
        <v>16</v>
      </c>
      <c r="B13" s="10" t="s">
        <v>4</v>
      </c>
      <c r="C13" s="11"/>
      <c r="D13" s="16">
        <v>72</v>
      </c>
      <c r="E13" s="11"/>
      <c r="F13" s="11">
        <f>ROUND(600/3.2,0)</f>
        <v>188</v>
      </c>
      <c r="G13" s="12">
        <v>200000</v>
      </c>
      <c r="H13" s="13">
        <f t="shared" si="0"/>
        <v>0.64217730612244905</v>
      </c>
      <c r="I13" s="13">
        <f t="shared" si="1"/>
        <v>5.8318367346938783E-5</v>
      </c>
      <c r="J13" s="14">
        <f t="shared" si="2"/>
        <v>8.5942857142857157E-6</v>
      </c>
      <c r="K13" s="14">
        <f t="shared" si="3"/>
        <v>0.6461963624489796</v>
      </c>
    </row>
    <row r="14" spans="1:11" x14ac:dyDescent="0.25">
      <c r="A14" t="s">
        <v>17</v>
      </c>
      <c r="B14" t="s">
        <v>9</v>
      </c>
      <c r="C14" s="4">
        <v>30000</v>
      </c>
      <c r="D14" s="4"/>
      <c r="E14" s="4"/>
      <c r="F14" s="4"/>
      <c r="G14" s="5"/>
      <c r="H14" s="8">
        <f t="shared" ref="H14" si="8">IF(B14="Diesel ",C14*10.29/1000,D14/1000*F14/8*0.8*1046.1/2205)</f>
        <v>308.7</v>
      </c>
      <c r="I14" s="8">
        <f>IF(B14="Diesel ",C14*0.8/(1000*1000),D14/1000*F14/8*0.8*0.095/2205)</f>
        <v>2.4E-2</v>
      </c>
      <c r="J14" s="9">
        <f>IF(B14="Diesel ",C14*0.26/(1000*1000),D14/1000*F14/8*0.8*0.014/2205)</f>
        <v>7.7999999999999996E-3</v>
      </c>
      <c r="K14" s="9">
        <f t="shared" ref="K14" si="9">H14+25*I14+298*J14</f>
        <v>311.62440000000004</v>
      </c>
    </row>
    <row r="15" spans="1:11" s="10" customFormat="1" x14ac:dyDescent="0.25">
      <c r="A15" s="10" t="s">
        <v>17</v>
      </c>
      <c r="B15" s="10" t="s">
        <v>4</v>
      </c>
      <c r="C15" s="11"/>
      <c r="E15" s="11">
        <v>124.1</v>
      </c>
      <c r="F15" s="11">
        <v>2500</v>
      </c>
      <c r="G15" s="12">
        <v>2200000</v>
      </c>
      <c r="H15" s="13">
        <f>IF(B15="Diesel ",C15*10.29/1000,E15/1000*F15*1046.1/2205)</f>
        <v>147.18935374149655</v>
      </c>
      <c r="I15" s="13">
        <f>IF(B15="Diesel ",C15*0.8/(1000*1000),E15/1000*F15*0.095/2205)</f>
        <v>1.3366780045351473E-2</v>
      </c>
      <c r="J15" s="14">
        <f>IF(B15="Diesel ",C15*0.26/(1000*1000),E15/1000*F15*0.014/2205)</f>
        <v>1.9698412698412695E-3</v>
      </c>
      <c r="K15" s="14">
        <f t="shared" ref="K15:K16" si="10">H15+25*I15+298*J15</f>
        <v>148.11053594104305</v>
      </c>
    </row>
    <row r="16" spans="1:11" x14ac:dyDescent="0.25">
      <c r="A16" t="s">
        <v>43</v>
      </c>
      <c r="B16" t="s">
        <v>9</v>
      </c>
      <c r="C16" s="4">
        <v>11500</v>
      </c>
      <c r="D16" s="4"/>
      <c r="E16" s="4"/>
      <c r="F16" s="4"/>
      <c r="G16" s="5"/>
      <c r="H16" s="8">
        <f t="shared" ref="H16" si="11">IF(B16="Diesel ",C16*10.29/1000,D16/1000*F16/8*0.8*1046.1/2205)</f>
        <v>118.33499999999998</v>
      </c>
      <c r="I16" s="8">
        <f t="shared" ref="I16" si="12">IF(B16="Diesel ",C16*0.8/(1000*1000),D16/1000*F16/8*0.8*0.095/2205)</f>
        <v>9.1999999999999998E-3</v>
      </c>
      <c r="J16" s="9">
        <f t="shared" ref="J16" si="13">IF(B16="Diesel ",C16*0.26/(1000*1000),D16/1000*F16/8*0.8*0.014/2205)</f>
        <v>2.99E-3</v>
      </c>
      <c r="K16" s="9">
        <f t="shared" si="10"/>
        <v>119.45601999999998</v>
      </c>
    </row>
    <row r="17" spans="1:14" s="10" customFormat="1" x14ac:dyDescent="0.25">
      <c r="A17" s="10" t="s">
        <v>43</v>
      </c>
      <c r="B17" s="10" t="s">
        <v>4</v>
      </c>
      <c r="C17" s="11"/>
      <c r="E17" s="11">
        <v>80.3</v>
      </c>
      <c r="F17" s="11">
        <v>2500</v>
      </c>
      <c r="G17" s="12">
        <v>1300000</v>
      </c>
      <c r="H17" s="13">
        <f>IF(B17="Diesel ",C17*10.29/1000,E17/1000*F17*1046.1/2205)</f>
        <v>95.240170068027197</v>
      </c>
      <c r="I17" s="13">
        <f>IF(B17="Diesel ",C17*0.8/(1000*1000),E17/1000*F17*0.095/2205)</f>
        <v>8.6490929705215422E-3</v>
      </c>
      <c r="J17" s="14">
        <f>IF(B17="Diesel ",C17*0.26/(1000*1000),E17/1000*F17*0.014/2205)</f>
        <v>1.2746031746031746E-3</v>
      </c>
      <c r="K17" s="14">
        <f>H17+25*I17+298*J17</f>
        <v>95.836229138321983</v>
      </c>
    </row>
    <row r="18" spans="1:14" x14ac:dyDescent="0.25">
      <c r="G18" s="1">
        <f>SUM(G5,G7,G13,G15,G17)</f>
        <v>4423747</v>
      </c>
    </row>
    <row r="19" spans="1:14" x14ac:dyDescent="0.25">
      <c r="G19" s="1"/>
    </row>
    <row r="20" spans="1:14" x14ac:dyDescent="0.25">
      <c r="A20" t="s">
        <v>59</v>
      </c>
      <c r="B20" s="19">
        <f>31250000/G18</f>
        <v>7.0641472037166686</v>
      </c>
      <c r="G20" s="1"/>
    </row>
    <row r="21" spans="1:14" x14ac:dyDescent="0.25">
      <c r="A21" t="s">
        <v>62</v>
      </c>
      <c r="B21" s="20">
        <f>(C4+C6+C12+C14+C16)*B20</f>
        <v>317180.20944687841</v>
      </c>
    </row>
    <row r="23" spans="1:14" x14ac:dyDescent="0.25">
      <c r="B23" t="s">
        <v>5</v>
      </c>
      <c r="C23" t="s">
        <v>6</v>
      </c>
      <c r="D23" t="s">
        <v>7</v>
      </c>
      <c r="E23" t="s">
        <v>8</v>
      </c>
    </row>
    <row r="24" spans="1:14" x14ac:dyDescent="0.25">
      <c r="A24" t="s">
        <v>54</v>
      </c>
      <c r="B24" s="17">
        <f>SUM(H4,H6,H12,H14,H16)-SUM(H5,H7,H13,H15,H17)</f>
        <v>204.14733970068028</v>
      </c>
      <c r="C24" s="17">
        <f>SUM(I4,I6,I12,I14,I16)-SUM(I5,I7,I13,I15,I17)</f>
        <v>1.1209590929705214E-2</v>
      </c>
      <c r="D24" s="17">
        <f>SUM(J4,J6,J12,J14,J16)-SUM(J5,J7,J13,J15,J17)</f>
        <v>7.6108660317460311E-3</v>
      </c>
      <c r="E24" s="17">
        <f>SUM(K4,K6,K12,K14,K16)-SUM(K5,K7,K13,K15,K17)</f>
        <v>206.69561755138329</v>
      </c>
      <c r="N24" s="18"/>
    </row>
    <row r="25" spans="1:14" x14ac:dyDescent="0.25">
      <c r="A25" t="s">
        <v>55</v>
      </c>
      <c r="B25" s="18">
        <f>G18/E24/5</f>
        <v>4280.4458579295069</v>
      </c>
      <c r="C25" s="18" t="s">
        <v>56</v>
      </c>
      <c r="D25" s="18"/>
      <c r="E25" s="18"/>
      <c r="N25" s="18"/>
    </row>
    <row r="26" spans="1:14" x14ac:dyDescent="0.25">
      <c r="A26" t="s">
        <v>57</v>
      </c>
      <c r="B26">
        <f>B24*$B$20</f>
        <v>1442.1268588927574</v>
      </c>
      <c r="C26">
        <f>C24*$B$20</f>
        <v>7.9186200420884825E-2</v>
      </c>
      <c r="D26">
        <f>D24*$B$20</f>
        <v>5.3764277996020904E-2</v>
      </c>
      <c r="E26" s="9">
        <f>B26+25*C26+298*D26</f>
        <v>1460.1282687460937</v>
      </c>
      <c r="G26" s="19"/>
    </row>
    <row r="27" spans="1:14" x14ac:dyDescent="0.25">
      <c r="A27" t="s">
        <v>60</v>
      </c>
      <c r="B27">
        <f>B26*4</f>
        <v>5768.5074355710294</v>
      </c>
      <c r="C27">
        <f t="shared" ref="C27:E27" si="14">C26*4</f>
        <v>0.3167448016835393</v>
      </c>
      <c r="D27">
        <f t="shared" si="14"/>
        <v>0.21505711198408362</v>
      </c>
      <c r="E27">
        <f t="shared" si="14"/>
        <v>5840.5130749843747</v>
      </c>
      <c r="G27" s="19"/>
    </row>
    <row r="28" spans="1:14" x14ac:dyDescent="0.25">
      <c r="A28" t="s">
        <v>61</v>
      </c>
      <c r="B28">
        <f>24*B26</f>
        <v>34611.044613426173</v>
      </c>
      <c r="C28">
        <f t="shared" ref="C28:E28" si="15">24*C26</f>
        <v>1.9004688101012359</v>
      </c>
      <c r="D28">
        <f t="shared" si="15"/>
        <v>1.2903426719045017</v>
      </c>
      <c r="E28">
        <f t="shared" si="15"/>
        <v>35043.07844990625</v>
      </c>
    </row>
    <row r="32" spans="1:14" x14ac:dyDescent="0.25">
      <c r="H32" s="17"/>
      <c r="I32" s="17"/>
      <c r="J32" s="17"/>
    </row>
    <row r="33" spans="8:10" x14ac:dyDescent="0.25">
      <c r="H33" s="17"/>
      <c r="I33" s="17"/>
      <c r="J33" s="17"/>
    </row>
  </sheetData>
  <pageMargins left="0.7" right="0.7" top="0.75" bottom="0.75" header="0.3" footer="0.3"/>
  <pageSetup orientation="portrait" r:id="rId1"/>
  <ignoredErrors>
    <ignoredError sqref="H15:J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Equipment</vt:lpstr>
      <vt:lpstr>GHG Emissions Equipment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Niese</dc:creator>
  <cp:lastModifiedBy>Travis Miller</cp:lastModifiedBy>
  <dcterms:created xsi:type="dcterms:W3CDTF">2024-03-07T21:02:11Z</dcterms:created>
  <dcterms:modified xsi:type="dcterms:W3CDTF">2024-03-29T17:27:54Z</dcterms:modified>
</cp:coreProperties>
</file>