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G:\RegionalPlanning\RegPlan\EPA Climate Reduction Planning Grant\Implementation Grants\OKI Staff grant preparations\ATTACHMENTS\"/>
    </mc:Choice>
  </mc:AlternateContent>
  <xr:revisionPtr revIDLastSave="0" documentId="8_{88F2505F-9FF3-421A-9D23-90C06BEF2972}" xr6:coauthVersionLast="47" xr6:coauthVersionMax="47" xr10:uidLastSave="{00000000-0000-0000-0000-000000000000}"/>
  <bookViews>
    <workbookView xWindow="4545" yWindow="3345" windowWidth="21600" windowHeight="11235" xr2:uid="{00000000-000D-0000-FFFF-FFFF00000000}"/>
  </bookViews>
  <sheets>
    <sheet name="eGRID Factors" sheetId="5" r:id="rId1"/>
    <sheet name="Solar" sheetId="2" r:id="rId2"/>
    <sheet name="Public Building Energy" sheetId="1" r:id="rId3"/>
    <sheet name="LED Streetlights" sheetId="3" r:id="rId4"/>
    <sheet name="Total GHG Reduction" sheetId="4" r:id="rId5"/>
    <sheet name="Other Emissions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4" i="2"/>
  <c r="D13" i="6" l="1"/>
  <c r="E13" i="6"/>
  <c r="F13" i="6"/>
  <c r="G13" i="6"/>
  <c r="C13" i="6"/>
  <c r="I3" i="2"/>
  <c r="H3" i="2"/>
  <c r="G3" i="2"/>
  <c r="F6" i="2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5" i="2"/>
  <c r="B3" i="6"/>
  <c r="B4" i="6" s="1"/>
  <c r="D33" i="1"/>
  <c r="C33" i="1"/>
  <c r="B33" i="1"/>
  <c r="V3" i="3"/>
  <c r="V2" i="3"/>
  <c r="J27" i="3"/>
  <c r="D27" i="3"/>
  <c r="J26" i="3"/>
  <c r="D26" i="3"/>
  <c r="J25" i="3"/>
  <c r="D25" i="3"/>
  <c r="J24" i="3"/>
  <c r="D24" i="3"/>
  <c r="J23" i="3"/>
  <c r="D23" i="3"/>
  <c r="J22" i="3"/>
  <c r="O22" i="3" s="1"/>
  <c r="D22" i="3"/>
  <c r="J21" i="3"/>
  <c r="D21" i="3"/>
  <c r="J20" i="3"/>
  <c r="D20" i="3"/>
  <c r="O20" i="3" s="1"/>
  <c r="J19" i="3"/>
  <c r="D19" i="3"/>
  <c r="J18" i="3"/>
  <c r="O18" i="3" s="1"/>
  <c r="D18" i="3"/>
  <c r="J17" i="3"/>
  <c r="D17" i="3"/>
  <c r="J16" i="3"/>
  <c r="O16" i="3" s="1"/>
  <c r="D16" i="3"/>
  <c r="J15" i="3"/>
  <c r="D15" i="3"/>
  <c r="J14" i="3"/>
  <c r="D14" i="3"/>
  <c r="J13" i="3"/>
  <c r="D13" i="3"/>
  <c r="J12" i="3"/>
  <c r="D12" i="3"/>
  <c r="O12" i="3" s="1"/>
  <c r="J11" i="3"/>
  <c r="O11" i="3" s="1"/>
  <c r="D11" i="3"/>
  <c r="J10" i="3"/>
  <c r="O10" i="3" s="1"/>
  <c r="D10" i="3"/>
  <c r="J9" i="3"/>
  <c r="D9" i="3"/>
  <c r="J8" i="3"/>
  <c r="O8" i="3" s="1"/>
  <c r="D8" i="3"/>
  <c r="J7" i="3"/>
  <c r="D7" i="3"/>
  <c r="J6" i="3"/>
  <c r="O6" i="3" s="1"/>
  <c r="D6" i="3"/>
  <c r="J5" i="3"/>
  <c r="D5" i="3"/>
  <c r="J4" i="3"/>
  <c r="D4" i="3"/>
  <c r="J3" i="3"/>
  <c r="D3" i="3"/>
  <c r="O23" i="3"/>
  <c r="I27" i="3"/>
  <c r="N27" i="3" s="1"/>
  <c r="C27" i="3"/>
  <c r="I26" i="3"/>
  <c r="C26" i="3"/>
  <c r="I25" i="3"/>
  <c r="C25" i="3"/>
  <c r="I24" i="3"/>
  <c r="C24" i="3"/>
  <c r="I23" i="3"/>
  <c r="C23" i="3"/>
  <c r="I22" i="3"/>
  <c r="N22" i="3" s="1"/>
  <c r="C22" i="3"/>
  <c r="I21" i="3"/>
  <c r="C21" i="3"/>
  <c r="I20" i="3"/>
  <c r="C20" i="3"/>
  <c r="I19" i="3"/>
  <c r="C19" i="3"/>
  <c r="I18" i="3"/>
  <c r="C18" i="3"/>
  <c r="I17" i="3"/>
  <c r="C17" i="3"/>
  <c r="I16" i="3"/>
  <c r="C16" i="3"/>
  <c r="N16" i="3" s="1"/>
  <c r="I15" i="3"/>
  <c r="C15" i="3"/>
  <c r="I14" i="3"/>
  <c r="N14" i="3" s="1"/>
  <c r="C14" i="3"/>
  <c r="I13" i="3"/>
  <c r="C13" i="3"/>
  <c r="N13" i="3" s="1"/>
  <c r="I12" i="3"/>
  <c r="C12" i="3"/>
  <c r="I11" i="3"/>
  <c r="N11" i="3" s="1"/>
  <c r="C11" i="3"/>
  <c r="I10" i="3"/>
  <c r="C10" i="3"/>
  <c r="N10" i="3" s="1"/>
  <c r="I9" i="3"/>
  <c r="C9" i="3"/>
  <c r="I8" i="3"/>
  <c r="C8" i="3"/>
  <c r="I7" i="3"/>
  <c r="N7" i="3" s="1"/>
  <c r="C7" i="3"/>
  <c r="I6" i="3"/>
  <c r="C6" i="3"/>
  <c r="I5" i="3"/>
  <c r="C5" i="3"/>
  <c r="I4" i="3"/>
  <c r="C4" i="3"/>
  <c r="I3" i="3"/>
  <c r="C3" i="3"/>
  <c r="N26" i="3"/>
  <c r="N23" i="3"/>
  <c r="H27" i="3"/>
  <c r="K27" i="3" s="1"/>
  <c r="B27" i="3"/>
  <c r="H26" i="3"/>
  <c r="B26" i="3"/>
  <c r="H25" i="3"/>
  <c r="B25" i="3"/>
  <c r="H24" i="3"/>
  <c r="B24" i="3"/>
  <c r="E24" i="3" s="1"/>
  <c r="H23" i="3"/>
  <c r="B23" i="3"/>
  <c r="H22" i="3"/>
  <c r="B22" i="3"/>
  <c r="H21" i="3"/>
  <c r="B21" i="3"/>
  <c r="H20" i="3"/>
  <c r="B20" i="3"/>
  <c r="H19" i="3"/>
  <c r="B19" i="3"/>
  <c r="H18" i="3"/>
  <c r="M18" i="3" s="1"/>
  <c r="B18" i="3"/>
  <c r="H17" i="3"/>
  <c r="B17" i="3"/>
  <c r="H16" i="3"/>
  <c r="B16" i="3"/>
  <c r="H15" i="3"/>
  <c r="B15" i="3"/>
  <c r="H14" i="3"/>
  <c r="B14" i="3"/>
  <c r="H13" i="3"/>
  <c r="B13" i="3"/>
  <c r="H12" i="3"/>
  <c r="B12" i="3"/>
  <c r="H11" i="3"/>
  <c r="B11" i="3"/>
  <c r="H10" i="3"/>
  <c r="B10" i="3"/>
  <c r="H9" i="3"/>
  <c r="M9" i="3" s="1"/>
  <c r="B9" i="3"/>
  <c r="H8" i="3"/>
  <c r="M8" i="3" s="1"/>
  <c r="B8" i="3"/>
  <c r="H7" i="3"/>
  <c r="B7" i="3"/>
  <c r="H6" i="3"/>
  <c r="B6" i="3"/>
  <c r="H5" i="3"/>
  <c r="B5" i="3"/>
  <c r="H4" i="3"/>
  <c r="M4" i="3" s="1"/>
  <c r="B4" i="3"/>
  <c r="H3" i="3"/>
  <c r="B3" i="3"/>
  <c r="E3" i="3" s="1"/>
  <c r="M11" i="3"/>
  <c r="J3" i="2"/>
  <c r="K19" i="3"/>
  <c r="N18" i="3"/>
  <c r="K15" i="3"/>
  <c r="O3" i="3"/>
  <c r="M16" i="3" l="1"/>
  <c r="N15" i="3"/>
  <c r="O4" i="3"/>
  <c r="O13" i="3"/>
  <c r="M22" i="3"/>
  <c r="N17" i="3"/>
  <c r="N25" i="3"/>
  <c r="K7" i="3"/>
  <c r="M5" i="3"/>
  <c r="O17" i="3"/>
  <c r="O25" i="3"/>
  <c r="M23" i="3"/>
  <c r="E18" i="3"/>
  <c r="E7" i="3"/>
  <c r="E13" i="3"/>
  <c r="K6" i="3"/>
  <c r="E17" i="3"/>
  <c r="E25" i="3"/>
  <c r="E10" i="3"/>
  <c r="E12" i="3"/>
  <c r="E20" i="3"/>
  <c r="E23" i="3"/>
  <c r="D2" i="4"/>
  <c r="N5" i="3"/>
  <c r="O9" i="3"/>
  <c r="N21" i="3"/>
  <c r="O21" i="3"/>
  <c r="N19" i="3"/>
  <c r="E22" i="3"/>
  <c r="O24" i="3"/>
  <c r="N9" i="3"/>
  <c r="M14" i="3"/>
  <c r="M21" i="3"/>
  <c r="M26" i="3"/>
  <c r="O5" i="3"/>
  <c r="O7" i="3"/>
  <c r="O26" i="3"/>
  <c r="N3" i="3"/>
  <c r="C2" i="4" s="1"/>
  <c r="M12" i="3"/>
  <c r="M6" i="3"/>
  <c r="N12" i="3"/>
  <c r="O19" i="3"/>
  <c r="M24" i="3"/>
  <c r="M3" i="3"/>
  <c r="B2" i="4" s="1"/>
  <c r="O14" i="3"/>
  <c r="E8" i="3"/>
  <c r="M10" i="3"/>
  <c r="E15" i="3"/>
  <c r="P15" i="3" s="1"/>
  <c r="M17" i="3"/>
  <c r="M19" i="3"/>
  <c r="N24" i="3"/>
  <c r="E27" i="3"/>
  <c r="P27" i="3" s="1"/>
  <c r="E19" i="3"/>
  <c r="P19" i="3" s="1"/>
  <c r="E4" i="3"/>
  <c r="E5" i="3"/>
  <c r="K4" i="3"/>
  <c r="N6" i="3"/>
  <c r="N8" i="3"/>
  <c r="O15" i="3"/>
  <c r="M20" i="3"/>
  <c r="O27" i="3"/>
  <c r="E6" i="3"/>
  <c r="N4" i="3"/>
  <c r="E11" i="3"/>
  <c r="M13" i="3"/>
  <c r="M15" i="3"/>
  <c r="N20" i="3"/>
  <c r="M25" i="3"/>
  <c r="M27" i="3"/>
  <c r="M7" i="3"/>
  <c r="E16" i="3"/>
  <c r="E9" i="3"/>
  <c r="K11" i="3"/>
  <c r="E14" i="3"/>
  <c r="E21" i="3"/>
  <c r="K23" i="3"/>
  <c r="P23" i="3" s="1"/>
  <c r="E26" i="3"/>
  <c r="P7" i="3"/>
  <c r="K5" i="3"/>
  <c r="K9" i="3"/>
  <c r="K13" i="3"/>
  <c r="K17" i="3"/>
  <c r="K21" i="3"/>
  <c r="K25" i="3"/>
  <c r="P25" i="3" s="1"/>
  <c r="K8" i="3"/>
  <c r="K12" i="3"/>
  <c r="P12" i="3" s="1"/>
  <c r="K16" i="3"/>
  <c r="K20" i="3"/>
  <c r="P20" i="3" s="1"/>
  <c r="K24" i="3"/>
  <c r="P24" i="3" s="1"/>
  <c r="K3" i="3"/>
  <c r="P3" i="3" s="1"/>
  <c r="E2" i="4" s="1"/>
  <c r="K10" i="3"/>
  <c r="P10" i="3" s="1"/>
  <c r="K14" i="3"/>
  <c r="K18" i="3"/>
  <c r="P18" i="3" s="1"/>
  <c r="K22" i="3"/>
  <c r="K26" i="3"/>
  <c r="P13" i="3" l="1"/>
  <c r="P6" i="3"/>
  <c r="U3" i="3"/>
  <c r="P9" i="3"/>
  <c r="P11" i="3"/>
  <c r="T2" i="3"/>
  <c r="T3" i="3"/>
  <c r="P17" i="3"/>
  <c r="P4" i="3"/>
  <c r="P5" i="3"/>
  <c r="P16" i="3"/>
  <c r="P8" i="3"/>
  <c r="P21" i="3"/>
  <c r="S3" i="3"/>
  <c r="P26" i="3"/>
  <c r="P14" i="3"/>
  <c r="S2" i="3"/>
  <c r="U2" i="3"/>
  <c r="P22" i="3"/>
  <c r="E4" i="2"/>
  <c r="E5" i="2" s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C4" i="2"/>
  <c r="D3" i="4" l="1"/>
  <c r="B3" i="4"/>
  <c r="C5" i="2"/>
  <c r="D4" i="4" l="1"/>
  <c r="B4" i="4"/>
  <c r="C6" i="2"/>
  <c r="J4" i="2"/>
  <c r="E3" i="4" s="1"/>
  <c r="C3" i="4"/>
  <c r="C5" i="4" l="1"/>
  <c r="D5" i="4"/>
  <c r="C7" i="2"/>
  <c r="J5" i="2"/>
  <c r="E4" i="4" s="1"/>
  <c r="C4" i="4"/>
  <c r="C6" i="4" l="1"/>
  <c r="B6" i="4"/>
  <c r="C8" i="2"/>
  <c r="B5" i="4"/>
  <c r="J6" i="2"/>
  <c r="E5" i="4" s="1"/>
  <c r="J2" i="4" l="1"/>
  <c r="C7" i="4"/>
  <c r="D7" i="4"/>
  <c r="C9" i="2"/>
  <c r="I2" i="4"/>
  <c r="J7" i="2"/>
  <c r="E6" i="4" s="1"/>
  <c r="L2" i="4" s="1"/>
  <c r="D6" i="4"/>
  <c r="C10" i="2" l="1"/>
  <c r="B8" i="4"/>
  <c r="D8" i="4"/>
  <c r="K2" i="4"/>
  <c r="J8" i="2"/>
  <c r="E7" i="4" s="1"/>
  <c r="B7" i="4"/>
  <c r="J9" i="2" l="1"/>
  <c r="E8" i="4" s="1"/>
  <c r="C8" i="4"/>
  <c r="C11" i="2"/>
  <c r="B9" i="4"/>
  <c r="D9" i="4"/>
  <c r="J10" i="2" l="1"/>
  <c r="E9" i="4" s="1"/>
  <c r="C9" i="4"/>
  <c r="C12" i="2"/>
  <c r="C10" i="4"/>
  <c r="D10" i="4"/>
  <c r="B10" i="4" l="1"/>
  <c r="J11" i="2"/>
  <c r="E10" i="4" s="1"/>
  <c r="C13" i="2"/>
  <c r="D11" i="4"/>
  <c r="B11" i="4"/>
  <c r="C14" i="2" l="1"/>
  <c r="C12" i="4"/>
  <c r="D12" i="4"/>
  <c r="J12" i="2"/>
  <c r="E11" i="4" s="1"/>
  <c r="C11" i="4"/>
  <c r="J13" i="2" l="1"/>
  <c r="E12" i="4" s="1"/>
  <c r="B12" i="4"/>
  <c r="C15" i="2"/>
  <c r="D13" i="4"/>
  <c r="C13" i="4"/>
  <c r="B13" i="4" l="1"/>
  <c r="J14" i="2"/>
  <c r="E13" i="4" s="1"/>
  <c r="C16" i="2"/>
  <c r="B14" i="4"/>
  <c r="D14" i="4"/>
  <c r="J15" i="2" l="1"/>
  <c r="E14" i="4" s="1"/>
  <c r="C14" i="4"/>
  <c r="C17" i="2"/>
  <c r="B15" i="4"/>
  <c r="D15" i="4"/>
  <c r="J16" i="2" l="1"/>
  <c r="E15" i="4" s="1"/>
  <c r="C15" i="4"/>
  <c r="C18" i="2"/>
  <c r="B16" i="4"/>
  <c r="D16" i="4"/>
  <c r="J17" i="2" l="1"/>
  <c r="E16" i="4" s="1"/>
  <c r="C16" i="4"/>
  <c r="C19" i="2"/>
  <c r="C17" i="4"/>
  <c r="D17" i="4"/>
  <c r="B17" i="4" l="1"/>
  <c r="J18" i="2"/>
  <c r="E17" i="4" s="1"/>
  <c r="C20" i="2"/>
  <c r="C18" i="4"/>
  <c r="D18" i="4"/>
  <c r="J19" i="2" l="1"/>
  <c r="E18" i="4" s="1"/>
  <c r="B18" i="4"/>
  <c r="C21" i="2"/>
  <c r="D19" i="4"/>
  <c r="B19" i="4"/>
  <c r="J20" i="2" l="1"/>
  <c r="E19" i="4" s="1"/>
  <c r="C19" i="4"/>
  <c r="C22" i="2"/>
  <c r="D20" i="4"/>
  <c r="C20" i="4"/>
  <c r="J21" i="2" l="1"/>
  <c r="E20" i="4" s="1"/>
  <c r="B20" i="4"/>
  <c r="C23" i="2"/>
  <c r="C21" i="4"/>
  <c r="D21" i="4"/>
  <c r="B21" i="4" l="1"/>
  <c r="J22" i="2"/>
  <c r="E21" i="4" s="1"/>
  <c r="C24" i="2"/>
  <c r="B22" i="4"/>
  <c r="C22" i="4"/>
  <c r="C25" i="2" l="1"/>
  <c r="C23" i="4"/>
  <c r="D23" i="4"/>
  <c r="J23" i="2"/>
  <c r="E22" i="4" s="1"/>
  <c r="D22" i="4"/>
  <c r="B23" i="4" l="1"/>
  <c r="J24" i="2"/>
  <c r="E23" i="4" s="1"/>
  <c r="C26" i="2"/>
  <c r="D24" i="4"/>
  <c r="B24" i="4"/>
  <c r="J25" i="2" l="1"/>
  <c r="E24" i="4" s="1"/>
  <c r="C24" i="4"/>
  <c r="C27" i="2"/>
  <c r="B25" i="4"/>
  <c r="D25" i="4"/>
  <c r="J26" i="2" l="1"/>
  <c r="E25" i="4" s="1"/>
  <c r="C25" i="4"/>
  <c r="C26" i="4"/>
  <c r="J3" i="4" s="1"/>
  <c r="D26" i="4"/>
  <c r="K3" i="4" s="1"/>
  <c r="B26" i="4" l="1"/>
  <c r="I3" i="4" s="1"/>
  <c r="J27" i="2"/>
  <c r="E26" i="4" s="1"/>
  <c r="L3" i="4" s="1"/>
</calcChain>
</file>

<file path=xl/sharedStrings.xml><?xml version="1.0" encoding="utf-8"?>
<sst xmlns="http://schemas.openxmlformats.org/spreadsheetml/2006/main" count="91" uniqueCount="63">
  <si>
    <t>Year</t>
  </si>
  <si>
    <t>ReducedCO2</t>
  </si>
  <si>
    <t>ReducedCH4</t>
  </si>
  <si>
    <t>ReducedN2O</t>
  </si>
  <si>
    <t>ReducedCO2e</t>
  </si>
  <si>
    <t>IN kW reduced</t>
  </si>
  <si>
    <t>KY kW reduced</t>
  </si>
  <si>
    <t>OH kWh reduced</t>
  </si>
  <si>
    <t>Total kW panels added</t>
  </si>
  <si>
    <t>Reduced CH4 (MT)</t>
  </si>
  <si>
    <t xml:space="preserve">Reduced CO2 (MT) </t>
  </si>
  <si>
    <t>Reduced N2O (MT)</t>
  </si>
  <si>
    <t>Reduced CO2e (MT)</t>
  </si>
  <si>
    <t>eGRID subregion</t>
  </si>
  <si>
    <r>
      <t>CO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 xml:space="preserve"> Factor (lb/MWh)</t>
    </r>
  </si>
  <si>
    <r>
      <t>CH</t>
    </r>
    <r>
      <rPr>
        <vertAlign val="subscript"/>
        <sz val="11"/>
        <color theme="1"/>
        <rFont val="Calibri"/>
        <family val="2"/>
      </rPr>
      <t>4</t>
    </r>
    <r>
      <rPr>
        <sz val="11"/>
        <color theme="1"/>
        <rFont val="Calibri"/>
        <family val="2"/>
      </rPr>
      <t xml:space="preserve"> Factor (lb/MWh)</t>
    </r>
  </si>
  <si>
    <r>
      <t>N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O Factor (lb/MWh)</t>
    </r>
  </si>
  <si>
    <t>RFCW (RFC West)</t>
  </si>
  <si>
    <t>SRTV (SERC Tenn Valley)</t>
  </si>
  <si>
    <t>GHG emission reductions</t>
  </si>
  <si>
    <t>CO2 red</t>
  </si>
  <si>
    <t>CH4 red</t>
  </si>
  <si>
    <t>N2O red</t>
  </si>
  <si>
    <t>CO2 MT</t>
  </si>
  <si>
    <t>CH4 MT</t>
  </si>
  <si>
    <t>N2O MT</t>
  </si>
  <si>
    <t>CO2e MT</t>
  </si>
  <si>
    <t>2025 - 2029</t>
  </si>
  <si>
    <t>2025 - 2049</t>
  </si>
  <si>
    <t>Reduced CO2 (MT)</t>
  </si>
  <si>
    <t>2025-2029</t>
  </si>
  <si>
    <t>2025-2049</t>
  </si>
  <si>
    <t>*</t>
  </si>
  <si>
    <t>* Assume year 1 is assessing buildings and receiving applications</t>
  </si>
  <si>
    <t>MSA States in subregion</t>
  </si>
  <si>
    <t>Indiana, Ohio</t>
  </si>
  <si>
    <t>Kentucky</t>
  </si>
  <si>
    <t>LED Emissions</t>
  </si>
  <si>
    <t>HPS Emissions</t>
  </si>
  <si>
    <t>Reduced mmBTU all</t>
  </si>
  <si>
    <t>Reduced MWh electricity KY</t>
  </si>
  <si>
    <t>Reduced MWh electricity OH IN</t>
  </si>
  <si>
    <t>ReducedMBTU NG all</t>
  </si>
  <si>
    <t xml:space="preserve">Annual electric savings $ </t>
  </si>
  <si>
    <t>Annual Gas savings $</t>
  </si>
  <si>
    <t>Total savings</t>
  </si>
  <si>
    <t xml:space="preserve">Solar </t>
  </si>
  <si>
    <t>kW panels</t>
  </si>
  <si>
    <t>KY</t>
  </si>
  <si>
    <t>OH/IN</t>
  </si>
  <si>
    <t>PM2.5 (lb)</t>
  </si>
  <si>
    <t>VOC (lb)</t>
  </si>
  <si>
    <t>NH3 (lb)</t>
  </si>
  <si>
    <t>SO2 (lb)</t>
  </si>
  <si>
    <t>NOx (lb)</t>
  </si>
  <si>
    <t>OH</t>
  </si>
  <si>
    <t>KY/IN</t>
  </si>
  <si>
    <t>Public building energy efficiency</t>
  </si>
  <si>
    <t>MWh reduced</t>
  </si>
  <si>
    <t>TOTAL</t>
  </si>
  <si>
    <t>CVG kWh reduced</t>
  </si>
  <si>
    <t>CVG Array</t>
  </si>
  <si>
    <t>* CO2, CH4, N2O, and CO2e calculations all use 70% of emissions for CVG array.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</si>
</sst>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18" fillId="0" borderId="10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4" fontId="0" fillId="0" borderId="0" xfId="0" applyNumberFormat="1"/>
    <xf numFmtId="0" fontId="18" fillId="0" borderId="12" xfId="0" applyFont="1" applyBorder="1" applyAlignment="1">
      <alignment vertical="center" wrapText="1"/>
    </xf>
    <xf numFmtId="164" fontId="18" fillId="0" borderId="13" xfId="0" applyNumberFormat="1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13" xfId="0" applyFont="1" applyBorder="1" applyAlignment="1">
      <alignment vertical="center" wrapText="1"/>
    </xf>
    <xf numFmtId="0" fontId="0" fillId="0" borderId="0" xfId="0" applyAlignment="1">
      <alignment wrapText="1"/>
    </xf>
    <xf numFmtId="0" fontId="16" fillId="0" borderId="0" xfId="0" applyFont="1"/>
    <xf numFmtId="3" fontId="0" fillId="0" borderId="0" xfId="0" applyNumberForma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201E5-E97C-43B1-B757-0479EDF0D312}">
  <dimension ref="A1:E3"/>
  <sheetViews>
    <sheetView tabSelected="1" workbookViewId="0">
      <selection activeCell="B4" sqref="B4"/>
    </sheetView>
  </sheetViews>
  <sheetFormatPr defaultRowHeight="15" x14ac:dyDescent="0.25"/>
  <cols>
    <col min="1" max="2" width="14.85546875" customWidth="1"/>
    <col min="3" max="3" width="15.7109375" customWidth="1"/>
    <col min="4" max="4" width="14.42578125" customWidth="1"/>
    <col min="5" max="5" width="15.7109375" customWidth="1"/>
  </cols>
  <sheetData>
    <row r="1" spans="1:5" ht="33.75" thickBot="1" x14ac:dyDescent="0.3">
      <c r="A1" s="1" t="s">
        <v>13</v>
      </c>
      <c r="B1" s="2" t="s">
        <v>34</v>
      </c>
      <c r="C1" s="2" t="s">
        <v>14</v>
      </c>
      <c r="D1" s="2" t="s">
        <v>15</v>
      </c>
      <c r="E1" s="2" t="s">
        <v>16</v>
      </c>
    </row>
    <row r="2" spans="1:5" ht="30.75" thickBot="1" x14ac:dyDescent="0.3">
      <c r="A2" s="4" t="s">
        <v>17</v>
      </c>
      <c r="B2" s="7" t="s">
        <v>35</v>
      </c>
      <c r="C2" s="5">
        <v>1798.8</v>
      </c>
      <c r="D2" s="5">
        <v>0.17199999999999999</v>
      </c>
      <c r="E2" s="5">
        <v>2.5000000000000001E-2</v>
      </c>
    </row>
    <row r="3" spans="1:5" ht="30.75" thickBot="1" x14ac:dyDescent="0.3">
      <c r="A3" s="4" t="s">
        <v>18</v>
      </c>
      <c r="B3" s="7" t="s">
        <v>36</v>
      </c>
      <c r="C3" s="5">
        <v>1636.2</v>
      </c>
      <c r="D3" s="5">
        <v>0.151</v>
      </c>
      <c r="E3" s="5">
        <v>2.1999999999999999E-2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2"/>
  <sheetViews>
    <sheetView workbookViewId="0">
      <selection activeCell="A33" sqref="A33"/>
    </sheetView>
  </sheetViews>
  <sheetFormatPr defaultRowHeight="15" x14ac:dyDescent="0.25"/>
  <cols>
    <col min="2" max="2" width="22" customWidth="1"/>
    <col min="3" max="3" width="14.5703125" customWidth="1"/>
    <col min="4" max="4" width="15.85546875" customWidth="1"/>
    <col min="5" max="6" width="15.7109375" customWidth="1"/>
    <col min="7" max="7" width="18" customWidth="1"/>
    <col min="8" max="8" width="17.140625" customWidth="1"/>
    <col min="9" max="9" width="16.5703125" customWidth="1"/>
    <col min="10" max="10" width="18.28515625" customWidth="1"/>
  </cols>
  <sheetData>
    <row r="2" spans="1:10" x14ac:dyDescent="0.25">
      <c r="A2" t="s">
        <v>0</v>
      </c>
      <c r="B2" t="s">
        <v>8</v>
      </c>
      <c r="C2" t="s">
        <v>5</v>
      </c>
      <c r="D2" t="s">
        <v>6</v>
      </c>
      <c r="E2" t="s">
        <v>7</v>
      </c>
      <c r="F2" t="s">
        <v>60</v>
      </c>
      <c r="G2" t="s">
        <v>10</v>
      </c>
      <c r="H2" t="s">
        <v>9</v>
      </c>
      <c r="I2" t="s">
        <v>11</v>
      </c>
      <c r="J2" t="s">
        <v>12</v>
      </c>
    </row>
    <row r="3" spans="1:10" x14ac:dyDescent="0.25">
      <c r="A3">
        <v>2025</v>
      </c>
      <c r="B3">
        <v>1200</v>
      </c>
      <c r="C3">
        <v>41778</v>
      </c>
      <c r="D3">
        <v>321937</v>
      </c>
      <c r="E3">
        <v>1229636</v>
      </c>
      <c r="F3">
        <v>0</v>
      </c>
      <c r="G3">
        <f>1798.8*(C3+E3)/2204600+1636.2*(D3+F3)/2204600</f>
        <v>1276.3189796788533</v>
      </c>
      <c r="H3">
        <f>0.172*(C3+E3)/2204600+0.151*(D3+F3)/2204600</f>
        <v>0.12124453188787081</v>
      </c>
      <c r="I3">
        <f>0.025*(C3+E3)/2204600+0.022*(D3+F3)/2204600</f>
        <v>1.7630392815023134E-2</v>
      </c>
      <c r="J3">
        <f>G3+25*H3+298*I3</f>
        <v>1284.603950034927</v>
      </c>
    </row>
    <row r="4" spans="1:10" x14ac:dyDescent="0.25">
      <c r="A4">
        <v>2026</v>
      </c>
      <c r="B4">
        <v>1200</v>
      </c>
      <c r="C4">
        <f>41778+(1-0.005)*C3</f>
        <v>83347.11</v>
      </c>
      <c r="D4">
        <f>321937+(1-0.005)*D3</f>
        <v>642264.31499999994</v>
      </c>
      <c r="E4">
        <f>1229636+(1-0.005)*E3</f>
        <v>2453123.8200000003</v>
      </c>
      <c r="F4">
        <v>11631798</v>
      </c>
      <c r="G4">
        <f>1798.8*(C4+E4)/2204600+1636.2*(D4+0.7*F4)/2204600</f>
        <v>8589.2408157520622</v>
      </c>
      <c r="H4">
        <f>0.172*(C4+E4)/2204600+0.151*(D4+0.7*F4)/2204600</f>
        <v>0.79957178632178172</v>
      </c>
      <c r="I4">
        <f>0.025*(C4+E4)/2204600+0.022*(D4+0.7*F4)/2204600</f>
        <v>0.11642532766941847</v>
      </c>
      <c r="J4">
        <f t="shared" ref="J4:J27" si="0">G4+25*H4+298*I4</f>
        <v>8643.9248580555923</v>
      </c>
    </row>
    <row r="5" spans="1:10" x14ac:dyDescent="0.25">
      <c r="A5">
        <v>2027</v>
      </c>
      <c r="B5">
        <v>1200</v>
      </c>
      <c r="C5">
        <f>41778+(1-0.005)*C4</f>
        <v>124708.37445</v>
      </c>
      <c r="D5">
        <f t="shared" ref="D5:D7" si="1">321937+(1-0.005)*D4</f>
        <v>960989.99342499999</v>
      </c>
      <c r="E5">
        <f t="shared" ref="E5:E7" si="2">1229636+(1-0.005)*E4</f>
        <v>3670494.2009000001</v>
      </c>
      <c r="F5">
        <f>F4*(1-0.005)</f>
        <v>11573639.01</v>
      </c>
      <c r="G5">
        <f t="shared" ref="G5:G27" si="3">1798.8*(C5+E5)/2204600+1636.2*(D5+0.7*F5)/2204600</f>
        <v>9822.6135913521575</v>
      </c>
      <c r="H5">
        <f t="shared" ref="H5:H27" si="4">0.172*(C5+E5)/2204600+0.151*(D5+0.7*F5)/2204600</f>
        <v>0.91681845927804351</v>
      </c>
      <c r="I5">
        <f t="shared" ref="I5:I27" si="5">0.025*(C5+E5)/2204600+0.022*(D5+0.7*F5)/2204600</f>
        <v>0.13347359384609453</v>
      </c>
      <c r="J5">
        <f t="shared" si="0"/>
        <v>9885.3091838002456</v>
      </c>
    </row>
    <row r="6" spans="1:10" x14ac:dyDescent="0.25">
      <c r="A6">
        <v>2028</v>
      </c>
      <c r="B6">
        <v>1200</v>
      </c>
      <c r="C6">
        <f t="shared" ref="C6:C7" si="6">41778+(1-0.005)*C5</f>
        <v>165862.83257775</v>
      </c>
      <c r="D6">
        <f t="shared" si="1"/>
        <v>1278122.043457875</v>
      </c>
      <c r="E6">
        <f t="shared" si="2"/>
        <v>4881777.7298955005</v>
      </c>
      <c r="F6">
        <f t="shared" ref="F6:F27" si="7">F5*(1-0.005)</f>
        <v>11515770.81495</v>
      </c>
      <c r="G6">
        <f t="shared" si="3"/>
        <v>11049.81950307425</v>
      </c>
      <c r="H6">
        <f t="shared" si="4"/>
        <v>1.0334788988695243</v>
      </c>
      <c r="I6">
        <f t="shared" si="5"/>
        <v>0.15043661869188718</v>
      </c>
      <c r="J6">
        <f t="shared" si="0"/>
        <v>11120.48658791617</v>
      </c>
    </row>
    <row r="7" spans="1:10" x14ac:dyDescent="0.25">
      <c r="A7">
        <v>2029</v>
      </c>
      <c r="B7">
        <v>1200</v>
      </c>
      <c r="C7">
        <f t="shared" si="6"/>
        <v>206811.51841486126</v>
      </c>
      <c r="D7">
        <f t="shared" si="1"/>
        <v>1593668.4332405857</v>
      </c>
      <c r="E7">
        <f t="shared" si="2"/>
        <v>6087004.8412460228</v>
      </c>
      <c r="F7">
        <f t="shared" si="7"/>
        <v>11458191.96087525</v>
      </c>
      <c r="G7">
        <f t="shared" si="3"/>
        <v>12270.889385237733</v>
      </c>
      <c r="H7">
        <f t="shared" si="4"/>
        <v>1.1495560362630473</v>
      </c>
      <c r="I7">
        <f t="shared" si="5"/>
        <v>0.16731482841345091</v>
      </c>
      <c r="J7">
        <f t="shared" si="0"/>
        <v>12349.488105011516</v>
      </c>
    </row>
    <row r="8" spans="1:10" x14ac:dyDescent="0.25">
      <c r="A8">
        <v>2030</v>
      </c>
      <c r="B8">
        <v>0</v>
      </c>
      <c r="C8">
        <f>(1-0.005)*C7</f>
        <v>205777.46082278696</v>
      </c>
      <c r="D8">
        <f>(1-0.005)*D7</f>
        <v>1585700.0910743829</v>
      </c>
      <c r="E8">
        <f>(1-0.005)*E7</f>
        <v>6056569.8170397924</v>
      </c>
      <c r="F8">
        <f t="shared" si="7"/>
        <v>11400901.001070874</v>
      </c>
      <c r="G8">
        <f t="shared" si="3"/>
        <v>12209.534938311543</v>
      </c>
      <c r="H8">
        <f t="shared" si="4"/>
        <v>1.1438082560817322</v>
      </c>
      <c r="I8">
        <f t="shared" si="5"/>
        <v>0.16647825427138363</v>
      </c>
      <c r="J8">
        <f t="shared" si="0"/>
        <v>12287.740664486459</v>
      </c>
    </row>
    <row r="9" spans="1:10" x14ac:dyDescent="0.25">
      <c r="A9">
        <v>2031</v>
      </c>
      <c r="B9">
        <v>0</v>
      </c>
      <c r="C9">
        <f t="shared" ref="C9:C27" si="8">(1-0.005)*C8</f>
        <v>204748.57351867302</v>
      </c>
      <c r="D9">
        <f t="shared" ref="D9:D27" si="9">(1-0.005)*D8</f>
        <v>1577771.5906190109</v>
      </c>
      <c r="E9">
        <f t="shared" ref="E9:E27" si="10">(1-0.005)*E8</f>
        <v>6026286.9679545937</v>
      </c>
      <c r="F9">
        <f t="shared" si="7"/>
        <v>11343896.49606552</v>
      </c>
      <c r="G9">
        <f t="shared" si="3"/>
        <v>12148.487263619983</v>
      </c>
      <c r="H9">
        <f t="shared" si="4"/>
        <v>1.1380892148013233</v>
      </c>
      <c r="I9">
        <f t="shared" si="5"/>
        <v>0.16564586300002671</v>
      </c>
      <c r="J9">
        <f t="shared" si="0"/>
        <v>12226.301961164023</v>
      </c>
    </row>
    <row r="10" spans="1:10" x14ac:dyDescent="0.25">
      <c r="A10">
        <v>2032</v>
      </c>
      <c r="B10">
        <v>0</v>
      </c>
      <c r="C10">
        <f t="shared" si="8"/>
        <v>203724.83065107965</v>
      </c>
      <c r="D10">
        <f t="shared" si="9"/>
        <v>1569882.7326659157</v>
      </c>
      <c r="E10">
        <f t="shared" si="10"/>
        <v>5996155.5331148207</v>
      </c>
      <c r="F10">
        <f t="shared" si="7"/>
        <v>11287177.013585191</v>
      </c>
      <c r="G10">
        <f t="shared" si="3"/>
        <v>12087.744827301885</v>
      </c>
      <c r="H10">
        <f t="shared" si="4"/>
        <v>1.1323987687273167</v>
      </c>
      <c r="I10">
        <f t="shared" si="5"/>
        <v>0.16481763368502658</v>
      </c>
      <c r="J10">
        <f t="shared" si="0"/>
        <v>12165.170451358206</v>
      </c>
    </row>
    <row r="11" spans="1:10" x14ac:dyDescent="0.25">
      <c r="A11">
        <v>2033</v>
      </c>
      <c r="B11">
        <v>0</v>
      </c>
      <c r="C11">
        <f t="shared" si="8"/>
        <v>202706.20649782426</v>
      </c>
      <c r="D11">
        <f t="shared" si="9"/>
        <v>1562033.3190025862</v>
      </c>
      <c r="E11">
        <f t="shared" si="10"/>
        <v>5966174.7554492466</v>
      </c>
      <c r="F11">
        <f t="shared" si="7"/>
        <v>11230741.128517265</v>
      </c>
      <c r="G11">
        <f t="shared" si="3"/>
        <v>12027.306103165374</v>
      </c>
      <c r="H11">
        <f t="shared" si="4"/>
        <v>1.1267367748836801</v>
      </c>
      <c r="I11">
        <f t="shared" si="5"/>
        <v>0.16399354551660145</v>
      </c>
      <c r="J11">
        <f t="shared" si="0"/>
        <v>12104.344599101414</v>
      </c>
    </row>
    <row r="12" spans="1:10" x14ac:dyDescent="0.25">
      <c r="A12">
        <v>2034</v>
      </c>
      <c r="B12">
        <v>0</v>
      </c>
      <c r="C12">
        <f t="shared" si="8"/>
        <v>201692.67546533514</v>
      </c>
      <c r="D12">
        <f t="shared" si="9"/>
        <v>1554223.1524075733</v>
      </c>
      <c r="E12">
        <f t="shared" si="10"/>
        <v>5936343.8816720005</v>
      </c>
      <c r="F12">
        <f t="shared" si="7"/>
        <v>11174587.422874678</v>
      </c>
      <c r="G12">
        <f t="shared" si="3"/>
        <v>11967.169572649547</v>
      </c>
      <c r="H12">
        <f t="shared" si="4"/>
        <v>1.1211030910092619</v>
      </c>
      <c r="I12">
        <f t="shared" si="5"/>
        <v>0.16317357778901842</v>
      </c>
      <c r="J12">
        <f t="shared" si="0"/>
        <v>12043.822876105907</v>
      </c>
    </row>
    <row r="13" spans="1:10" x14ac:dyDescent="0.25">
      <c r="A13">
        <v>2035</v>
      </c>
      <c r="B13">
        <v>0</v>
      </c>
      <c r="C13">
        <f t="shared" si="8"/>
        <v>200684.21208800847</v>
      </c>
      <c r="D13">
        <f t="shared" si="9"/>
        <v>1546452.0366455354</v>
      </c>
      <c r="E13">
        <f t="shared" si="10"/>
        <v>5906662.1622636402</v>
      </c>
      <c r="F13">
        <f t="shared" si="7"/>
        <v>11118714.485760305</v>
      </c>
      <c r="G13">
        <f t="shared" si="3"/>
        <v>11907.3337247863</v>
      </c>
      <c r="H13">
        <f t="shared" si="4"/>
        <v>1.1154975755542156</v>
      </c>
      <c r="I13">
        <f t="shared" si="5"/>
        <v>0.16235770990007334</v>
      </c>
      <c r="J13">
        <f t="shared" si="0"/>
        <v>11983.603761725377</v>
      </c>
    </row>
    <row r="14" spans="1:10" x14ac:dyDescent="0.25">
      <c r="A14">
        <v>2036</v>
      </c>
      <c r="B14">
        <v>0</v>
      </c>
      <c r="C14">
        <f t="shared" si="8"/>
        <v>199680.79102756843</v>
      </c>
      <c r="D14">
        <f t="shared" si="9"/>
        <v>1538719.7764623077</v>
      </c>
      <c r="E14">
        <f t="shared" si="10"/>
        <v>5877128.8514523217</v>
      </c>
      <c r="F14">
        <f t="shared" si="7"/>
        <v>11063120.913331503</v>
      </c>
      <c r="G14">
        <f t="shared" si="3"/>
        <v>11847.79705616237</v>
      </c>
      <c r="H14">
        <f t="shared" si="4"/>
        <v>1.1099200876764446</v>
      </c>
      <c r="I14">
        <f t="shared" si="5"/>
        <v>0.16154592135057294</v>
      </c>
      <c r="J14">
        <f t="shared" si="0"/>
        <v>11923.685742916752</v>
      </c>
    </row>
    <row r="15" spans="1:10" x14ac:dyDescent="0.25">
      <c r="A15">
        <v>2037</v>
      </c>
      <c r="B15">
        <v>0</v>
      </c>
      <c r="C15">
        <f t="shared" si="8"/>
        <v>198682.38707243057</v>
      </c>
      <c r="D15">
        <f t="shared" si="9"/>
        <v>1531026.1775799962</v>
      </c>
      <c r="E15">
        <f t="shared" si="10"/>
        <v>5847743.2071950603</v>
      </c>
      <c r="F15">
        <f t="shared" si="7"/>
        <v>11007805.308764845</v>
      </c>
      <c r="G15">
        <f t="shared" si="3"/>
        <v>11788.558070881558</v>
      </c>
      <c r="H15">
        <f t="shared" si="4"/>
        <v>1.1043704872380622</v>
      </c>
      <c r="I15">
        <f t="shared" si="5"/>
        <v>0.16073819174382009</v>
      </c>
      <c r="J15">
        <f t="shared" si="0"/>
        <v>11864.067314202168</v>
      </c>
    </row>
    <row r="16" spans="1:10" x14ac:dyDescent="0.25">
      <c r="A16">
        <v>2038</v>
      </c>
      <c r="B16">
        <v>0</v>
      </c>
      <c r="C16">
        <f t="shared" si="8"/>
        <v>197688.97513706842</v>
      </c>
      <c r="D16">
        <f t="shared" si="9"/>
        <v>1523371.0466920962</v>
      </c>
      <c r="E16">
        <f t="shared" si="10"/>
        <v>5818504.4911590852</v>
      </c>
      <c r="F16">
        <f t="shared" si="7"/>
        <v>10952766.282221021</v>
      </c>
      <c r="G16">
        <f t="shared" si="3"/>
        <v>11729.615280527149</v>
      </c>
      <c r="H16">
        <f t="shared" si="4"/>
        <v>1.0988486348018718</v>
      </c>
      <c r="I16">
        <f t="shared" si="5"/>
        <v>0.15993450078510099</v>
      </c>
      <c r="J16">
        <f t="shared" si="0"/>
        <v>11804.746977631155</v>
      </c>
    </row>
    <row r="17" spans="1:10" x14ac:dyDescent="0.25">
      <c r="A17">
        <v>2039</v>
      </c>
      <c r="B17">
        <v>0</v>
      </c>
      <c r="C17">
        <f t="shared" si="8"/>
        <v>196700.53026138307</v>
      </c>
      <c r="D17">
        <f t="shared" si="9"/>
        <v>1515754.1914586357</v>
      </c>
      <c r="E17">
        <f t="shared" si="10"/>
        <v>5789411.9687032895</v>
      </c>
      <c r="F17">
        <f t="shared" si="7"/>
        <v>10898002.450809916</v>
      </c>
      <c r="G17">
        <f t="shared" si="3"/>
        <v>11670.967204124512</v>
      </c>
      <c r="H17">
        <f t="shared" si="4"/>
        <v>1.0933543916278625</v>
      </c>
      <c r="I17">
        <f t="shared" si="5"/>
        <v>0.15913482828117548</v>
      </c>
      <c r="J17">
        <f t="shared" si="0"/>
        <v>11745.723242742999</v>
      </c>
    </row>
    <row r="18" spans="1:10" x14ac:dyDescent="0.25">
      <c r="A18">
        <v>2040</v>
      </c>
      <c r="B18">
        <v>0</v>
      </c>
      <c r="C18">
        <f t="shared" si="8"/>
        <v>195717.02761007615</v>
      </c>
      <c r="D18">
        <f t="shared" si="9"/>
        <v>1508175.4205013425</v>
      </c>
      <c r="E18">
        <f t="shared" si="10"/>
        <v>5760464.9088597726</v>
      </c>
      <c r="F18">
        <f t="shared" si="7"/>
        <v>10843512.438555866</v>
      </c>
      <c r="G18">
        <f t="shared" si="3"/>
        <v>11612.612368103892</v>
      </c>
      <c r="H18">
        <f t="shared" si="4"/>
        <v>1.0878876196697231</v>
      </c>
      <c r="I18">
        <f t="shared" si="5"/>
        <v>0.15833915413976962</v>
      </c>
      <c r="J18">
        <f t="shared" si="0"/>
        <v>11686.994626529286</v>
      </c>
    </row>
    <row r="19" spans="1:10" x14ac:dyDescent="0.25">
      <c r="A19">
        <v>2041</v>
      </c>
      <c r="B19">
        <v>0</v>
      </c>
      <c r="C19">
        <f t="shared" si="8"/>
        <v>194738.44247202578</v>
      </c>
      <c r="D19">
        <f t="shared" si="9"/>
        <v>1500634.5433988357</v>
      </c>
      <c r="E19">
        <f t="shared" si="10"/>
        <v>5731662.5843154741</v>
      </c>
      <c r="F19">
        <f t="shared" si="7"/>
        <v>10789294.876363087</v>
      </c>
      <c r="G19">
        <f t="shared" si="3"/>
        <v>11554.549306263372</v>
      </c>
      <c r="H19">
        <f t="shared" si="4"/>
        <v>1.0824481815713747</v>
      </c>
      <c r="I19">
        <f t="shared" si="5"/>
        <v>0.1575474583690708</v>
      </c>
      <c r="J19">
        <f t="shared" si="0"/>
        <v>11628.55965339664</v>
      </c>
    </row>
    <row r="20" spans="1:10" x14ac:dyDescent="0.25">
      <c r="A20">
        <v>2042</v>
      </c>
      <c r="B20">
        <v>0</v>
      </c>
      <c r="C20">
        <f t="shared" si="8"/>
        <v>193764.75025966566</v>
      </c>
      <c r="D20">
        <f t="shared" si="9"/>
        <v>1493131.3706818416</v>
      </c>
      <c r="E20">
        <f t="shared" si="10"/>
        <v>5703004.271393897</v>
      </c>
      <c r="F20">
        <f t="shared" si="7"/>
        <v>10735348.401981272</v>
      </c>
      <c r="G20">
        <f t="shared" si="3"/>
        <v>11496.776559732056</v>
      </c>
      <c r="H20">
        <f t="shared" si="4"/>
        <v>1.0770359406635177</v>
      </c>
      <c r="I20">
        <f t="shared" si="5"/>
        <v>0.15675972107722541</v>
      </c>
      <c r="J20">
        <f t="shared" si="0"/>
        <v>11570.416855129655</v>
      </c>
    </row>
    <row r="21" spans="1:10" x14ac:dyDescent="0.25">
      <c r="A21">
        <v>2043</v>
      </c>
      <c r="B21">
        <v>0</v>
      </c>
      <c r="C21">
        <f t="shared" si="8"/>
        <v>192795.92650836732</v>
      </c>
      <c r="D21">
        <f t="shared" si="9"/>
        <v>1485665.7138284324</v>
      </c>
      <c r="E21">
        <f t="shared" si="10"/>
        <v>5674489.2500369279</v>
      </c>
      <c r="F21">
        <f t="shared" si="7"/>
        <v>10681671.659971366</v>
      </c>
      <c r="G21">
        <f t="shared" si="3"/>
        <v>11439.292676933394</v>
      </c>
      <c r="H21">
        <f t="shared" si="4"/>
        <v>1.0716507609602002</v>
      </c>
      <c r="I21">
        <f t="shared" si="5"/>
        <v>0.15597592247183928</v>
      </c>
      <c r="J21">
        <f t="shared" si="0"/>
        <v>11512.564770854005</v>
      </c>
    </row>
    <row r="22" spans="1:10" x14ac:dyDescent="0.25">
      <c r="A22">
        <v>2044</v>
      </c>
      <c r="B22">
        <v>0</v>
      </c>
      <c r="C22">
        <f t="shared" si="8"/>
        <v>191831.9468758255</v>
      </c>
      <c r="D22">
        <f t="shared" si="9"/>
        <v>1478237.3852592902</v>
      </c>
      <c r="E22">
        <f t="shared" si="10"/>
        <v>5646116.8037867434</v>
      </c>
      <c r="F22">
        <f t="shared" si="7"/>
        <v>10628263.301671509</v>
      </c>
      <c r="G22">
        <f t="shared" si="3"/>
        <v>11382.096213548728</v>
      </c>
      <c r="H22">
        <f t="shared" si="4"/>
        <v>1.0662925071553992</v>
      </c>
      <c r="I22">
        <f t="shared" si="5"/>
        <v>0.1551960428594801</v>
      </c>
      <c r="J22">
        <f t="shared" si="0"/>
        <v>11455.001946999737</v>
      </c>
    </row>
    <row r="23" spans="1:10" x14ac:dyDescent="0.25">
      <c r="A23">
        <v>2045</v>
      </c>
      <c r="B23">
        <v>0</v>
      </c>
      <c r="C23">
        <f t="shared" si="8"/>
        <v>190872.78714144637</v>
      </c>
      <c r="D23">
        <f t="shared" si="9"/>
        <v>1470846.1983329938</v>
      </c>
      <c r="E23">
        <f t="shared" si="10"/>
        <v>5617886.2197678098</v>
      </c>
      <c r="F23">
        <f t="shared" si="7"/>
        <v>10575121.98516315</v>
      </c>
      <c r="G23">
        <f t="shared" si="3"/>
        <v>11325.185732480983</v>
      </c>
      <c r="H23">
        <f t="shared" si="4"/>
        <v>1.0609610446196223</v>
      </c>
      <c r="I23">
        <f t="shared" si="5"/>
        <v>0.15442006264518271</v>
      </c>
      <c r="J23">
        <f t="shared" si="0"/>
        <v>11397.726937264737</v>
      </c>
    </row>
    <row r="24" spans="1:10" x14ac:dyDescent="0.25">
      <c r="A24">
        <v>2046</v>
      </c>
      <c r="B24">
        <v>0</v>
      </c>
      <c r="C24">
        <f t="shared" si="8"/>
        <v>189918.42320573915</v>
      </c>
      <c r="D24">
        <f t="shared" si="9"/>
        <v>1463491.9673413287</v>
      </c>
      <c r="E24">
        <f t="shared" si="10"/>
        <v>5589796.7886689706</v>
      </c>
      <c r="F24">
        <f t="shared" si="7"/>
        <v>10522246.375237335</v>
      </c>
      <c r="G24">
        <f t="shared" si="3"/>
        <v>11268.559803818578</v>
      </c>
      <c r="H24">
        <f t="shared" si="4"/>
        <v>1.0556562393965239</v>
      </c>
      <c r="I24">
        <f t="shared" si="5"/>
        <v>0.15364796233195677</v>
      </c>
      <c r="J24">
        <f t="shared" si="0"/>
        <v>11340.738302578415</v>
      </c>
    </row>
    <row r="25" spans="1:10" x14ac:dyDescent="0.25">
      <c r="A25">
        <v>2047</v>
      </c>
      <c r="B25">
        <v>0</v>
      </c>
      <c r="C25">
        <f t="shared" si="8"/>
        <v>188968.83108971044</v>
      </c>
      <c r="D25">
        <f t="shared" si="9"/>
        <v>1456174.507504622</v>
      </c>
      <c r="E25">
        <f t="shared" si="10"/>
        <v>5561847.8047256256</v>
      </c>
      <c r="F25">
        <f t="shared" si="7"/>
        <v>10469635.143361147</v>
      </c>
      <c r="G25">
        <f t="shared" si="3"/>
        <v>11212.217004799486</v>
      </c>
      <c r="H25">
        <f t="shared" si="4"/>
        <v>1.0503779581995414</v>
      </c>
      <c r="I25">
        <f t="shared" si="5"/>
        <v>0.152879722520297</v>
      </c>
      <c r="J25">
        <f t="shared" si="0"/>
        <v>11284.034611065523</v>
      </c>
    </row>
    <row r="26" spans="1:10" x14ac:dyDescent="0.25">
      <c r="A26">
        <v>2048</v>
      </c>
      <c r="B26">
        <v>0</v>
      </c>
      <c r="C26">
        <f t="shared" si="8"/>
        <v>188023.98693426189</v>
      </c>
      <c r="D26">
        <f t="shared" si="9"/>
        <v>1448893.6349670989</v>
      </c>
      <c r="E26">
        <f t="shared" si="10"/>
        <v>5534038.5657019978</v>
      </c>
      <c r="F26">
        <f t="shared" si="7"/>
        <v>10417286.967644341</v>
      </c>
      <c r="G26">
        <f t="shared" si="3"/>
        <v>11156.155919775489</v>
      </c>
      <c r="H26">
        <f t="shared" si="4"/>
        <v>1.0451260684085437</v>
      </c>
      <c r="I26">
        <f t="shared" si="5"/>
        <v>0.1521153239076955</v>
      </c>
      <c r="J26">
        <f t="shared" si="0"/>
        <v>11227.614438010196</v>
      </c>
    </row>
    <row r="27" spans="1:10" x14ac:dyDescent="0.25">
      <c r="A27">
        <v>2049</v>
      </c>
      <c r="B27">
        <v>0</v>
      </c>
      <c r="C27">
        <f t="shared" si="8"/>
        <v>187083.86699959059</v>
      </c>
      <c r="D27">
        <f t="shared" si="9"/>
        <v>1441649.1667922635</v>
      </c>
      <c r="E27">
        <f t="shared" si="10"/>
        <v>5506368.3728734879</v>
      </c>
      <c r="F27">
        <f t="shared" si="7"/>
        <v>10365200.532806119</v>
      </c>
      <c r="G27">
        <f t="shared" si="3"/>
        <v>11100.375140176609</v>
      </c>
      <c r="H27">
        <f t="shared" si="4"/>
        <v>1.0399004380665007</v>
      </c>
      <c r="I27">
        <f t="shared" si="5"/>
        <v>0.15135474728815701</v>
      </c>
      <c r="J27">
        <f t="shared" si="0"/>
        <v>11171.476365820143</v>
      </c>
    </row>
    <row r="32" spans="1:10" x14ac:dyDescent="0.25">
      <c r="A32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M11" sqref="M11"/>
    </sheetView>
  </sheetViews>
  <sheetFormatPr defaultRowHeight="15" x14ac:dyDescent="0.25"/>
  <cols>
    <col min="2" max="2" width="14.42578125" customWidth="1"/>
    <col min="3" max="3" width="14.140625" customWidth="1"/>
    <col min="6" max="6" width="14.7109375" customWidth="1"/>
  </cols>
  <sheetData>
    <row r="1" spans="1:12" ht="60" x14ac:dyDescent="0.25">
      <c r="A1" t="s">
        <v>0</v>
      </c>
      <c r="B1" s="8" t="s">
        <v>39</v>
      </c>
      <c r="C1" s="8" t="s">
        <v>40</v>
      </c>
      <c r="D1" s="8" t="s">
        <v>41</v>
      </c>
      <c r="E1" s="8" t="s">
        <v>42</v>
      </c>
      <c r="F1" t="s">
        <v>1</v>
      </c>
      <c r="G1" t="s">
        <v>2</v>
      </c>
      <c r="H1" t="s">
        <v>3</v>
      </c>
      <c r="I1" t="s">
        <v>4</v>
      </c>
    </row>
    <row r="2" spans="1:12" x14ac:dyDescent="0.25">
      <c r="A2">
        <v>2025</v>
      </c>
      <c r="B2" s="3">
        <v>0</v>
      </c>
      <c r="C2" s="3">
        <v>0</v>
      </c>
      <c r="D2" s="3">
        <v>0</v>
      </c>
      <c r="E2" s="3">
        <v>0</v>
      </c>
      <c r="F2">
        <v>0</v>
      </c>
      <c r="G2">
        <v>0</v>
      </c>
      <c r="H2">
        <v>0</v>
      </c>
      <c r="I2">
        <v>0</v>
      </c>
      <c r="J2" t="s">
        <v>32</v>
      </c>
    </row>
    <row r="3" spans="1:12" x14ac:dyDescent="0.25">
      <c r="A3">
        <v>2026</v>
      </c>
      <c r="B3" s="3">
        <v>50069.25</v>
      </c>
      <c r="C3" s="3">
        <v>1822.0500489999999</v>
      </c>
      <c r="D3" s="3">
        <v>6980.1241010000003</v>
      </c>
      <c r="E3" s="3">
        <v>20027.7</v>
      </c>
      <c r="F3">
        <v>8108.9670509999996</v>
      </c>
      <c r="G3">
        <v>0.68928434500000002</v>
      </c>
      <c r="H3">
        <v>9.9321682999999994E-2</v>
      </c>
      <c r="I3">
        <v>8155.7970219999997</v>
      </c>
    </row>
    <row r="4" spans="1:12" x14ac:dyDescent="0.25">
      <c r="A4">
        <v>2027</v>
      </c>
      <c r="B4" s="3">
        <v>100138.5</v>
      </c>
      <c r="C4" s="3">
        <v>3644.1000979999999</v>
      </c>
      <c r="D4" s="3">
        <v>13960.2482</v>
      </c>
      <c r="E4" s="3">
        <v>40055.4</v>
      </c>
      <c r="F4">
        <v>16217.9341</v>
      </c>
      <c r="G4">
        <v>1.37856869</v>
      </c>
      <c r="H4">
        <v>0.19864336599999999</v>
      </c>
      <c r="I4">
        <v>16311.59404</v>
      </c>
    </row>
    <row r="5" spans="1:12" x14ac:dyDescent="0.25">
      <c r="A5">
        <v>2028</v>
      </c>
      <c r="B5" s="3">
        <v>150207.75</v>
      </c>
      <c r="C5" s="3">
        <v>5466.1501470000003</v>
      </c>
      <c r="D5" s="3">
        <v>20940.372299999999</v>
      </c>
      <c r="E5" s="3">
        <v>60083.1</v>
      </c>
      <c r="F5">
        <v>24326.901150000002</v>
      </c>
      <c r="G5">
        <v>2.0678530359999998</v>
      </c>
      <c r="H5">
        <v>0.29796505000000001</v>
      </c>
      <c r="I5">
        <v>24467.391060000002</v>
      </c>
    </row>
    <row r="6" spans="1:12" x14ac:dyDescent="0.25">
      <c r="A6">
        <v>2029</v>
      </c>
      <c r="B6" s="3">
        <v>200277</v>
      </c>
      <c r="C6" s="3">
        <v>7288.2001959999998</v>
      </c>
      <c r="D6" s="3">
        <v>27920.4964</v>
      </c>
      <c r="E6" s="3">
        <v>80110.8</v>
      </c>
      <c r="F6">
        <v>32435.868210000001</v>
      </c>
      <c r="G6">
        <v>2.7571373810000002</v>
      </c>
      <c r="H6">
        <v>0.397286733</v>
      </c>
      <c r="I6">
        <v>32623.18809</v>
      </c>
      <c r="J6">
        <v>81557.970220000003</v>
      </c>
    </row>
    <row r="7" spans="1:12" x14ac:dyDescent="0.25">
      <c r="A7">
        <v>2030</v>
      </c>
      <c r="B7">
        <v>200277</v>
      </c>
      <c r="C7">
        <v>7288.2001959999998</v>
      </c>
      <c r="D7">
        <v>27920.4964</v>
      </c>
      <c r="E7">
        <v>80110.8</v>
      </c>
      <c r="F7">
        <v>32435.868210000001</v>
      </c>
      <c r="G7">
        <v>2.7571373810000002</v>
      </c>
      <c r="H7">
        <v>0.397286733</v>
      </c>
      <c r="I7">
        <v>32623.18809</v>
      </c>
      <c r="L7" s="3"/>
    </row>
    <row r="8" spans="1:12" x14ac:dyDescent="0.25">
      <c r="A8">
        <v>2031</v>
      </c>
      <c r="B8">
        <v>200277</v>
      </c>
      <c r="C8">
        <v>7288.2001959999998</v>
      </c>
      <c r="D8">
        <v>27920.4964</v>
      </c>
      <c r="E8">
        <v>80110.8</v>
      </c>
      <c r="F8">
        <v>32435.868210000001</v>
      </c>
      <c r="G8">
        <v>2.7571373810000002</v>
      </c>
      <c r="H8">
        <v>0.397286733</v>
      </c>
      <c r="I8">
        <v>32623.18809</v>
      </c>
    </row>
    <row r="9" spans="1:12" x14ac:dyDescent="0.25">
      <c r="A9">
        <v>2032</v>
      </c>
      <c r="B9">
        <v>200277</v>
      </c>
      <c r="C9">
        <v>7288.2001959999998</v>
      </c>
      <c r="D9">
        <v>27920.4964</v>
      </c>
      <c r="E9">
        <v>80110.8</v>
      </c>
      <c r="F9">
        <v>32435.868210000001</v>
      </c>
      <c r="G9">
        <v>2.7571373810000002</v>
      </c>
      <c r="H9">
        <v>0.397286733</v>
      </c>
      <c r="I9">
        <v>32623.18809</v>
      </c>
    </row>
    <row r="10" spans="1:12" x14ac:dyDescent="0.25">
      <c r="A10">
        <v>2033</v>
      </c>
      <c r="B10">
        <v>200277</v>
      </c>
      <c r="C10">
        <v>7288.2001959999998</v>
      </c>
      <c r="D10">
        <v>27920.4964</v>
      </c>
      <c r="E10">
        <v>80110.8</v>
      </c>
      <c r="F10">
        <v>32435.868210000001</v>
      </c>
      <c r="G10">
        <v>2.7571373810000002</v>
      </c>
      <c r="H10">
        <v>0.397286733</v>
      </c>
      <c r="I10">
        <v>32623.18809</v>
      </c>
    </row>
    <row r="11" spans="1:12" x14ac:dyDescent="0.25">
      <c r="A11">
        <v>2034</v>
      </c>
      <c r="B11">
        <v>200277</v>
      </c>
      <c r="C11">
        <v>7288.2001959999998</v>
      </c>
      <c r="D11">
        <v>27920.4964</v>
      </c>
      <c r="E11">
        <v>80110.8</v>
      </c>
      <c r="F11">
        <v>32435.868210000001</v>
      </c>
      <c r="G11">
        <v>2.7571373810000002</v>
      </c>
      <c r="H11">
        <v>0.397286733</v>
      </c>
      <c r="I11">
        <v>32623.18809</v>
      </c>
    </row>
    <row r="12" spans="1:12" x14ac:dyDescent="0.25">
      <c r="A12">
        <v>2035</v>
      </c>
      <c r="B12">
        <v>200277</v>
      </c>
      <c r="C12">
        <v>7288.2001959999998</v>
      </c>
      <c r="D12">
        <v>27920.4964</v>
      </c>
      <c r="E12">
        <v>80110.8</v>
      </c>
      <c r="F12">
        <v>32435.868210000001</v>
      </c>
      <c r="G12">
        <v>2.7571373810000002</v>
      </c>
      <c r="H12">
        <v>0.397286733</v>
      </c>
      <c r="I12">
        <v>32623.18809</v>
      </c>
    </row>
    <row r="13" spans="1:12" x14ac:dyDescent="0.25">
      <c r="A13">
        <v>2036</v>
      </c>
      <c r="B13">
        <v>200277</v>
      </c>
      <c r="C13">
        <v>7288.2001959999998</v>
      </c>
      <c r="D13">
        <v>27920.4964</v>
      </c>
      <c r="E13">
        <v>80110.8</v>
      </c>
      <c r="F13">
        <v>32435.868210000001</v>
      </c>
      <c r="G13">
        <v>2.7571373810000002</v>
      </c>
      <c r="H13">
        <v>0.397286733</v>
      </c>
      <c r="I13">
        <v>32623.18809</v>
      </c>
    </row>
    <row r="14" spans="1:12" x14ac:dyDescent="0.25">
      <c r="A14">
        <v>2037</v>
      </c>
      <c r="B14">
        <v>200277</v>
      </c>
      <c r="C14">
        <v>7288.2001959999998</v>
      </c>
      <c r="D14">
        <v>27920.4964</v>
      </c>
      <c r="E14">
        <v>80110.8</v>
      </c>
      <c r="F14">
        <v>32435.868210000001</v>
      </c>
      <c r="G14">
        <v>2.7571373810000002</v>
      </c>
      <c r="H14">
        <v>0.397286733</v>
      </c>
      <c r="I14">
        <v>32623.18809</v>
      </c>
    </row>
    <row r="15" spans="1:12" x14ac:dyDescent="0.25">
      <c r="A15">
        <v>2038</v>
      </c>
      <c r="B15">
        <v>200277</v>
      </c>
      <c r="C15">
        <v>7288.2001959999998</v>
      </c>
      <c r="D15">
        <v>27920.4964</v>
      </c>
      <c r="E15">
        <v>80110.8</v>
      </c>
      <c r="F15">
        <v>32435.868210000001</v>
      </c>
      <c r="G15">
        <v>2.7571373810000002</v>
      </c>
      <c r="H15">
        <v>0.397286733</v>
      </c>
      <c r="I15">
        <v>32623.18809</v>
      </c>
    </row>
    <row r="16" spans="1:12" x14ac:dyDescent="0.25">
      <c r="A16">
        <v>2039</v>
      </c>
      <c r="B16">
        <v>200277</v>
      </c>
      <c r="C16">
        <v>7288.2001959999998</v>
      </c>
      <c r="D16">
        <v>27920.4964</v>
      </c>
      <c r="E16">
        <v>80110.8</v>
      </c>
      <c r="F16">
        <v>32435.868210000001</v>
      </c>
      <c r="G16">
        <v>2.7571373810000002</v>
      </c>
      <c r="H16">
        <v>0.397286733</v>
      </c>
      <c r="I16">
        <v>32623.18809</v>
      </c>
    </row>
    <row r="17" spans="1:10" x14ac:dyDescent="0.25">
      <c r="A17">
        <v>2040</v>
      </c>
      <c r="B17">
        <v>200277</v>
      </c>
      <c r="C17">
        <v>7288.2001959999998</v>
      </c>
      <c r="D17">
        <v>27920.4964</v>
      </c>
      <c r="E17">
        <v>80110.8</v>
      </c>
      <c r="F17">
        <v>32435.868210000001</v>
      </c>
      <c r="G17">
        <v>2.7571373810000002</v>
      </c>
      <c r="H17">
        <v>0.397286733</v>
      </c>
      <c r="I17">
        <v>32623.18809</v>
      </c>
    </row>
    <row r="18" spans="1:10" x14ac:dyDescent="0.25">
      <c r="A18">
        <v>2041</v>
      </c>
      <c r="B18">
        <v>200277</v>
      </c>
      <c r="C18">
        <v>7288.2001959999998</v>
      </c>
      <c r="D18">
        <v>27920.4964</v>
      </c>
      <c r="E18">
        <v>80110.8</v>
      </c>
      <c r="F18">
        <v>32435.868210000001</v>
      </c>
      <c r="G18">
        <v>2.7571373810000002</v>
      </c>
      <c r="H18">
        <v>0.397286733</v>
      </c>
      <c r="I18">
        <v>32623.18809</v>
      </c>
    </row>
    <row r="19" spans="1:10" x14ac:dyDescent="0.25">
      <c r="A19">
        <v>2042</v>
      </c>
      <c r="B19">
        <v>200277</v>
      </c>
      <c r="C19">
        <v>7288.2001959999998</v>
      </c>
      <c r="D19">
        <v>27920.4964</v>
      </c>
      <c r="E19">
        <v>80110.8</v>
      </c>
      <c r="F19">
        <v>32435.868210000001</v>
      </c>
      <c r="G19">
        <v>2.7571373810000002</v>
      </c>
      <c r="H19">
        <v>0.397286733</v>
      </c>
      <c r="I19">
        <v>32623.18809</v>
      </c>
    </row>
    <row r="20" spans="1:10" x14ac:dyDescent="0.25">
      <c r="A20">
        <v>2043</v>
      </c>
      <c r="B20">
        <v>200277</v>
      </c>
      <c r="C20">
        <v>7288.2001959999998</v>
      </c>
      <c r="D20">
        <v>27920.4964</v>
      </c>
      <c r="E20">
        <v>80110.8</v>
      </c>
      <c r="F20">
        <v>32435.868210000001</v>
      </c>
      <c r="G20">
        <v>2.7571373810000002</v>
      </c>
      <c r="H20">
        <v>0.397286733</v>
      </c>
      <c r="I20">
        <v>32623.18809</v>
      </c>
    </row>
    <row r="21" spans="1:10" x14ac:dyDescent="0.25">
      <c r="A21">
        <v>2044</v>
      </c>
      <c r="B21">
        <v>200277</v>
      </c>
      <c r="C21">
        <v>7288.2001959999998</v>
      </c>
      <c r="D21">
        <v>27920.4964</v>
      </c>
      <c r="E21">
        <v>80110.8</v>
      </c>
      <c r="F21">
        <v>32435.868210000001</v>
      </c>
      <c r="G21">
        <v>2.7571373810000002</v>
      </c>
      <c r="H21">
        <v>0.397286733</v>
      </c>
      <c r="I21">
        <v>32623.18809</v>
      </c>
    </row>
    <row r="22" spans="1:10" x14ac:dyDescent="0.25">
      <c r="A22">
        <v>2045</v>
      </c>
      <c r="B22">
        <v>200277</v>
      </c>
      <c r="C22">
        <v>7288.2001959999998</v>
      </c>
      <c r="D22">
        <v>27920.4964</v>
      </c>
      <c r="E22">
        <v>80110.8</v>
      </c>
      <c r="F22">
        <v>32435.868210000001</v>
      </c>
      <c r="G22">
        <v>2.7571373810000002</v>
      </c>
      <c r="H22">
        <v>0.397286733</v>
      </c>
      <c r="I22">
        <v>32623.18809</v>
      </c>
    </row>
    <row r="23" spans="1:10" x14ac:dyDescent="0.25">
      <c r="A23">
        <v>2046</v>
      </c>
      <c r="B23">
        <v>200277</v>
      </c>
      <c r="C23">
        <v>7288.2001959999998</v>
      </c>
      <c r="D23">
        <v>27920.4964</v>
      </c>
      <c r="E23">
        <v>80110.8</v>
      </c>
      <c r="F23">
        <v>32435.868210000001</v>
      </c>
      <c r="G23">
        <v>2.7571373810000002</v>
      </c>
      <c r="H23">
        <v>0.397286733</v>
      </c>
      <c r="I23">
        <v>32623.18809</v>
      </c>
    </row>
    <row r="24" spans="1:10" x14ac:dyDescent="0.25">
      <c r="A24">
        <v>2047</v>
      </c>
      <c r="B24">
        <v>200277</v>
      </c>
      <c r="C24">
        <v>7288.2001959999998</v>
      </c>
      <c r="D24">
        <v>27920.4964</v>
      </c>
      <c r="E24">
        <v>80110.8</v>
      </c>
      <c r="F24">
        <v>32435.868210000001</v>
      </c>
      <c r="G24">
        <v>2.7571373810000002</v>
      </c>
      <c r="H24">
        <v>0.397286733</v>
      </c>
      <c r="I24">
        <v>32623.18809</v>
      </c>
    </row>
    <row r="25" spans="1:10" x14ac:dyDescent="0.25">
      <c r="A25">
        <v>2048</v>
      </c>
      <c r="B25">
        <v>200277</v>
      </c>
      <c r="C25">
        <v>7288.2001959999998</v>
      </c>
      <c r="D25">
        <v>27920.4964</v>
      </c>
      <c r="E25">
        <v>80110.8</v>
      </c>
      <c r="F25">
        <v>32435.868210000001</v>
      </c>
      <c r="G25">
        <v>2.7571373810000002</v>
      </c>
      <c r="H25">
        <v>0.397286733</v>
      </c>
      <c r="I25">
        <v>32623.18809</v>
      </c>
    </row>
    <row r="26" spans="1:10" x14ac:dyDescent="0.25">
      <c r="A26">
        <v>2049</v>
      </c>
      <c r="B26">
        <v>200277</v>
      </c>
      <c r="C26">
        <v>7288.2001959999998</v>
      </c>
      <c r="D26">
        <v>27920.4964</v>
      </c>
      <c r="E26">
        <v>80110.8</v>
      </c>
      <c r="F26">
        <v>32435.868210000001</v>
      </c>
      <c r="G26">
        <v>2.7571373810000002</v>
      </c>
      <c r="H26">
        <v>0.397286733</v>
      </c>
      <c r="I26">
        <v>32623.18809</v>
      </c>
      <c r="J26">
        <v>734021.73190000001</v>
      </c>
    </row>
    <row r="30" spans="1:10" x14ac:dyDescent="0.25">
      <c r="A30" t="s">
        <v>33</v>
      </c>
    </row>
    <row r="32" spans="1:10" x14ac:dyDescent="0.25">
      <c r="B32" t="s">
        <v>43</v>
      </c>
      <c r="C32" t="s">
        <v>44</v>
      </c>
      <c r="D32" t="s">
        <v>45</v>
      </c>
    </row>
    <row r="33" spans="1:4" x14ac:dyDescent="0.25">
      <c r="A33">
        <v>2029</v>
      </c>
      <c r="B33">
        <f>(1000*C6*0.1326+1000*D6*(0.033*0.1084+0.967*0.1053))/15000000</f>
        <v>0.26061999224608801</v>
      </c>
      <c r="C33">
        <f>(E6/1.038*(0.026*9.5+0.207*14.4+0.767*8.39))/15000000</f>
        <v>4.9717729778034681E-2</v>
      </c>
      <c r="D33">
        <f>B33+C33</f>
        <v>0.31033772202412269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7"/>
  <sheetViews>
    <sheetView workbookViewId="0">
      <selection activeCell="V3" sqref="V3"/>
    </sheetView>
  </sheetViews>
  <sheetFormatPr defaultRowHeight="15" x14ac:dyDescent="0.25"/>
  <cols>
    <col min="1" max="1" width="16.140625" customWidth="1"/>
    <col min="2" max="2" width="15.5703125" customWidth="1"/>
    <col min="3" max="3" width="13.85546875" customWidth="1"/>
    <col min="4" max="4" width="16.28515625" customWidth="1"/>
    <col min="13" max="16" width="9.140625" style="3"/>
    <col min="18" max="18" width="11" customWidth="1"/>
  </cols>
  <sheetData>
    <row r="1" spans="1:22" x14ac:dyDescent="0.25">
      <c r="A1" s="6"/>
      <c r="B1" s="11" t="s">
        <v>37</v>
      </c>
      <c r="C1" s="11"/>
      <c r="D1" s="11"/>
      <c r="E1" s="11"/>
      <c r="H1" s="11" t="s">
        <v>38</v>
      </c>
      <c r="I1" s="11"/>
      <c r="J1" s="11"/>
      <c r="K1" s="11"/>
      <c r="M1" s="12" t="s">
        <v>19</v>
      </c>
      <c r="N1" s="12"/>
      <c r="O1" s="12"/>
      <c r="P1" s="12"/>
      <c r="S1" t="s">
        <v>20</v>
      </c>
      <c r="T1" t="s">
        <v>21</v>
      </c>
      <c r="U1" t="s">
        <v>22</v>
      </c>
    </row>
    <row r="2" spans="1:22" x14ac:dyDescent="0.25">
      <c r="A2" s="6" t="s">
        <v>0</v>
      </c>
      <c r="B2" t="s">
        <v>23</v>
      </c>
      <c r="C2" t="s">
        <v>24</v>
      </c>
      <c r="D2" t="s">
        <v>25</v>
      </c>
      <c r="E2" t="s">
        <v>26</v>
      </c>
      <c r="H2" t="s">
        <v>23</v>
      </c>
      <c r="I2" t="s">
        <v>24</v>
      </c>
      <c r="J2" t="s">
        <v>25</v>
      </c>
      <c r="K2" t="s">
        <v>26</v>
      </c>
      <c r="M2" s="3" t="s">
        <v>23</v>
      </c>
      <c r="N2" s="3" t="s">
        <v>24</v>
      </c>
      <c r="O2" s="3" t="s">
        <v>25</v>
      </c>
      <c r="P2" s="3" t="s">
        <v>26</v>
      </c>
      <c r="R2" t="s">
        <v>27</v>
      </c>
      <c r="S2">
        <f>SUM(M3:M7)</f>
        <v>13206.007359999998</v>
      </c>
      <c r="T2">
        <f t="shared" ref="T2:V2" si="0">SUM(N3:N7)</f>
        <v>1.2543007020408163</v>
      </c>
      <c r="U2">
        <f t="shared" si="0"/>
        <v>0.18239222857142859</v>
      </c>
      <c r="V2">
        <f t="shared" si="0"/>
        <v>13291.717761665304</v>
      </c>
    </row>
    <row r="3" spans="1:22" x14ac:dyDescent="0.25">
      <c r="A3">
        <v>2025</v>
      </c>
      <c r="B3">
        <f>((0.2*(117+3451)*1798.8+0.2*932*1636.2)*815/1000)/2205</f>
        <v>587.17381333333333</v>
      </c>
      <c r="C3">
        <f>((0.2*(117+3451)*0.172+0.2*932*0.151)*815/1000)/2205</f>
        <v>5.5769507482993204E-2</v>
      </c>
      <c r="D3">
        <f>((0.2*(117+3451)*0.025+0.2*932*0.022)*815/1000)/2205</f>
        <v>8.1096380952380941E-3</v>
      </c>
      <c r="E3">
        <f>B3+25*C3+298*D3</f>
        <v>590.98472317278902</v>
      </c>
      <c r="H3">
        <f>((0.2*(117+3451)*1798.8+0.2*932*1636.2)*2037/1000)/2205</f>
        <v>1467.5743039999998</v>
      </c>
      <c r="I3">
        <f>((0.2*(117+3451)*0.172+0.2*932*0.151)*2037/1000)/2205</f>
        <v>0.13938955428571428</v>
      </c>
      <c r="J3">
        <f>((0.2*(117+3451)*0.025+0.2*932*0.022)*2037/1000)/2205</f>
        <v>2.0269120000000002E-2</v>
      </c>
      <c r="K3">
        <f>H3+25*I3+298*J3</f>
        <v>1477.0992406171426</v>
      </c>
      <c r="M3" s="3">
        <f>H3-B3</f>
        <v>880.40049066666643</v>
      </c>
      <c r="N3" s="3">
        <f t="shared" ref="N3:P18" si="1">I3-C3</f>
        <v>8.3620046802721087E-2</v>
      </c>
      <c r="O3" s="3">
        <f t="shared" si="1"/>
        <v>1.2159481904761908E-2</v>
      </c>
      <c r="P3" s="3">
        <f>K3-E3</f>
        <v>886.11451744435362</v>
      </c>
      <c r="R3" t="s">
        <v>28</v>
      </c>
      <c r="S3">
        <f>SUM(M3:M27)</f>
        <v>101246.05642666668</v>
      </c>
      <c r="T3">
        <f t="shared" ref="T3:V3" si="2">SUM(N3:N27)</f>
        <v>9.6163053823129285</v>
      </c>
      <c r="U3">
        <f t="shared" si="2"/>
        <v>1.3983404190476192</v>
      </c>
      <c r="V3">
        <f t="shared" si="2"/>
        <v>101903.16950610069</v>
      </c>
    </row>
    <row r="4" spans="1:22" x14ac:dyDescent="0.25">
      <c r="A4">
        <v>2026</v>
      </c>
      <c r="B4">
        <f>((0.4*(117+3451)*1798.8+0.4*932*1636.2)*815/1000)/2205</f>
        <v>1174.3476266666667</v>
      </c>
      <c r="C4">
        <f>((0.4*(117+3451)*0.172+0.4*932*0.151)*815/1000)/2205</f>
        <v>0.11153901496598641</v>
      </c>
      <c r="D4">
        <f>((0.4*(117+3451)*0.025+0.4*932*0.022)*815/1000)/2205</f>
        <v>1.6219276190476188E-2</v>
      </c>
      <c r="E4">
        <f t="shared" ref="E4:E27" si="3">B4+25*C4+298*D4</f>
        <v>1181.969446345578</v>
      </c>
      <c r="H4">
        <f>((0.4*(117+3451)*1798.8+0.4*932*1636.2)*2037/1000)/2205</f>
        <v>2935.1486079999995</v>
      </c>
      <c r="I4">
        <f>((0.4*(117+3451)*0.172+0.4*932*0.151)*2037/1000)/2205</f>
        <v>0.27877910857142857</v>
      </c>
      <c r="J4">
        <f>((0.4*(117+3451)*0.025+0.4*932*0.022)*2037/1000)/2205</f>
        <v>4.0538240000000003E-2</v>
      </c>
      <c r="K4">
        <f t="shared" ref="K4:K27" si="4">H4+25*I4+298*J4</f>
        <v>2954.1984812342853</v>
      </c>
      <c r="M4" s="3">
        <f t="shared" ref="M4:P27" si="5">H4-B4</f>
        <v>1760.8009813333329</v>
      </c>
      <c r="N4" s="3">
        <f t="shared" si="1"/>
        <v>0.16724009360544217</v>
      </c>
      <c r="O4" s="3">
        <f t="shared" si="1"/>
        <v>2.4318963809523815E-2</v>
      </c>
      <c r="P4" s="3">
        <f t="shared" si="1"/>
        <v>1772.2290348887072</v>
      </c>
    </row>
    <row r="5" spans="1:22" x14ac:dyDescent="0.25">
      <c r="A5">
        <v>2027</v>
      </c>
      <c r="B5">
        <f>((0.6*(117+3451)*1798.8+0.6*932*1636.2)*815/1000)/2205</f>
        <v>1761.5214399999995</v>
      </c>
      <c r="C5">
        <f>((0.6*(117+3451)*0.172+0.6*932*0.151)*815/1000)/2205</f>
        <v>0.16730852244897956</v>
      </c>
      <c r="D5">
        <f>((0.6*(117+3451)*0.025+0.6*932*0.022)*815/1000)/2205</f>
        <v>2.4328914285714282E-2</v>
      </c>
      <c r="E5">
        <f t="shared" si="3"/>
        <v>1772.9541695183668</v>
      </c>
      <c r="H5">
        <f>((0.6*(117+3451)*1798.8+0.6*932*1636.2)*2037/1000)/2205</f>
        <v>4402.7229120000002</v>
      </c>
      <c r="I5">
        <f>((0.6*(117+3451)*0.172+0.6*932*0.151)*2037/1000)/2205</f>
        <v>0.41816866285714277</v>
      </c>
      <c r="J5">
        <f>((0.6*(117+3451)*0.025+0.6*932*0.022)*2037/1000)/2205</f>
        <v>6.0807359999999991E-2</v>
      </c>
      <c r="K5">
        <f t="shared" si="4"/>
        <v>4431.2977218514288</v>
      </c>
      <c r="M5" s="3">
        <f t="shared" si="5"/>
        <v>2641.2014720000006</v>
      </c>
      <c r="N5" s="3">
        <f t="shared" si="1"/>
        <v>0.25086014040816318</v>
      </c>
      <c r="O5" s="3">
        <f t="shared" si="1"/>
        <v>3.6478445714285712E-2</v>
      </c>
      <c r="P5" s="3">
        <f t="shared" si="1"/>
        <v>2658.3435523330618</v>
      </c>
    </row>
    <row r="6" spans="1:22" x14ac:dyDescent="0.25">
      <c r="A6">
        <v>2028</v>
      </c>
      <c r="B6">
        <f>((0.8*(117+3451)*1798.8+0.8*932*1636.2)*815/1000)/2205</f>
        <v>2348.6952533333333</v>
      </c>
      <c r="C6">
        <f>((0.8*(117+3451)*0.172+0.8*932*0.151)*815/1000)/2205</f>
        <v>0.22307802993197282</v>
      </c>
      <c r="D6">
        <f>((0.8*(117+3451)*0.025+0.8*932*0.022)*815/1000)/2205</f>
        <v>3.2438552380952376E-2</v>
      </c>
      <c r="E6">
        <f t="shared" si="3"/>
        <v>2363.9388926911561</v>
      </c>
      <c r="H6">
        <f>((0.8*(117+3451)*1798.8+0.8*932*1636.2)*2037/1000)/2205</f>
        <v>5870.297215999999</v>
      </c>
      <c r="I6">
        <f>((0.8*(117+3451)*0.172+0.8*932*0.151)*2037/1000)/2205</f>
        <v>0.55755821714285714</v>
      </c>
      <c r="J6">
        <f>((0.8*(117+3451)*0.025+0.8*932*0.022)*2037/1000)/2205</f>
        <v>8.1076480000000006E-2</v>
      </c>
      <c r="K6">
        <f t="shared" si="4"/>
        <v>5908.3969624685706</v>
      </c>
      <c r="M6" s="3">
        <f t="shared" si="5"/>
        <v>3521.6019626666657</v>
      </c>
      <c r="N6" s="3">
        <f t="shared" si="1"/>
        <v>0.33448018721088435</v>
      </c>
      <c r="O6" s="3">
        <f t="shared" si="1"/>
        <v>4.863792761904763E-2</v>
      </c>
      <c r="P6" s="3">
        <f t="shared" si="1"/>
        <v>3544.4580697774145</v>
      </c>
    </row>
    <row r="7" spans="1:22" x14ac:dyDescent="0.25">
      <c r="A7">
        <v>2029</v>
      </c>
      <c r="B7">
        <f t="shared" ref="B7:B27" si="6">(((117+3451)*1798.8+932*1636.2)*815/1000)/2205</f>
        <v>2935.8690666666666</v>
      </c>
      <c r="C7">
        <f t="shared" ref="C7:C27" si="7">(((117+3451)*0.172+932*0.151)*815/1000)/2205</f>
        <v>0.27884753741496593</v>
      </c>
      <c r="D7">
        <f t="shared" ref="D7:D27" si="8">(((117+3451)*0.025+932*0.022)*815/1000)/2205</f>
        <v>4.0548190476190481E-2</v>
      </c>
      <c r="E7">
        <f t="shared" si="3"/>
        <v>2954.9236158639455</v>
      </c>
      <c r="H7">
        <f t="shared" ref="H7:H27" si="9">(((117+3451)*1798.8+932*1636.2)*2037/1000)/2205</f>
        <v>7337.8715199999997</v>
      </c>
      <c r="I7">
        <f t="shared" ref="I7:I27" si="10">(((117+3451)*0.172+932*0.151)*2037/1000)/2205</f>
        <v>0.69694777142857134</v>
      </c>
      <c r="J7">
        <f t="shared" ref="J7:J27" si="11">(((117+3451)*0.025+932*0.022)*2037/1000)/2205</f>
        <v>0.10134560000000001</v>
      </c>
      <c r="K7">
        <f t="shared" si="4"/>
        <v>7385.4962030857141</v>
      </c>
      <c r="M7" s="3">
        <f t="shared" si="5"/>
        <v>4402.0024533333326</v>
      </c>
      <c r="N7" s="3">
        <f t="shared" si="1"/>
        <v>0.41810023401360541</v>
      </c>
      <c r="O7" s="3">
        <f t="shared" si="1"/>
        <v>6.0797409523809527E-2</v>
      </c>
      <c r="P7" s="3">
        <f t="shared" si="1"/>
        <v>4430.5725872217681</v>
      </c>
    </row>
    <row r="8" spans="1:22" x14ac:dyDescent="0.25">
      <c r="A8">
        <v>2030</v>
      </c>
      <c r="B8">
        <f t="shared" si="6"/>
        <v>2935.8690666666666</v>
      </c>
      <c r="C8">
        <f t="shared" si="7"/>
        <v>0.27884753741496593</v>
      </c>
      <c r="D8">
        <f t="shared" si="8"/>
        <v>4.0548190476190481E-2</v>
      </c>
      <c r="E8">
        <f t="shared" si="3"/>
        <v>2954.9236158639455</v>
      </c>
      <c r="H8">
        <f t="shared" si="9"/>
        <v>7337.8715199999997</v>
      </c>
      <c r="I8">
        <f t="shared" si="10"/>
        <v>0.69694777142857134</v>
      </c>
      <c r="J8">
        <f t="shared" si="11"/>
        <v>0.10134560000000001</v>
      </c>
      <c r="K8">
        <f t="shared" si="4"/>
        <v>7385.4962030857141</v>
      </c>
      <c r="M8" s="3">
        <f t="shared" si="5"/>
        <v>4402.0024533333326</v>
      </c>
      <c r="N8" s="3">
        <f t="shared" si="1"/>
        <v>0.41810023401360541</v>
      </c>
      <c r="O8" s="3">
        <f t="shared" si="1"/>
        <v>6.0797409523809527E-2</v>
      </c>
      <c r="P8" s="3">
        <f t="shared" si="1"/>
        <v>4430.5725872217681</v>
      </c>
    </row>
    <row r="9" spans="1:22" x14ac:dyDescent="0.25">
      <c r="A9">
        <v>2031</v>
      </c>
      <c r="B9">
        <f t="shared" si="6"/>
        <v>2935.8690666666666</v>
      </c>
      <c r="C9">
        <f t="shared" si="7"/>
        <v>0.27884753741496593</v>
      </c>
      <c r="D9">
        <f t="shared" si="8"/>
        <v>4.0548190476190481E-2</v>
      </c>
      <c r="E9">
        <f t="shared" si="3"/>
        <v>2954.9236158639455</v>
      </c>
      <c r="H9">
        <f t="shared" si="9"/>
        <v>7337.8715199999997</v>
      </c>
      <c r="I9">
        <f t="shared" si="10"/>
        <v>0.69694777142857134</v>
      </c>
      <c r="J9">
        <f t="shared" si="11"/>
        <v>0.10134560000000001</v>
      </c>
      <c r="K9">
        <f t="shared" si="4"/>
        <v>7385.4962030857141</v>
      </c>
      <c r="M9" s="3">
        <f t="shared" si="5"/>
        <v>4402.0024533333326</v>
      </c>
      <c r="N9" s="3">
        <f t="shared" si="1"/>
        <v>0.41810023401360541</v>
      </c>
      <c r="O9" s="3">
        <f t="shared" si="1"/>
        <v>6.0797409523809527E-2</v>
      </c>
      <c r="P9" s="3">
        <f t="shared" si="1"/>
        <v>4430.5725872217681</v>
      </c>
    </row>
    <row r="10" spans="1:22" x14ac:dyDescent="0.25">
      <c r="A10">
        <v>2032</v>
      </c>
      <c r="B10">
        <f t="shared" si="6"/>
        <v>2935.8690666666666</v>
      </c>
      <c r="C10">
        <f t="shared" si="7"/>
        <v>0.27884753741496593</v>
      </c>
      <c r="D10">
        <f t="shared" si="8"/>
        <v>4.0548190476190481E-2</v>
      </c>
      <c r="E10">
        <f t="shared" si="3"/>
        <v>2954.9236158639455</v>
      </c>
      <c r="H10">
        <f t="shared" si="9"/>
        <v>7337.8715199999997</v>
      </c>
      <c r="I10">
        <f t="shared" si="10"/>
        <v>0.69694777142857134</v>
      </c>
      <c r="J10">
        <f t="shared" si="11"/>
        <v>0.10134560000000001</v>
      </c>
      <c r="K10">
        <f t="shared" si="4"/>
        <v>7385.4962030857141</v>
      </c>
      <c r="M10" s="3">
        <f t="shared" si="5"/>
        <v>4402.0024533333326</v>
      </c>
      <c r="N10" s="3">
        <f t="shared" si="1"/>
        <v>0.41810023401360541</v>
      </c>
      <c r="O10" s="3">
        <f t="shared" si="1"/>
        <v>6.0797409523809527E-2</v>
      </c>
      <c r="P10" s="3">
        <f t="shared" si="1"/>
        <v>4430.5725872217681</v>
      </c>
    </row>
    <row r="11" spans="1:22" x14ac:dyDescent="0.25">
      <c r="A11">
        <v>2033</v>
      </c>
      <c r="B11">
        <f t="shared" si="6"/>
        <v>2935.8690666666666</v>
      </c>
      <c r="C11">
        <f t="shared" si="7"/>
        <v>0.27884753741496593</v>
      </c>
      <c r="D11">
        <f t="shared" si="8"/>
        <v>4.0548190476190481E-2</v>
      </c>
      <c r="E11">
        <f t="shared" si="3"/>
        <v>2954.9236158639455</v>
      </c>
      <c r="H11">
        <f t="shared" si="9"/>
        <v>7337.8715199999997</v>
      </c>
      <c r="I11">
        <f t="shared" si="10"/>
        <v>0.69694777142857134</v>
      </c>
      <c r="J11">
        <f t="shared" si="11"/>
        <v>0.10134560000000001</v>
      </c>
      <c r="K11">
        <f t="shared" si="4"/>
        <v>7385.4962030857141</v>
      </c>
      <c r="M11" s="3">
        <f t="shared" si="5"/>
        <v>4402.0024533333326</v>
      </c>
      <c r="N11" s="3">
        <f t="shared" si="1"/>
        <v>0.41810023401360541</v>
      </c>
      <c r="O11" s="3">
        <f t="shared" si="1"/>
        <v>6.0797409523809527E-2</v>
      </c>
      <c r="P11" s="3">
        <f t="shared" si="1"/>
        <v>4430.5725872217681</v>
      </c>
    </row>
    <row r="12" spans="1:22" x14ac:dyDescent="0.25">
      <c r="A12">
        <v>2034</v>
      </c>
      <c r="B12">
        <f t="shared" si="6"/>
        <v>2935.8690666666666</v>
      </c>
      <c r="C12">
        <f t="shared" si="7"/>
        <v>0.27884753741496593</v>
      </c>
      <c r="D12">
        <f t="shared" si="8"/>
        <v>4.0548190476190481E-2</v>
      </c>
      <c r="E12">
        <f t="shared" si="3"/>
        <v>2954.9236158639455</v>
      </c>
      <c r="H12">
        <f t="shared" si="9"/>
        <v>7337.8715199999997</v>
      </c>
      <c r="I12">
        <f t="shared" si="10"/>
        <v>0.69694777142857134</v>
      </c>
      <c r="J12">
        <f t="shared" si="11"/>
        <v>0.10134560000000001</v>
      </c>
      <c r="K12">
        <f t="shared" si="4"/>
        <v>7385.4962030857141</v>
      </c>
      <c r="M12" s="3">
        <f t="shared" si="5"/>
        <v>4402.0024533333326</v>
      </c>
      <c r="N12" s="3">
        <f t="shared" si="1"/>
        <v>0.41810023401360541</v>
      </c>
      <c r="O12" s="3">
        <f t="shared" si="1"/>
        <v>6.0797409523809527E-2</v>
      </c>
      <c r="P12" s="3">
        <f t="shared" si="1"/>
        <v>4430.5725872217681</v>
      </c>
    </row>
    <row r="13" spans="1:22" x14ac:dyDescent="0.25">
      <c r="A13">
        <v>2035</v>
      </c>
      <c r="B13">
        <f t="shared" si="6"/>
        <v>2935.8690666666666</v>
      </c>
      <c r="C13">
        <f t="shared" si="7"/>
        <v>0.27884753741496593</v>
      </c>
      <c r="D13">
        <f t="shared" si="8"/>
        <v>4.0548190476190481E-2</v>
      </c>
      <c r="E13">
        <f t="shared" si="3"/>
        <v>2954.9236158639455</v>
      </c>
      <c r="H13">
        <f t="shared" si="9"/>
        <v>7337.8715199999997</v>
      </c>
      <c r="I13">
        <f t="shared" si="10"/>
        <v>0.69694777142857134</v>
      </c>
      <c r="J13">
        <f t="shared" si="11"/>
        <v>0.10134560000000001</v>
      </c>
      <c r="K13">
        <f t="shared" si="4"/>
        <v>7385.4962030857141</v>
      </c>
      <c r="M13" s="3">
        <f t="shared" si="5"/>
        <v>4402.0024533333326</v>
      </c>
      <c r="N13" s="3">
        <f t="shared" si="1"/>
        <v>0.41810023401360541</v>
      </c>
      <c r="O13" s="3">
        <f t="shared" si="1"/>
        <v>6.0797409523809527E-2</v>
      </c>
      <c r="P13" s="3">
        <f t="shared" si="1"/>
        <v>4430.5725872217681</v>
      </c>
    </row>
    <row r="14" spans="1:22" x14ac:dyDescent="0.25">
      <c r="A14">
        <v>2036</v>
      </c>
      <c r="B14">
        <f t="shared" si="6"/>
        <v>2935.8690666666666</v>
      </c>
      <c r="C14">
        <f t="shared" si="7"/>
        <v>0.27884753741496593</v>
      </c>
      <c r="D14">
        <f t="shared" si="8"/>
        <v>4.0548190476190481E-2</v>
      </c>
      <c r="E14">
        <f t="shared" si="3"/>
        <v>2954.9236158639455</v>
      </c>
      <c r="H14">
        <f t="shared" si="9"/>
        <v>7337.8715199999997</v>
      </c>
      <c r="I14">
        <f t="shared" si="10"/>
        <v>0.69694777142857134</v>
      </c>
      <c r="J14">
        <f t="shared" si="11"/>
        <v>0.10134560000000001</v>
      </c>
      <c r="K14">
        <f t="shared" si="4"/>
        <v>7385.4962030857141</v>
      </c>
      <c r="M14" s="3">
        <f t="shared" si="5"/>
        <v>4402.0024533333326</v>
      </c>
      <c r="N14" s="3">
        <f t="shared" si="1"/>
        <v>0.41810023401360541</v>
      </c>
      <c r="O14" s="3">
        <f t="shared" si="1"/>
        <v>6.0797409523809527E-2</v>
      </c>
      <c r="P14" s="3">
        <f t="shared" si="1"/>
        <v>4430.5725872217681</v>
      </c>
    </row>
    <row r="15" spans="1:22" x14ac:dyDescent="0.25">
      <c r="A15">
        <v>2037</v>
      </c>
      <c r="B15">
        <f t="shared" si="6"/>
        <v>2935.8690666666666</v>
      </c>
      <c r="C15">
        <f t="shared" si="7"/>
        <v>0.27884753741496593</v>
      </c>
      <c r="D15">
        <f t="shared" si="8"/>
        <v>4.0548190476190481E-2</v>
      </c>
      <c r="E15">
        <f t="shared" si="3"/>
        <v>2954.9236158639455</v>
      </c>
      <c r="H15">
        <f t="shared" si="9"/>
        <v>7337.8715199999997</v>
      </c>
      <c r="I15">
        <f t="shared" si="10"/>
        <v>0.69694777142857134</v>
      </c>
      <c r="J15">
        <f t="shared" si="11"/>
        <v>0.10134560000000001</v>
      </c>
      <c r="K15">
        <f t="shared" si="4"/>
        <v>7385.4962030857141</v>
      </c>
      <c r="M15" s="3">
        <f t="shared" si="5"/>
        <v>4402.0024533333326</v>
      </c>
      <c r="N15" s="3">
        <f t="shared" si="1"/>
        <v>0.41810023401360541</v>
      </c>
      <c r="O15" s="3">
        <f t="shared" si="1"/>
        <v>6.0797409523809527E-2</v>
      </c>
      <c r="P15" s="3">
        <f t="shared" si="1"/>
        <v>4430.5725872217681</v>
      </c>
    </row>
    <row r="16" spans="1:22" x14ac:dyDescent="0.25">
      <c r="A16">
        <v>2038</v>
      </c>
      <c r="B16">
        <f t="shared" si="6"/>
        <v>2935.8690666666666</v>
      </c>
      <c r="C16">
        <f t="shared" si="7"/>
        <v>0.27884753741496593</v>
      </c>
      <c r="D16">
        <f t="shared" si="8"/>
        <v>4.0548190476190481E-2</v>
      </c>
      <c r="E16">
        <f t="shared" si="3"/>
        <v>2954.9236158639455</v>
      </c>
      <c r="H16">
        <f t="shared" si="9"/>
        <v>7337.8715199999997</v>
      </c>
      <c r="I16">
        <f t="shared" si="10"/>
        <v>0.69694777142857134</v>
      </c>
      <c r="J16">
        <f t="shared" si="11"/>
        <v>0.10134560000000001</v>
      </c>
      <c r="K16">
        <f t="shared" si="4"/>
        <v>7385.4962030857141</v>
      </c>
      <c r="M16" s="3">
        <f t="shared" si="5"/>
        <v>4402.0024533333326</v>
      </c>
      <c r="N16" s="3">
        <f t="shared" si="1"/>
        <v>0.41810023401360541</v>
      </c>
      <c r="O16" s="3">
        <f t="shared" si="1"/>
        <v>6.0797409523809527E-2</v>
      </c>
      <c r="P16" s="3">
        <f t="shared" si="1"/>
        <v>4430.5725872217681</v>
      </c>
    </row>
    <row r="17" spans="1:16" x14ac:dyDescent="0.25">
      <c r="A17">
        <v>2039</v>
      </c>
      <c r="B17">
        <f t="shared" si="6"/>
        <v>2935.8690666666666</v>
      </c>
      <c r="C17">
        <f t="shared" si="7"/>
        <v>0.27884753741496593</v>
      </c>
      <c r="D17">
        <f t="shared" si="8"/>
        <v>4.0548190476190481E-2</v>
      </c>
      <c r="E17">
        <f t="shared" si="3"/>
        <v>2954.9236158639455</v>
      </c>
      <c r="H17">
        <f t="shared" si="9"/>
        <v>7337.8715199999997</v>
      </c>
      <c r="I17">
        <f t="shared" si="10"/>
        <v>0.69694777142857134</v>
      </c>
      <c r="J17">
        <f t="shared" si="11"/>
        <v>0.10134560000000001</v>
      </c>
      <c r="K17">
        <f t="shared" si="4"/>
        <v>7385.4962030857141</v>
      </c>
      <c r="M17" s="3">
        <f t="shared" si="5"/>
        <v>4402.0024533333326</v>
      </c>
      <c r="N17" s="3">
        <f t="shared" si="1"/>
        <v>0.41810023401360541</v>
      </c>
      <c r="O17" s="3">
        <f t="shared" si="1"/>
        <v>6.0797409523809527E-2</v>
      </c>
      <c r="P17" s="3">
        <f t="shared" si="1"/>
        <v>4430.5725872217681</v>
      </c>
    </row>
    <row r="18" spans="1:16" x14ac:dyDescent="0.25">
      <c r="A18">
        <v>2040</v>
      </c>
      <c r="B18">
        <f t="shared" si="6"/>
        <v>2935.8690666666666</v>
      </c>
      <c r="C18">
        <f t="shared" si="7"/>
        <v>0.27884753741496593</v>
      </c>
      <c r="D18">
        <f t="shared" si="8"/>
        <v>4.0548190476190481E-2</v>
      </c>
      <c r="E18">
        <f t="shared" si="3"/>
        <v>2954.9236158639455</v>
      </c>
      <c r="H18">
        <f t="shared" si="9"/>
        <v>7337.8715199999997</v>
      </c>
      <c r="I18">
        <f t="shared" si="10"/>
        <v>0.69694777142857134</v>
      </c>
      <c r="J18">
        <f t="shared" si="11"/>
        <v>0.10134560000000001</v>
      </c>
      <c r="K18">
        <f t="shared" si="4"/>
        <v>7385.4962030857141</v>
      </c>
      <c r="M18" s="3">
        <f t="shared" si="5"/>
        <v>4402.0024533333326</v>
      </c>
      <c r="N18" s="3">
        <f t="shared" si="1"/>
        <v>0.41810023401360541</v>
      </c>
      <c r="O18" s="3">
        <f t="shared" si="1"/>
        <v>6.0797409523809527E-2</v>
      </c>
      <c r="P18" s="3">
        <f t="shared" si="1"/>
        <v>4430.5725872217681</v>
      </c>
    </row>
    <row r="19" spans="1:16" x14ac:dyDescent="0.25">
      <c r="A19">
        <v>2041</v>
      </c>
      <c r="B19">
        <f t="shared" si="6"/>
        <v>2935.8690666666666</v>
      </c>
      <c r="C19">
        <f t="shared" si="7"/>
        <v>0.27884753741496593</v>
      </c>
      <c r="D19">
        <f t="shared" si="8"/>
        <v>4.0548190476190481E-2</v>
      </c>
      <c r="E19">
        <f t="shared" si="3"/>
        <v>2954.9236158639455</v>
      </c>
      <c r="H19">
        <f t="shared" si="9"/>
        <v>7337.8715199999997</v>
      </c>
      <c r="I19">
        <f t="shared" si="10"/>
        <v>0.69694777142857134</v>
      </c>
      <c r="J19">
        <f t="shared" si="11"/>
        <v>0.10134560000000001</v>
      </c>
      <c r="K19">
        <f t="shared" si="4"/>
        <v>7385.4962030857141</v>
      </c>
      <c r="M19" s="3">
        <f t="shared" si="5"/>
        <v>4402.0024533333326</v>
      </c>
      <c r="N19" s="3">
        <f t="shared" si="5"/>
        <v>0.41810023401360541</v>
      </c>
      <c r="O19" s="3">
        <f t="shared" si="5"/>
        <v>6.0797409523809527E-2</v>
      </c>
      <c r="P19" s="3">
        <f t="shared" si="5"/>
        <v>4430.5725872217681</v>
      </c>
    </row>
    <row r="20" spans="1:16" x14ac:dyDescent="0.25">
      <c r="A20">
        <v>2042</v>
      </c>
      <c r="B20">
        <f t="shared" si="6"/>
        <v>2935.8690666666666</v>
      </c>
      <c r="C20">
        <f t="shared" si="7"/>
        <v>0.27884753741496593</v>
      </c>
      <c r="D20">
        <f t="shared" si="8"/>
        <v>4.0548190476190481E-2</v>
      </c>
      <c r="E20">
        <f t="shared" si="3"/>
        <v>2954.9236158639455</v>
      </c>
      <c r="H20">
        <f t="shared" si="9"/>
        <v>7337.8715199999997</v>
      </c>
      <c r="I20">
        <f t="shared" si="10"/>
        <v>0.69694777142857134</v>
      </c>
      <c r="J20">
        <f t="shared" si="11"/>
        <v>0.10134560000000001</v>
      </c>
      <c r="K20">
        <f t="shared" si="4"/>
        <v>7385.4962030857141</v>
      </c>
      <c r="M20" s="3">
        <f t="shared" si="5"/>
        <v>4402.0024533333326</v>
      </c>
      <c r="N20" s="3">
        <f t="shared" si="5"/>
        <v>0.41810023401360541</v>
      </c>
      <c r="O20" s="3">
        <f t="shared" si="5"/>
        <v>6.0797409523809527E-2</v>
      </c>
      <c r="P20" s="3">
        <f t="shared" si="5"/>
        <v>4430.5725872217681</v>
      </c>
    </row>
    <row r="21" spans="1:16" x14ac:dyDescent="0.25">
      <c r="A21">
        <v>2043</v>
      </c>
      <c r="B21">
        <f t="shared" si="6"/>
        <v>2935.8690666666666</v>
      </c>
      <c r="C21">
        <f t="shared" si="7"/>
        <v>0.27884753741496593</v>
      </c>
      <c r="D21">
        <f t="shared" si="8"/>
        <v>4.0548190476190481E-2</v>
      </c>
      <c r="E21">
        <f t="shared" si="3"/>
        <v>2954.9236158639455</v>
      </c>
      <c r="H21">
        <f t="shared" si="9"/>
        <v>7337.8715199999997</v>
      </c>
      <c r="I21">
        <f t="shared" si="10"/>
        <v>0.69694777142857134</v>
      </c>
      <c r="J21">
        <f t="shared" si="11"/>
        <v>0.10134560000000001</v>
      </c>
      <c r="K21">
        <f t="shared" si="4"/>
        <v>7385.4962030857141</v>
      </c>
      <c r="M21" s="3">
        <f t="shared" si="5"/>
        <v>4402.0024533333326</v>
      </c>
      <c r="N21" s="3">
        <f t="shared" si="5"/>
        <v>0.41810023401360541</v>
      </c>
      <c r="O21" s="3">
        <f t="shared" si="5"/>
        <v>6.0797409523809527E-2</v>
      </c>
      <c r="P21" s="3">
        <f t="shared" si="5"/>
        <v>4430.5725872217681</v>
      </c>
    </row>
    <row r="22" spans="1:16" x14ac:dyDescent="0.25">
      <c r="A22">
        <v>2044</v>
      </c>
      <c r="B22">
        <f t="shared" si="6"/>
        <v>2935.8690666666666</v>
      </c>
      <c r="C22">
        <f t="shared" si="7"/>
        <v>0.27884753741496593</v>
      </c>
      <c r="D22">
        <f t="shared" si="8"/>
        <v>4.0548190476190481E-2</v>
      </c>
      <c r="E22">
        <f t="shared" si="3"/>
        <v>2954.9236158639455</v>
      </c>
      <c r="H22">
        <f t="shared" si="9"/>
        <v>7337.8715199999997</v>
      </c>
      <c r="I22">
        <f t="shared" si="10"/>
        <v>0.69694777142857134</v>
      </c>
      <c r="J22">
        <f t="shared" si="11"/>
        <v>0.10134560000000001</v>
      </c>
      <c r="K22">
        <f t="shared" si="4"/>
        <v>7385.4962030857141</v>
      </c>
      <c r="M22" s="3">
        <f t="shared" si="5"/>
        <v>4402.0024533333326</v>
      </c>
      <c r="N22" s="3">
        <f t="shared" si="5"/>
        <v>0.41810023401360541</v>
      </c>
      <c r="O22" s="3">
        <f t="shared" si="5"/>
        <v>6.0797409523809527E-2</v>
      </c>
      <c r="P22" s="3">
        <f t="shared" si="5"/>
        <v>4430.5725872217681</v>
      </c>
    </row>
    <row r="23" spans="1:16" x14ac:dyDescent="0.25">
      <c r="A23">
        <v>2045</v>
      </c>
      <c r="B23">
        <f t="shared" si="6"/>
        <v>2935.8690666666666</v>
      </c>
      <c r="C23">
        <f t="shared" si="7"/>
        <v>0.27884753741496593</v>
      </c>
      <c r="D23">
        <f t="shared" si="8"/>
        <v>4.0548190476190481E-2</v>
      </c>
      <c r="E23">
        <f t="shared" si="3"/>
        <v>2954.9236158639455</v>
      </c>
      <c r="H23">
        <f t="shared" si="9"/>
        <v>7337.8715199999997</v>
      </c>
      <c r="I23">
        <f t="shared" si="10"/>
        <v>0.69694777142857134</v>
      </c>
      <c r="J23">
        <f t="shared" si="11"/>
        <v>0.10134560000000001</v>
      </c>
      <c r="K23">
        <f t="shared" si="4"/>
        <v>7385.4962030857141</v>
      </c>
      <c r="M23" s="3">
        <f t="shared" si="5"/>
        <v>4402.0024533333326</v>
      </c>
      <c r="N23" s="3">
        <f t="shared" si="5"/>
        <v>0.41810023401360541</v>
      </c>
      <c r="O23" s="3">
        <f t="shared" si="5"/>
        <v>6.0797409523809527E-2</v>
      </c>
      <c r="P23" s="3">
        <f t="shared" si="5"/>
        <v>4430.5725872217681</v>
      </c>
    </row>
    <row r="24" spans="1:16" x14ac:dyDescent="0.25">
      <c r="A24">
        <v>2046</v>
      </c>
      <c r="B24">
        <f t="shared" si="6"/>
        <v>2935.8690666666666</v>
      </c>
      <c r="C24">
        <f t="shared" si="7"/>
        <v>0.27884753741496593</v>
      </c>
      <c r="D24">
        <f t="shared" si="8"/>
        <v>4.0548190476190481E-2</v>
      </c>
      <c r="E24">
        <f t="shared" si="3"/>
        <v>2954.9236158639455</v>
      </c>
      <c r="H24">
        <f t="shared" si="9"/>
        <v>7337.8715199999997</v>
      </c>
      <c r="I24">
        <f t="shared" si="10"/>
        <v>0.69694777142857134</v>
      </c>
      <c r="J24">
        <f t="shared" si="11"/>
        <v>0.10134560000000001</v>
      </c>
      <c r="K24">
        <f t="shared" si="4"/>
        <v>7385.4962030857141</v>
      </c>
      <c r="M24" s="3">
        <f t="shared" si="5"/>
        <v>4402.0024533333326</v>
      </c>
      <c r="N24" s="3">
        <f t="shared" si="5"/>
        <v>0.41810023401360541</v>
      </c>
      <c r="O24" s="3">
        <f t="shared" si="5"/>
        <v>6.0797409523809527E-2</v>
      </c>
      <c r="P24" s="3">
        <f t="shared" si="5"/>
        <v>4430.5725872217681</v>
      </c>
    </row>
    <row r="25" spans="1:16" x14ac:dyDescent="0.25">
      <c r="A25">
        <v>2047</v>
      </c>
      <c r="B25">
        <f t="shared" si="6"/>
        <v>2935.8690666666666</v>
      </c>
      <c r="C25">
        <f t="shared" si="7"/>
        <v>0.27884753741496593</v>
      </c>
      <c r="D25">
        <f t="shared" si="8"/>
        <v>4.0548190476190481E-2</v>
      </c>
      <c r="E25">
        <f t="shared" si="3"/>
        <v>2954.9236158639455</v>
      </c>
      <c r="H25">
        <f t="shared" si="9"/>
        <v>7337.8715199999997</v>
      </c>
      <c r="I25">
        <f t="shared" si="10"/>
        <v>0.69694777142857134</v>
      </c>
      <c r="J25">
        <f t="shared" si="11"/>
        <v>0.10134560000000001</v>
      </c>
      <c r="K25">
        <f t="shared" si="4"/>
        <v>7385.4962030857141</v>
      </c>
      <c r="M25" s="3">
        <f t="shared" si="5"/>
        <v>4402.0024533333326</v>
      </c>
      <c r="N25" s="3">
        <f t="shared" si="5"/>
        <v>0.41810023401360541</v>
      </c>
      <c r="O25" s="3">
        <f t="shared" si="5"/>
        <v>6.0797409523809527E-2</v>
      </c>
      <c r="P25" s="3">
        <f t="shared" si="5"/>
        <v>4430.5725872217681</v>
      </c>
    </row>
    <row r="26" spans="1:16" x14ac:dyDescent="0.25">
      <c r="A26">
        <v>2048</v>
      </c>
      <c r="B26">
        <f t="shared" si="6"/>
        <v>2935.8690666666666</v>
      </c>
      <c r="C26">
        <f t="shared" si="7"/>
        <v>0.27884753741496593</v>
      </c>
      <c r="D26">
        <f t="shared" si="8"/>
        <v>4.0548190476190481E-2</v>
      </c>
      <c r="E26">
        <f t="shared" si="3"/>
        <v>2954.9236158639455</v>
      </c>
      <c r="H26">
        <f t="shared" si="9"/>
        <v>7337.8715199999997</v>
      </c>
      <c r="I26">
        <f t="shared" si="10"/>
        <v>0.69694777142857134</v>
      </c>
      <c r="J26">
        <f t="shared" si="11"/>
        <v>0.10134560000000001</v>
      </c>
      <c r="K26">
        <f t="shared" si="4"/>
        <v>7385.4962030857141</v>
      </c>
      <c r="M26" s="3">
        <f t="shared" si="5"/>
        <v>4402.0024533333326</v>
      </c>
      <c r="N26" s="3">
        <f t="shared" si="5"/>
        <v>0.41810023401360541</v>
      </c>
      <c r="O26" s="3">
        <f t="shared" si="5"/>
        <v>6.0797409523809527E-2</v>
      </c>
      <c r="P26" s="3">
        <f t="shared" si="5"/>
        <v>4430.5725872217681</v>
      </c>
    </row>
    <row r="27" spans="1:16" x14ac:dyDescent="0.25">
      <c r="A27">
        <v>2049</v>
      </c>
      <c r="B27">
        <f t="shared" si="6"/>
        <v>2935.8690666666666</v>
      </c>
      <c r="C27">
        <f t="shared" si="7"/>
        <v>0.27884753741496593</v>
      </c>
      <c r="D27">
        <f t="shared" si="8"/>
        <v>4.0548190476190481E-2</v>
      </c>
      <c r="E27">
        <f t="shared" si="3"/>
        <v>2954.9236158639455</v>
      </c>
      <c r="H27">
        <f t="shared" si="9"/>
        <v>7337.8715199999997</v>
      </c>
      <c r="I27">
        <f t="shared" si="10"/>
        <v>0.69694777142857134</v>
      </c>
      <c r="J27">
        <f t="shared" si="11"/>
        <v>0.10134560000000001</v>
      </c>
      <c r="K27">
        <f t="shared" si="4"/>
        <v>7385.4962030857141</v>
      </c>
      <c r="M27" s="3">
        <f t="shared" si="5"/>
        <v>4402.0024533333326</v>
      </c>
      <c r="N27" s="3">
        <f t="shared" si="5"/>
        <v>0.41810023401360541</v>
      </c>
      <c r="O27" s="3">
        <f t="shared" si="5"/>
        <v>6.0797409523809527E-2</v>
      </c>
      <c r="P27" s="3">
        <f t="shared" si="5"/>
        <v>4430.5725872217681</v>
      </c>
    </row>
  </sheetData>
  <mergeCells count="3">
    <mergeCell ref="B1:E1"/>
    <mergeCell ref="H1:K1"/>
    <mergeCell ref="M1:P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workbookViewId="0">
      <selection activeCell="I9" sqref="I9"/>
    </sheetView>
  </sheetViews>
  <sheetFormatPr defaultRowHeight="15" x14ac:dyDescent="0.25"/>
  <cols>
    <col min="2" max="4" width="18.28515625" customWidth="1"/>
    <col min="5" max="5" width="19.42578125" customWidth="1"/>
    <col min="9" max="9" width="19" customWidth="1"/>
    <col min="10" max="10" width="17" customWidth="1"/>
    <col min="11" max="11" width="18.5703125" customWidth="1"/>
    <col min="12" max="12" width="20.7109375" customWidth="1"/>
  </cols>
  <sheetData>
    <row r="1" spans="1:12" x14ac:dyDescent="0.25">
      <c r="A1" t="s">
        <v>0</v>
      </c>
      <c r="B1" t="s">
        <v>29</v>
      </c>
      <c r="C1" t="s">
        <v>9</v>
      </c>
      <c r="D1" t="s">
        <v>11</v>
      </c>
      <c r="E1" t="s">
        <v>12</v>
      </c>
      <c r="I1" t="s">
        <v>29</v>
      </c>
      <c r="J1" t="s">
        <v>9</v>
      </c>
      <c r="K1" t="s">
        <v>11</v>
      </c>
      <c r="L1" t="s">
        <v>12</v>
      </c>
    </row>
    <row r="2" spans="1:12" x14ac:dyDescent="0.25">
      <c r="A2">
        <v>2025</v>
      </c>
      <c r="B2" s="3">
        <f>Solar!G3+'Public Building Energy'!F2+'LED Streetlights'!M3</f>
        <v>2156.7194703455198</v>
      </c>
      <c r="C2" s="3">
        <f>Solar!H3+'Public Building Energy'!G2+'LED Streetlights'!N3</f>
        <v>0.20486457869059188</v>
      </c>
      <c r="D2" s="3">
        <f>Solar!I3+'Public Building Energy'!H2+'LED Streetlights'!O3</f>
        <v>2.9789874719785042E-2</v>
      </c>
      <c r="E2" s="3">
        <f>Solar!J3+'Public Building Energy'!I2+'LED Streetlights'!P3</f>
        <v>2170.7184674792807</v>
      </c>
      <c r="H2" t="s">
        <v>30</v>
      </c>
      <c r="I2" s="3">
        <f>SUM(B2:B6)</f>
        <v>137304.56014609506</v>
      </c>
      <c r="J2" s="3">
        <f t="shared" ref="J2:L2" si="0">SUM(C2:C6)</f>
        <v>12.167813866661083</v>
      </c>
      <c r="K2" s="3">
        <f t="shared" si="0"/>
        <v>1.7608898220073028</v>
      </c>
      <c r="L2" s="3">
        <f t="shared" si="0"/>
        <v>138133.50065848377</v>
      </c>
    </row>
    <row r="3" spans="1:12" x14ac:dyDescent="0.25">
      <c r="A3">
        <v>2026</v>
      </c>
      <c r="B3" s="3">
        <f>Solar!G4+'Public Building Energy'!F3+'LED Streetlights'!M4</f>
        <v>18459.008848085396</v>
      </c>
      <c r="C3" s="3">
        <f>Solar!H4+'Public Building Energy'!G3+'LED Streetlights'!N4</f>
        <v>1.6560962249272237</v>
      </c>
      <c r="D3" s="3">
        <f>Solar!I4+'Public Building Energy'!H3+'LED Streetlights'!O4</f>
        <v>0.24006597447894229</v>
      </c>
      <c r="E3" s="3">
        <f>Solar!J4+'Public Building Energy'!I3+'LED Streetlights'!P4</f>
        <v>18571.9509149443</v>
      </c>
      <c r="H3" t="s">
        <v>31</v>
      </c>
      <c r="I3" s="3">
        <f>SUM(B2:B26)</f>
        <v>1106994.3081799245</v>
      </c>
      <c r="J3" s="3">
        <f t="shared" ref="J3:L3" si="1">SUM(C2:C26)</f>
        <v>97.494030208045942</v>
      </c>
      <c r="K3" s="3">
        <f t="shared" si="1"/>
        <v>14.098628816416969</v>
      </c>
      <c r="L3" s="3">
        <f t="shared" si="1"/>
        <v>1113633.0503020019</v>
      </c>
    </row>
    <row r="4" spans="1:12" x14ac:dyDescent="0.25">
      <c r="A4">
        <v>2027</v>
      </c>
      <c r="B4" s="3">
        <f>Solar!G5+'Public Building Energy'!F4+'LED Streetlights'!M5</f>
        <v>28681.749163352157</v>
      </c>
      <c r="C4" s="3">
        <f>Solar!H5+'Public Building Energy'!G4+'LED Streetlights'!N5</f>
        <v>2.5462472896862067</v>
      </c>
      <c r="D4" s="3">
        <f>Solar!I5+'Public Building Energy'!H4+'LED Streetlights'!O5</f>
        <v>0.36859540556038023</v>
      </c>
      <c r="E4" s="3">
        <f>Solar!J5+'Public Building Energy'!I4+'LED Streetlights'!P5</f>
        <v>28855.24677613331</v>
      </c>
    </row>
    <row r="5" spans="1:12" x14ac:dyDescent="0.25">
      <c r="A5">
        <v>2028</v>
      </c>
      <c r="B5" s="3">
        <f>Solar!G6+'Public Building Energy'!F5+'LED Streetlights'!M6</f>
        <v>38898.322615740923</v>
      </c>
      <c r="C5" s="3">
        <f>Solar!H6+'Public Building Energy'!G5+'LED Streetlights'!N6</f>
        <v>3.4358121220804083</v>
      </c>
      <c r="D5" s="3">
        <f>Solar!I6+'Public Building Energy'!H5+'LED Streetlights'!O6</f>
        <v>0.49703959631093481</v>
      </c>
      <c r="E5" s="3">
        <f>Solar!J6+'Public Building Energy'!I5+'LED Streetlights'!P6</f>
        <v>39132.33571769359</v>
      </c>
    </row>
    <row r="6" spans="1:12" x14ac:dyDescent="0.25">
      <c r="A6">
        <v>2029</v>
      </c>
      <c r="B6" s="3">
        <f>Solar!G7+'Public Building Energy'!F6+'LED Streetlights'!M7</f>
        <v>49108.760048571072</v>
      </c>
      <c r="C6" s="3">
        <f>Solar!H7+'Public Building Energy'!G6+'LED Streetlights'!N7</f>
        <v>4.3247936512766527</v>
      </c>
      <c r="D6" s="3">
        <f>Solar!I7+'Public Building Energy'!H6+'LED Streetlights'!O7</f>
        <v>0.62539897093726049</v>
      </c>
      <c r="E6" s="3">
        <f>Solar!J7+'Public Building Energy'!I6+'LED Streetlights'!P7</f>
        <v>49403.248782233284</v>
      </c>
    </row>
    <row r="7" spans="1:12" x14ac:dyDescent="0.25">
      <c r="A7">
        <v>2030</v>
      </c>
      <c r="B7" s="3">
        <f>Solar!G8+'Public Building Energy'!F7+'LED Streetlights'!M8</f>
        <v>49047.405601644874</v>
      </c>
      <c r="C7" s="3">
        <f>Solar!H8+'Public Building Energy'!G7+'LED Streetlights'!N8</f>
        <v>4.3190458710953381</v>
      </c>
      <c r="D7" s="3">
        <f>Solar!I8+'Public Building Energy'!H7+'LED Streetlights'!O8</f>
        <v>0.62456239679519321</v>
      </c>
      <c r="E7" s="3">
        <f>Solar!J8+'Public Building Energy'!I7+'LED Streetlights'!P8</f>
        <v>49341.501341708223</v>
      </c>
    </row>
    <row r="8" spans="1:12" x14ac:dyDescent="0.25">
      <c r="A8">
        <v>2031</v>
      </c>
      <c r="B8" s="3">
        <f>Solar!G9+'Public Building Energy'!F8+'LED Streetlights'!M9</f>
        <v>48986.357926953322</v>
      </c>
      <c r="C8" s="3">
        <f>Solar!H9+'Public Building Energy'!G8+'LED Streetlights'!N9</f>
        <v>4.3133268298149288</v>
      </c>
      <c r="D8" s="3">
        <f>Solar!I9+'Public Building Energy'!H8+'LED Streetlights'!O9</f>
        <v>0.62373000552383617</v>
      </c>
      <c r="E8" s="3">
        <f>Solar!J9+'Public Building Energy'!I8+'LED Streetlights'!P9</f>
        <v>49280.062638385789</v>
      </c>
    </row>
    <row r="9" spans="1:12" x14ac:dyDescent="0.25">
      <c r="A9">
        <v>2032</v>
      </c>
      <c r="B9" s="3">
        <f>Solar!G10+'Public Building Energy'!F9+'LED Streetlights'!M10</f>
        <v>48925.615490635217</v>
      </c>
      <c r="C9" s="3">
        <f>Solar!H10+'Public Building Energy'!G9+'LED Streetlights'!N10</f>
        <v>4.3076363837409222</v>
      </c>
      <c r="D9" s="3">
        <f>Solar!I10+'Public Building Energy'!H9+'LED Streetlights'!O10</f>
        <v>0.62290177620883613</v>
      </c>
      <c r="E9" s="3">
        <f>Solar!J10+'Public Building Energy'!I9+'LED Streetlights'!P10</f>
        <v>49218.93112857997</v>
      </c>
    </row>
    <row r="10" spans="1:12" x14ac:dyDescent="0.25">
      <c r="A10">
        <v>2033</v>
      </c>
      <c r="B10" s="3">
        <f>Solar!G11+'Public Building Energy'!F10+'LED Streetlights'!M11</f>
        <v>48865.176766498713</v>
      </c>
      <c r="C10" s="3">
        <f>Solar!H11+'Public Building Energy'!G10+'LED Streetlights'!N11</f>
        <v>4.3019743898972855</v>
      </c>
      <c r="D10" s="3">
        <f>Solar!I11+'Public Building Energy'!H10+'LED Streetlights'!O11</f>
        <v>0.62207768804041097</v>
      </c>
      <c r="E10" s="3">
        <f>Solar!J11+'Public Building Energy'!I10+'LED Streetlights'!P11</f>
        <v>49158.105276323178</v>
      </c>
    </row>
    <row r="11" spans="1:12" x14ac:dyDescent="0.25">
      <c r="A11">
        <v>2034</v>
      </c>
      <c r="B11" s="3">
        <f>Solar!G12+'Public Building Energy'!F11+'LED Streetlights'!M12</f>
        <v>48805.04023598288</v>
      </c>
      <c r="C11" s="3">
        <f>Solar!H12+'Public Building Energy'!G11+'LED Streetlights'!N12</f>
        <v>4.2963407060228676</v>
      </c>
      <c r="D11" s="3">
        <f>Solar!I12+'Public Building Energy'!H11+'LED Streetlights'!O12</f>
        <v>0.621257720312828</v>
      </c>
      <c r="E11" s="3">
        <f>Solar!J12+'Public Building Energy'!I11+'LED Streetlights'!P12</f>
        <v>49097.583553327677</v>
      </c>
    </row>
    <row r="12" spans="1:12" x14ac:dyDescent="0.25">
      <c r="A12">
        <v>2035</v>
      </c>
      <c r="B12" s="3">
        <f>Solar!G13+'Public Building Energy'!F12+'LED Streetlights'!M13</f>
        <v>48745.204388119637</v>
      </c>
      <c r="C12" s="3">
        <f>Solar!H13+'Public Building Energy'!G12+'LED Streetlights'!N13</f>
        <v>4.2907351905678217</v>
      </c>
      <c r="D12" s="3">
        <f>Solar!I13+'Public Building Energy'!H12+'LED Streetlights'!O13</f>
        <v>0.62044185242388283</v>
      </c>
      <c r="E12" s="3">
        <f>Solar!J13+'Public Building Energy'!I12+'LED Streetlights'!P13</f>
        <v>49037.364438947145</v>
      </c>
    </row>
    <row r="13" spans="1:12" x14ac:dyDescent="0.25">
      <c r="A13">
        <v>2036</v>
      </c>
      <c r="B13" s="3">
        <f>Solar!G14+'Public Building Energy'!F13+'LED Streetlights'!M14</f>
        <v>48685.667719495701</v>
      </c>
      <c r="C13" s="3">
        <f>Solar!H14+'Public Building Energy'!G13+'LED Streetlights'!N14</f>
        <v>4.28515770269005</v>
      </c>
      <c r="D13" s="3">
        <f>Solar!I14+'Public Building Energy'!H13+'LED Streetlights'!O14</f>
        <v>0.61963006387438246</v>
      </c>
      <c r="E13" s="3">
        <f>Solar!J14+'Public Building Energy'!I13+'LED Streetlights'!P14</f>
        <v>48977.44642013852</v>
      </c>
    </row>
    <row r="14" spans="1:12" x14ac:dyDescent="0.25">
      <c r="A14">
        <v>2037</v>
      </c>
      <c r="B14" s="3">
        <f>Solar!G15+'Public Building Energy'!F14+'LED Streetlights'!M15</f>
        <v>48626.428734214889</v>
      </c>
      <c r="C14" s="3">
        <f>Solar!H15+'Public Building Energy'!G14+'LED Streetlights'!N15</f>
        <v>4.2796081022516681</v>
      </c>
      <c r="D14" s="3">
        <f>Solar!I15+'Public Building Energy'!H14+'LED Streetlights'!O15</f>
        <v>0.61882233426762956</v>
      </c>
      <c r="E14" s="3">
        <f>Solar!J15+'Public Building Energy'!I14+'LED Streetlights'!P15</f>
        <v>48917.827991423932</v>
      </c>
    </row>
    <row r="15" spans="1:12" x14ac:dyDescent="0.25">
      <c r="A15">
        <v>2038</v>
      </c>
      <c r="B15" s="3">
        <f>Solar!G16+'Public Building Energy'!F15+'LED Streetlights'!M16</f>
        <v>48567.485943860484</v>
      </c>
      <c r="C15" s="3">
        <f>Solar!H16+'Public Building Energy'!G15+'LED Streetlights'!N16</f>
        <v>4.2740862498154772</v>
      </c>
      <c r="D15" s="3">
        <f>Solar!I16+'Public Building Energy'!H15+'LED Streetlights'!O16</f>
        <v>0.61801864330891054</v>
      </c>
      <c r="E15" s="3">
        <f>Solar!J16+'Public Building Energy'!I15+'LED Streetlights'!P16</f>
        <v>48858.507654852925</v>
      </c>
    </row>
    <row r="16" spans="1:12" x14ac:dyDescent="0.25">
      <c r="A16">
        <v>2039</v>
      </c>
      <c r="B16" s="3">
        <f>Solar!G17+'Public Building Energy'!F16+'LED Streetlights'!M17</f>
        <v>48508.837867457849</v>
      </c>
      <c r="C16" s="3">
        <f>Solar!H17+'Public Building Energy'!G16+'LED Streetlights'!N17</f>
        <v>4.2685920066414687</v>
      </c>
      <c r="D16" s="3">
        <f>Solar!I17+'Public Building Energy'!H16+'LED Streetlights'!O17</f>
        <v>0.617218970804985</v>
      </c>
      <c r="E16" s="3">
        <f>Solar!J17+'Public Building Energy'!I16+'LED Streetlights'!P17</f>
        <v>48799.483919964761</v>
      </c>
    </row>
    <row r="17" spans="1:5" x14ac:dyDescent="0.25">
      <c r="A17">
        <v>2040</v>
      </c>
      <c r="B17" s="3">
        <f>Solar!G18+'Public Building Energy'!F17+'LED Streetlights'!M18</f>
        <v>48450.483031437223</v>
      </c>
      <c r="C17" s="3">
        <f>Solar!H18+'Public Building Energy'!G17+'LED Streetlights'!N18</f>
        <v>4.2631252346833293</v>
      </c>
      <c r="D17" s="3">
        <f>Solar!I18+'Public Building Energy'!H17+'LED Streetlights'!O18</f>
        <v>0.6164232966635792</v>
      </c>
      <c r="E17" s="3">
        <f>Solar!J18+'Public Building Energy'!I17+'LED Streetlights'!P18</f>
        <v>48740.755303751052</v>
      </c>
    </row>
    <row r="18" spans="1:5" x14ac:dyDescent="0.25">
      <c r="A18">
        <v>2041</v>
      </c>
      <c r="B18" s="3">
        <f>Solar!G19+'Public Building Energy'!F18+'LED Streetlights'!M19</f>
        <v>48392.419969596711</v>
      </c>
      <c r="C18" s="3">
        <f>Solar!H19+'Public Building Energy'!G18+'LED Streetlights'!N19</f>
        <v>4.2576857965849806</v>
      </c>
      <c r="D18" s="3">
        <f>Solar!I19+'Public Building Energy'!H18+'LED Streetlights'!O19</f>
        <v>0.61563160089288038</v>
      </c>
      <c r="E18" s="3">
        <f>Solar!J19+'Public Building Energy'!I18+'LED Streetlights'!P19</f>
        <v>48682.320330618408</v>
      </c>
    </row>
    <row r="19" spans="1:5" x14ac:dyDescent="0.25">
      <c r="A19">
        <v>2042</v>
      </c>
      <c r="B19" s="3">
        <f>Solar!G20+'Public Building Energy'!F19+'LED Streetlights'!M20</f>
        <v>48334.647223065389</v>
      </c>
      <c r="C19" s="3">
        <f>Solar!H20+'Public Building Energy'!G19+'LED Streetlights'!N20</f>
        <v>4.2522735556771236</v>
      </c>
      <c r="D19" s="3">
        <f>Solar!I20+'Public Building Energy'!H19+'LED Streetlights'!O20</f>
        <v>0.61484386360103493</v>
      </c>
      <c r="E19" s="3">
        <f>Solar!J20+'Public Building Energy'!I19+'LED Streetlights'!P20</f>
        <v>48624.177532351423</v>
      </c>
    </row>
    <row r="20" spans="1:5" x14ac:dyDescent="0.25">
      <c r="A20">
        <v>2043</v>
      </c>
      <c r="B20" s="3">
        <f>Solar!G21+'Public Building Energy'!F20+'LED Streetlights'!M21</f>
        <v>48277.163340266728</v>
      </c>
      <c r="C20" s="3">
        <f>Solar!H21+'Public Building Energy'!G20+'LED Streetlights'!N21</f>
        <v>4.2468883759738061</v>
      </c>
      <c r="D20" s="3">
        <f>Solar!I21+'Public Building Energy'!H20+'LED Streetlights'!O21</f>
        <v>0.6140600649956488</v>
      </c>
      <c r="E20" s="3">
        <f>Solar!J21+'Public Building Energy'!I20+'LED Streetlights'!P21</f>
        <v>48566.325448075768</v>
      </c>
    </row>
    <row r="21" spans="1:5" x14ac:dyDescent="0.25">
      <c r="A21">
        <v>2044</v>
      </c>
      <c r="B21" s="3">
        <f>Solar!G22+'Public Building Energy'!F21+'LED Streetlights'!M22</f>
        <v>48219.966876882063</v>
      </c>
      <c r="C21" s="3">
        <f>Solar!H22+'Public Building Energy'!G21+'LED Streetlights'!N22</f>
        <v>4.2415301221690047</v>
      </c>
      <c r="D21" s="3">
        <f>Solar!I22+'Public Building Energy'!H21+'LED Streetlights'!O22</f>
        <v>0.61328018538328966</v>
      </c>
      <c r="E21" s="3">
        <f>Solar!J22+'Public Building Energy'!I21+'LED Streetlights'!P22</f>
        <v>48508.762624221505</v>
      </c>
    </row>
    <row r="22" spans="1:5" x14ac:dyDescent="0.25">
      <c r="A22">
        <v>2045</v>
      </c>
      <c r="B22" s="3">
        <f>Solar!G23+'Public Building Energy'!F22+'LED Streetlights'!M23</f>
        <v>48163.056395814318</v>
      </c>
      <c r="C22" s="3">
        <f>Solar!H23+'Public Building Energy'!G22+'LED Streetlights'!N23</f>
        <v>4.2361986596332279</v>
      </c>
      <c r="D22" s="3">
        <f>Solar!I23+'Public Building Energy'!H22+'LED Streetlights'!O23</f>
        <v>0.61250420516899218</v>
      </c>
      <c r="E22" s="3">
        <f>Solar!J23+'Public Building Energy'!I22+'LED Streetlights'!P23</f>
        <v>48451.487614486505</v>
      </c>
    </row>
    <row r="23" spans="1:5" x14ac:dyDescent="0.25">
      <c r="A23">
        <v>2046</v>
      </c>
      <c r="B23" s="3">
        <f>Solar!G24+'Public Building Energy'!F23+'LED Streetlights'!M24</f>
        <v>48106.430467151913</v>
      </c>
      <c r="C23" s="3">
        <f>Solar!H24+'Public Building Energy'!G23+'LED Streetlights'!N24</f>
        <v>4.2308938544101293</v>
      </c>
      <c r="D23" s="3">
        <f>Solar!I24+'Public Building Energy'!H23+'LED Streetlights'!O24</f>
        <v>0.61173210485576623</v>
      </c>
      <c r="E23" s="3">
        <f>Solar!J24+'Public Building Energy'!I23+'LED Streetlights'!P24</f>
        <v>48394.498979800184</v>
      </c>
    </row>
    <row r="24" spans="1:5" x14ac:dyDescent="0.25">
      <c r="A24">
        <v>2047</v>
      </c>
      <c r="B24" s="3">
        <f>Solar!G25+'Public Building Energy'!F24+'LED Streetlights'!M25</f>
        <v>48050.087668132823</v>
      </c>
      <c r="C24" s="3">
        <f>Solar!H25+'Public Building Energy'!G24+'LED Streetlights'!N25</f>
        <v>4.2256155732131475</v>
      </c>
      <c r="D24" s="3">
        <f>Solar!I25+'Public Building Energy'!H24+'LED Streetlights'!O25</f>
        <v>0.61096386504410649</v>
      </c>
      <c r="E24" s="3">
        <f>Solar!J25+'Public Building Energy'!I24+'LED Streetlights'!P25</f>
        <v>48337.795288287285</v>
      </c>
    </row>
    <row r="25" spans="1:5" x14ac:dyDescent="0.25">
      <c r="A25">
        <v>2048</v>
      </c>
      <c r="B25" s="3">
        <f>Solar!G26+'Public Building Energy'!F25+'LED Streetlights'!M26</f>
        <v>47994.026583108825</v>
      </c>
      <c r="C25" s="3">
        <f>Solar!H26+'Public Building Energy'!G25+'LED Streetlights'!N26</f>
        <v>4.2203636834221498</v>
      </c>
      <c r="D25" s="3">
        <f>Solar!I26+'Public Building Energy'!H25+'LED Streetlights'!O26</f>
        <v>0.61019946643150502</v>
      </c>
      <c r="E25" s="3">
        <f>Solar!J26+'Public Building Energy'!I25+'LED Streetlights'!P26</f>
        <v>48281.37511523196</v>
      </c>
    </row>
    <row r="26" spans="1:5" x14ac:dyDescent="0.25">
      <c r="A26">
        <v>2049</v>
      </c>
      <c r="B26" s="3">
        <f>Solar!G27+'Public Building Energy'!F26+'LED Streetlights'!M27</f>
        <v>47938.245803509941</v>
      </c>
      <c r="C26" s="3">
        <f>Solar!H27+'Public Building Energy'!G26+'LED Streetlights'!N27</f>
        <v>4.2151380530801061</v>
      </c>
      <c r="D26" s="3">
        <f>Solar!I27+'Public Building Energy'!H26+'LED Streetlights'!O27</f>
        <v>0.60943888981196648</v>
      </c>
      <c r="E26" s="3">
        <f>Solar!J27+'Public Building Energy'!I26+'LED Streetlights'!P27</f>
        <v>48225.237043041911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EF970-F3FF-46A0-A1C5-CDCADEF6C0DB}">
  <dimension ref="A1:G13"/>
  <sheetViews>
    <sheetView workbookViewId="0">
      <selection activeCell="M11" sqref="M11"/>
    </sheetView>
  </sheetViews>
  <sheetFormatPr defaultRowHeight="15" x14ac:dyDescent="0.25"/>
  <sheetData>
    <row r="1" spans="1:7" x14ac:dyDescent="0.25">
      <c r="A1" s="9" t="s">
        <v>46</v>
      </c>
    </row>
    <row r="2" spans="1:7" x14ac:dyDescent="0.25">
      <c r="A2" s="9"/>
      <c r="B2" t="s">
        <v>47</v>
      </c>
      <c r="C2" t="s">
        <v>50</v>
      </c>
      <c r="D2" t="s">
        <v>51</v>
      </c>
      <c r="E2" t="s">
        <v>52</v>
      </c>
      <c r="F2" t="s">
        <v>53</v>
      </c>
      <c r="G2" t="s">
        <v>54</v>
      </c>
    </row>
    <row r="3" spans="1:7" x14ac:dyDescent="0.25">
      <c r="A3" t="s">
        <v>55</v>
      </c>
      <c r="B3">
        <f>6000*0.767</f>
        <v>4602</v>
      </c>
      <c r="C3">
        <v>680</v>
      </c>
      <c r="D3">
        <v>160</v>
      </c>
      <c r="E3">
        <v>230</v>
      </c>
      <c r="F3" s="10">
        <v>5090</v>
      </c>
      <c r="G3" s="10">
        <v>4600</v>
      </c>
    </row>
    <row r="4" spans="1:7" x14ac:dyDescent="0.25">
      <c r="A4" t="s">
        <v>56</v>
      </c>
      <c r="B4">
        <f>6000-B3</f>
        <v>1398</v>
      </c>
      <c r="C4">
        <v>240</v>
      </c>
      <c r="D4">
        <v>80</v>
      </c>
      <c r="E4">
        <v>80</v>
      </c>
      <c r="F4" s="10">
        <v>2730</v>
      </c>
      <c r="G4" s="10">
        <v>2340</v>
      </c>
    </row>
    <row r="5" spans="1:7" x14ac:dyDescent="0.25">
      <c r="A5" t="s">
        <v>61</v>
      </c>
      <c r="B5">
        <v>8900</v>
      </c>
      <c r="C5">
        <v>1320</v>
      </c>
      <c r="D5">
        <v>320</v>
      </c>
      <c r="E5">
        <v>440</v>
      </c>
      <c r="F5">
        <v>9840</v>
      </c>
      <c r="G5">
        <v>8900</v>
      </c>
    </row>
    <row r="7" spans="1:7" x14ac:dyDescent="0.25">
      <c r="A7" s="9" t="s">
        <v>57</v>
      </c>
    </row>
    <row r="8" spans="1:7" x14ac:dyDescent="0.25">
      <c r="B8" t="s">
        <v>58</v>
      </c>
      <c r="C8" t="s">
        <v>50</v>
      </c>
      <c r="D8" t="s">
        <v>51</v>
      </c>
      <c r="E8" t="s">
        <v>52</v>
      </c>
      <c r="F8" t="s">
        <v>53</v>
      </c>
      <c r="G8" t="s">
        <v>54</v>
      </c>
    </row>
    <row r="9" spans="1:7" x14ac:dyDescent="0.25">
      <c r="A9" t="s">
        <v>49</v>
      </c>
      <c r="B9">
        <v>27920.4964</v>
      </c>
      <c r="C9" s="10">
        <v>2610</v>
      </c>
      <c r="D9">
        <v>600</v>
      </c>
      <c r="E9">
        <v>770</v>
      </c>
      <c r="F9" s="10">
        <v>21740</v>
      </c>
      <c r="G9" s="10">
        <v>17590</v>
      </c>
    </row>
    <row r="10" spans="1:7" x14ac:dyDescent="0.25">
      <c r="A10" t="s">
        <v>48</v>
      </c>
      <c r="B10">
        <v>7288</v>
      </c>
      <c r="C10" s="10">
        <v>730</v>
      </c>
      <c r="D10">
        <v>240</v>
      </c>
      <c r="E10">
        <v>210</v>
      </c>
      <c r="F10" s="10">
        <v>9230</v>
      </c>
      <c r="G10" s="10">
        <v>7280</v>
      </c>
    </row>
    <row r="12" spans="1:7" x14ac:dyDescent="0.25">
      <c r="C12" t="s">
        <v>50</v>
      </c>
      <c r="D12" t="s">
        <v>51</v>
      </c>
      <c r="E12" t="s">
        <v>52</v>
      </c>
      <c r="F12" t="s">
        <v>53</v>
      </c>
      <c r="G12" t="s">
        <v>54</v>
      </c>
    </row>
    <row r="13" spans="1:7" x14ac:dyDescent="0.25">
      <c r="A13" t="s">
        <v>59</v>
      </c>
      <c r="C13" s="10">
        <f>SUM(C3:C5,C9:C10)</f>
        <v>5580</v>
      </c>
      <c r="D13" s="10">
        <f t="shared" ref="D13:G13" si="0">SUM(D3:D5,D9:D10)</f>
        <v>1400</v>
      </c>
      <c r="E13" s="10">
        <f t="shared" si="0"/>
        <v>1730</v>
      </c>
      <c r="F13" s="10">
        <f t="shared" si="0"/>
        <v>48630</v>
      </c>
      <c r="G13" s="10">
        <f t="shared" si="0"/>
        <v>40710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C3C9E4C7738A4DABFAAF8BC958C3BA" ma:contentTypeVersion="13" ma:contentTypeDescription="Create a new document." ma:contentTypeScope="" ma:versionID="0a98949323d144a4bd65080c6caefc1e">
  <xsd:schema xmlns:xsd="http://www.w3.org/2001/XMLSchema" xmlns:xs="http://www.w3.org/2001/XMLSchema" xmlns:p="http://schemas.microsoft.com/office/2006/metadata/properties" xmlns:ns3="8d0fffd6-7356-46a9-8941-9fdec6d158a2" xmlns:ns4="c67ce7c6-1244-4408-a1f7-f36729414f9a" targetNamespace="http://schemas.microsoft.com/office/2006/metadata/properties" ma:root="true" ma:fieldsID="39bd92bc634a15ae8981fbc53d86f1e1" ns3:_="" ns4:_="">
    <xsd:import namespace="8d0fffd6-7356-46a9-8941-9fdec6d158a2"/>
    <xsd:import namespace="c67ce7c6-1244-4408-a1f7-f36729414f9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  <xsd:element ref="ns4:MediaServiceDateTaken" minOccurs="0"/>
                <xsd:element ref="ns4:MediaServiceObjectDetectorVersions" minOccurs="0"/>
                <xsd:element ref="ns4:MediaServiceSystemTags" minOccurs="0"/>
                <xsd:element ref="ns4:MediaServiceGenerationTime" minOccurs="0"/>
                <xsd:element ref="ns4:MediaServiceEventHashCode" minOccurs="0"/>
                <xsd:element ref="ns4:MediaLengthInSecond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0fffd6-7356-46a9-8941-9fdec6d158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ce7c6-1244-4408-a1f7-f36729414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6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67ce7c6-1244-4408-a1f7-f36729414f9a" xsi:nil="true"/>
  </documentManagement>
</p:properties>
</file>

<file path=customXml/itemProps1.xml><?xml version="1.0" encoding="utf-8"?>
<ds:datastoreItem xmlns:ds="http://schemas.openxmlformats.org/officeDocument/2006/customXml" ds:itemID="{561EBE23-33EC-4ABB-B83D-DAB18E7029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0fffd6-7356-46a9-8941-9fdec6d158a2"/>
    <ds:schemaRef ds:uri="c67ce7c6-1244-4408-a1f7-f36729414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FCFC50-4370-4B79-8F72-4B39595839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9533F0-B754-4F16-B377-8B0B632D4194}">
  <ds:schemaRefs>
    <ds:schemaRef ds:uri="http://schemas.microsoft.com/office/2006/metadata/properties"/>
    <ds:schemaRef ds:uri="http://www.w3.org/XML/1998/namespace"/>
    <ds:schemaRef ds:uri="http://purl.org/dc/dcmitype/"/>
    <ds:schemaRef ds:uri="c67ce7c6-1244-4408-a1f7-f36729414f9a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8d0fffd6-7356-46a9-8941-9fdec6d158a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eGRID Factors</vt:lpstr>
      <vt:lpstr>Solar</vt:lpstr>
      <vt:lpstr>Public Building Energy</vt:lpstr>
      <vt:lpstr>LED Streetlights</vt:lpstr>
      <vt:lpstr>Total GHG Reduction</vt:lpstr>
      <vt:lpstr>Other Emissions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Niese</dc:creator>
  <cp:lastModifiedBy>Travis Miller</cp:lastModifiedBy>
  <dcterms:created xsi:type="dcterms:W3CDTF">2024-03-21T19:14:15Z</dcterms:created>
  <dcterms:modified xsi:type="dcterms:W3CDTF">2024-03-29T17:25:54Z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0x01010023C3C9E4C7738A4DABFAAF8BC958C3BA</vt:lpwstr>
  </property>
</Properties>
</file>