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G:\RegionalPlanning\RegPlan\EPA Climate Reduction Planning Grant\Implementation Grants\OKI Staff grant preparations\ATTACHMENTS\"/>
    </mc:Choice>
  </mc:AlternateContent>
  <xr:revisionPtr revIDLastSave="0" documentId="8_{75CB13CB-EFEE-4977-A037-E536DA043BC7}" xr6:coauthVersionLast="47" xr6:coauthVersionMax="47" xr10:uidLastSave="{00000000-0000-0000-0000-000000000000}"/>
  <bookViews>
    <workbookView xWindow="1710" yWindow="2805" windowWidth="21600" windowHeight="11235" firstSheet="1" activeTab="1" xr2:uid="{C74037E4-0BC5-4F36-829B-D907DAEFC1E3}"/>
  </bookViews>
  <sheets>
    <sheet name="TOTAL GHG Emission Reductions" sheetId="7" r:id="rId1"/>
    <sheet name="BEB GHG Estimates" sheetId="1" r:id="rId2"/>
    <sheet name="AC fleet frac calc" sheetId="2" r:id="rId3"/>
    <sheet name="AC Demand" sheetId="3" r:id="rId4"/>
    <sheet name="AC Emissions Adjustments" sheetId="6" r:id="rId5"/>
    <sheet name="July Weekday MOVES output" sheetId="4" r:id="rId6"/>
    <sheet name="FareFree GHG Reductions" sheetId="5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" i="7" l="1"/>
  <c r="I2" i="7" s="1"/>
  <c r="J2" i="7"/>
  <c r="K2" i="7"/>
  <c r="J3" i="7"/>
  <c r="K3" i="7"/>
  <c r="I3" i="7"/>
  <c r="D2" i="7"/>
  <c r="D3" i="7"/>
  <c r="D4" i="7"/>
  <c r="D5" i="7"/>
  <c r="D6" i="7"/>
  <c r="D7" i="7"/>
  <c r="D8" i="7"/>
  <c r="D9" i="7"/>
  <c r="D10" i="7"/>
  <c r="D11" i="7"/>
  <c r="D12" i="7"/>
  <c r="D13" i="7"/>
  <c r="D14" i="7"/>
  <c r="D15" i="7"/>
  <c r="D16" i="7"/>
  <c r="D17" i="7"/>
  <c r="D18" i="7"/>
  <c r="D19" i="7"/>
  <c r="D20" i="7"/>
  <c r="D21" i="7"/>
  <c r="D22" i="7"/>
  <c r="D23" i="7"/>
  <c r="D24" i="7"/>
  <c r="D25" i="7"/>
  <c r="D26" i="7"/>
  <c r="C3" i="7"/>
  <c r="C4" i="7"/>
  <c r="C5" i="7"/>
  <c r="C6" i="7"/>
  <c r="C7" i="7"/>
  <c r="C8" i="7"/>
  <c r="C9" i="7"/>
  <c r="C10" i="7"/>
  <c r="C11" i="7"/>
  <c r="C12" i="7"/>
  <c r="C13" i="7"/>
  <c r="C14" i="7"/>
  <c r="C15" i="7"/>
  <c r="C16" i="7"/>
  <c r="C17" i="7"/>
  <c r="C18" i="7"/>
  <c r="C19" i="7"/>
  <c r="C20" i="7"/>
  <c r="C21" i="7"/>
  <c r="C22" i="7"/>
  <c r="C23" i="7"/>
  <c r="C24" i="7"/>
  <c r="C25" i="7"/>
  <c r="C26" i="7"/>
  <c r="C2" i="7"/>
  <c r="B3" i="7"/>
  <c r="B4" i="7"/>
  <c r="B5" i="7"/>
  <c r="B6" i="7"/>
  <c r="B7" i="7"/>
  <c r="B8" i="7"/>
  <c r="B9" i="7"/>
  <c r="B10" i="7"/>
  <c r="B11" i="7"/>
  <c r="B12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C32" i="5"/>
  <c r="D32" i="5"/>
  <c r="B32" i="5"/>
  <c r="C31" i="5"/>
  <c r="D31" i="5"/>
  <c r="B31" i="5"/>
  <c r="P3" i="5"/>
  <c r="P4" i="5"/>
  <c r="P5" i="5"/>
  <c r="P6" i="5"/>
  <c r="P7" i="5"/>
  <c r="P8" i="5"/>
  <c r="P9" i="5"/>
  <c r="P10" i="5"/>
  <c r="P11" i="5"/>
  <c r="P12" i="5"/>
  <c r="P13" i="5"/>
  <c r="P14" i="5"/>
  <c r="P15" i="5"/>
  <c r="P16" i="5"/>
  <c r="P17" i="5"/>
  <c r="P18" i="5"/>
  <c r="P19" i="5"/>
  <c r="P20" i="5"/>
  <c r="P21" i="5"/>
  <c r="P22" i="5"/>
  <c r="P23" i="5"/>
  <c r="P24" i="5"/>
  <c r="P25" i="5"/>
  <c r="P26" i="5"/>
  <c r="P2" i="5"/>
  <c r="O3" i="5"/>
  <c r="O4" i="5"/>
  <c r="O5" i="5"/>
  <c r="O6" i="5"/>
  <c r="O7" i="5"/>
  <c r="O8" i="5"/>
  <c r="O9" i="5"/>
  <c r="O10" i="5"/>
  <c r="O11" i="5"/>
  <c r="O12" i="5"/>
  <c r="O13" i="5"/>
  <c r="O14" i="5"/>
  <c r="O15" i="5"/>
  <c r="O16" i="5"/>
  <c r="O17" i="5"/>
  <c r="O18" i="5"/>
  <c r="O19" i="5"/>
  <c r="O20" i="5"/>
  <c r="O21" i="5"/>
  <c r="O22" i="5"/>
  <c r="O23" i="5"/>
  <c r="O24" i="5"/>
  <c r="O25" i="5"/>
  <c r="O26" i="5"/>
  <c r="O2" i="5"/>
  <c r="N3" i="5"/>
  <c r="N4" i="5"/>
  <c r="N5" i="5"/>
  <c r="N6" i="5"/>
  <c r="N7" i="5"/>
  <c r="N8" i="5"/>
  <c r="N9" i="5"/>
  <c r="N10" i="5"/>
  <c r="N11" i="5"/>
  <c r="N12" i="5"/>
  <c r="N13" i="5"/>
  <c r="N14" i="5"/>
  <c r="N15" i="5"/>
  <c r="N16" i="5"/>
  <c r="N17" i="5"/>
  <c r="N18" i="5"/>
  <c r="N19" i="5"/>
  <c r="N20" i="5"/>
  <c r="N21" i="5"/>
  <c r="N22" i="5"/>
  <c r="N23" i="5"/>
  <c r="N24" i="5"/>
  <c r="N25" i="5"/>
  <c r="N26" i="5"/>
  <c r="N2" i="5"/>
  <c r="J2" i="5"/>
  <c r="K2" i="5"/>
  <c r="L2" i="5"/>
  <c r="M2" i="5"/>
  <c r="J3" i="5"/>
  <c r="K3" i="5"/>
  <c r="L3" i="5"/>
  <c r="M3" i="5"/>
  <c r="J4" i="5"/>
  <c r="K4" i="5"/>
  <c r="L4" i="5"/>
  <c r="M4" i="5"/>
  <c r="J5" i="5"/>
  <c r="K5" i="5"/>
  <c r="L5" i="5"/>
  <c r="M5" i="5"/>
  <c r="J6" i="5"/>
  <c r="K6" i="5"/>
  <c r="L6" i="5"/>
  <c r="M6" i="5"/>
  <c r="J7" i="5"/>
  <c r="K7" i="5"/>
  <c r="L7" i="5"/>
  <c r="M7" i="5"/>
  <c r="J8" i="5"/>
  <c r="K8" i="5"/>
  <c r="L8" i="5"/>
  <c r="M8" i="5"/>
  <c r="J9" i="5"/>
  <c r="K9" i="5"/>
  <c r="L9" i="5"/>
  <c r="M9" i="5"/>
  <c r="J10" i="5"/>
  <c r="K10" i="5"/>
  <c r="L10" i="5"/>
  <c r="M10" i="5"/>
  <c r="J11" i="5"/>
  <c r="K11" i="5"/>
  <c r="L11" i="5"/>
  <c r="M11" i="5"/>
  <c r="J12" i="5"/>
  <c r="K12" i="5"/>
  <c r="L12" i="5"/>
  <c r="M12" i="5"/>
  <c r="J13" i="5"/>
  <c r="K13" i="5"/>
  <c r="L13" i="5"/>
  <c r="M13" i="5"/>
  <c r="J14" i="5"/>
  <c r="K14" i="5"/>
  <c r="L14" i="5"/>
  <c r="M14" i="5"/>
  <c r="J15" i="5"/>
  <c r="K15" i="5"/>
  <c r="L15" i="5"/>
  <c r="M15" i="5"/>
  <c r="J16" i="5"/>
  <c r="K16" i="5"/>
  <c r="L16" i="5"/>
  <c r="M16" i="5"/>
  <c r="J17" i="5"/>
  <c r="K17" i="5"/>
  <c r="L17" i="5"/>
  <c r="M17" i="5"/>
  <c r="J18" i="5"/>
  <c r="K18" i="5"/>
  <c r="L18" i="5"/>
  <c r="M18" i="5"/>
  <c r="J19" i="5"/>
  <c r="K19" i="5"/>
  <c r="L19" i="5"/>
  <c r="M19" i="5"/>
  <c r="J20" i="5"/>
  <c r="K20" i="5"/>
  <c r="L20" i="5"/>
  <c r="M20" i="5"/>
  <c r="J21" i="5"/>
  <c r="K21" i="5"/>
  <c r="L21" i="5"/>
  <c r="M21" i="5"/>
  <c r="J22" i="5"/>
  <c r="K22" i="5"/>
  <c r="L22" i="5"/>
  <c r="M22" i="5"/>
  <c r="J23" i="5"/>
  <c r="K23" i="5"/>
  <c r="L23" i="5"/>
  <c r="M23" i="5"/>
  <c r="J24" i="5"/>
  <c r="K24" i="5"/>
  <c r="L24" i="5"/>
  <c r="M24" i="5"/>
  <c r="J25" i="5"/>
  <c r="K25" i="5"/>
  <c r="L25" i="5"/>
  <c r="M25" i="5"/>
  <c r="J26" i="5"/>
  <c r="K26" i="5"/>
  <c r="L26" i="5"/>
  <c r="M26" i="5"/>
  <c r="I3" i="5"/>
  <c r="I4" i="5"/>
  <c r="I5" i="5"/>
  <c r="I6" i="5"/>
  <c r="I7" i="5"/>
  <c r="I8" i="5"/>
  <c r="I9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" i="5"/>
  <c r="G3" i="5"/>
  <c r="G4" i="5"/>
  <c r="G5" i="5"/>
  <c r="G6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F3" i="5"/>
  <c r="F4" i="5"/>
  <c r="F5" i="5"/>
  <c r="F6" i="5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E3" i="5"/>
  <c r="E4" i="5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D3" i="5"/>
  <c r="D4" i="5"/>
  <c r="D5" i="5"/>
  <c r="D6" i="5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C3" i="5"/>
  <c r="C4" i="5"/>
  <c r="C5" i="5"/>
  <c r="C6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B3" i="5"/>
  <c r="B4" i="5"/>
  <c r="B5" i="5"/>
  <c r="B6" i="5"/>
  <c r="B7" i="5"/>
  <c r="B8" i="5"/>
  <c r="B9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C2" i="5"/>
  <c r="D2" i="5"/>
  <c r="E2" i="5"/>
  <c r="F2" i="5"/>
  <c r="G2" i="5"/>
  <c r="B2" i="5"/>
  <c r="B26" i="6"/>
  <c r="D5" i="3"/>
  <c r="E5" i="3"/>
  <c r="F5" i="3"/>
  <c r="G5" i="3"/>
  <c r="H5" i="3"/>
  <c r="I5" i="3"/>
  <c r="J5" i="3"/>
  <c r="K5" i="3"/>
  <c r="L5" i="3"/>
  <c r="M5" i="3"/>
  <c r="C5" i="3"/>
  <c r="B5" i="3"/>
  <c r="C4" i="3"/>
  <c r="D4" i="3"/>
  <c r="E4" i="3"/>
  <c r="F4" i="3"/>
  <c r="G4" i="3"/>
  <c r="H4" i="3"/>
  <c r="I4" i="3"/>
  <c r="J4" i="3"/>
  <c r="K4" i="3"/>
  <c r="L4" i="3"/>
  <c r="M4" i="3"/>
  <c r="B4" i="3"/>
  <c r="F37" i="2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2" i="2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2" i="2"/>
  <c r="C11" i="1"/>
  <c r="D11" i="1"/>
  <c r="E11" i="1"/>
  <c r="B11" i="1"/>
  <c r="C10" i="1"/>
  <c r="D10" i="1"/>
  <c r="E10" i="1"/>
  <c r="B10" i="1"/>
  <c r="F4" i="1"/>
  <c r="G4" i="1"/>
  <c r="H4" i="1"/>
  <c r="K4" i="1"/>
  <c r="L4" i="1"/>
  <c r="M4" i="1"/>
  <c r="N4" i="1"/>
  <c r="O4" i="1"/>
  <c r="P4" i="1"/>
  <c r="Q4" i="1"/>
  <c r="R4" i="1"/>
  <c r="E4" i="1"/>
  <c r="M3" i="1"/>
  <c r="M2" i="1"/>
  <c r="L2" i="1"/>
  <c r="P2" i="1" s="1"/>
  <c r="L3" i="1"/>
  <c r="K3" i="1"/>
  <c r="O3" i="1" s="1"/>
  <c r="K2" i="1"/>
  <c r="P3" i="1"/>
  <c r="Q3" i="1"/>
  <c r="Q2" i="1"/>
  <c r="O2" i="1"/>
  <c r="N3" i="1"/>
  <c r="R3" i="1" s="1"/>
  <c r="N2" i="1"/>
  <c r="R2" i="1" s="1"/>
  <c r="J3" i="1"/>
  <c r="J2" i="1"/>
  <c r="D2" i="1"/>
  <c r="F2" i="1" s="1"/>
  <c r="D3" i="1"/>
  <c r="E3" i="1" s="1"/>
  <c r="F3" i="1" l="1"/>
  <c r="H3" i="1" s="1"/>
  <c r="G2" i="1"/>
  <c r="E2" i="1"/>
  <c r="H2" i="1" s="1"/>
  <c r="G3" i="1"/>
</calcChain>
</file>

<file path=xl/sharedStrings.xml><?xml version="1.0" encoding="utf-8"?>
<sst xmlns="http://schemas.openxmlformats.org/spreadsheetml/2006/main" count="105" uniqueCount="74">
  <si>
    <t>VMT</t>
  </si>
  <si>
    <t>MPG</t>
  </si>
  <si>
    <t>Diesel CO2 (MT)</t>
  </si>
  <si>
    <t>Diesel CH4 (MT)</t>
  </si>
  <si>
    <t>Diesel N2O (MT)</t>
  </si>
  <si>
    <t>Diesel (Gal)</t>
  </si>
  <si>
    <t>Diesel CO2e (MT)</t>
  </si>
  <si>
    <t>kWh/mile</t>
  </si>
  <si>
    <t>Electric CO2 (MT)</t>
  </si>
  <si>
    <t>Electric CH4 (MT)</t>
  </si>
  <si>
    <t>Electric N2O (MT)</t>
  </si>
  <si>
    <t>Electric CO2e (MT)</t>
  </si>
  <si>
    <t>State</t>
  </si>
  <si>
    <t>OH</t>
  </si>
  <si>
    <t>KY</t>
  </si>
  <si>
    <t>CO2 Reduced (MT)</t>
  </si>
  <si>
    <t>CH4 Reduced (MT)</t>
  </si>
  <si>
    <t>N2O Reduced (MT)</t>
  </si>
  <si>
    <t>CO2e Reduced (MT)</t>
  </si>
  <si>
    <t>kWh per year</t>
  </si>
  <si>
    <t>Total</t>
  </si>
  <si>
    <t>2025 - 2029</t>
  </si>
  <si>
    <t>2025-2049</t>
  </si>
  <si>
    <t>TOTAL</t>
  </si>
  <si>
    <t>Year</t>
  </si>
  <si>
    <t>% Vehicles</t>
  </si>
  <si>
    <t>Automobile/Car/Stationwagon *</t>
  </si>
  <si>
    <t>* Source: https://nhts.ornl.gov/ Vehicle type by vehicle year</t>
  </si>
  <si>
    <t>** Source: Population and Activity of Onroad Vehicles in MOVES4</t>
  </si>
  <si>
    <t>% Vehicles with AC **</t>
  </si>
  <si>
    <t>% Vehicles functioning AC **</t>
  </si>
  <si>
    <t>Overall % vehicles functioning AC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</si>
  <si>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</si>
  <si>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</si>
  <si>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</si>
  <si>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</si>
  <si>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</si>
  <si>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</si>
  <si>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</si>
  <si>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</si>
  <si>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</si>
  <si>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</si>
  <si>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</si>
  <si>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</si>
  <si>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Avg Temp *</t>
  </si>
  <si>
    <t>* National Weather Service NOWData - Monthly Climate Normals (1991-2020) Cincinnati, OH</t>
  </si>
  <si>
    <t>Avg Rel Humid **</t>
  </si>
  <si>
    <t xml:space="preserve">** https://www.timeanddate.com/weather/usa/cincinnati/climate </t>
  </si>
  <si>
    <t>Avg Heat Index ***</t>
  </si>
  <si>
    <t>*** https://www.wpc.ncep.noaa.gov/html/heatindex_equation.shtml</t>
  </si>
  <si>
    <t>AC Demand ****</t>
  </si>
  <si>
    <t>****  Population and Activity of Onroad Vehicles in MOVES4</t>
  </si>
  <si>
    <t>AC Fraction</t>
  </si>
  <si>
    <t>Nox (US Tons)</t>
  </si>
  <si>
    <t>VOC (US Tons)</t>
  </si>
  <si>
    <t>CO2 (MT)</t>
  </si>
  <si>
    <t>Base</t>
  </si>
  <si>
    <t>Fare-Free</t>
  </si>
  <si>
    <t>Reduction</t>
  </si>
  <si>
    <t xml:space="preserve">opModeID </t>
  </si>
  <si>
    <t>AC Factor</t>
  </si>
  <si>
    <r>
      <t xml:space="preserve">* Source: </t>
    </r>
    <r>
      <rPr>
        <i/>
        <sz val="11"/>
        <color theme="1"/>
        <rFont val="Aptos Narrow"/>
        <family val="2"/>
        <scheme val="minor"/>
      </rPr>
      <t>Emission adjustments for onroad vehicles in MOVES4</t>
    </r>
  </si>
  <si>
    <r>
      <rPr>
        <b/>
        <sz val="11"/>
        <color rgb="FFFF0000"/>
        <rFont val="Aptos Narrow"/>
        <family val="2"/>
        <scheme val="minor"/>
      </rPr>
      <t>July Weekday</t>
    </r>
    <r>
      <rPr>
        <b/>
        <sz val="11"/>
        <color theme="1"/>
        <rFont val="Aptos Narrow"/>
        <family val="2"/>
        <scheme val="minor"/>
      </rPr>
      <t xml:space="preserve"> Daily Automobile Emission in OKI Region</t>
    </r>
  </si>
  <si>
    <t>Total CO2 Reduction (MT)</t>
  </si>
  <si>
    <t>Total VOC Reduction (US Tons)</t>
  </si>
  <si>
    <t>Total Nox Reduction (US Tons)</t>
  </si>
  <si>
    <t>CO2 Reduction (MT)</t>
  </si>
  <si>
    <t>NOx Reduction (US Tons)</t>
  </si>
  <si>
    <t>VOC Reduction (US Tons)</t>
  </si>
  <si>
    <t>2026 - 2030</t>
  </si>
  <si>
    <t>2026-2050</t>
  </si>
  <si>
    <t>NOx Reduced (US Tons)</t>
  </si>
  <si>
    <t xml:space="preserve">VOC Reduced (US Tons) </t>
  </si>
  <si>
    <t>2026-2030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</si>
</sst>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name val="Calibri"/>
    </font>
    <font>
      <sz val="10"/>
      <color rgb="FF000000"/>
      <name val="Times New Roman"/>
      <family val="1"/>
    </font>
    <font>
      <sz val="8"/>
      <name val="Aptos Narrow"/>
      <family val="2"/>
      <scheme val="minor"/>
    </font>
    <font>
      <sz val="10"/>
      <color rgb="FF000000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b/>
      <sz val="11"/>
      <color rgb="FFFF000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wrapText="1"/>
    </xf>
    <xf numFmtId="40" fontId="0" fillId="0" borderId="0" xfId="0" applyNumberFormat="1"/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/>
    <xf numFmtId="0" fontId="1" fillId="2" borderId="1" xfId="0" applyFont="1" applyFill="1" applyBorder="1"/>
    <xf numFmtId="2" fontId="1" fillId="2" borderId="1" xfId="0" applyNumberFormat="1" applyFont="1" applyFill="1" applyBorder="1"/>
    <xf numFmtId="164" fontId="1" fillId="2" borderId="1" xfId="0" applyNumberFormat="1" applyFont="1" applyFill="1" applyBorder="1"/>
    <xf numFmtId="0" fontId="1" fillId="2" borderId="1" xfId="0" applyFont="1" applyFill="1" applyBorder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2" borderId="1" xfId="0" applyFill="1" applyBorder="1"/>
    <xf numFmtId="2" fontId="0" fillId="2" borderId="1" xfId="0" applyNumberFormat="1" applyFill="1" applyBorder="1"/>
    <xf numFmtId="164" fontId="0" fillId="2" borderId="1" xfId="0" applyNumberFormat="1" applyFill="1" applyBorder="1"/>
    <xf numFmtId="164" fontId="1" fillId="0" borderId="0" xfId="0" applyNumberFormat="1" applyFont="1"/>
    <xf numFmtId="164" fontId="0" fillId="0" borderId="0" xfId="0" applyNumberFormat="1"/>
    <xf numFmtId="4" fontId="0" fillId="0" borderId="0" xfId="0" applyNumberFormat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59D29A-4A52-4E3D-8AF2-EC2BCB9C56EE}">
  <dimension ref="A1:K26"/>
  <sheetViews>
    <sheetView workbookViewId="0">
      <selection activeCell="B2" sqref="B2:D26"/>
    </sheetView>
  </sheetViews>
  <sheetFormatPr defaultRowHeight="15" x14ac:dyDescent="0.25"/>
  <cols>
    <col min="2" max="2" width="19.5703125" customWidth="1"/>
    <col min="3" max="3" width="20.28515625" customWidth="1"/>
    <col min="4" max="4" width="18.7109375" customWidth="1"/>
    <col min="9" max="9" width="12" bestFit="1" customWidth="1"/>
  </cols>
  <sheetData>
    <row r="1" spans="1:11" x14ac:dyDescent="0.25">
      <c r="A1" t="s">
        <v>24</v>
      </c>
      <c r="B1" t="s">
        <v>18</v>
      </c>
      <c r="C1" t="s">
        <v>71</v>
      </c>
      <c r="D1" t="s">
        <v>72</v>
      </c>
      <c r="I1" t="s">
        <v>18</v>
      </c>
      <c r="J1" t="s">
        <v>71</v>
      </c>
      <c r="K1" t="s">
        <v>72</v>
      </c>
    </row>
    <row r="2" spans="1:11" x14ac:dyDescent="0.25">
      <c r="A2">
        <v>2026</v>
      </c>
      <c r="B2" s="18">
        <f>'BEB GHG Estimates'!$R$4+'FareFree GHG Reductions'!N2</f>
        <v>3039.4560306236071</v>
      </c>
      <c r="C2" s="18">
        <f>'FareFree GHG Reductions'!O2</f>
        <v>2.5506623999999221</v>
      </c>
      <c r="D2" s="18">
        <f>'FareFree GHG Reductions'!P2</f>
        <v>0.87291599999998937</v>
      </c>
      <c r="H2" t="s">
        <v>73</v>
      </c>
      <c r="I2">
        <f>SUM(B2:B6)</f>
        <v>16608.463976041603</v>
      </c>
      <c r="J2">
        <f t="shared" ref="J2:K2" si="0">SUM(C2:C6)</f>
        <v>12.399980999999727</v>
      </c>
      <c r="K2">
        <f t="shared" si="0"/>
        <v>4.664054999999955</v>
      </c>
    </row>
    <row r="3" spans="1:11" x14ac:dyDescent="0.25">
      <c r="A3">
        <v>2027</v>
      </c>
      <c r="B3" s="18">
        <f>'BEB GHG Estimates'!$R$4+'FareFree GHG Reductions'!N3</f>
        <v>3169.6620749855083</v>
      </c>
      <c r="C3" s="18">
        <f>'FareFree GHG Reductions'!O3</f>
        <v>2.5153292999999337</v>
      </c>
      <c r="D3" s="18">
        <f>'FareFree GHG Reductions'!P3</f>
        <v>0.90286350000000937</v>
      </c>
      <c r="H3" t="s">
        <v>70</v>
      </c>
      <c r="I3">
        <f>SUM(B2:B26)</f>
        <v>81228.29645496927</v>
      </c>
      <c r="J3">
        <f t="shared" ref="J3:K3" si="1">SUM(C2:C26)</f>
        <v>40.024340399999275</v>
      </c>
      <c r="K3">
        <f t="shared" si="1"/>
        <v>20.740447199999849</v>
      </c>
    </row>
    <row r="4" spans="1:11" x14ac:dyDescent="0.25">
      <c r="A4">
        <v>2028</v>
      </c>
      <c r="B4" s="18">
        <f>'BEB GHG Estimates'!$R$4+'FareFree GHG Reductions'!N4</f>
        <v>3318.0553492315157</v>
      </c>
      <c r="C4" s="18">
        <f>'FareFree GHG Reductions'!O4</f>
        <v>2.4799961999999454</v>
      </c>
      <c r="D4" s="18">
        <f>'FareFree GHG Reductions'!P4</f>
        <v>0.93281099999998673</v>
      </c>
    </row>
    <row r="5" spans="1:11" x14ac:dyDescent="0.25">
      <c r="A5">
        <v>2029</v>
      </c>
      <c r="B5" s="18">
        <f>'BEB GHG Estimates'!$R$4+'FareFree GHG Reductions'!N5</f>
        <v>3466.4486234774827</v>
      </c>
      <c r="C5" s="18">
        <f>'FareFree GHG Reductions'!O5</f>
        <v>2.444663099999957</v>
      </c>
      <c r="D5" s="18">
        <f>'FareFree GHG Reductions'!P5</f>
        <v>0.96275849999998542</v>
      </c>
    </row>
    <row r="6" spans="1:11" x14ac:dyDescent="0.25">
      <c r="A6">
        <v>2030</v>
      </c>
      <c r="B6" s="18">
        <f>'BEB GHG Estimates'!$R$4+'FareFree GHG Reductions'!N6</f>
        <v>3614.8418977234901</v>
      </c>
      <c r="C6" s="18">
        <f>'FareFree GHG Reductions'!O6</f>
        <v>2.4093299999999687</v>
      </c>
      <c r="D6" s="18">
        <f>'FareFree GHG Reductions'!P6</f>
        <v>0.9927059999999841</v>
      </c>
    </row>
    <row r="7" spans="1:11" x14ac:dyDescent="0.25">
      <c r="A7">
        <v>2031</v>
      </c>
      <c r="B7" s="18">
        <f>'BEB GHG Estimates'!$R$4+'FareFree GHG Reductions'!N7</f>
        <v>3574.3971658350065</v>
      </c>
      <c r="C7" s="18">
        <f>'FareFree GHG Reductions'!O7</f>
        <v>2.2911187199999716</v>
      </c>
      <c r="D7" s="18">
        <f>'FareFree GHG Reductions'!P7</f>
        <v>0.97390127999997134</v>
      </c>
    </row>
    <row r="8" spans="1:11" x14ac:dyDescent="0.25">
      <c r="A8">
        <v>2032</v>
      </c>
      <c r="B8" s="18">
        <f>'BEB GHG Estimates'!$R$4+'FareFree GHG Reductions'!N8</f>
        <v>3533.9524339464806</v>
      </c>
      <c r="C8" s="18">
        <f>'FareFree GHG Reductions'!O8</f>
        <v>2.1729074399999746</v>
      </c>
      <c r="D8" s="18">
        <f>'FareFree GHG Reductions'!P8</f>
        <v>0.9550965600000012</v>
      </c>
    </row>
    <row r="9" spans="1:11" x14ac:dyDescent="0.25">
      <c r="A9">
        <v>2033</v>
      </c>
      <c r="B9" s="18">
        <f>'BEB GHG Estimates'!$R$4+'FareFree GHG Reductions'!N9</f>
        <v>3493.5077020579561</v>
      </c>
      <c r="C9" s="18">
        <f>'FareFree GHG Reductions'!O9</f>
        <v>2.0546961599999563</v>
      </c>
      <c r="D9" s="18">
        <f>'FareFree GHG Reductions'!P9</f>
        <v>0.93629183999998844</v>
      </c>
    </row>
    <row r="10" spans="1:11" x14ac:dyDescent="0.25">
      <c r="A10">
        <v>2034</v>
      </c>
      <c r="B10" s="18">
        <f>'BEB GHG Estimates'!$R$4+'FareFree GHG Reductions'!N10</f>
        <v>3453.0629701694725</v>
      </c>
      <c r="C10" s="18">
        <f>'FareFree GHG Reductions'!O10</f>
        <v>1.9364848799999592</v>
      </c>
      <c r="D10" s="18">
        <f>'FareFree GHG Reductions'!P10</f>
        <v>0.91748711999999699</v>
      </c>
    </row>
    <row r="11" spans="1:11" x14ac:dyDescent="0.25">
      <c r="A11">
        <v>2035</v>
      </c>
      <c r="B11" s="18">
        <f>'BEB GHG Estimates'!$R$4+'FareFree GHG Reductions'!N11</f>
        <v>3412.6182382809889</v>
      </c>
      <c r="C11" s="18">
        <f>'FareFree GHG Reductions'!O11</f>
        <v>1.8182735999999835</v>
      </c>
      <c r="D11" s="18">
        <f>'FareFree GHG Reductions'!P11</f>
        <v>0.89868240000000554</v>
      </c>
    </row>
    <row r="12" spans="1:11" x14ac:dyDescent="0.25">
      <c r="A12">
        <v>2036</v>
      </c>
      <c r="B12" s="18">
        <f>'BEB GHG Estimates'!$R$4+'FareFree GHG Reductions'!N12</f>
        <v>3372.173506392422</v>
      </c>
      <c r="C12" s="18">
        <f>'FareFree GHG Reductions'!O12</f>
        <v>1.7000623199999652</v>
      </c>
      <c r="D12" s="18">
        <f>'FareFree GHG Reductions'!P12</f>
        <v>0.8798776800000141</v>
      </c>
    </row>
    <row r="13" spans="1:11" x14ac:dyDescent="0.25">
      <c r="A13">
        <v>2037</v>
      </c>
      <c r="B13" s="18">
        <f>'BEB GHG Estimates'!$R$4+'FareFree GHG Reductions'!N13</f>
        <v>3331.7287745038957</v>
      </c>
      <c r="C13" s="18">
        <f>'FareFree GHG Reductions'!O13</f>
        <v>1.5818510399999894</v>
      </c>
      <c r="D13" s="18">
        <f>'FareFree GHG Reductions'!P13</f>
        <v>0.86107296000000133</v>
      </c>
    </row>
    <row r="14" spans="1:11" x14ac:dyDescent="0.25">
      <c r="A14">
        <v>2038</v>
      </c>
      <c r="B14" s="18">
        <f>'BEB GHG Estimates'!$R$4+'FareFree GHG Reductions'!N14</f>
        <v>3291.2840426154121</v>
      </c>
      <c r="C14" s="18">
        <f>'FareFree GHG Reductions'!O14</f>
        <v>1.4636397599999711</v>
      </c>
      <c r="D14" s="18">
        <f>'FareFree GHG Reductions'!P14</f>
        <v>0.84226824000000988</v>
      </c>
    </row>
    <row r="15" spans="1:11" x14ac:dyDescent="0.25">
      <c r="A15">
        <v>2039</v>
      </c>
      <c r="B15" s="18">
        <f>'BEB GHG Estimates'!$R$4+'FareFree GHG Reductions'!N15</f>
        <v>3250.8393107269285</v>
      </c>
      <c r="C15" s="18">
        <f>'FareFree GHG Reductions'!O15</f>
        <v>1.3454284799999741</v>
      </c>
      <c r="D15" s="18">
        <f>'FareFree GHG Reductions'!P15</f>
        <v>0.8234635199999758</v>
      </c>
    </row>
    <row r="16" spans="1:11" x14ac:dyDescent="0.25">
      <c r="A16">
        <v>2040</v>
      </c>
      <c r="B16" s="18">
        <f>'BEB GHG Estimates'!$R$4+'FareFree GHG Reductions'!N16</f>
        <v>3210.3945788384021</v>
      </c>
      <c r="C16" s="18">
        <f>'FareFree GHG Reductions'!O16</f>
        <v>1.227217199999977</v>
      </c>
      <c r="D16" s="18">
        <f>'FareFree GHG Reductions'!P16</f>
        <v>0.80465880000000567</v>
      </c>
    </row>
    <row r="17" spans="1:4" x14ac:dyDescent="0.25">
      <c r="A17">
        <v>2041</v>
      </c>
      <c r="B17" s="18">
        <f>'BEB GHG Estimates'!$R$4+'FareFree GHG Reductions'!N17</f>
        <v>3184.7932691506694</v>
      </c>
      <c r="C17" s="18">
        <f>'FareFree GHG Reductions'!O17</f>
        <v>1.1864991599999684</v>
      </c>
      <c r="D17" s="18">
        <f>'FareFree GHG Reductions'!P17</f>
        <v>0.78896796000000791</v>
      </c>
    </row>
    <row r="18" spans="1:4" x14ac:dyDescent="0.25">
      <c r="A18">
        <v>2042</v>
      </c>
      <c r="B18" s="18">
        <f>'BEB GHG Estimates'!$R$4+'FareFree GHG Reductions'!N18</f>
        <v>3159.1919594630185</v>
      </c>
      <c r="C18" s="18">
        <f>'FareFree GHG Reductions'!O18</f>
        <v>1.145781119999981</v>
      </c>
      <c r="D18" s="18">
        <f>'FareFree GHG Reductions'!P18</f>
        <v>0.77327712000001014</v>
      </c>
    </row>
    <row r="19" spans="1:4" x14ac:dyDescent="0.25">
      <c r="A19">
        <v>2043</v>
      </c>
      <c r="B19" s="18">
        <f>'BEB GHG Estimates'!$R$4+'FareFree GHG Reductions'!N19</f>
        <v>3133.5906497753263</v>
      </c>
      <c r="C19" s="18">
        <f>'FareFree GHG Reductions'!O19</f>
        <v>1.1050630799999723</v>
      </c>
      <c r="D19" s="18">
        <f>'FareFree GHG Reductions'!P19</f>
        <v>0.75758628000001238</v>
      </c>
    </row>
    <row r="20" spans="1:4" x14ac:dyDescent="0.25">
      <c r="A20">
        <v>2044</v>
      </c>
      <c r="B20" s="18">
        <f>'BEB GHG Estimates'!$R$4+'FareFree GHG Reductions'!N20</f>
        <v>3107.9893400876349</v>
      </c>
      <c r="C20" s="18">
        <f>'FareFree GHG Reductions'!O20</f>
        <v>1.064345039999985</v>
      </c>
      <c r="D20" s="18">
        <f>'FareFree GHG Reductions'!P20</f>
        <v>0.74189544000001462</v>
      </c>
    </row>
    <row r="21" spans="1:4" x14ac:dyDescent="0.25">
      <c r="A21">
        <v>2045</v>
      </c>
      <c r="B21" s="18">
        <f>'BEB GHG Estimates'!$R$4+'FareFree GHG Reductions'!N21</f>
        <v>3082.3880303999008</v>
      </c>
      <c r="C21" s="18">
        <f>'FareFree GHG Reductions'!O21</f>
        <v>1.0236269999999976</v>
      </c>
      <c r="D21" s="18">
        <f>'FareFree GHG Reductions'!P21</f>
        <v>0.72620459999997422</v>
      </c>
    </row>
    <row r="22" spans="1:4" x14ac:dyDescent="0.25">
      <c r="A22">
        <v>2046</v>
      </c>
      <c r="B22" s="18">
        <f>'BEB GHG Estimates'!$R$4+'FareFree GHG Reductions'!N22</f>
        <v>3056.7867207122081</v>
      </c>
      <c r="C22" s="18">
        <f>'FareFree GHG Reductions'!O22</f>
        <v>0.98290895999998895</v>
      </c>
      <c r="D22" s="18">
        <f>'FareFree GHG Reductions'!P22</f>
        <v>0.71051375999997646</v>
      </c>
    </row>
    <row r="23" spans="1:4" x14ac:dyDescent="0.25">
      <c r="A23">
        <v>2047</v>
      </c>
      <c r="B23" s="18">
        <f>'BEB GHG Estimates'!$R$4+'FareFree GHG Reductions'!N23</f>
        <v>3031.1854110245577</v>
      </c>
      <c r="C23" s="18">
        <f>'FareFree GHG Reductions'!O23</f>
        <v>0.94219091999998028</v>
      </c>
      <c r="D23" s="18">
        <f>'FareFree GHG Reductions'!P23</f>
        <v>0.69482291999997869</v>
      </c>
    </row>
    <row r="24" spans="1:4" x14ac:dyDescent="0.25">
      <c r="A24">
        <v>2048</v>
      </c>
      <c r="B24" s="18">
        <f>'BEB GHG Estimates'!$R$4+'FareFree GHG Reductions'!N24</f>
        <v>3005.584101336824</v>
      </c>
      <c r="C24" s="18">
        <f>'FareFree GHG Reductions'!O24</f>
        <v>0.90147287999997161</v>
      </c>
      <c r="D24" s="18">
        <f>'FareFree GHG Reductions'!P24</f>
        <v>0.67913207999998093</v>
      </c>
    </row>
    <row r="25" spans="1:4" x14ac:dyDescent="0.25">
      <c r="A25">
        <v>2049</v>
      </c>
      <c r="B25" s="18">
        <f>'BEB GHG Estimates'!$R$4+'FareFree GHG Reductions'!N25</f>
        <v>2979.9827916491317</v>
      </c>
      <c r="C25" s="18">
        <f>'FareFree GHG Reductions'!O25</f>
        <v>0.86075483999999491</v>
      </c>
      <c r="D25" s="18">
        <f>'FareFree GHG Reductions'!P25</f>
        <v>0.66344123999998317</v>
      </c>
    </row>
    <row r="26" spans="1:4" x14ac:dyDescent="0.25">
      <c r="A26">
        <v>2050</v>
      </c>
      <c r="B26" s="18">
        <f>'BEB GHG Estimates'!$R$4+'FareFree GHG Reductions'!N26</f>
        <v>2954.381481961439</v>
      </c>
      <c r="C26" s="18">
        <f>'FareFree GHG Reductions'!O26</f>
        <v>0.82003679999998624</v>
      </c>
      <c r="D26" s="18">
        <f>'FareFree GHG Reductions'!P26</f>
        <v>0.6477503999999854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EAE609-2B7E-4373-BB25-78E8DDE590B4}">
  <dimension ref="A1:R11"/>
  <sheetViews>
    <sheetView tabSelected="1" topLeftCell="C1" workbookViewId="0">
      <selection activeCell="E30" sqref="E30"/>
    </sheetView>
  </sheetViews>
  <sheetFormatPr defaultRowHeight="15" x14ac:dyDescent="0.25"/>
  <cols>
    <col min="1" max="1" width="11.85546875" customWidth="1"/>
    <col min="2" max="2" width="9.85546875" bestFit="1" customWidth="1"/>
    <col min="3" max="3" width="9.28515625" bestFit="1" customWidth="1"/>
    <col min="4" max="4" width="12.7109375" customWidth="1"/>
    <col min="5" max="7" width="10.7109375" style="1" customWidth="1"/>
    <col min="8" max="8" width="11.28515625" customWidth="1"/>
    <col min="11" max="14" width="13.28515625" customWidth="1"/>
    <col min="15" max="18" width="14.42578125" customWidth="1"/>
  </cols>
  <sheetData>
    <row r="1" spans="1:18" ht="30" x14ac:dyDescent="0.25">
      <c r="A1" t="s">
        <v>12</v>
      </c>
      <c r="B1" t="s">
        <v>0</v>
      </c>
      <c r="C1" t="s">
        <v>1</v>
      </c>
      <c r="D1" t="s">
        <v>5</v>
      </c>
      <c r="E1" s="1" t="s">
        <v>2</v>
      </c>
      <c r="F1" s="1" t="s">
        <v>3</v>
      </c>
      <c r="G1" s="1" t="s">
        <v>4</v>
      </c>
      <c r="H1" s="1" t="s">
        <v>6</v>
      </c>
      <c r="I1" s="1" t="s">
        <v>7</v>
      </c>
      <c r="J1" s="1" t="s">
        <v>19</v>
      </c>
      <c r="K1" s="1" t="s">
        <v>8</v>
      </c>
      <c r="L1" s="1" t="s">
        <v>9</v>
      </c>
      <c r="M1" s="1" t="s">
        <v>10</v>
      </c>
      <c r="N1" s="1" t="s">
        <v>11</v>
      </c>
      <c r="O1" s="1" t="s">
        <v>15</v>
      </c>
      <c r="P1" s="1" t="s">
        <v>16</v>
      </c>
      <c r="Q1" s="1" t="s">
        <v>17</v>
      </c>
      <c r="R1" s="1" t="s">
        <v>18</v>
      </c>
    </row>
    <row r="2" spans="1:18" x14ac:dyDescent="0.25">
      <c r="A2" t="s">
        <v>13</v>
      </c>
      <c r="B2">
        <v>42940</v>
      </c>
      <c r="C2">
        <v>3.7</v>
      </c>
      <c r="D2">
        <f>B2/C2</f>
        <v>11605.405405405405</v>
      </c>
      <c r="E2" s="1">
        <f>10.21*D2/1000*5</f>
        <v>592.45594594594604</v>
      </c>
      <c r="F2" s="1">
        <f>0.0095*D2/1000000*5</f>
        <v>5.5125675675675673E-4</v>
      </c>
      <c r="G2" s="1">
        <f>0.0431*D2/1000000*5</f>
        <v>2.5009648648648647E-3</v>
      </c>
      <c r="H2" s="1">
        <f>E2+25*F2+298*G2</f>
        <v>593.21501489459467</v>
      </c>
      <c r="I2">
        <v>2.1</v>
      </c>
      <c r="J2">
        <f>B2*I2</f>
        <v>90174</v>
      </c>
      <c r="K2" s="1">
        <f>1798.8*J2/2204.6/1000*5</f>
        <v>367.87850675859568</v>
      </c>
      <c r="L2" s="1">
        <f>0.172*J2/2204.6/1000*5</f>
        <v>3.5176285947564181E-2</v>
      </c>
      <c r="M2" s="1">
        <f>0.025*J2/2204.6/1000*5</f>
        <v>5.1128322598203747E-3</v>
      </c>
      <c r="N2" s="1">
        <f>K2+25*L2+298*M2</f>
        <v>370.28153792071123</v>
      </c>
      <c r="O2">
        <f>E2-K2</f>
        <v>224.57743918735036</v>
      </c>
      <c r="P2">
        <f t="shared" ref="P2:R2" si="0">F2-L2</f>
        <v>-3.4625029190807427E-2</v>
      </c>
      <c r="Q2">
        <f t="shared" si="0"/>
        <v>-2.6118673949555101E-3</v>
      </c>
      <c r="R2">
        <f t="shared" si="0"/>
        <v>222.93347697388344</v>
      </c>
    </row>
    <row r="3" spans="1:18" x14ac:dyDescent="0.25">
      <c r="A3" t="s">
        <v>14</v>
      </c>
      <c r="B3">
        <v>42940</v>
      </c>
      <c r="C3">
        <v>3.7</v>
      </c>
      <c r="D3">
        <f>B3/C3</f>
        <v>11605.405405405405</v>
      </c>
      <c r="E3" s="1">
        <f>10.21*D3/1000*5</f>
        <v>592.45594594594604</v>
      </c>
      <c r="F3" s="1">
        <f>0.0095*D3/1000000*5</f>
        <v>5.5125675675675673E-4</v>
      </c>
      <c r="G3" s="1">
        <f>0.0431*D3/1000000*5</f>
        <v>2.5009648648648647E-3</v>
      </c>
      <c r="H3" s="1">
        <f>E3+25*F3+298*G3</f>
        <v>593.21501489459467</v>
      </c>
      <c r="I3">
        <v>2.1</v>
      </c>
      <c r="J3">
        <f>B3*I3</f>
        <v>90174</v>
      </c>
      <c r="K3" s="1">
        <f>1636.2*J3/2204.6/1000*5</f>
        <v>334.62464574072396</v>
      </c>
      <c r="L3" s="1">
        <f>0.151*J3/2204.6/1000*5</f>
        <v>3.0881506849315069E-2</v>
      </c>
      <c r="M3" s="1">
        <f>0.022*J3/2204.6/1000*5</f>
        <v>4.4992923886419305E-3</v>
      </c>
      <c r="N3" s="1">
        <f>K3+25*L3+298*M3</f>
        <v>336.73747254377213</v>
      </c>
      <c r="O3">
        <f>E3-K3</f>
        <v>257.83130020522208</v>
      </c>
      <c r="P3">
        <f t="shared" ref="P3" si="1">F3-L3</f>
        <v>-3.0330250092558311E-2</v>
      </c>
      <c r="Q3">
        <f t="shared" ref="Q3" si="2">G3-M3</f>
        <v>-1.9983275237770658E-3</v>
      </c>
      <c r="R3">
        <f t="shared" ref="R3" si="3">H3-N3</f>
        <v>256.47754235082255</v>
      </c>
    </row>
    <row r="4" spans="1:18" x14ac:dyDescent="0.25">
      <c r="A4" t="s">
        <v>20</v>
      </c>
      <c r="E4" s="1">
        <f>E2+E3</f>
        <v>1184.9118918918921</v>
      </c>
      <c r="F4" s="1">
        <f t="shared" ref="F4:R4" si="4">F2+F3</f>
        <v>1.1025135135135135E-3</v>
      </c>
      <c r="G4" s="1">
        <f t="shared" si="4"/>
        <v>5.0019297297297293E-3</v>
      </c>
      <c r="H4" s="1">
        <f t="shared" si="4"/>
        <v>1186.4300297891893</v>
      </c>
      <c r="I4" s="1"/>
      <c r="J4" s="1"/>
      <c r="K4" s="1">
        <f t="shared" si="4"/>
        <v>702.50315249931964</v>
      </c>
      <c r="L4" s="1">
        <f t="shared" si="4"/>
        <v>6.6057792796879247E-2</v>
      </c>
      <c r="M4" s="1">
        <f t="shared" si="4"/>
        <v>9.6121246484623044E-3</v>
      </c>
      <c r="N4" s="1">
        <f t="shared" si="4"/>
        <v>707.01901046448336</v>
      </c>
      <c r="O4" s="1">
        <f t="shared" si="4"/>
        <v>482.40873939257244</v>
      </c>
      <c r="P4" s="1">
        <f t="shared" si="4"/>
        <v>-6.4955279283365738E-2</v>
      </c>
      <c r="Q4" s="1">
        <f t="shared" si="4"/>
        <v>-4.6101949187325759E-3</v>
      </c>
      <c r="R4" s="1">
        <f t="shared" si="4"/>
        <v>479.41101932470599</v>
      </c>
    </row>
    <row r="9" spans="1:18" ht="45" x14ac:dyDescent="0.25">
      <c r="B9" s="1" t="s">
        <v>15</v>
      </c>
      <c r="C9" s="1" t="s">
        <v>16</v>
      </c>
      <c r="D9" s="1" t="s">
        <v>17</v>
      </c>
      <c r="E9" s="1" t="s">
        <v>18</v>
      </c>
    </row>
    <row r="10" spans="1:18" x14ac:dyDescent="0.25">
      <c r="A10" t="s">
        <v>21</v>
      </c>
      <c r="B10" s="2">
        <f>4*O4</f>
        <v>1929.6349575702898</v>
      </c>
      <c r="C10" s="2">
        <f t="shared" ref="C10:E10" si="5">4*P4</f>
        <v>-0.25982111713346295</v>
      </c>
      <c r="D10" s="2">
        <f t="shared" si="5"/>
        <v>-1.8440779674930304E-2</v>
      </c>
      <c r="E10" s="2">
        <f t="shared" si="5"/>
        <v>1917.644077298824</v>
      </c>
    </row>
    <row r="11" spans="1:18" x14ac:dyDescent="0.25">
      <c r="A11" t="s">
        <v>22</v>
      </c>
      <c r="B11" s="2">
        <f>O4*24</f>
        <v>11577.809745421739</v>
      </c>
      <c r="C11" s="2">
        <f t="shared" ref="C11:E11" si="6">P4*24</f>
        <v>-1.5589267028007776</v>
      </c>
      <c r="D11" s="2">
        <f t="shared" si="6"/>
        <v>-0.11064467804958182</v>
      </c>
      <c r="E11" s="2">
        <f t="shared" si="6"/>
        <v>11505.864463792943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DF540-4A6D-40B1-825A-54E56CAFE0DC}">
  <dimension ref="A1:F41"/>
  <sheetViews>
    <sheetView topLeftCell="A9" workbookViewId="0">
      <selection activeCell="F37" sqref="F37"/>
    </sheetView>
  </sheetViews>
  <sheetFormatPr defaultRowHeight="15" x14ac:dyDescent="0.25"/>
  <cols>
    <col min="2" max="2" width="16.5703125" customWidth="1"/>
    <col min="3" max="3" width="11.85546875" customWidth="1"/>
    <col min="4" max="4" width="12.140625" customWidth="1"/>
    <col min="5" max="5" width="17" customWidth="1"/>
    <col min="6" max="6" width="18.5703125" customWidth="1"/>
  </cols>
  <sheetData>
    <row r="1" spans="1:6" ht="30" x14ac:dyDescent="0.25">
      <c r="A1" s="3" t="s">
        <v>24</v>
      </c>
      <c r="B1" s="4" t="s">
        <v>26</v>
      </c>
      <c r="C1" t="s">
        <v>25</v>
      </c>
      <c r="D1" s="1" t="s">
        <v>29</v>
      </c>
      <c r="E1" s="1" t="s">
        <v>30</v>
      </c>
      <c r="F1" s="1" t="s">
        <v>31</v>
      </c>
    </row>
    <row r="2" spans="1:6" x14ac:dyDescent="0.25">
      <c r="A2" s="3">
        <v>1982</v>
      </c>
      <c r="B2">
        <v>2042610.1265551001</v>
      </c>
      <c r="C2">
        <f>B2/B$37</f>
        <v>1.9638800873537195E-2</v>
      </c>
      <c r="D2" s="5">
        <v>0.69899999999999995</v>
      </c>
      <c r="E2" s="5">
        <v>0.95</v>
      </c>
      <c r="F2">
        <f>C2*D2*E2</f>
        <v>1.3041145720072374E-2</v>
      </c>
    </row>
    <row r="3" spans="1:6" x14ac:dyDescent="0.25">
      <c r="A3" s="3">
        <v>1990</v>
      </c>
      <c r="B3">
        <v>221124.8022563</v>
      </c>
      <c r="C3">
        <f t="shared" ref="C3:C36" si="0">B3/B$37</f>
        <v>2.1260180311725389E-3</v>
      </c>
      <c r="D3" s="5">
        <v>0.86199999999999999</v>
      </c>
      <c r="E3" s="5">
        <v>0.95</v>
      </c>
      <c r="F3">
        <f t="shared" ref="F3:F36" si="1">C3*D3*E3</f>
        <v>1.740996165727192E-3</v>
      </c>
    </row>
    <row r="4" spans="1:6" x14ac:dyDescent="0.25">
      <c r="A4" s="3">
        <v>1991</v>
      </c>
      <c r="B4">
        <v>330136.37951539998</v>
      </c>
      <c r="C4">
        <f t="shared" si="0"/>
        <v>3.1741165551489544E-3</v>
      </c>
      <c r="D4" s="5">
        <v>0.86899999999999999</v>
      </c>
      <c r="E4" s="5">
        <v>0.95</v>
      </c>
      <c r="F4">
        <f t="shared" si="1"/>
        <v>2.620391922103219E-3</v>
      </c>
    </row>
    <row r="5" spans="1:6" x14ac:dyDescent="0.25">
      <c r="A5" s="3">
        <v>1992</v>
      </c>
      <c r="B5">
        <v>251537.8983655</v>
      </c>
      <c r="C5">
        <f t="shared" si="0"/>
        <v>2.4184266169674433E-3</v>
      </c>
      <c r="D5" s="5">
        <v>0.88200000000000001</v>
      </c>
      <c r="E5" s="5">
        <v>0.95</v>
      </c>
      <c r="F5">
        <f t="shared" si="1"/>
        <v>2.0263996623570207E-3</v>
      </c>
    </row>
    <row r="6" spans="1:6" x14ac:dyDescent="0.25">
      <c r="A6" s="3">
        <v>1993</v>
      </c>
      <c r="B6">
        <v>243970.18342069999</v>
      </c>
      <c r="C6">
        <f t="shared" si="0"/>
        <v>2.3456663555076265E-3</v>
      </c>
      <c r="D6" s="5">
        <v>0.89700000000000002</v>
      </c>
      <c r="E6" s="5">
        <v>0.95</v>
      </c>
      <c r="F6">
        <f t="shared" si="1"/>
        <v>1.9988595848458241E-3</v>
      </c>
    </row>
    <row r="7" spans="1:6" x14ac:dyDescent="0.25">
      <c r="A7" s="3">
        <v>1994</v>
      </c>
      <c r="B7">
        <v>310218.06156532001</v>
      </c>
      <c r="C7">
        <f t="shared" si="0"/>
        <v>2.9826106603763965E-3</v>
      </c>
      <c r="D7" s="5">
        <v>0.92200000000000004</v>
      </c>
      <c r="E7" s="5">
        <v>0.95</v>
      </c>
      <c r="F7">
        <f t="shared" si="1"/>
        <v>2.6124686774236855E-3</v>
      </c>
    </row>
    <row r="8" spans="1:6" x14ac:dyDescent="0.25">
      <c r="A8" s="3">
        <v>1995</v>
      </c>
      <c r="B8">
        <v>326571.34789939999</v>
      </c>
      <c r="C8">
        <f t="shared" si="0"/>
        <v>3.1398403390936829E-3</v>
      </c>
      <c r="D8" s="5">
        <v>0.93400000000000005</v>
      </c>
      <c r="E8" s="5">
        <v>0.95</v>
      </c>
      <c r="F8">
        <f t="shared" si="1"/>
        <v>2.7859803328778247E-3</v>
      </c>
    </row>
    <row r="9" spans="1:6" x14ac:dyDescent="0.25">
      <c r="A9" s="3">
        <v>1996</v>
      </c>
      <c r="B9">
        <v>641832.56187650003</v>
      </c>
      <c r="C9">
        <f t="shared" si="0"/>
        <v>6.1709386989592047E-3</v>
      </c>
      <c r="D9" s="5">
        <v>0.94799999999999995</v>
      </c>
      <c r="E9" s="5">
        <v>0.95</v>
      </c>
      <c r="F9">
        <f t="shared" si="1"/>
        <v>5.557547392282659E-3</v>
      </c>
    </row>
    <row r="10" spans="1:6" x14ac:dyDescent="0.25">
      <c r="A10" s="3">
        <v>1997</v>
      </c>
      <c r="B10">
        <v>523779.33450380003</v>
      </c>
      <c r="C10">
        <f t="shared" si="0"/>
        <v>5.0359086730575259E-3</v>
      </c>
      <c r="D10" s="5">
        <v>0.96299999999999997</v>
      </c>
      <c r="E10" s="5">
        <v>0.95</v>
      </c>
      <c r="F10">
        <f t="shared" si="1"/>
        <v>4.6071010495466773E-3</v>
      </c>
    </row>
    <row r="11" spans="1:6" x14ac:dyDescent="0.25">
      <c r="A11" s="3">
        <v>1998</v>
      </c>
      <c r="B11">
        <v>574991.78734010004</v>
      </c>
      <c r="C11">
        <f t="shared" si="0"/>
        <v>5.5282939552130242E-3</v>
      </c>
      <c r="D11" s="5">
        <v>0.97699999999999998</v>
      </c>
      <c r="E11" s="5">
        <v>0.95</v>
      </c>
      <c r="F11">
        <f t="shared" si="1"/>
        <v>5.1310860345309683E-3</v>
      </c>
    </row>
    <row r="12" spans="1:6" x14ac:dyDescent="0.25">
      <c r="A12" s="3">
        <v>1999</v>
      </c>
      <c r="B12">
        <v>787391.61445539992</v>
      </c>
      <c r="C12">
        <f t="shared" si="0"/>
        <v>7.5704251754895235E-3</v>
      </c>
      <c r="D12" s="5">
        <v>0.98</v>
      </c>
      <c r="E12" s="5">
        <v>0.95</v>
      </c>
      <c r="F12">
        <f t="shared" si="1"/>
        <v>7.048065838380746E-3</v>
      </c>
    </row>
    <row r="13" spans="1:6" x14ac:dyDescent="0.25">
      <c r="A13" s="3">
        <v>2000</v>
      </c>
      <c r="B13">
        <v>1611303.0245596601</v>
      </c>
      <c r="C13">
        <f t="shared" si="0"/>
        <v>1.5491972175631809E-2</v>
      </c>
      <c r="D13" s="5">
        <v>0.98</v>
      </c>
      <c r="E13" s="5">
        <v>0.95</v>
      </c>
      <c r="F13">
        <f t="shared" si="1"/>
        <v>1.4423026095513214E-2</v>
      </c>
    </row>
    <row r="14" spans="1:6" x14ac:dyDescent="0.25">
      <c r="A14" s="3">
        <v>2001</v>
      </c>
      <c r="B14">
        <v>1480673.0452431999</v>
      </c>
      <c r="C14">
        <f t="shared" si="0"/>
        <v>1.4236022193519037E-2</v>
      </c>
      <c r="D14" s="5">
        <v>0.98</v>
      </c>
      <c r="E14" s="5">
        <v>0.95</v>
      </c>
      <c r="F14">
        <f t="shared" si="1"/>
        <v>1.3253736662166223E-2</v>
      </c>
    </row>
    <row r="15" spans="1:6" x14ac:dyDescent="0.25">
      <c r="A15" s="3">
        <v>2002</v>
      </c>
      <c r="B15">
        <v>1907371.6690573001</v>
      </c>
      <c r="C15">
        <f t="shared" si="0"/>
        <v>1.8338542394097032E-2</v>
      </c>
      <c r="D15" s="5">
        <v>0.98</v>
      </c>
      <c r="E15" s="5">
        <v>0.95</v>
      </c>
      <c r="F15">
        <f t="shared" si="1"/>
        <v>1.7073182968904334E-2</v>
      </c>
    </row>
    <row r="16" spans="1:6" x14ac:dyDescent="0.25">
      <c r="A16" s="3">
        <v>2003</v>
      </c>
      <c r="B16">
        <v>2374175.7776366002</v>
      </c>
      <c r="C16">
        <f t="shared" si="0"/>
        <v>2.2826659248192445E-2</v>
      </c>
      <c r="D16" s="5">
        <v>0.98</v>
      </c>
      <c r="E16" s="5">
        <v>0.95</v>
      </c>
      <c r="F16">
        <f t="shared" si="1"/>
        <v>2.1251619760067165E-2</v>
      </c>
    </row>
    <row r="17" spans="1:6" x14ac:dyDescent="0.25">
      <c r="A17" s="3">
        <v>2004</v>
      </c>
      <c r="B17">
        <v>3292860.4133195002</v>
      </c>
      <c r="C17">
        <f t="shared" si="0"/>
        <v>3.1659409263087593E-2</v>
      </c>
      <c r="D17" s="5">
        <v>0.98</v>
      </c>
      <c r="E17" s="5">
        <v>0.95</v>
      </c>
      <c r="F17">
        <f t="shared" si="1"/>
        <v>2.9474910023934545E-2</v>
      </c>
    </row>
    <row r="18" spans="1:6" x14ac:dyDescent="0.25">
      <c r="A18" s="3">
        <v>2005</v>
      </c>
      <c r="B18">
        <v>2841428.1910866001</v>
      </c>
      <c r="C18">
        <f t="shared" si="0"/>
        <v>2.7319086357079927E-2</v>
      </c>
      <c r="D18" s="5">
        <v>0.98</v>
      </c>
      <c r="E18" s="5">
        <v>0.95</v>
      </c>
      <c r="F18">
        <f t="shared" si="1"/>
        <v>2.5434069398441412E-2</v>
      </c>
    </row>
    <row r="19" spans="1:6" x14ac:dyDescent="0.25">
      <c r="A19" s="3">
        <v>2006</v>
      </c>
      <c r="B19">
        <v>3080521.6889160788</v>
      </c>
      <c r="C19">
        <f t="shared" si="0"/>
        <v>2.9617865518597984E-2</v>
      </c>
      <c r="D19" s="5">
        <v>0.98</v>
      </c>
      <c r="E19" s="5">
        <v>0.96</v>
      </c>
      <c r="F19">
        <f t="shared" si="1"/>
        <v>2.7864487879896982E-2</v>
      </c>
    </row>
    <row r="20" spans="1:6" x14ac:dyDescent="0.25">
      <c r="A20" s="3">
        <v>2007</v>
      </c>
      <c r="B20">
        <v>3983926.1890499098</v>
      </c>
      <c r="C20">
        <f t="shared" si="0"/>
        <v>3.8303703729097589E-2</v>
      </c>
      <c r="D20" s="5">
        <v>0.98</v>
      </c>
      <c r="E20" s="5">
        <v>0.96</v>
      </c>
      <c r="F20">
        <f t="shared" si="1"/>
        <v>3.6036124468335012E-2</v>
      </c>
    </row>
    <row r="21" spans="1:6" x14ac:dyDescent="0.25">
      <c r="A21" s="3">
        <v>2008</v>
      </c>
      <c r="B21">
        <v>4406152.6708255196</v>
      </c>
      <c r="C21">
        <f t="shared" si="0"/>
        <v>4.2363226244591053E-2</v>
      </c>
      <c r="D21" s="5">
        <v>0.98</v>
      </c>
      <c r="E21" s="5">
        <v>0.96</v>
      </c>
      <c r="F21">
        <f t="shared" si="1"/>
        <v>3.9855323250911255E-2</v>
      </c>
    </row>
    <row r="22" spans="1:6" x14ac:dyDescent="0.25">
      <c r="A22" s="3">
        <v>2009</v>
      </c>
      <c r="B22">
        <v>3505139.5550738489</v>
      </c>
      <c r="C22">
        <f t="shared" si="0"/>
        <v>3.3700380146527778E-2</v>
      </c>
      <c r="D22" s="5">
        <v>0.98</v>
      </c>
      <c r="E22" s="5">
        <v>0.96</v>
      </c>
      <c r="F22">
        <f t="shared" si="1"/>
        <v>3.1705317641853331E-2</v>
      </c>
    </row>
    <row r="23" spans="1:6" x14ac:dyDescent="0.25">
      <c r="A23" s="3">
        <v>2010</v>
      </c>
      <c r="B23">
        <v>4249542.1110289805</v>
      </c>
      <c r="C23">
        <f t="shared" si="0"/>
        <v>4.0857484371214288E-2</v>
      </c>
      <c r="D23" s="5">
        <v>0.98</v>
      </c>
      <c r="E23" s="5">
        <v>0.96</v>
      </c>
      <c r="F23">
        <f t="shared" si="1"/>
        <v>3.8438721296438397E-2</v>
      </c>
    </row>
    <row r="24" spans="1:6" x14ac:dyDescent="0.25">
      <c r="A24" s="3">
        <v>2011</v>
      </c>
      <c r="B24">
        <v>4823113.3085022392</v>
      </c>
      <c r="C24">
        <f t="shared" si="0"/>
        <v>4.6372119977653281E-2</v>
      </c>
      <c r="D24" s="5">
        <v>0.98</v>
      </c>
      <c r="E24" s="5">
        <v>0.98</v>
      </c>
      <c r="F24">
        <f t="shared" si="1"/>
        <v>4.4535784026538211E-2</v>
      </c>
    </row>
    <row r="25" spans="1:6" x14ac:dyDescent="0.25">
      <c r="A25" s="3">
        <v>2012</v>
      </c>
      <c r="B25">
        <v>5656811.8615753893</v>
      </c>
      <c r="C25">
        <f t="shared" si="0"/>
        <v>5.4387766066695625E-2</v>
      </c>
      <c r="D25" s="5">
        <v>0.98</v>
      </c>
      <c r="E25" s="5">
        <v>0.98</v>
      </c>
      <c r="F25">
        <f t="shared" si="1"/>
        <v>5.2234010530454476E-2</v>
      </c>
    </row>
    <row r="26" spans="1:6" x14ac:dyDescent="0.25">
      <c r="A26" s="3">
        <v>2013</v>
      </c>
      <c r="B26">
        <v>6487791.6626536297</v>
      </c>
      <c r="C26">
        <f t="shared" si="0"/>
        <v>6.2377272547225103E-2</v>
      </c>
      <c r="D26" s="5">
        <v>0.98</v>
      </c>
      <c r="E26" s="5">
        <v>0.98</v>
      </c>
      <c r="F26">
        <f t="shared" si="1"/>
        <v>5.9907132554354987E-2</v>
      </c>
    </row>
    <row r="27" spans="1:6" x14ac:dyDescent="0.25">
      <c r="A27" s="3">
        <v>2014</v>
      </c>
      <c r="B27">
        <v>6880309.3426139699</v>
      </c>
      <c r="C27">
        <f t="shared" si="0"/>
        <v>6.6151157957792694E-2</v>
      </c>
      <c r="D27" s="5">
        <v>0.98</v>
      </c>
      <c r="E27" s="5">
        <v>0.98</v>
      </c>
      <c r="F27">
        <f t="shared" si="1"/>
        <v>6.3531572102664094E-2</v>
      </c>
    </row>
    <row r="28" spans="1:6" x14ac:dyDescent="0.25">
      <c r="A28" s="3">
        <v>2015</v>
      </c>
      <c r="B28">
        <v>7660912.6903799018</v>
      </c>
      <c r="C28">
        <f t="shared" si="0"/>
        <v>7.3656316925082344E-2</v>
      </c>
      <c r="D28" s="5">
        <v>0.98</v>
      </c>
      <c r="E28" s="5">
        <v>0.98</v>
      </c>
      <c r="F28">
        <f t="shared" si="1"/>
        <v>7.0739526774849085E-2</v>
      </c>
    </row>
    <row r="29" spans="1:6" x14ac:dyDescent="0.25">
      <c r="A29" s="3">
        <v>2016</v>
      </c>
      <c r="B29">
        <v>6322433.24422637</v>
      </c>
      <c r="C29">
        <f t="shared" si="0"/>
        <v>6.0787423848230909E-2</v>
      </c>
      <c r="D29" s="5">
        <v>0.98</v>
      </c>
      <c r="E29" s="5">
        <v>0.99</v>
      </c>
      <c r="F29">
        <f t="shared" si="1"/>
        <v>5.8975958617553628E-2</v>
      </c>
    </row>
    <row r="30" spans="1:6" x14ac:dyDescent="0.25">
      <c r="A30" s="3">
        <v>2017</v>
      </c>
      <c r="B30">
        <v>6706852.8071406996</v>
      </c>
      <c r="C30">
        <f t="shared" si="0"/>
        <v>6.448344941366721E-2</v>
      </c>
      <c r="D30" s="5">
        <v>0.98</v>
      </c>
      <c r="E30" s="5">
        <v>0.99</v>
      </c>
      <c r="F30">
        <f t="shared" si="1"/>
        <v>6.2561842621139924E-2</v>
      </c>
    </row>
    <row r="31" spans="1:6" x14ac:dyDescent="0.25">
      <c r="A31" s="3">
        <v>2018</v>
      </c>
      <c r="B31">
        <v>5494922.1524954</v>
      </c>
      <c r="C31">
        <f t="shared" si="0"/>
        <v>5.2831267487371159E-2</v>
      </c>
      <c r="D31" s="5">
        <v>0.98</v>
      </c>
      <c r="E31" s="5">
        <v>0.99</v>
      </c>
      <c r="F31">
        <f t="shared" si="1"/>
        <v>5.1256895716247496E-2</v>
      </c>
    </row>
    <row r="32" spans="1:6" x14ac:dyDescent="0.25">
      <c r="A32" s="3">
        <v>2019</v>
      </c>
      <c r="B32">
        <v>5331789.2924980996</v>
      </c>
      <c r="C32">
        <f t="shared" si="0"/>
        <v>5.1262816556982033E-2</v>
      </c>
      <c r="D32" s="5">
        <v>0.98</v>
      </c>
      <c r="E32" s="5">
        <v>0.99</v>
      </c>
      <c r="F32">
        <f t="shared" si="1"/>
        <v>4.9735184623583971E-2</v>
      </c>
    </row>
    <row r="33" spans="1:6" x14ac:dyDescent="0.25">
      <c r="A33" s="3">
        <v>2020</v>
      </c>
      <c r="B33">
        <v>3535324.2286093002</v>
      </c>
      <c r="C33">
        <f t="shared" si="0"/>
        <v>3.3990592549417997E-2</v>
      </c>
      <c r="D33" s="5">
        <v>0.98</v>
      </c>
      <c r="E33" s="5">
        <v>1</v>
      </c>
      <c r="F33">
        <f t="shared" si="1"/>
        <v>3.3310780698429639E-2</v>
      </c>
    </row>
    <row r="34" spans="1:6" x14ac:dyDescent="0.25">
      <c r="A34" s="3">
        <v>2021</v>
      </c>
      <c r="B34">
        <v>3232962.7435819008</v>
      </c>
      <c r="C34">
        <f t="shared" si="0"/>
        <v>3.1083519428080512E-2</v>
      </c>
      <c r="D34" s="5">
        <v>0.98</v>
      </c>
      <c r="E34" s="5">
        <v>1</v>
      </c>
      <c r="F34">
        <f t="shared" si="1"/>
        <v>3.0461849039518901E-2</v>
      </c>
    </row>
    <row r="35" spans="1:6" x14ac:dyDescent="0.25">
      <c r="A35" s="3">
        <v>2022</v>
      </c>
      <c r="B35">
        <v>2708317.9622312998</v>
      </c>
      <c r="C35">
        <f t="shared" si="0"/>
        <v>2.6039289863008405E-2</v>
      </c>
      <c r="D35" s="5">
        <v>0.98</v>
      </c>
      <c r="E35" s="5">
        <v>1</v>
      </c>
      <c r="F35">
        <f t="shared" si="1"/>
        <v>2.5518504065748238E-2</v>
      </c>
    </row>
    <row r="36" spans="1:6" x14ac:dyDescent="0.25">
      <c r="A36" s="3">
        <v>2023</v>
      </c>
      <c r="B36">
        <v>180102.83524320001</v>
      </c>
      <c r="C36">
        <f t="shared" si="0"/>
        <v>1.7316098026332145E-3</v>
      </c>
      <c r="D36" s="5">
        <v>0.98</v>
      </c>
      <c r="E36" s="5">
        <v>1</v>
      </c>
      <c r="F36">
        <f t="shared" si="1"/>
        <v>1.6969776065805502E-3</v>
      </c>
    </row>
    <row r="37" spans="1:6" x14ac:dyDescent="0.25">
      <c r="A37" s="3" t="s">
        <v>23</v>
      </c>
      <c r="B37">
        <v>104008902.5653021</v>
      </c>
      <c r="F37" s="6">
        <f>SUM(F2:F36)</f>
        <v>0.94844658080427324</v>
      </c>
    </row>
    <row r="40" spans="1:6" x14ac:dyDescent="0.25">
      <c r="A40" t="s">
        <v>27</v>
      </c>
    </row>
    <row r="41" spans="1:6" x14ac:dyDescent="0.25">
      <c r="A41" t="s">
        <v>28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BBA611-FAA5-42F9-B125-016701824B33}">
  <dimension ref="A1:P13"/>
  <sheetViews>
    <sheetView workbookViewId="0">
      <selection activeCell="H5" sqref="H5"/>
    </sheetView>
  </sheetViews>
  <sheetFormatPr defaultRowHeight="15" x14ac:dyDescent="0.25"/>
  <cols>
    <col min="1" max="1" width="16.140625" customWidth="1"/>
    <col min="2" max="13" width="11.28515625" customWidth="1"/>
  </cols>
  <sheetData>
    <row r="1" spans="1:16" x14ac:dyDescent="0.25">
      <c r="B1" t="s">
        <v>32</v>
      </c>
      <c r="C1" t="s">
        <v>33</v>
      </c>
      <c r="D1" t="s">
        <v>34</v>
      </c>
      <c r="E1" t="s">
        <v>35</v>
      </c>
      <c r="F1" t="s">
        <v>36</v>
      </c>
      <c r="G1" t="s">
        <v>37</v>
      </c>
      <c r="H1" t="s">
        <v>38</v>
      </c>
      <c r="I1" t="s">
        <v>39</v>
      </c>
      <c r="J1" t="s">
        <v>40</v>
      </c>
      <c r="K1" t="s">
        <v>41</v>
      </c>
      <c r="L1" t="s">
        <v>42</v>
      </c>
      <c r="M1" t="s">
        <v>43</v>
      </c>
      <c r="P1" t="s">
        <v>52</v>
      </c>
    </row>
    <row r="2" spans="1:16" x14ac:dyDescent="0.25">
      <c r="A2" t="s">
        <v>44</v>
      </c>
      <c r="B2">
        <v>31.4</v>
      </c>
      <c r="C2">
        <v>34.700000000000003</v>
      </c>
      <c r="D2">
        <v>43.6</v>
      </c>
      <c r="E2">
        <v>54.6</v>
      </c>
      <c r="F2">
        <v>64.099999999999994</v>
      </c>
      <c r="G2">
        <v>72.3</v>
      </c>
      <c r="H2">
        <v>75.900000000000006</v>
      </c>
      <c r="I2">
        <v>74.900000000000006</v>
      </c>
      <c r="J2">
        <v>68.099999999999994</v>
      </c>
      <c r="K2">
        <v>56.2</v>
      </c>
      <c r="L2">
        <v>44.4</v>
      </c>
      <c r="M2">
        <v>35.6</v>
      </c>
      <c r="P2">
        <v>0.94844658080427324</v>
      </c>
    </row>
    <row r="3" spans="1:16" x14ac:dyDescent="0.25">
      <c r="A3" t="s">
        <v>46</v>
      </c>
      <c r="B3">
        <v>73</v>
      </c>
      <c r="C3">
        <v>70</v>
      </c>
      <c r="D3">
        <v>66</v>
      </c>
      <c r="E3">
        <v>66</v>
      </c>
      <c r="F3">
        <v>72</v>
      </c>
      <c r="G3">
        <v>74</v>
      </c>
      <c r="H3">
        <v>74</v>
      </c>
      <c r="I3">
        <v>74</v>
      </c>
      <c r="J3">
        <v>74</v>
      </c>
      <c r="K3">
        <v>73</v>
      </c>
      <c r="L3">
        <v>72</v>
      </c>
      <c r="M3">
        <v>75</v>
      </c>
    </row>
    <row r="4" spans="1:16" x14ac:dyDescent="0.25">
      <c r="A4" t="s">
        <v>48</v>
      </c>
      <c r="B4">
        <f>0.5*(B2+61+1.2*(B2-68)+B3*0.094)</f>
        <v>27.671000000000003</v>
      </c>
      <c r="C4">
        <f t="shared" ref="C4:M4" si="0">0.5*(C2+61+1.2*(C2-68)+C3*0.094)</f>
        <v>31.160000000000004</v>
      </c>
      <c r="D4">
        <f t="shared" si="0"/>
        <v>40.761999999999993</v>
      </c>
      <c r="E4">
        <f t="shared" si="0"/>
        <v>52.861999999999995</v>
      </c>
      <c r="F4">
        <f t="shared" si="0"/>
        <v>63.593999999999994</v>
      </c>
      <c r="G4">
        <f t="shared" si="0"/>
        <v>72.707999999999998</v>
      </c>
      <c r="H4">
        <f t="shared" si="0"/>
        <v>76.668000000000006</v>
      </c>
      <c r="I4">
        <f t="shared" si="0"/>
        <v>75.567999999999998</v>
      </c>
      <c r="J4">
        <f t="shared" si="0"/>
        <v>68.087999999999994</v>
      </c>
      <c r="K4">
        <f t="shared" si="0"/>
        <v>54.951000000000001</v>
      </c>
      <c r="L4">
        <f t="shared" si="0"/>
        <v>41.924000000000007</v>
      </c>
      <c r="M4">
        <f t="shared" si="0"/>
        <v>32.384999999999998</v>
      </c>
    </row>
    <row r="5" spans="1:16" x14ac:dyDescent="0.25">
      <c r="A5" t="s">
        <v>50</v>
      </c>
      <c r="B5">
        <f>MAX(0,-3.63154+0.072465*B4-0.000276*B4^2)*$P2</f>
        <v>0</v>
      </c>
      <c r="C5">
        <f>MAX(0,-3.63154+0.072465*C4-0.000276*C4^2)*$P2</f>
        <v>0</v>
      </c>
      <c r="D5">
        <f t="shared" ref="D5:M5" si="1">MAX(0,-3.63154+0.072465*D4-0.000276*D4^2)*$P2</f>
        <v>0</v>
      </c>
      <c r="E5">
        <f t="shared" si="1"/>
        <v>0</v>
      </c>
      <c r="F5">
        <f t="shared" si="1"/>
        <v>0</v>
      </c>
      <c r="G5">
        <f t="shared" si="1"/>
        <v>0.16899811854816033</v>
      </c>
      <c r="H5">
        <f t="shared" si="1"/>
        <v>0.28632039820276473</v>
      </c>
      <c r="I5">
        <f t="shared" si="1"/>
        <v>0.2545544084488115</v>
      </c>
      <c r="J5">
        <f t="shared" si="1"/>
        <v>2.1745617726480527E-2</v>
      </c>
      <c r="K5">
        <f t="shared" si="1"/>
        <v>0</v>
      </c>
      <c r="L5">
        <f t="shared" si="1"/>
        <v>0</v>
      </c>
      <c r="M5">
        <f t="shared" si="1"/>
        <v>0</v>
      </c>
    </row>
    <row r="10" spans="1:16" x14ac:dyDescent="0.25">
      <c r="A10" t="s">
        <v>45</v>
      </c>
    </row>
    <row r="11" spans="1:16" x14ac:dyDescent="0.25">
      <c r="A11" t="s">
        <v>47</v>
      </c>
    </row>
    <row r="12" spans="1:16" x14ac:dyDescent="0.25">
      <c r="A12" t="s">
        <v>49</v>
      </c>
    </row>
    <row r="13" spans="1:16" x14ac:dyDescent="0.25">
      <c r="A13" t="s">
        <v>51</v>
      </c>
    </row>
  </sheetData>
  <phoneticPr fontId="4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DF4314-392B-4BB5-B644-771F113EB86D}">
  <dimension ref="A1:B30"/>
  <sheetViews>
    <sheetView workbookViewId="0">
      <selection activeCell="B26" sqref="B26"/>
    </sheetView>
  </sheetViews>
  <sheetFormatPr defaultRowHeight="15" x14ac:dyDescent="0.25"/>
  <sheetData>
    <row r="1" spans="1:2" x14ac:dyDescent="0.25">
      <c r="A1" s="11" t="s">
        <v>59</v>
      </c>
      <c r="B1" t="s">
        <v>60</v>
      </c>
    </row>
    <row r="2" spans="1:2" x14ac:dyDescent="0.25">
      <c r="A2" s="11">
        <v>0</v>
      </c>
      <c r="B2" s="11">
        <v>1.3420000000000001</v>
      </c>
    </row>
    <row r="3" spans="1:2" x14ac:dyDescent="0.25">
      <c r="A3" s="11">
        <v>1</v>
      </c>
      <c r="B3" s="11">
        <v>1.365</v>
      </c>
    </row>
    <row r="4" spans="1:2" x14ac:dyDescent="0.25">
      <c r="A4" s="11">
        <v>11</v>
      </c>
      <c r="B4" s="11">
        <v>1.3140000000000001</v>
      </c>
    </row>
    <row r="5" spans="1:2" x14ac:dyDescent="0.25">
      <c r="A5" s="11">
        <v>12</v>
      </c>
      <c r="B5" s="11">
        <v>1.254</v>
      </c>
    </row>
    <row r="6" spans="1:2" x14ac:dyDescent="0.25">
      <c r="A6" s="11">
        <v>13</v>
      </c>
      <c r="B6" s="11">
        <v>1.1870000000000001</v>
      </c>
    </row>
    <row r="7" spans="1:2" x14ac:dyDescent="0.25">
      <c r="A7" s="11">
        <v>14</v>
      </c>
      <c r="B7" s="11">
        <v>1.1659999999999999</v>
      </c>
    </row>
    <row r="8" spans="1:2" x14ac:dyDescent="0.25">
      <c r="A8" s="11">
        <v>15</v>
      </c>
      <c r="B8" s="11">
        <v>1.1539999999999999</v>
      </c>
    </row>
    <row r="9" spans="1:2" x14ac:dyDescent="0.25">
      <c r="A9" s="11">
        <v>16</v>
      </c>
      <c r="B9" s="11">
        <v>1.1279999999999999</v>
      </c>
    </row>
    <row r="10" spans="1:2" x14ac:dyDescent="0.25">
      <c r="A10" s="11">
        <v>21</v>
      </c>
      <c r="B10" s="11">
        <v>1.294</v>
      </c>
    </row>
    <row r="11" spans="1:2" x14ac:dyDescent="0.25">
      <c r="A11" s="11">
        <v>22</v>
      </c>
      <c r="B11" s="11">
        <v>1.2230000000000001</v>
      </c>
    </row>
    <row r="12" spans="1:2" x14ac:dyDescent="0.25">
      <c r="A12" s="11">
        <v>23</v>
      </c>
      <c r="B12" s="11">
        <v>1.1870000000000001</v>
      </c>
    </row>
    <row r="13" spans="1:2" x14ac:dyDescent="0.25">
      <c r="A13" s="11">
        <v>24</v>
      </c>
      <c r="B13" s="11">
        <v>1.167</v>
      </c>
    </row>
    <row r="14" spans="1:2" x14ac:dyDescent="0.25">
      <c r="A14" s="11">
        <v>25</v>
      </c>
      <c r="B14" s="11">
        <v>1.157</v>
      </c>
    </row>
    <row r="15" spans="1:2" x14ac:dyDescent="0.25">
      <c r="A15" s="11">
        <v>26</v>
      </c>
      <c r="B15" s="11">
        <v>1.127</v>
      </c>
    </row>
    <row r="16" spans="1:2" x14ac:dyDescent="0.25">
      <c r="A16" s="11">
        <v>27</v>
      </c>
      <c r="B16" s="11">
        <v>1.127</v>
      </c>
    </row>
    <row r="17" spans="1:2" x14ac:dyDescent="0.25">
      <c r="A17" s="11">
        <v>28</v>
      </c>
      <c r="B17" s="11">
        <v>1.127</v>
      </c>
    </row>
    <row r="18" spans="1:2" x14ac:dyDescent="0.25">
      <c r="A18" s="11">
        <v>29</v>
      </c>
      <c r="B18" s="11">
        <v>1.127</v>
      </c>
    </row>
    <row r="19" spans="1:2" x14ac:dyDescent="0.25">
      <c r="A19" s="11">
        <v>30</v>
      </c>
      <c r="B19" s="11">
        <v>1.294</v>
      </c>
    </row>
    <row r="20" spans="1:2" x14ac:dyDescent="0.25">
      <c r="A20" s="11">
        <v>33</v>
      </c>
      <c r="B20" s="11">
        <v>1.2050000000000001</v>
      </c>
    </row>
    <row r="21" spans="1:2" x14ac:dyDescent="0.25">
      <c r="A21" s="11">
        <v>35</v>
      </c>
      <c r="B21" s="11">
        <v>1.1559999999999999</v>
      </c>
    </row>
    <row r="22" spans="1:2" x14ac:dyDescent="0.25">
      <c r="A22" s="11">
        <v>37</v>
      </c>
      <c r="B22" s="11">
        <v>1.137</v>
      </c>
    </row>
    <row r="23" spans="1:2" x14ac:dyDescent="0.25">
      <c r="A23" s="11">
        <v>38</v>
      </c>
      <c r="B23" s="11">
        <v>1.137</v>
      </c>
    </row>
    <row r="24" spans="1:2" x14ac:dyDescent="0.25">
      <c r="A24" s="11">
        <v>39</v>
      </c>
      <c r="B24" s="11">
        <v>1.137</v>
      </c>
    </row>
    <row r="25" spans="1:2" x14ac:dyDescent="0.25">
      <c r="A25" s="11">
        <v>40</v>
      </c>
      <c r="B25" s="11">
        <v>1.137</v>
      </c>
    </row>
    <row r="26" spans="1:2" x14ac:dyDescent="0.25">
      <c r="B26">
        <f>AVERAGE(B2:B25)</f>
        <v>1.1937083333333334</v>
      </c>
    </row>
    <row r="30" spans="1:2" x14ac:dyDescent="0.25">
      <c r="A30" t="s">
        <v>61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B5EDD5-1531-4485-BD9A-DEA39E9108C0}">
  <dimension ref="A1:J29"/>
  <sheetViews>
    <sheetView workbookViewId="0">
      <selection activeCell="J4" sqref="J4:J28"/>
    </sheetView>
  </sheetViews>
  <sheetFormatPr defaultRowHeight="15" x14ac:dyDescent="0.25"/>
  <cols>
    <col min="2" max="2" width="11" customWidth="1"/>
    <col min="3" max="3" width="12" customWidth="1"/>
    <col min="4" max="4" width="11.28515625" customWidth="1"/>
    <col min="5" max="5" width="11" customWidth="1"/>
    <col min="6" max="6" width="12.140625" customWidth="1"/>
    <col min="7" max="7" width="10.7109375" customWidth="1"/>
    <col min="8" max="8" width="11.140625" customWidth="1"/>
    <col min="9" max="10" width="11.85546875" customWidth="1"/>
  </cols>
  <sheetData>
    <row r="1" spans="1:10" x14ac:dyDescent="0.25">
      <c r="A1" s="19" t="s">
        <v>24</v>
      </c>
      <c r="B1" s="20" t="s">
        <v>62</v>
      </c>
      <c r="C1" s="20"/>
      <c r="D1" s="20"/>
      <c r="E1" s="20"/>
      <c r="F1" s="20"/>
      <c r="G1" s="20"/>
      <c r="H1" s="20"/>
      <c r="I1" s="20"/>
      <c r="J1" s="20"/>
    </row>
    <row r="2" spans="1:10" x14ac:dyDescent="0.25">
      <c r="A2" s="19"/>
      <c r="B2" s="20" t="s">
        <v>53</v>
      </c>
      <c r="C2" s="20"/>
      <c r="D2" s="20"/>
      <c r="E2" s="20" t="s">
        <v>54</v>
      </c>
      <c r="F2" s="20"/>
      <c r="G2" s="20"/>
      <c r="H2" s="20" t="s">
        <v>55</v>
      </c>
      <c r="I2" s="20"/>
      <c r="J2" s="20"/>
    </row>
    <row r="3" spans="1:10" x14ac:dyDescent="0.25">
      <c r="A3" s="19"/>
      <c r="B3" s="12" t="s">
        <v>56</v>
      </c>
      <c r="C3" s="12" t="s">
        <v>57</v>
      </c>
      <c r="D3" s="12" t="s">
        <v>58</v>
      </c>
      <c r="E3" s="12" t="s">
        <v>56</v>
      </c>
      <c r="F3" s="12" t="s">
        <v>57</v>
      </c>
      <c r="G3" s="12" t="s">
        <v>58</v>
      </c>
      <c r="H3" s="12" t="s">
        <v>56</v>
      </c>
      <c r="I3" s="12" t="s">
        <v>57</v>
      </c>
      <c r="J3" s="12" t="s">
        <v>58</v>
      </c>
    </row>
    <row r="4" spans="1:10" x14ac:dyDescent="0.25">
      <c r="A4" s="7">
        <v>2026</v>
      </c>
      <c r="B4" s="8">
        <v>27.1091953</v>
      </c>
      <c r="C4" s="8">
        <v>26.896640100000006</v>
      </c>
      <c r="D4" s="9">
        <v>0.2125551999999935</v>
      </c>
      <c r="E4" s="8">
        <v>17.800962300000002</v>
      </c>
      <c r="F4" s="8">
        <v>17.728219300000003</v>
      </c>
      <c r="G4" s="9">
        <v>7.2742999999999114E-2</v>
      </c>
      <c r="H4" s="8">
        <v>28089.750645</v>
      </c>
      <c r="I4" s="8">
        <v>27867.209543000004</v>
      </c>
      <c r="J4" s="9">
        <v>222.54110199999559</v>
      </c>
    </row>
    <row r="5" spans="1:10" x14ac:dyDescent="0.25">
      <c r="A5" s="13">
        <v>2027</v>
      </c>
      <c r="B5" s="14">
        <v>24.944777275</v>
      </c>
      <c r="C5" s="14">
        <v>24.735166500000005</v>
      </c>
      <c r="D5" s="15">
        <v>0.20961077499999448</v>
      </c>
      <c r="E5" s="14">
        <v>17.077428225000002</v>
      </c>
      <c r="F5" s="14">
        <v>17.002189600000001</v>
      </c>
      <c r="G5" s="15">
        <v>7.5238625000000781E-2</v>
      </c>
      <c r="H5" s="14">
        <v>27383.126008750001</v>
      </c>
      <c r="I5" s="14">
        <v>27147.592990750003</v>
      </c>
      <c r="J5" s="15">
        <v>235.53301799999826</v>
      </c>
    </row>
    <row r="6" spans="1:10" x14ac:dyDescent="0.25">
      <c r="A6" s="13">
        <v>2028</v>
      </c>
      <c r="B6" s="14">
        <v>22.78035925</v>
      </c>
      <c r="C6" s="14">
        <v>22.573692900000005</v>
      </c>
      <c r="D6" s="15">
        <v>0.20666634999999545</v>
      </c>
      <c r="E6" s="14">
        <v>16.353894150000002</v>
      </c>
      <c r="F6" s="14">
        <v>16.276159900000003</v>
      </c>
      <c r="G6" s="15">
        <v>7.7734249999998895E-2</v>
      </c>
      <c r="H6" s="14">
        <v>26676.501372500003</v>
      </c>
      <c r="I6" s="14">
        <v>26427.976438500002</v>
      </c>
      <c r="J6" s="15">
        <v>248.52493400000094</v>
      </c>
    </row>
    <row r="7" spans="1:10" x14ac:dyDescent="0.25">
      <c r="A7" s="13">
        <v>2029</v>
      </c>
      <c r="B7" s="14">
        <v>20.615941225</v>
      </c>
      <c r="C7" s="14">
        <v>20.412219300000004</v>
      </c>
      <c r="D7" s="15">
        <v>0.20372192499999642</v>
      </c>
      <c r="E7" s="14">
        <v>15.630360075</v>
      </c>
      <c r="F7" s="14">
        <v>15.550130200000002</v>
      </c>
      <c r="G7" s="15">
        <v>8.0229874999998785E-2</v>
      </c>
      <c r="H7" s="14">
        <v>25969.87673625</v>
      </c>
      <c r="I7" s="14">
        <v>25708.35988625</v>
      </c>
      <c r="J7" s="15">
        <v>261.51684999999998</v>
      </c>
    </row>
    <row r="8" spans="1:10" x14ac:dyDescent="0.25">
      <c r="A8" s="7">
        <v>2030</v>
      </c>
      <c r="B8" s="8">
        <v>18.4515232</v>
      </c>
      <c r="C8" s="8">
        <v>18.250745700000003</v>
      </c>
      <c r="D8" s="9">
        <v>0.20077749999999739</v>
      </c>
      <c r="E8" s="8">
        <v>14.906826000000001</v>
      </c>
      <c r="F8" s="8">
        <v>14.824100500000002</v>
      </c>
      <c r="G8" s="9">
        <v>8.2725499999998675E-2</v>
      </c>
      <c r="H8" s="8">
        <v>25263.252100000002</v>
      </c>
      <c r="I8" s="8">
        <v>24988.743333999999</v>
      </c>
      <c r="J8" s="9">
        <v>274.50876600000265</v>
      </c>
    </row>
    <row r="9" spans="1:10" x14ac:dyDescent="0.25">
      <c r="A9" s="13">
        <v>2031</v>
      </c>
      <c r="B9" s="14">
        <v>17.533103060000002</v>
      </c>
      <c r="C9" s="14">
        <v>17.342176500000004</v>
      </c>
      <c r="D9" s="15">
        <v>0.19092655999999764</v>
      </c>
      <c r="E9" s="14">
        <v>14.50177124</v>
      </c>
      <c r="F9" s="14">
        <v>14.420612800000002</v>
      </c>
      <c r="G9" s="15">
        <v>8.1158439999997611E-2</v>
      </c>
      <c r="H9" s="14">
        <v>24854.777425200002</v>
      </c>
      <c r="I9" s="14">
        <v>24583.809618599997</v>
      </c>
      <c r="J9" s="15">
        <v>270.96780660000513</v>
      </c>
    </row>
    <row r="10" spans="1:10" x14ac:dyDescent="0.25">
      <c r="A10" s="13">
        <v>2032</v>
      </c>
      <c r="B10" s="14">
        <v>16.61468292</v>
      </c>
      <c r="C10" s="14">
        <v>16.433607300000002</v>
      </c>
      <c r="D10" s="15">
        <v>0.18107561999999788</v>
      </c>
      <c r="E10" s="14">
        <v>14.096716480000001</v>
      </c>
      <c r="F10" s="14">
        <v>14.017125100000001</v>
      </c>
      <c r="G10" s="15">
        <v>7.95913800000001E-2</v>
      </c>
      <c r="H10" s="14">
        <v>24446.302750400002</v>
      </c>
      <c r="I10" s="14">
        <v>24178.875903199998</v>
      </c>
      <c r="J10" s="15">
        <v>267.42684720000398</v>
      </c>
    </row>
    <row r="11" spans="1:10" x14ac:dyDescent="0.25">
      <c r="A11" s="13">
        <v>2033</v>
      </c>
      <c r="B11" s="14">
        <v>15.69626278</v>
      </c>
      <c r="C11" s="14">
        <v>15.525038100000003</v>
      </c>
      <c r="D11" s="15">
        <v>0.17122467999999635</v>
      </c>
      <c r="E11" s="14">
        <v>13.691661720000001</v>
      </c>
      <c r="F11" s="14">
        <v>13.613637400000002</v>
      </c>
      <c r="G11" s="15">
        <v>7.8024319999999037E-2</v>
      </c>
      <c r="H11" s="14">
        <v>24037.828075600002</v>
      </c>
      <c r="I11" s="14">
        <v>23773.942187799999</v>
      </c>
      <c r="J11" s="15">
        <v>263.88588780000282</v>
      </c>
    </row>
    <row r="12" spans="1:10" x14ac:dyDescent="0.25">
      <c r="A12" s="13">
        <v>2034</v>
      </c>
      <c r="B12" s="14">
        <v>14.777842639999999</v>
      </c>
      <c r="C12" s="14">
        <v>14.616468900000003</v>
      </c>
      <c r="D12" s="15">
        <v>0.1613737399999966</v>
      </c>
      <c r="E12" s="14">
        <v>13.28660696</v>
      </c>
      <c r="F12" s="14">
        <v>13.210149700000001</v>
      </c>
      <c r="G12" s="15">
        <v>7.6457259999999749E-2</v>
      </c>
      <c r="H12" s="14">
        <v>23629.353400800002</v>
      </c>
      <c r="I12" s="14">
        <v>23369.008472399997</v>
      </c>
      <c r="J12" s="15">
        <v>260.3449284000053</v>
      </c>
    </row>
    <row r="13" spans="1:10" x14ac:dyDescent="0.25">
      <c r="A13" s="13">
        <v>2035</v>
      </c>
      <c r="B13" s="14">
        <v>13.859422500000001</v>
      </c>
      <c r="C13" s="14">
        <v>13.707899700000002</v>
      </c>
      <c r="D13" s="15">
        <v>0.15152279999999863</v>
      </c>
      <c r="E13" s="14">
        <v>12.881552200000002</v>
      </c>
      <c r="F13" s="14">
        <v>12.806662000000001</v>
      </c>
      <c r="G13" s="15">
        <v>7.4890200000000462E-2</v>
      </c>
      <c r="H13" s="14">
        <v>23220.878726000003</v>
      </c>
      <c r="I13" s="14">
        <v>22964.074756999995</v>
      </c>
      <c r="J13" s="15">
        <v>256.80396900000778</v>
      </c>
    </row>
    <row r="14" spans="1:10" x14ac:dyDescent="0.25">
      <c r="A14" s="13">
        <v>2036</v>
      </c>
      <c r="B14" s="14">
        <v>12.941002359999999</v>
      </c>
      <c r="C14" s="14">
        <v>12.799330500000002</v>
      </c>
      <c r="D14" s="15">
        <v>0.1416718599999971</v>
      </c>
      <c r="E14" s="14">
        <v>12.476497440000001</v>
      </c>
      <c r="F14" s="14">
        <v>12.4031743</v>
      </c>
      <c r="G14" s="15">
        <v>7.3323140000001175E-2</v>
      </c>
      <c r="H14" s="14">
        <v>22812.404051199999</v>
      </c>
      <c r="I14" s="14">
        <v>22559.141041599996</v>
      </c>
      <c r="J14" s="15">
        <v>253.26300960000299</v>
      </c>
    </row>
    <row r="15" spans="1:10" x14ac:dyDescent="0.25">
      <c r="A15" s="13">
        <v>2037</v>
      </c>
      <c r="B15" s="14">
        <v>12.02258222</v>
      </c>
      <c r="C15" s="14">
        <v>11.890761300000001</v>
      </c>
      <c r="D15" s="15">
        <v>0.13182091999999912</v>
      </c>
      <c r="E15" s="14">
        <v>12.071442680000001</v>
      </c>
      <c r="F15" s="14">
        <v>11.9996866</v>
      </c>
      <c r="G15" s="15">
        <v>7.1756080000000111E-2</v>
      </c>
      <c r="H15" s="14">
        <v>22403.929376399999</v>
      </c>
      <c r="I15" s="14">
        <v>22154.207326199998</v>
      </c>
      <c r="J15" s="15">
        <v>249.72205020000183</v>
      </c>
    </row>
    <row r="16" spans="1:10" x14ac:dyDescent="0.25">
      <c r="A16" s="13">
        <v>2038</v>
      </c>
      <c r="B16" s="14">
        <v>11.10416208</v>
      </c>
      <c r="C16" s="14">
        <v>10.982192100000002</v>
      </c>
      <c r="D16" s="15">
        <v>0.12196997999999759</v>
      </c>
      <c r="E16" s="14">
        <v>11.666387920000002</v>
      </c>
      <c r="F16" s="14">
        <v>11.596198900000001</v>
      </c>
      <c r="G16" s="15">
        <v>7.0189020000000824E-2</v>
      </c>
      <c r="H16" s="14">
        <v>21995.4547016</v>
      </c>
      <c r="I16" s="14">
        <v>21749.273610799995</v>
      </c>
      <c r="J16" s="15">
        <v>246.18109080000431</v>
      </c>
    </row>
    <row r="17" spans="1:10" x14ac:dyDescent="0.25">
      <c r="A17" s="13">
        <v>2039</v>
      </c>
      <c r="B17" s="14">
        <v>10.18574194</v>
      </c>
      <c r="C17" s="14">
        <v>10.073622900000002</v>
      </c>
      <c r="D17" s="15">
        <v>0.11211903999999784</v>
      </c>
      <c r="E17" s="14">
        <v>11.26133316</v>
      </c>
      <c r="F17" s="14">
        <v>11.192711200000002</v>
      </c>
      <c r="G17" s="15">
        <v>6.8621959999997983E-2</v>
      </c>
      <c r="H17" s="14">
        <v>21586.9800268</v>
      </c>
      <c r="I17" s="14">
        <v>21344.339895399993</v>
      </c>
      <c r="J17" s="15">
        <v>242.64013140000679</v>
      </c>
    </row>
    <row r="18" spans="1:10" x14ac:dyDescent="0.25">
      <c r="A18" s="7">
        <v>2040</v>
      </c>
      <c r="B18" s="8">
        <v>9.2673217999999995</v>
      </c>
      <c r="C18" s="8">
        <v>9.1650537000000014</v>
      </c>
      <c r="D18" s="9">
        <v>0.10226809999999809</v>
      </c>
      <c r="E18" s="8">
        <v>10.856278400000001</v>
      </c>
      <c r="F18" s="8">
        <v>10.7892235</v>
      </c>
      <c r="G18" s="9">
        <v>6.7054900000000472E-2</v>
      </c>
      <c r="H18" s="8">
        <v>21178.505352</v>
      </c>
      <c r="I18" s="8">
        <v>20939.406179999994</v>
      </c>
      <c r="J18" s="9">
        <v>239.09917200000564</v>
      </c>
    </row>
    <row r="19" spans="1:10" x14ac:dyDescent="0.25">
      <c r="A19" s="13">
        <v>2041</v>
      </c>
      <c r="B19" s="14">
        <v>9.118185669999999</v>
      </c>
      <c r="C19" s="14">
        <v>9.0193107400000017</v>
      </c>
      <c r="D19" s="15">
        <v>9.8874929999997363E-2</v>
      </c>
      <c r="E19" s="14">
        <v>10.697248870000001</v>
      </c>
      <c r="F19" s="14">
        <v>10.63150154</v>
      </c>
      <c r="G19" s="15">
        <v>6.5747330000000659E-2</v>
      </c>
      <c r="H19" s="14">
        <v>21168.416600699999</v>
      </c>
      <c r="I19" s="14">
        <v>20931.558837999997</v>
      </c>
      <c r="J19" s="15">
        <v>236.85776270000133</v>
      </c>
    </row>
    <row r="20" spans="1:10" x14ac:dyDescent="0.25">
      <c r="A20" s="13">
        <v>2042</v>
      </c>
      <c r="B20" s="14">
        <v>8.9690495400000003</v>
      </c>
      <c r="C20" s="14">
        <v>8.8735677800000019</v>
      </c>
      <c r="D20" s="15">
        <v>9.5481759999998417E-2</v>
      </c>
      <c r="E20" s="14">
        <v>10.538219340000001</v>
      </c>
      <c r="F20" s="14">
        <v>10.47377958</v>
      </c>
      <c r="G20" s="15">
        <v>6.4439760000000845E-2</v>
      </c>
      <c r="H20" s="14">
        <v>21158.327849400001</v>
      </c>
      <c r="I20" s="14">
        <v>20923.711495999996</v>
      </c>
      <c r="J20" s="15">
        <v>234.6163534000043</v>
      </c>
    </row>
    <row r="21" spans="1:10" x14ac:dyDescent="0.25">
      <c r="A21" s="13">
        <v>2043</v>
      </c>
      <c r="B21" s="14">
        <v>8.8199134099999998</v>
      </c>
      <c r="C21" s="14">
        <v>8.7278248200000021</v>
      </c>
      <c r="D21" s="15">
        <v>9.2088589999997694E-2</v>
      </c>
      <c r="E21" s="14">
        <v>10.379189810000002</v>
      </c>
      <c r="F21" s="14">
        <v>10.31605762</v>
      </c>
      <c r="G21" s="15">
        <v>6.3132190000001032E-2</v>
      </c>
      <c r="H21" s="14">
        <v>21148.239098099999</v>
      </c>
      <c r="I21" s="14">
        <v>20915.864153999995</v>
      </c>
      <c r="J21" s="15">
        <v>232.37494410000363</v>
      </c>
    </row>
    <row r="22" spans="1:10" x14ac:dyDescent="0.25">
      <c r="A22" s="13">
        <v>2044</v>
      </c>
      <c r="B22" s="14">
        <v>8.6707772799999994</v>
      </c>
      <c r="C22" s="14">
        <v>8.5820818600000006</v>
      </c>
      <c r="D22" s="15">
        <v>8.8695419999998748E-2</v>
      </c>
      <c r="E22" s="14">
        <v>10.220160280000002</v>
      </c>
      <c r="F22" s="14">
        <v>10.158335660000001</v>
      </c>
      <c r="G22" s="15">
        <v>6.1824620000001218E-2</v>
      </c>
      <c r="H22" s="14">
        <v>21138.150346800001</v>
      </c>
      <c r="I22" s="14">
        <v>20908.016811999998</v>
      </c>
      <c r="J22" s="15">
        <v>230.13353480000296</v>
      </c>
    </row>
    <row r="23" spans="1:10" x14ac:dyDescent="0.25">
      <c r="A23" s="13">
        <v>2045</v>
      </c>
      <c r="B23" s="14">
        <v>8.5216411500000007</v>
      </c>
      <c r="C23" s="14">
        <v>8.4363389000000009</v>
      </c>
      <c r="D23" s="15">
        <v>8.5302249999999802E-2</v>
      </c>
      <c r="E23" s="14">
        <v>10.06113075</v>
      </c>
      <c r="F23" s="14">
        <v>10.000613700000002</v>
      </c>
      <c r="G23" s="15">
        <v>6.0517049999997852E-2</v>
      </c>
      <c r="H23" s="14">
        <v>21128.061595499999</v>
      </c>
      <c r="I23" s="14">
        <v>20900.169470000001</v>
      </c>
      <c r="J23" s="15">
        <v>227.89212549999866</v>
      </c>
    </row>
    <row r="24" spans="1:10" x14ac:dyDescent="0.25">
      <c r="A24" s="13">
        <v>2046</v>
      </c>
      <c r="B24" s="14">
        <v>8.3725050200000002</v>
      </c>
      <c r="C24" s="14">
        <v>8.2905959400000011</v>
      </c>
      <c r="D24" s="15">
        <v>8.1909079999999079E-2</v>
      </c>
      <c r="E24" s="14">
        <v>9.9021012200000005</v>
      </c>
      <c r="F24" s="14">
        <v>9.8428917400000024</v>
      </c>
      <c r="G24" s="15">
        <v>5.9209479999998038E-2</v>
      </c>
      <c r="H24" s="14">
        <v>21117.972844199998</v>
      </c>
      <c r="I24" s="14">
        <v>20892.322128</v>
      </c>
      <c r="J24" s="15">
        <v>225.65071619999799</v>
      </c>
    </row>
    <row r="25" spans="1:10" x14ac:dyDescent="0.25">
      <c r="A25" s="13">
        <v>2047</v>
      </c>
      <c r="B25" s="14">
        <v>8.2233688899999997</v>
      </c>
      <c r="C25" s="14">
        <v>8.1448529800000014</v>
      </c>
      <c r="D25" s="15">
        <v>7.8515909999998357E-2</v>
      </c>
      <c r="E25" s="14">
        <v>9.7430716900000007</v>
      </c>
      <c r="F25" s="14">
        <v>9.6851697800000025</v>
      </c>
      <c r="G25" s="15">
        <v>5.7901909999998225E-2</v>
      </c>
      <c r="H25" s="14">
        <v>21107.8840929</v>
      </c>
      <c r="I25" s="14">
        <v>20884.474785999999</v>
      </c>
      <c r="J25" s="15">
        <v>223.40930690000096</v>
      </c>
    </row>
    <row r="26" spans="1:10" x14ac:dyDescent="0.25">
      <c r="A26" s="13">
        <v>2048</v>
      </c>
      <c r="B26" s="14">
        <v>8.0742327599999992</v>
      </c>
      <c r="C26" s="14">
        <v>7.9991100200000016</v>
      </c>
      <c r="D26" s="15">
        <v>7.5122739999997634E-2</v>
      </c>
      <c r="E26" s="14">
        <v>9.584042160000001</v>
      </c>
      <c r="F26" s="14">
        <v>9.5274478200000026</v>
      </c>
      <c r="G26" s="15">
        <v>5.6594339999998411E-2</v>
      </c>
      <c r="H26" s="14">
        <v>21097.795341599998</v>
      </c>
      <c r="I26" s="14">
        <v>20876.627444000002</v>
      </c>
      <c r="J26" s="15">
        <v>221.16789759999665</v>
      </c>
    </row>
    <row r="27" spans="1:10" x14ac:dyDescent="0.25">
      <c r="A27" s="13">
        <v>2049</v>
      </c>
      <c r="B27" s="14">
        <v>7.9250966300000005</v>
      </c>
      <c r="C27" s="14">
        <v>7.853367060000001</v>
      </c>
      <c r="D27" s="15">
        <v>7.1729569999999576E-2</v>
      </c>
      <c r="E27" s="14">
        <v>9.4250126300000012</v>
      </c>
      <c r="F27" s="14">
        <v>9.3697258600000026</v>
      </c>
      <c r="G27" s="15">
        <v>5.5286769999998597E-2</v>
      </c>
      <c r="H27" s="14">
        <v>21087.7065903</v>
      </c>
      <c r="I27" s="14">
        <v>20868.780102000004</v>
      </c>
      <c r="J27" s="15">
        <v>218.92648829999598</v>
      </c>
    </row>
    <row r="28" spans="1:10" x14ac:dyDescent="0.25">
      <c r="A28" s="7">
        <v>2050</v>
      </c>
      <c r="B28" s="8">
        <v>7.7759605000000001</v>
      </c>
      <c r="C28" s="8">
        <v>7.7076241000000012</v>
      </c>
      <c r="D28" s="9">
        <v>6.8336399999998854E-2</v>
      </c>
      <c r="E28" s="8">
        <v>9.2659831000000015</v>
      </c>
      <c r="F28" s="8">
        <v>9.2120039000000027</v>
      </c>
      <c r="G28" s="9">
        <v>5.3979199999998784E-2</v>
      </c>
      <c r="H28" s="8">
        <v>21077.617838999999</v>
      </c>
      <c r="I28" s="8">
        <v>20860.932760000003</v>
      </c>
      <c r="J28" s="9">
        <v>216.68507899999531</v>
      </c>
    </row>
    <row r="29" spans="1:10" x14ac:dyDescent="0.25">
      <c r="A29" s="10" t="s">
        <v>23</v>
      </c>
      <c r="B29" s="8">
        <v>332.3746514</v>
      </c>
      <c r="C29" s="8">
        <v>329.03928970000004</v>
      </c>
      <c r="D29" s="9">
        <v>3.3353616999999645</v>
      </c>
      <c r="E29" s="8">
        <v>308.37587880000018</v>
      </c>
      <c r="F29" s="8">
        <v>306.64750820000006</v>
      </c>
      <c r="G29" s="9">
        <v>1.7283706000001189</v>
      </c>
      <c r="H29" s="8">
        <v>574779.09294699994</v>
      </c>
      <c r="I29" s="8">
        <v>568718.41917549993</v>
      </c>
      <c r="J29" s="9">
        <v>6060.6737715000099</v>
      </c>
    </row>
  </sheetData>
  <mergeCells count="5">
    <mergeCell ref="A1:A3"/>
    <mergeCell ref="B1:J1"/>
    <mergeCell ref="B2:D2"/>
    <mergeCell ref="E2:G2"/>
    <mergeCell ref="H2:J2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704C3C-B688-42C5-AAC7-66C4C828385C}">
  <dimension ref="A1:P32"/>
  <sheetViews>
    <sheetView workbookViewId="0">
      <selection activeCell="B31" sqref="B31"/>
    </sheetView>
  </sheetViews>
  <sheetFormatPr defaultRowHeight="15" x14ac:dyDescent="0.25"/>
  <cols>
    <col min="1" max="1" width="10.7109375" customWidth="1"/>
    <col min="12" max="12" width="11" customWidth="1"/>
    <col min="13" max="13" width="12.140625" customWidth="1"/>
    <col min="14" max="14" width="14.5703125" customWidth="1"/>
    <col min="15" max="15" width="19.5703125" customWidth="1"/>
    <col min="16" max="16" width="18.5703125" customWidth="1"/>
  </cols>
  <sheetData>
    <row r="1" spans="1:16" ht="32.25" customHeight="1" x14ac:dyDescent="0.25">
      <c r="A1" t="s">
        <v>24</v>
      </c>
      <c r="B1" t="s">
        <v>32</v>
      </c>
      <c r="C1" t="s">
        <v>33</v>
      </c>
      <c r="D1" t="s">
        <v>34</v>
      </c>
      <c r="E1" t="s">
        <v>35</v>
      </c>
      <c r="F1" t="s">
        <v>36</v>
      </c>
      <c r="G1" t="s">
        <v>37</v>
      </c>
      <c r="H1" t="s">
        <v>38</v>
      </c>
      <c r="I1" t="s">
        <v>39</v>
      </c>
      <c r="J1" t="s">
        <v>40</v>
      </c>
      <c r="K1" t="s">
        <v>41</v>
      </c>
      <c r="L1" t="s">
        <v>42</v>
      </c>
      <c r="M1" t="s">
        <v>43</v>
      </c>
      <c r="N1" s="1" t="s">
        <v>63</v>
      </c>
      <c r="O1" s="1" t="s">
        <v>65</v>
      </c>
      <c r="P1" s="1" t="s">
        <v>64</v>
      </c>
    </row>
    <row r="2" spans="1:16" x14ac:dyDescent="0.25">
      <c r="A2" s="6">
        <v>2026</v>
      </c>
      <c r="B2">
        <f>($H2/(1+('AC Emissions Adjustments'!$B$26-1)*'AC Demand'!$H$5))*(1+('AC Emissions Adjustments'!$B$26-1)*'AC Demand'!B5)</f>
        <v>210.84697085589079</v>
      </c>
      <c r="C2">
        <f>($H2/(1+('AC Emissions Adjustments'!$B$26-1)*'AC Demand'!$H$5))*(1+('AC Emissions Adjustments'!$B$26-1)*'AC Demand'!C5)</f>
        <v>210.84697085589079</v>
      </c>
      <c r="D2">
        <f>($H2/(1+('AC Emissions Adjustments'!$B$26-1)*'AC Demand'!$H$5))*(1+('AC Emissions Adjustments'!$B$26-1)*'AC Demand'!D5)</f>
        <v>210.84697085589079</v>
      </c>
      <c r="E2">
        <f>($H2/(1+('AC Emissions Adjustments'!$B$26-1)*'AC Demand'!$H$5))*(1+('AC Emissions Adjustments'!$B$26-1)*'AC Demand'!E5)</f>
        <v>210.84697085589079</v>
      </c>
      <c r="F2">
        <f>($H2/(1+('AC Emissions Adjustments'!$B$26-1)*'AC Demand'!$H$5))*(1+('AC Emissions Adjustments'!$B$26-1)*'AC Demand'!F5)</f>
        <v>210.84697085589079</v>
      </c>
      <c r="G2">
        <f>($H2/(1+('AC Emissions Adjustments'!$B$26-1)*'AC Demand'!$H$5))*(1+('AC Emissions Adjustments'!$B$26-1)*'AC Demand'!G5)</f>
        <v>217.74932979997695</v>
      </c>
      <c r="H2" s="16">
        <v>222.54110199999559</v>
      </c>
      <c r="I2">
        <f>($H2/(1+('AC Emissions Adjustments'!$B$26-1)*'AC Demand'!$H$5))*(1+('AC Emissions Adjustments'!$B$26-1)*'AC Demand'!I5)</f>
        <v>221.24368954724412</v>
      </c>
      <c r="J2">
        <f>($H2/(1+('AC Emissions Adjustments'!$B$26-1)*'AC Demand'!$H$5))*(1+('AC Emissions Adjustments'!$B$26-1)*'AC Demand'!J5)</f>
        <v>211.73512310455786</v>
      </c>
      <c r="K2">
        <f>($H2/(1+('AC Emissions Adjustments'!$B$26-1)*'AC Demand'!$H$5))*(1+('AC Emissions Adjustments'!$B$26-1)*'AC Demand'!K5)</f>
        <v>210.84697085589079</v>
      </c>
      <c r="L2">
        <f>($H2/(1+('AC Emissions Adjustments'!$B$26-1)*'AC Demand'!$H$5))*(1+('AC Emissions Adjustments'!$B$26-1)*'AC Demand'!L5)</f>
        <v>210.84697085589079</v>
      </c>
      <c r="M2">
        <f>($H2/(1+('AC Emissions Adjustments'!$B$26-1)*'AC Demand'!$H$5))*(1+('AC Emissions Adjustments'!$B$26-1)*'AC Demand'!M5)</f>
        <v>210.84697085589079</v>
      </c>
      <c r="N2">
        <f>SUM(B2:M2)</f>
        <v>2560.045011298901</v>
      </c>
      <c r="O2">
        <f>12*'July Weekday MOVES output'!D4</f>
        <v>2.5506623999999221</v>
      </c>
      <c r="P2">
        <f>12*'July Weekday MOVES output'!G4</f>
        <v>0.87291599999998937</v>
      </c>
    </row>
    <row r="3" spans="1:16" x14ac:dyDescent="0.25">
      <c r="A3">
        <v>2027</v>
      </c>
      <c r="B3">
        <f>($H3/(1+('AC Emissions Adjustments'!$B$26-1)*'AC Demand'!$H$5))*(1+('AC Emissions Adjustments'!$B$26-1)*'AC Demand'!B6)</f>
        <v>223.15618524189125</v>
      </c>
      <c r="C3">
        <f>($H3/(1+('AC Emissions Adjustments'!$B$26-1)*'AC Demand'!$H$5))*(1+('AC Emissions Adjustments'!$B$26-1)*'AC Demand'!C6)</f>
        <v>223.15618524189125</v>
      </c>
      <c r="D3">
        <f>($H3/(1+('AC Emissions Adjustments'!$B$26-1)*'AC Demand'!$H$5))*(1+('AC Emissions Adjustments'!$B$26-1)*'AC Demand'!D6)</f>
        <v>223.15618524189125</v>
      </c>
      <c r="E3">
        <f>($H3/(1+('AC Emissions Adjustments'!$B$26-1)*'AC Demand'!$H$5))*(1+('AC Emissions Adjustments'!$B$26-1)*'AC Demand'!E6)</f>
        <v>223.15618524189125</v>
      </c>
      <c r="F3">
        <f>($H3/(1+('AC Emissions Adjustments'!$B$26-1)*'AC Demand'!$H$5))*(1+('AC Emissions Adjustments'!$B$26-1)*'AC Demand'!F6)</f>
        <v>223.15618524189125</v>
      </c>
      <c r="G3">
        <f>($H3/(1+('AC Emissions Adjustments'!$B$26-1)*'AC Demand'!$H$5))*(1+('AC Emissions Adjustments'!$B$26-1)*'AC Demand'!G6)</f>
        <v>223.15618524189125</v>
      </c>
      <c r="H3" s="17">
        <v>235.53301799999826</v>
      </c>
      <c r="I3">
        <f>($H3/(1+('AC Emissions Adjustments'!$B$26-1)*'AC Demand'!$H$5))*(1+('AC Emissions Adjustments'!$B$26-1)*'AC Demand'!I6)</f>
        <v>223.15618524189125</v>
      </c>
      <c r="J3">
        <f>($H3/(1+('AC Emissions Adjustments'!$B$26-1)*'AC Demand'!$H$5))*(1+('AC Emissions Adjustments'!$B$26-1)*'AC Demand'!J6)</f>
        <v>223.15618524189125</v>
      </c>
      <c r="K3">
        <f>($H3/(1+('AC Emissions Adjustments'!$B$26-1)*'AC Demand'!$H$5))*(1+('AC Emissions Adjustments'!$B$26-1)*'AC Demand'!K6)</f>
        <v>223.15618524189125</v>
      </c>
      <c r="L3">
        <f>($H3/(1+('AC Emissions Adjustments'!$B$26-1)*'AC Demand'!$H$5))*(1+('AC Emissions Adjustments'!$B$26-1)*'AC Demand'!L6)</f>
        <v>223.15618524189125</v>
      </c>
      <c r="M3">
        <f>($H3/(1+('AC Emissions Adjustments'!$B$26-1)*'AC Demand'!$H$5))*(1+('AC Emissions Adjustments'!$B$26-1)*'AC Demand'!M6)</f>
        <v>223.15618524189125</v>
      </c>
      <c r="N3">
        <f t="shared" ref="N3:N26" si="0">SUM(B3:M3)</f>
        <v>2690.2510556608022</v>
      </c>
      <c r="O3">
        <f>12*'July Weekday MOVES output'!D5</f>
        <v>2.5153292999999337</v>
      </c>
      <c r="P3">
        <f>12*'July Weekday MOVES output'!G5</f>
        <v>0.90286350000000937</v>
      </c>
    </row>
    <row r="4" spans="1:16" x14ac:dyDescent="0.25">
      <c r="A4">
        <v>2028</v>
      </c>
      <c r="B4">
        <f>($H4/(1+('AC Emissions Adjustments'!$B$26-1)*'AC Demand'!$H$5))*(1+('AC Emissions Adjustments'!$B$26-1)*'AC Demand'!B7)</f>
        <v>235.46539962789174</v>
      </c>
      <c r="C4">
        <f>($H4/(1+('AC Emissions Adjustments'!$B$26-1)*'AC Demand'!$H$5))*(1+('AC Emissions Adjustments'!$B$26-1)*'AC Demand'!C7)</f>
        <v>235.46539962789174</v>
      </c>
      <c r="D4">
        <f>($H4/(1+('AC Emissions Adjustments'!$B$26-1)*'AC Demand'!$H$5))*(1+('AC Emissions Adjustments'!$B$26-1)*'AC Demand'!D7)</f>
        <v>235.46539962789174</v>
      </c>
      <c r="E4">
        <f>($H4/(1+('AC Emissions Adjustments'!$B$26-1)*'AC Demand'!$H$5))*(1+('AC Emissions Adjustments'!$B$26-1)*'AC Demand'!E7)</f>
        <v>235.46539962789174</v>
      </c>
      <c r="F4">
        <f>($H4/(1+('AC Emissions Adjustments'!$B$26-1)*'AC Demand'!$H$5))*(1+('AC Emissions Adjustments'!$B$26-1)*'AC Demand'!F7)</f>
        <v>235.46539962789174</v>
      </c>
      <c r="G4">
        <f>($H4/(1+('AC Emissions Adjustments'!$B$26-1)*'AC Demand'!$H$5))*(1+('AC Emissions Adjustments'!$B$26-1)*'AC Demand'!G7)</f>
        <v>235.46539962789174</v>
      </c>
      <c r="H4" s="17">
        <v>248.52493400000094</v>
      </c>
      <c r="I4">
        <f>($H4/(1+('AC Emissions Adjustments'!$B$26-1)*'AC Demand'!$H$5))*(1+('AC Emissions Adjustments'!$B$26-1)*'AC Demand'!I7)</f>
        <v>235.46539962789174</v>
      </c>
      <c r="J4">
        <f>($H4/(1+('AC Emissions Adjustments'!$B$26-1)*'AC Demand'!$H$5))*(1+('AC Emissions Adjustments'!$B$26-1)*'AC Demand'!J7)</f>
        <v>235.46539962789174</v>
      </c>
      <c r="K4">
        <f>($H4/(1+('AC Emissions Adjustments'!$B$26-1)*'AC Demand'!$H$5))*(1+('AC Emissions Adjustments'!$B$26-1)*'AC Demand'!K7)</f>
        <v>235.46539962789174</v>
      </c>
      <c r="L4">
        <f>($H4/(1+('AC Emissions Adjustments'!$B$26-1)*'AC Demand'!$H$5))*(1+('AC Emissions Adjustments'!$B$26-1)*'AC Demand'!L7)</f>
        <v>235.46539962789174</v>
      </c>
      <c r="M4">
        <f>($H4/(1+('AC Emissions Adjustments'!$B$26-1)*'AC Demand'!$H$5))*(1+('AC Emissions Adjustments'!$B$26-1)*'AC Demand'!M7)</f>
        <v>235.46539962789174</v>
      </c>
      <c r="N4">
        <f t="shared" si="0"/>
        <v>2838.6443299068096</v>
      </c>
      <c r="O4">
        <f>12*'July Weekday MOVES output'!D6</f>
        <v>2.4799961999999454</v>
      </c>
      <c r="P4">
        <f>12*'July Weekday MOVES output'!G6</f>
        <v>0.93281099999998673</v>
      </c>
    </row>
    <row r="5" spans="1:16" x14ac:dyDescent="0.25">
      <c r="A5">
        <v>2029</v>
      </c>
      <c r="B5">
        <f>($H5/(1+('AC Emissions Adjustments'!$B$26-1)*'AC Demand'!$H$5))*(1+('AC Emissions Adjustments'!$B$26-1)*'AC Demand'!B8)</f>
        <v>247.77461401388877</v>
      </c>
      <c r="C5">
        <f>($H5/(1+('AC Emissions Adjustments'!$B$26-1)*'AC Demand'!$H$5))*(1+('AC Emissions Adjustments'!$B$26-1)*'AC Demand'!C8)</f>
        <v>247.77461401388877</v>
      </c>
      <c r="D5">
        <f>($H5/(1+('AC Emissions Adjustments'!$B$26-1)*'AC Demand'!$H$5))*(1+('AC Emissions Adjustments'!$B$26-1)*'AC Demand'!D8)</f>
        <v>247.77461401388877</v>
      </c>
      <c r="E5">
        <f>($H5/(1+('AC Emissions Adjustments'!$B$26-1)*'AC Demand'!$H$5))*(1+('AC Emissions Adjustments'!$B$26-1)*'AC Demand'!E8)</f>
        <v>247.77461401388877</v>
      </c>
      <c r="F5">
        <f>($H5/(1+('AC Emissions Adjustments'!$B$26-1)*'AC Demand'!$H$5))*(1+('AC Emissions Adjustments'!$B$26-1)*'AC Demand'!F8)</f>
        <v>247.77461401388877</v>
      </c>
      <c r="G5">
        <f>($H5/(1+('AC Emissions Adjustments'!$B$26-1)*'AC Demand'!$H$5))*(1+('AC Emissions Adjustments'!$B$26-1)*'AC Demand'!G8)</f>
        <v>247.77461401388877</v>
      </c>
      <c r="H5" s="17">
        <v>261.51684999999998</v>
      </c>
      <c r="I5">
        <f>($H5/(1+('AC Emissions Adjustments'!$B$26-1)*'AC Demand'!$H$5))*(1+('AC Emissions Adjustments'!$B$26-1)*'AC Demand'!I8)</f>
        <v>247.77461401388877</v>
      </c>
      <c r="J5">
        <f>($H5/(1+('AC Emissions Adjustments'!$B$26-1)*'AC Demand'!$H$5))*(1+('AC Emissions Adjustments'!$B$26-1)*'AC Demand'!J8)</f>
        <v>247.77461401388877</v>
      </c>
      <c r="K5">
        <f>($H5/(1+('AC Emissions Adjustments'!$B$26-1)*'AC Demand'!$H$5))*(1+('AC Emissions Adjustments'!$B$26-1)*'AC Demand'!K8)</f>
        <v>247.77461401388877</v>
      </c>
      <c r="L5">
        <f>($H5/(1+('AC Emissions Adjustments'!$B$26-1)*'AC Demand'!$H$5))*(1+('AC Emissions Adjustments'!$B$26-1)*'AC Demand'!L8)</f>
        <v>247.77461401388877</v>
      </c>
      <c r="M5">
        <f>($H5/(1+('AC Emissions Adjustments'!$B$26-1)*'AC Demand'!$H$5))*(1+('AC Emissions Adjustments'!$B$26-1)*'AC Demand'!M8)</f>
        <v>247.77461401388877</v>
      </c>
      <c r="N5">
        <f t="shared" si="0"/>
        <v>2987.0376041527766</v>
      </c>
      <c r="O5">
        <f>12*'July Weekday MOVES output'!D7</f>
        <v>2.444663099999957</v>
      </c>
      <c r="P5">
        <f>12*'July Weekday MOVES output'!G7</f>
        <v>0.96275849999998542</v>
      </c>
    </row>
    <row r="6" spans="1:16" x14ac:dyDescent="0.25">
      <c r="A6" s="6">
        <v>2030</v>
      </c>
      <c r="B6">
        <f>($H6/(1+('AC Emissions Adjustments'!$B$26-1)*'AC Demand'!$H$5))*(1+('AC Emissions Adjustments'!$B$26-1)*'AC Demand'!B9)</f>
        <v>260.08382839988923</v>
      </c>
      <c r="C6">
        <f>($H6/(1+('AC Emissions Adjustments'!$B$26-1)*'AC Demand'!$H$5))*(1+('AC Emissions Adjustments'!$B$26-1)*'AC Demand'!C9)</f>
        <v>260.08382839988923</v>
      </c>
      <c r="D6">
        <f>($H6/(1+('AC Emissions Adjustments'!$B$26-1)*'AC Demand'!$H$5))*(1+('AC Emissions Adjustments'!$B$26-1)*'AC Demand'!D9)</f>
        <v>260.08382839988923</v>
      </c>
      <c r="E6">
        <f>($H6/(1+('AC Emissions Adjustments'!$B$26-1)*'AC Demand'!$H$5))*(1+('AC Emissions Adjustments'!$B$26-1)*'AC Demand'!E9)</f>
        <v>260.08382839988923</v>
      </c>
      <c r="F6">
        <f>($H6/(1+('AC Emissions Adjustments'!$B$26-1)*'AC Demand'!$H$5))*(1+('AC Emissions Adjustments'!$B$26-1)*'AC Demand'!F9)</f>
        <v>260.08382839988923</v>
      </c>
      <c r="G6">
        <f>($H6/(1+('AC Emissions Adjustments'!$B$26-1)*'AC Demand'!$H$5))*(1+('AC Emissions Adjustments'!$B$26-1)*'AC Demand'!G9)</f>
        <v>260.08382839988923</v>
      </c>
      <c r="H6" s="16">
        <v>274.50876600000265</v>
      </c>
      <c r="I6">
        <f>($H6/(1+('AC Emissions Adjustments'!$B$26-1)*'AC Demand'!$H$5))*(1+('AC Emissions Adjustments'!$B$26-1)*'AC Demand'!I9)</f>
        <v>260.08382839988923</v>
      </c>
      <c r="J6">
        <f>($H6/(1+('AC Emissions Adjustments'!$B$26-1)*'AC Demand'!$H$5))*(1+('AC Emissions Adjustments'!$B$26-1)*'AC Demand'!J9)</f>
        <v>260.08382839988923</v>
      </c>
      <c r="K6">
        <f>($H6/(1+('AC Emissions Adjustments'!$B$26-1)*'AC Demand'!$H$5))*(1+('AC Emissions Adjustments'!$B$26-1)*'AC Demand'!K9)</f>
        <v>260.08382839988923</v>
      </c>
      <c r="L6">
        <f>($H6/(1+('AC Emissions Adjustments'!$B$26-1)*'AC Demand'!$H$5))*(1+('AC Emissions Adjustments'!$B$26-1)*'AC Demand'!L9)</f>
        <v>260.08382839988923</v>
      </c>
      <c r="M6">
        <f>($H6/(1+('AC Emissions Adjustments'!$B$26-1)*'AC Demand'!$H$5))*(1+('AC Emissions Adjustments'!$B$26-1)*'AC Demand'!M9)</f>
        <v>260.08382839988923</v>
      </c>
      <c r="N6">
        <f t="shared" si="0"/>
        <v>3135.430878398784</v>
      </c>
      <c r="O6">
        <f>12*'July Weekday MOVES output'!D8</f>
        <v>2.4093299999999687</v>
      </c>
      <c r="P6">
        <f>12*'July Weekday MOVES output'!G8</f>
        <v>0.9927059999999841</v>
      </c>
    </row>
    <row r="7" spans="1:16" x14ac:dyDescent="0.25">
      <c r="A7">
        <v>2031</v>
      </c>
      <c r="B7">
        <f>($H7/(1+('AC Emissions Adjustments'!$B$26-1)*'AC Demand'!$H$5))*(1+('AC Emissions Adjustments'!$B$26-1)*'AC Demand'!B10)</f>
        <v>256.72893999184504</v>
      </c>
      <c r="C7">
        <f>($H7/(1+('AC Emissions Adjustments'!$B$26-1)*'AC Demand'!$H$5))*(1+('AC Emissions Adjustments'!$B$26-1)*'AC Demand'!C10)</f>
        <v>256.72893999184504</v>
      </c>
      <c r="D7">
        <f>($H7/(1+('AC Emissions Adjustments'!$B$26-1)*'AC Demand'!$H$5))*(1+('AC Emissions Adjustments'!$B$26-1)*'AC Demand'!D10)</f>
        <v>256.72893999184504</v>
      </c>
      <c r="E7">
        <f>($H7/(1+('AC Emissions Adjustments'!$B$26-1)*'AC Demand'!$H$5))*(1+('AC Emissions Adjustments'!$B$26-1)*'AC Demand'!E10)</f>
        <v>256.72893999184504</v>
      </c>
      <c r="F7">
        <f>($H7/(1+('AC Emissions Adjustments'!$B$26-1)*'AC Demand'!$H$5))*(1+('AC Emissions Adjustments'!$B$26-1)*'AC Demand'!F10)</f>
        <v>256.72893999184504</v>
      </c>
      <c r="G7">
        <f>($H7/(1+('AC Emissions Adjustments'!$B$26-1)*'AC Demand'!$H$5))*(1+('AC Emissions Adjustments'!$B$26-1)*'AC Demand'!G10)</f>
        <v>256.72893999184504</v>
      </c>
      <c r="H7" s="17">
        <v>270.96780660000513</v>
      </c>
      <c r="I7">
        <f>($H7/(1+('AC Emissions Adjustments'!$B$26-1)*'AC Demand'!$H$5))*(1+('AC Emissions Adjustments'!$B$26-1)*'AC Demand'!I10)</f>
        <v>256.72893999184504</v>
      </c>
      <c r="J7">
        <f>($H7/(1+('AC Emissions Adjustments'!$B$26-1)*'AC Demand'!$H$5))*(1+('AC Emissions Adjustments'!$B$26-1)*'AC Demand'!J10)</f>
        <v>256.72893999184504</v>
      </c>
      <c r="K7">
        <f>($H7/(1+('AC Emissions Adjustments'!$B$26-1)*'AC Demand'!$H$5))*(1+('AC Emissions Adjustments'!$B$26-1)*'AC Demand'!K10)</f>
        <v>256.72893999184504</v>
      </c>
      <c r="L7">
        <f>($H7/(1+('AC Emissions Adjustments'!$B$26-1)*'AC Demand'!$H$5))*(1+('AC Emissions Adjustments'!$B$26-1)*'AC Demand'!L10)</f>
        <v>256.72893999184504</v>
      </c>
      <c r="M7">
        <f>($H7/(1+('AC Emissions Adjustments'!$B$26-1)*'AC Demand'!$H$5))*(1+('AC Emissions Adjustments'!$B$26-1)*'AC Demand'!M10)</f>
        <v>256.72893999184504</v>
      </c>
      <c r="N7">
        <f t="shared" si="0"/>
        <v>3094.9861465103004</v>
      </c>
      <c r="O7">
        <f>12*'July Weekday MOVES output'!D9</f>
        <v>2.2911187199999716</v>
      </c>
      <c r="P7">
        <f>12*'July Weekday MOVES output'!G9</f>
        <v>0.97390127999997134</v>
      </c>
    </row>
    <row r="8" spans="1:16" x14ac:dyDescent="0.25">
      <c r="A8">
        <v>2032</v>
      </c>
      <c r="B8">
        <f>($H8/(1+('AC Emissions Adjustments'!$B$26-1)*'AC Demand'!$H$5))*(1+('AC Emissions Adjustments'!$B$26-1)*'AC Demand'!B11)</f>
        <v>253.37405158379738</v>
      </c>
      <c r="C8">
        <f>($H8/(1+('AC Emissions Adjustments'!$B$26-1)*'AC Demand'!$H$5))*(1+('AC Emissions Adjustments'!$B$26-1)*'AC Demand'!C11)</f>
        <v>253.37405158379738</v>
      </c>
      <c r="D8">
        <f>($H8/(1+('AC Emissions Adjustments'!$B$26-1)*'AC Demand'!$H$5))*(1+('AC Emissions Adjustments'!$B$26-1)*'AC Demand'!D11)</f>
        <v>253.37405158379738</v>
      </c>
      <c r="E8">
        <f>($H8/(1+('AC Emissions Adjustments'!$B$26-1)*'AC Demand'!$H$5))*(1+('AC Emissions Adjustments'!$B$26-1)*'AC Demand'!E11)</f>
        <v>253.37405158379738</v>
      </c>
      <c r="F8">
        <f>($H8/(1+('AC Emissions Adjustments'!$B$26-1)*'AC Demand'!$H$5))*(1+('AC Emissions Adjustments'!$B$26-1)*'AC Demand'!F11)</f>
        <v>253.37405158379738</v>
      </c>
      <c r="G8">
        <f>($H8/(1+('AC Emissions Adjustments'!$B$26-1)*'AC Demand'!$H$5))*(1+('AC Emissions Adjustments'!$B$26-1)*'AC Demand'!G11)</f>
        <v>253.37405158379738</v>
      </c>
      <c r="H8" s="17">
        <v>267.42684720000398</v>
      </c>
      <c r="I8">
        <f>($H8/(1+('AC Emissions Adjustments'!$B$26-1)*'AC Demand'!$H$5))*(1+('AC Emissions Adjustments'!$B$26-1)*'AC Demand'!I11)</f>
        <v>253.37405158379738</v>
      </c>
      <c r="J8">
        <f>($H8/(1+('AC Emissions Adjustments'!$B$26-1)*'AC Demand'!$H$5))*(1+('AC Emissions Adjustments'!$B$26-1)*'AC Demand'!J11)</f>
        <v>253.37405158379738</v>
      </c>
      <c r="K8">
        <f>($H8/(1+('AC Emissions Adjustments'!$B$26-1)*'AC Demand'!$H$5))*(1+('AC Emissions Adjustments'!$B$26-1)*'AC Demand'!K11)</f>
        <v>253.37405158379738</v>
      </c>
      <c r="L8">
        <f>($H8/(1+('AC Emissions Adjustments'!$B$26-1)*'AC Demand'!$H$5))*(1+('AC Emissions Adjustments'!$B$26-1)*'AC Demand'!L11)</f>
        <v>253.37405158379738</v>
      </c>
      <c r="M8">
        <f>($H8/(1+('AC Emissions Adjustments'!$B$26-1)*'AC Demand'!$H$5))*(1+('AC Emissions Adjustments'!$B$26-1)*'AC Demand'!M11)</f>
        <v>253.37405158379738</v>
      </c>
      <c r="N8">
        <f t="shared" si="0"/>
        <v>3054.5414146217745</v>
      </c>
      <c r="O8">
        <f>12*'July Weekday MOVES output'!D10</f>
        <v>2.1729074399999746</v>
      </c>
      <c r="P8">
        <f>12*'July Weekday MOVES output'!G10</f>
        <v>0.9550965600000012</v>
      </c>
    </row>
    <row r="9" spans="1:16" x14ac:dyDescent="0.25">
      <c r="A9">
        <v>2033</v>
      </c>
      <c r="B9">
        <f>($H9/(1+('AC Emissions Adjustments'!$B$26-1)*'AC Demand'!$H$5))*(1+('AC Emissions Adjustments'!$B$26-1)*'AC Demand'!B12)</f>
        <v>250.01916317574972</v>
      </c>
      <c r="C9">
        <f>($H9/(1+('AC Emissions Adjustments'!$B$26-1)*'AC Demand'!$H$5))*(1+('AC Emissions Adjustments'!$B$26-1)*'AC Demand'!C12)</f>
        <v>250.01916317574972</v>
      </c>
      <c r="D9">
        <f>($H9/(1+('AC Emissions Adjustments'!$B$26-1)*'AC Demand'!$H$5))*(1+('AC Emissions Adjustments'!$B$26-1)*'AC Demand'!D12)</f>
        <v>250.01916317574972</v>
      </c>
      <c r="E9">
        <f>($H9/(1+('AC Emissions Adjustments'!$B$26-1)*'AC Demand'!$H$5))*(1+('AC Emissions Adjustments'!$B$26-1)*'AC Demand'!E12)</f>
        <v>250.01916317574972</v>
      </c>
      <c r="F9">
        <f>($H9/(1+('AC Emissions Adjustments'!$B$26-1)*'AC Demand'!$H$5))*(1+('AC Emissions Adjustments'!$B$26-1)*'AC Demand'!F12)</f>
        <v>250.01916317574972</v>
      </c>
      <c r="G9">
        <f>($H9/(1+('AC Emissions Adjustments'!$B$26-1)*'AC Demand'!$H$5))*(1+('AC Emissions Adjustments'!$B$26-1)*'AC Demand'!G12)</f>
        <v>250.01916317574972</v>
      </c>
      <c r="H9" s="17">
        <v>263.88588780000282</v>
      </c>
      <c r="I9">
        <f>($H9/(1+('AC Emissions Adjustments'!$B$26-1)*'AC Demand'!$H$5))*(1+('AC Emissions Adjustments'!$B$26-1)*'AC Demand'!I12)</f>
        <v>250.01916317574972</v>
      </c>
      <c r="J9">
        <f>($H9/(1+('AC Emissions Adjustments'!$B$26-1)*'AC Demand'!$H$5))*(1+('AC Emissions Adjustments'!$B$26-1)*'AC Demand'!J12)</f>
        <v>250.01916317574972</v>
      </c>
      <c r="K9">
        <f>($H9/(1+('AC Emissions Adjustments'!$B$26-1)*'AC Demand'!$H$5))*(1+('AC Emissions Adjustments'!$B$26-1)*'AC Demand'!K12)</f>
        <v>250.01916317574972</v>
      </c>
      <c r="L9">
        <f>($H9/(1+('AC Emissions Adjustments'!$B$26-1)*'AC Demand'!$H$5))*(1+('AC Emissions Adjustments'!$B$26-1)*'AC Demand'!L12)</f>
        <v>250.01916317574972</v>
      </c>
      <c r="M9">
        <f>($H9/(1+('AC Emissions Adjustments'!$B$26-1)*'AC Demand'!$H$5))*(1+('AC Emissions Adjustments'!$B$26-1)*'AC Demand'!M12)</f>
        <v>250.01916317574972</v>
      </c>
      <c r="N9">
        <f t="shared" si="0"/>
        <v>3014.09668273325</v>
      </c>
      <c r="O9">
        <f>12*'July Weekday MOVES output'!D11</f>
        <v>2.0546961599999563</v>
      </c>
      <c r="P9">
        <f>12*'July Weekday MOVES output'!G11</f>
        <v>0.93629183999998844</v>
      </c>
    </row>
    <row r="10" spans="1:16" x14ac:dyDescent="0.25">
      <c r="A10">
        <v>2034</v>
      </c>
      <c r="B10">
        <f>($H10/(1+('AC Emissions Adjustments'!$B$26-1)*'AC Demand'!$H$5))*(1+('AC Emissions Adjustments'!$B$26-1)*'AC Demand'!B13)</f>
        <v>246.66427476770551</v>
      </c>
      <c r="C10">
        <f>($H10/(1+('AC Emissions Adjustments'!$B$26-1)*'AC Demand'!$H$5))*(1+('AC Emissions Adjustments'!$B$26-1)*'AC Demand'!C13)</f>
        <v>246.66427476770551</v>
      </c>
      <c r="D10">
        <f>($H10/(1+('AC Emissions Adjustments'!$B$26-1)*'AC Demand'!$H$5))*(1+('AC Emissions Adjustments'!$B$26-1)*'AC Demand'!D13)</f>
        <v>246.66427476770551</v>
      </c>
      <c r="E10">
        <f>($H10/(1+('AC Emissions Adjustments'!$B$26-1)*'AC Demand'!$H$5))*(1+('AC Emissions Adjustments'!$B$26-1)*'AC Demand'!E13)</f>
        <v>246.66427476770551</v>
      </c>
      <c r="F10">
        <f>($H10/(1+('AC Emissions Adjustments'!$B$26-1)*'AC Demand'!$H$5))*(1+('AC Emissions Adjustments'!$B$26-1)*'AC Demand'!F13)</f>
        <v>246.66427476770551</v>
      </c>
      <c r="G10">
        <f>($H10/(1+('AC Emissions Adjustments'!$B$26-1)*'AC Demand'!$H$5))*(1+('AC Emissions Adjustments'!$B$26-1)*'AC Demand'!G13)</f>
        <v>246.66427476770551</v>
      </c>
      <c r="H10" s="17">
        <v>260.3449284000053</v>
      </c>
      <c r="I10">
        <f>($H10/(1+('AC Emissions Adjustments'!$B$26-1)*'AC Demand'!$H$5))*(1+('AC Emissions Adjustments'!$B$26-1)*'AC Demand'!I13)</f>
        <v>246.66427476770551</v>
      </c>
      <c r="J10">
        <f>($H10/(1+('AC Emissions Adjustments'!$B$26-1)*'AC Demand'!$H$5))*(1+('AC Emissions Adjustments'!$B$26-1)*'AC Demand'!J13)</f>
        <v>246.66427476770551</v>
      </c>
      <c r="K10">
        <f>($H10/(1+('AC Emissions Adjustments'!$B$26-1)*'AC Demand'!$H$5))*(1+('AC Emissions Adjustments'!$B$26-1)*'AC Demand'!K13)</f>
        <v>246.66427476770551</v>
      </c>
      <c r="L10">
        <f>($H10/(1+('AC Emissions Adjustments'!$B$26-1)*'AC Demand'!$H$5))*(1+('AC Emissions Adjustments'!$B$26-1)*'AC Demand'!L13)</f>
        <v>246.66427476770551</v>
      </c>
      <c r="M10">
        <f>($H10/(1+('AC Emissions Adjustments'!$B$26-1)*'AC Demand'!$H$5))*(1+('AC Emissions Adjustments'!$B$26-1)*'AC Demand'!M13)</f>
        <v>246.66427476770551</v>
      </c>
      <c r="N10">
        <f t="shared" si="0"/>
        <v>2973.6519508447664</v>
      </c>
      <c r="O10">
        <f>12*'July Weekday MOVES output'!D12</f>
        <v>1.9364848799999592</v>
      </c>
      <c r="P10">
        <f>12*'July Weekday MOVES output'!G12</f>
        <v>0.91748711999999699</v>
      </c>
    </row>
    <row r="11" spans="1:16" x14ac:dyDescent="0.25">
      <c r="A11">
        <v>2035</v>
      </c>
      <c r="B11">
        <f>($H11/(1+('AC Emissions Adjustments'!$B$26-1)*'AC Demand'!$H$5))*(1+('AC Emissions Adjustments'!$B$26-1)*'AC Demand'!B14)</f>
        <v>243.30938635966132</v>
      </c>
      <c r="C11">
        <f>($H11/(1+('AC Emissions Adjustments'!$B$26-1)*'AC Demand'!$H$5))*(1+('AC Emissions Adjustments'!$B$26-1)*'AC Demand'!C14)</f>
        <v>243.30938635966132</v>
      </c>
      <c r="D11">
        <f>($H11/(1+('AC Emissions Adjustments'!$B$26-1)*'AC Demand'!$H$5))*(1+('AC Emissions Adjustments'!$B$26-1)*'AC Demand'!D14)</f>
        <v>243.30938635966132</v>
      </c>
      <c r="E11">
        <f>($H11/(1+('AC Emissions Adjustments'!$B$26-1)*'AC Demand'!$H$5))*(1+('AC Emissions Adjustments'!$B$26-1)*'AC Demand'!E14)</f>
        <v>243.30938635966132</v>
      </c>
      <c r="F11">
        <f>($H11/(1+('AC Emissions Adjustments'!$B$26-1)*'AC Demand'!$H$5))*(1+('AC Emissions Adjustments'!$B$26-1)*'AC Demand'!F14)</f>
        <v>243.30938635966132</v>
      </c>
      <c r="G11">
        <f>($H11/(1+('AC Emissions Adjustments'!$B$26-1)*'AC Demand'!$H$5))*(1+('AC Emissions Adjustments'!$B$26-1)*'AC Demand'!G14)</f>
        <v>243.30938635966132</v>
      </c>
      <c r="H11" s="17">
        <v>256.80396900000778</v>
      </c>
      <c r="I11">
        <f>($H11/(1+('AC Emissions Adjustments'!$B$26-1)*'AC Demand'!$H$5))*(1+('AC Emissions Adjustments'!$B$26-1)*'AC Demand'!I14)</f>
        <v>243.30938635966132</v>
      </c>
      <c r="J11">
        <f>($H11/(1+('AC Emissions Adjustments'!$B$26-1)*'AC Demand'!$H$5))*(1+('AC Emissions Adjustments'!$B$26-1)*'AC Demand'!J14)</f>
        <v>243.30938635966132</v>
      </c>
      <c r="K11">
        <f>($H11/(1+('AC Emissions Adjustments'!$B$26-1)*'AC Demand'!$H$5))*(1+('AC Emissions Adjustments'!$B$26-1)*'AC Demand'!K14)</f>
        <v>243.30938635966132</v>
      </c>
      <c r="L11">
        <f>($H11/(1+('AC Emissions Adjustments'!$B$26-1)*'AC Demand'!$H$5))*(1+('AC Emissions Adjustments'!$B$26-1)*'AC Demand'!L14)</f>
        <v>243.30938635966132</v>
      </c>
      <c r="M11">
        <f>($H11/(1+('AC Emissions Adjustments'!$B$26-1)*'AC Demand'!$H$5))*(1+('AC Emissions Adjustments'!$B$26-1)*'AC Demand'!M14)</f>
        <v>243.30938635966132</v>
      </c>
      <c r="N11">
        <f t="shared" si="0"/>
        <v>2933.2072189562828</v>
      </c>
      <c r="O11">
        <f>12*'July Weekday MOVES output'!D13</f>
        <v>1.8182735999999835</v>
      </c>
      <c r="P11">
        <f>12*'July Weekday MOVES output'!G13</f>
        <v>0.89868240000000554</v>
      </c>
    </row>
    <row r="12" spans="1:16" x14ac:dyDescent="0.25">
      <c r="A12">
        <v>2036</v>
      </c>
      <c r="B12">
        <f>($H12/(1+('AC Emissions Adjustments'!$B$26-1)*'AC Demand'!$H$5))*(1+('AC Emissions Adjustments'!$B$26-1)*'AC Demand'!B15)</f>
        <v>239.95449795161019</v>
      </c>
      <c r="C12">
        <f>($H12/(1+('AC Emissions Adjustments'!$B$26-1)*'AC Demand'!$H$5))*(1+('AC Emissions Adjustments'!$B$26-1)*'AC Demand'!C15)</f>
        <v>239.95449795161019</v>
      </c>
      <c r="D12">
        <f>($H12/(1+('AC Emissions Adjustments'!$B$26-1)*'AC Demand'!$H$5))*(1+('AC Emissions Adjustments'!$B$26-1)*'AC Demand'!D15)</f>
        <v>239.95449795161019</v>
      </c>
      <c r="E12">
        <f>($H12/(1+('AC Emissions Adjustments'!$B$26-1)*'AC Demand'!$H$5))*(1+('AC Emissions Adjustments'!$B$26-1)*'AC Demand'!E15)</f>
        <v>239.95449795161019</v>
      </c>
      <c r="F12">
        <f>($H12/(1+('AC Emissions Adjustments'!$B$26-1)*'AC Demand'!$H$5))*(1+('AC Emissions Adjustments'!$B$26-1)*'AC Demand'!F15)</f>
        <v>239.95449795161019</v>
      </c>
      <c r="G12">
        <f>($H12/(1+('AC Emissions Adjustments'!$B$26-1)*'AC Demand'!$H$5))*(1+('AC Emissions Adjustments'!$B$26-1)*'AC Demand'!G15)</f>
        <v>239.95449795161019</v>
      </c>
      <c r="H12" s="17">
        <v>253.26300960000299</v>
      </c>
      <c r="I12">
        <f>($H12/(1+('AC Emissions Adjustments'!$B$26-1)*'AC Demand'!$H$5))*(1+('AC Emissions Adjustments'!$B$26-1)*'AC Demand'!I15)</f>
        <v>239.95449795161019</v>
      </c>
      <c r="J12">
        <f>($H12/(1+('AC Emissions Adjustments'!$B$26-1)*'AC Demand'!$H$5))*(1+('AC Emissions Adjustments'!$B$26-1)*'AC Demand'!J15)</f>
        <v>239.95449795161019</v>
      </c>
      <c r="K12">
        <f>($H12/(1+('AC Emissions Adjustments'!$B$26-1)*'AC Demand'!$H$5))*(1+('AC Emissions Adjustments'!$B$26-1)*'AC Demand'!K15)</f>
        <v>239.95449795161019</v>
      </c>
      <c r="L12">
        <f>($H12/(1+('AC Emissions Adjustments'!$B$26-1)*'AC Demand'!$H$5))*(1+('AC Emissions Adjustments'!$B$26-1)*'AC Demand'!L15)</f>
        <v>239.95449795161019</v>
      </c>
      <c r="M12">
        <f>($H12/(1+('AC Emissions Adjustments'!$B$26-1)*'AC Demand'!$H$5))*(1+('AC Emissions Adjustments'!$B$26-1)*'AC Demand'!M15)</f>
        <v>239.95449795161019</v>
      </c>
      <c r="N12">
        <f t="shared" si="0"/>
        <v>2892.7624870677159</v>
      </c>
      <c r="O12">
        <f>12*'July Weekday MOVES output'!D14</f>
        <v>1.7000623199999652</v>
      </c>
      <c r="P12">
        <f>12*'July Weekday MOVES output'!G14</f>
        <v>0.8798776800000141</v>
      </c>
    </row>
    <row r="13" spans="1:16" x14ac:dyDescent="0.25">
      <c r="A13">
        <v>2037</v>
      </c>
      <c r="B13">
        <f>($H13/(1+('AC Emissions Adjustments'!$B$26-1)*'AC Demand'!$H$5))*(1+('AC Emissions Adjustments'!$B$26-1)*'AC Demand'!B16)</f>
        <v>236.59960954356254</v>
      </c>
      <c r="C13">
        <f>($H13/(1+('AC Emissions Adjustments'!$B$26-1)*'AC Demand'!$H$5))*(1+('AC Emissions Adjustments'!$B$26-1)*'AC Demand'!C16)</f>
        <v>236.59960954356254</v>
      </c>
      <c r="D13">
        <f>($H13/(1+('AC Emissions Adjustments'!$B$26-1)*'AC Demand'!$H$5))*(1+('AC Emissions Adjustments'!$B$26-1)*'AC Demand'!D16)</f>
        <v>236.59960954356254</v>
      </c>
      <c r="E13">
        <f>($H13/(1+('AC Emissions Adjustments'!$B$26-1)*'AC Demand'!$H$5))*(1+('AC Emissions Adjustments'!$B$26-1)*'AC Demand'!E16)</f>
        <v>236.59960954356254</v>
      </c>
      <c r="F13">
        <f>($H13/(1+('AC Emissions Adjustments'!$B$26-1)*'AC Demand'!$H$5))*(1+('AC Emissions Adjustments'!$B$26-1)*'AC Demand'!F16)</f>
        <v>236.59960954356254</v>
      </c>
      <c r="G13">
        <f>($H13/(1+('AC Emissions Adjustments'!$B$26-1)*'AC Demand'!$H$5))*(1+('AC Emissions Adjustments'!$B$26-1)*'AC Demand'!G16)</f>
        <v>236.59960954356254</v>
      </c>
      <c r="H13" s="17">
        <v>249.72205020000183</v>
      </c>
      <c r="I13">
        <f>($H13/(1+('AC Emissions Adjustments'!$B$26-1)*'AC Demand'!$H$5))*(1+('AC Emissions Adjustments'!$B$26-1)*'AC Demand'!I16)</f>
        <v>236.59960954356254</v>
      </c>
      <c r="J13">
        <f>($H13/(1+('AC Emissions Adjustments'!$B$26-1)*'AC Demand'!$H$5))*(1+('AC Emissions Adjustments'!$B$26-1)*'AC Demand'!J16)</f>
        <v>236.59960954356254</v>
      </c>
      <c r="K13">
        <f>($H13/(1+('AC Emissions Adjustments'!$B$26-1)*'AC Demand'!$H$5))*(1+('AC Emissions Adjustments'!$B$26-1)*'AC Demand'!K16)</f>
        <v>236.59960954356254</v>
      </c>
      <c r="L13">
        <f>($H13/(1+('AC Emissions Adjustments'!$B$26-1)*'AC Demand'!$H$5))*(1+('AC Emissions Adjustments'!$B$26-1)*'AC Demand'!L16)</f>
        <v>236.59960954356254</v>
      </c>
      <c r="M13">
        <f>($H13/(1+('AC Emissions Adjustments'!$B$26-1)*'AC Demand'!$H$5))*(1+('AC Emissions Adjustments'!$B$26-1)*'AC Demand'!M16)</f>
        <v>236.59960954356254</v>
      </c>
      <c r="N13">
        <f t="shared" si="0"/>
        <v>2852.3177551791896</v>
      </c>
      <c r="O13">
        <f>12*'July Weekday MOVES output'!D15</f>
        <v>1.5818510399999894</v>
      </c>
      <c r="P13">
        <f>12*'July Weekday MOVES output'!G15</f>
        <v>0.86107296000000133</v>
      </c>
    </row>
    <row r="14" spans="1:16" x14ac:dyDescent="0.25">
      <c r="A14">
        <v>2038</v>
      </c>
      <c r="B14">
        <f>($H14/(1+('AC Emissions Adjustments'!$B$26-1)*'AC Demand'!$H$5))*(1+('AC Emissions Adjustments'!$B$26-1)*'AC Demand'!B17)</f>
        <v>233.24472113551835</v>
      </c>
      <c r="C14">
        <f>($H14/(1+('AC Emissions Adjustments'!$B$26-1)*'AC Demand'!$H$5))*(1+('AC Emissions Adjustments'!$B$26-1)*'AC Demand'!C17)</f>
        <v>233.24472113551835</v>
      </c>
      <c r="D14">
        <f>($H14/(1+('AC Emissions Adjustments'!$B$26-1)*'AC Demand'!$H$5))*(1+('AC Emissions Adjustments'!$B$26-1)*'AC Demand'!D17)</f>
        <v>233.24472113551835</v>
      </c>
      <c r="E14">
        <f>($H14/(1+('AC Emissions Adjustments'!$B$26-1)*'AC Demand'!$H$5))*(1+('AC Emissions Adjustments'!$B$26-1)*'AC Demand'!E17)</f>
        <v>233.24472113551835</v>
      </c>
      <c r="F14">
        <f>($H14/(1+('AC Emissions Adjustments'!$B$26-1)*'AC Demand'!$H$5))*(1+('AC Emissions Adjustments'!$B$26-1)*'AC Demand'!F17)</f>
        <v>233.24472113551835</v>
      </c>
      <c r="G14">
        <f>($H14/(1+('AC Emissions Adjustments'!$B$26-1)*'AC Demand'!$H$5))*(1+('AC Emissions Adjustments'!$B$26-1)*'AC Demand'!G17)</f>
        <v>233.24472113551835</v>
      </c>
      <c r="H14" s="17">
        <v>246.18109080000431</v>
      </c>
      <c r="I14">
        <f>($H14/(1+('AC Emissions Adjustments'!$B$26-1)*'AC Demand'!$H$5))*(1+('AC Emissions Adjustments'!$B$26-1)*'AC Demand'!I17)</f>
        <v>233.24472113551835</v>
      </c>
      <c r="J14">
        <f>($H14/(1+('AC Emissions Adjustments'!$B$26-1)*'AC Demand'!$H$5))*(1+('AC Emissions Adjustments'!$B$26-1)*'AC Demand'!J17)</f>
        <v>233.24472113551835</v>
      </c>
      <c r="K14">
        <f>($H14/(1+('AC Emissions Adjustments'!$B$26-1)*'AC Demand'!$H$5))*(1+('AC Emissions Adjustments'!$B$26-1)*'AC Demand'!K17)</f>
        <v>233.24472113551835</v>
      </c>
      <c r="L14">
        <f>($H14/(1+('AC Emissions Adjustments'!$B$26-1)*'AC Demand'!$H$5))*(1+('AC Emissions Adjustments'!$B$26-1)*'AC Demand'!L17)</f>
        <v>233.24472113551835</v>
      </c>
      <c r="M14">
        <f>($H14/(1+('AC Emissions Adjustments'!$B$26-1)*'AC Demand'!$H$5))*(1+('AC Emissions Adjustments'!$B$26-1)*'AC Demand'!M17)</f>
        <v>233.24472113551835</v>
      </c>
      <c r="N14">
        <f t="shared" si="0"/>
        <v>2811.873023290706</v>
      </c>
      <c r="O14">
        <f>12*'July Weekday MOVES output'!D16</f>
        <v>1.4636397599999711</v>
      </c>
      <c r="P14">
        <f>12*'July Weekday MOVES output'!G16</f>
        <v>0.84226824000000988</v>
      </c>
    </row>
    <row r="15" spans="1:16" x14ac:dyDescent="0.25">
      <c r="A15">
        <v>2039</v>
      </c>
      <c r="B15">
        <f>($H15/(1+('AC Emissions Adjustments'!$B$26-1)*'AC Demand'!$H$5))*(1+('AC Emissions Adjustments'!$B$26-1)*'AC Demand'!B18)</f>
        <v>229.88983272747413</v>
      </c>
      <c r="C15">
        <f>($H15/(1+('AC Emissions Adjustments'!$B$26-1)*'AC Demand'!$H$5))*(1+('AC Emissions Adjustments'!$B$26-1)*'AC Demand'!C18)</f>
        <v>229.88983272747413</v>
      </c>
      <c r="D15">
        <f>($H15/(1+('AC Emissions Adjustments'!$B$26-1)*'AC Demand'!$H$5))*(1+('AC Emissions Adjustments'!$B$26-1)*'AC Demand'!D18)</f>
        <v>229.88983272747413</v>
      </c>
      <c r="E15">
        <f>($H15/(1+('AC Emissions Adjustments'!$B$26-1)*'AC Demand'!$H$5))*(1+('AC Emissions Adjustments'!$B$26-1)*'AC Demand'!E18)</f>
        <v>229.88983272747413</v>
      </c>
      <c r="F15">
        <f>($H15/(1+('AC Emissions Adjustments'!$B$26-1)*'AC Demand'!$H$5))*(1+('AC Emissions Adjustments'!$B$26-1)*'AC Demand'!F18)</f>
        <v>229.88983272747413</v>
      </c>
      <c r="G15">
        <f>($H15/(1+('AC Emissions Adjustments'!$B$26-1)*'AC Demand'!$H$5))*(1+('AC Emissions Adjustments'!$B$26-1)*'AC Demand'!G18)</f>
        <v>229.88983272747413</v>
      </c>
      <c r="H15" s="17">
        <v>242.64013140000679</v>
      </c>
      <c r="I15">
        <f>($H15/(1+('AC Emissions Adjustments'!$B$26-1)*'AC Demand'!$H$5))*(1+('AC Emissions Adjustments'!$B$26-1)*'AC Demand'!I18)</f>
        <v>229.88983272747413</v>
      </c>
      <c r="J15">
        <f>($H15/(1+('AC Emissions Adjustments'!$B$26-1)*'AC Demand'!$H$5))*(1+('AC Emissions Adjustments'!$B$26-1)*'AC Demand'!J18)</f>
        <v>229.88983272747413</v>
      </c>
      <c r="K15">
        <f>($H15/(1+('AC Emissions Adjustments'!$B$26-1)*'AC Demand'!$H$5))*(1+('AC Emissions Adjustments'!$B$26-1)*'AC Demand'!K18)</f>
        <v>229.88983272747413</v>
      </c>
      <c r="L15">
        <f>($H15/(1+('AC Emissions Adjustments'!$B$26-1)*'AC Demand'!$H$5))*(1+('AC Emissions Adjustments'!$B$26-1)*'AC Demand'!L18)</f>
        <v>229.88983272747413</v>
      </c>
      <c r="M15">
        <f>($H15/(1+('AC Emissions Adjustments'!$B$26-1)*'AC Demand'!$H$5))*(1+('AC Emissions Adjustments'!$B$26-1)*'AC Demand'!M18)</f>
        <v>229.88983272747413</v>
      </c>
      <c r="N15">
        <f t="shared" si="0"/>
        <v>2771.4282914022224</v>
      </c>
      <c r="O15">
        <f>12*'July Weekday MOVES output'!D17</f>
        <v>1.3454284799999741</v>
      </c>
      <c r="P15">
        <f>12*'July Weekday MOVES output'!G17</f>
        <v>0.8234635199999758</v>
      </c>
    </row>
    <row r="16" spans="1:16" x14ac:dyDescent="0.25">
      <c r="A16" s="6">
        <v>2040</v>
      </c>
      <c r="B16">
        <f>($H16/(1+('AC Emissions Adjustments'!$B$26-1)*'AC Demand'!$H$5))*(1+('AC Emissions Adjustments'!$B$26-1)*'AC Demand'!B19)</f>
        <v>226.53494431942647</v>
      </c>
      <c r="C16">
        <f>($H16/(1+('AC Emissions Adjustments'!$B$26-1)*'AC Demand'!$H$5))*(1+('AC Emissions Adjustments'!$B$26-1)*'AC Demand'!C19)</f>
        <v>226.53494431942647</v>
      </c>
      <c r="D16">
        <f>($H16/(1+('AC Emissions Adjustments'!$B$26-1)*'AC Demand'!$H$5))*(1+('AC Emissions Adjustments'!$B$26-1)*'AC Demand'!D19)</f>
        <v>226.53494431942647</v>
      </c>
      <c r="E16">
        <f>($H16/(1+('AC Emissions Adjustments'!$B$26-1)*'AC Demand'!$H$5))*(1+('AC Emissions Adjustments'!$B$26-1)*'AC Demand'!E19)</f>
        <v>226.53494431942647</v>
      </c>
      <c r="F16">
        <f>($H16/(1+('AC Emissions Adjustments'!$B$26-1)*'AC Demand'!$H$5))*(1+('AC Emissions Adjustments'!$B$26-1)*'AC Demand'!F19)</f>
        <v>226.53494431942647</v>
      </c>
      <c r="G16">
        <f>($H16/(1+('AC Emissions Adjustments'!$B$26-1)*'AC Demand'!$H$5))*(1+('AC Emissions Adjustments'!$B$26-1)*'AC Demand'!G19)</f>
        <v>226.53494431942647</v>
      </c>
      <c r="H16" s="16">
        <v>239.09917200000564</v>
      </c>
      <c r="I16">
        <f>($H16/(1+('AC Emissions Adjustments'!$B$26-1)*'AC Demand'!$H$5))*(1+('AC Emissions Adjustments'!$B$26-1)*'AC Demand'!I19)</f>
        <v>226.53494431942647</v>
      </c>
      <c r="J16">
        <f>($H16/(1+('AC Emissions Adjustments'!$B$26-1)*'AC Demand'!$H$5))*(1+('AC Emissions Adjustments'!$B$26-1)*'AC Demand'!J19)</f>
        <v>226.53494431942647</v>
      </c>
      <c r="K16">
        <f>($H16/(1+('AC Emissions Adjustments'!$B$26-1)*'AC Demand'!$H$5))*(1+('AC Emissions Adjustments'!$B$26-1)*'AC Demand'!K19)</f>
        <v>226.53494431942647</v>
      </c>
      <c r="L16">
        <f>($H16/(1+('AC Emissions Adjustments'!$B$26-1)*'AC Demand'!$H$5))*(1+('AC Emissions Adjustments'!$B$26-1)*'AC Demand'!L19)</f>
        <v>226.53494431942647</v>
      </c>
      <c r="M16">
        <f>($H16/(1+('AC Emissions Adjustments'!$B$26-1)*'AC Demand'!$H$5))*(1+('AC Emissions Adjustments'!$B$26-1)*'AC Demand'!M19)</f>
        <v>226.53494431942647</v>
      </c>
      <c r="N16">
        <f t="shared" si="0"/>
        <v>2730.983559513696</v>
      </c>
      <c r="O16">
        <f>12*'July Weekday MOVES output'!D18</f>
        <v>1.227217199999977</v>
      </c>
      <c r="P16">
        <f>12*'July Weekday MOVES output'!G18</f>
        <v>0.80465880000000567</v>
      </c>
    </row>
    <row r="17" spans="1:16" x14ac:dyDescent="0.25">
      <c r="A17">
        <v>2041</v>
      </c>
      <c r="B17">
        <f>($H17/(1+('AC Emissions Adjustments'!$B$26-1)*'AC Demand'!$H$5))*(1+('AC Emissions Adjustments'!$B$26-1)*'AC Demand'!B20)</f>
        <v>224.41131701145108</v>
      </c>
      <c r="C17">
        <f>($H17/(1+('AC Emissions Adjustments'!$B$26-1)*'AC Demand'!$H$5))*(1+('AC Emissions Adjustments'!$B$26-1)*'AC Demand'!C20)</f>
        <v>224.41131701145108</v>
      </c>
      <c r="D17">
        <f>($H17/(1+('AC Emissions Adjustments'!$B$26-1)*'AC Demand'!$H$5))*(1+('AC Emissions Adjustments'!$B$26-1)*'AC Demand'!D20)</f>
        <v>224.41131701145108</v>
      </c>
      <c r="E17">
        <f>($H17/(1+('AC Emissions Adjustments'!$B$26-1)*'AC Demand'!$H$5))*(1+('AC Emissions Adjustments'!$B$26-1)*'AC Demand'!E20)</f>
        <v>224.41131701145108</v>
      </c>
      <c r="F17">
        <f>($H17/(1+('AC Emissions Adjustments'!$B$26-1)*'AC Demand'!$H$5))*(1+('AC Emissions Adjustments'!$B$26-1)*'AC Demand'!F20)</f>
        <v>224.41131701145108</v>
      </c>
      <c r="G17">
        <f>($H17/(1+('AC Emissions Adjustments'!$B$26-1)*'AC Demand'!$H$5))*(1+('AC Emissions Adjustments'!$B$26-1)*'AC Demand'!G20)</f>
        <v>224.41131701145108</v>
      </c>
      <c r="H17" s="17">
        <v>236.85776270000133</v>
      </c>
      <c r="I17">
        <f>($H17/(1+('AC Emissions Adjustments'!$B$26-1)*'AC Demand'!$H$5))*(1+('AC Emissions Adjustments'!$B$26-1)*'AC Demand'!I20)</f>
        <v>224.41131701145108</v>
      </c>
      <c r="J17">
        <f>($H17/(1+('AC Emissions Adjustments'!$B$26-1)*'AC Demand'!$H$5))*(1+('AC Emissions Adjustments'!$B$26-1)*'AC Demand'!J20)</f>
        <v>224.41131701145108</v>
      </c>
      <c r="K17">
        <f>($H17/(1+('AC Emissions Adjustments'!$B$26-1)*'AC Demand'!$H$5))*(1+('AC Emissions Adjustments'!$B$26-1)*'AC Demand'!K20)</f>
        <v>224.41131701145108</v>
      </c>
      <c r="L17">
        <f>($H17/(1+('AC Emissions Adjustments'!$B$26-1)*'AC Demand'!$H$5))*(1+('AC Emissions Adjustments'!$B$26-1)*'AC Demand'!L20)</f>
        <v>224.41131701145108</v>
      </c>
      <c r="M17">
        <f>($H17/(1+('AC Emissions Adjustments'!$B$26-1)*'AC Demand'!$H$5))*(1+('AC Emissions Adjustments'!$B$26-1)*'AC Demand'!M20)</f>
        <v>224.41131701145108</v>
      </c>
      <c r="N17">
        <f t="shared" si="0"/>
        <v>2705.3822498259633</v>
      </c>
      <c r="O17">
        <f>12*'July Weekday MOVES output'!D19</f>
        <v>1.1864991599999684</v>
      </c>
      <c r="P17">
        <f>12*'July Weekday MOVES output'!G19</f>
        <v>0.78896796000000791</v>
      </c>
    </row>
    <row r="18" spans="1:16" x14ac:dyDescent="0.25">
      <c r="A18">
        <v>2042</v>
      </c>
      <c r="B18">
        <f>($H18/(1+('AC Emissions Adjustments'!$B$26-1)*'AC Demand'!$H$5))*(1+('AC Emissions Adjustments'!$B$26-1)*'AC Demand'!B21)</f>
        <v>222.28768970348256</v>
      </c>
      <c r="C18">
        <f>($H18/(1+('AC Emissions Adjustments'!$B$26-1)*'AC Demand'!$H$5))*(1+('AC Emissions Adjustments'!$B$26-1)*'AC Demand'!C21)</f>
        <v>222.28768970348256</v>
      </c>
      <c r="D18">
        <f>($H18/(1+('AC Emissions Adjustments'!$B$26-1)*'AC Demand'!$H$5))*(1+('AC Emissions Adjustments'!$B$26-1)*'AC Demand'!D21)</f>
        <v>222.28768970348256</v>
      </c>
      <c r="E18">
        <f>($H18/(1+('AC Emissions Adjustments'!$B$26-1)*'AC Demand'!$H$5))*(1+('AC Emissions Adjustments'!$B$26-1)*'AC Demand'!E21)</f>
        <v>222.28768970348256</v>
      </c>
      <c r="F18">
        <f>($H18/(1+('AC Emissions Adjustments'!$B$26-1)*'AC Demand'!$H$5))*(1+('AC Emissions Adjustments'!$B$26-1)*'AC Demand'!F21)</f>
        <v>222.28768970348256</v>
      </c>
      <c r="G18">
        <f>($H18/(1+('AC Emissions Adjustments'!$B$26-1)*'AC Demand'!$H$5))*(1+('AC Emissions Adjustments'!$B$26-1)*'AC Demand'!G21)</f>
        <v>222.28768970348256</v>
      </c>
      <c r="H18" s="17">
        <v>234.6163534000043</v>
      </c>
      <c r="I18">
        <f>($H18/(1+('AC Emissions Adjustments'!$B$26-1)*'AC Demand'!$H$5))*(1+('AC Emissions Adjustments'!$B$26-1)*'AC Demand'!I21)</f>
        <v>222.28768970348256</v>
      </c>
      <c r="J18">
        <f>($H18/(1+('AC Emissions Adjustments'!$B$26-1)*'AC Demand'!$H$5))*(1+('AC Emissions Adjustments'!$B$26-1)*'AC Demand'!J21)</f>
        <v>222.28768970348256</v>
      </c>
      <c r="K18">
        <f>($H18/(1+('AC Emissions Adjustments'!$B$26-1)*'AC Demand'!$H$5))*(1+('AC Emissions Adjustments'!$B$26-1)*'AC Demand'!K21)</f>
        <v>222.28768970348256</v>
      </c>
      <c r="L18">
        <f>($H18/(1+('AC Emissions Adjustments'!$B$26-1)*'AC Demand'!$H$5))*(1+('AC Emissions Adjustments'!$B$26-1)*'AC Demand'!L21)</f>
        <v>222.28768970348256</v>
      </c>
      <c r="M18">
        <f>($H18/(1+('AC Emissions Adjustments'!$B$26-1)*'AC Demand'!$H$5))*(1+('AC Emissions Adjustments'!$B$26-1)*'AC Demand'!M21)</f>
        <v>222.28768970348256</v>
      </c>
      <c r="N18">
        <f t="shared" si="0"/>
        <v>2679.7809401383124</v>
      </c>
      <c r="O18">
        <f>12*'July Weekday MOVES output'!D20</f>
        <v>1.145781119999981</v>
      </c>
      <c r="P18">
        <f>12*'July Weekday MOVES output'!G20</f>
        <v>0.77327712000001014</v>
      </c>
    </row>
    <row r="19" spans="1:16" x14ac:dyDescent="0.25">
      <c r="A19">
        <v>2043</v>
      </c>
      <c r="B19">
        <f>($H19/(1+('AC Emissions Adjustments'!$B$26-1)*'AC Demand'!$H$5))*(1+('AC Emissions Adjustments'!$B$26-1)*'AC Demand'!B22)</f>
        <v>220.1640623955106</v>
      </c>
      <c r="C19">
        <f>($H19/(1+('AC Emissions Adjustments'!$B$26-1)*'AC Demand'!$H$5))*(1+('AC Emissions Adjustments'!$B$26-1)*'AC Demand'!C22)</f>
        <v>220.1640623955106</v>
      </c>
      <c r="D19">
        <f>($H19/(1+('AC Emissions Adjustments'!$B$26-1)*'AC Demand'!$H$5))*(1+('AC Emissions Adjustments'!$B$26-1)*'AC Demand'!D22)</f>
        <v>220.1640623955106</v>
      </c>
      <c r="E19">
        <f>($H19/(1+('AC Emissions Adjustments'!$B$26-1)*'AC Demand'!$H$5))*(1+('AC Emissions Adjustments'!$B$26-1)*'AC Demand'!E22)</f>
        <v>220.1640623955106</v>
      </c>
      <c r="F19">
        <f>($H19/(1+('AC Emissions Adjustments'!$B$26-1)*'AC Demand'!$H$5))*(1+('AC Emissions Adjustments'!$B$26-1)*'AC Demand'!F22)</f>
        <v>220.1640623955106</v>
      </c>
      <c r="G19">
        <f>($H19/(1+('AC Emissions Adjustments'!$B$26-1)*'AC Demand'!$H$5))*(1+('AC Emissions Adjustments'!$B$26-1)*'AC Demand'!G22)</f>
        <v>220.1640623955106</v>
      </c>
      <c r="H19" s="17">
        <v>232.37494410000363</v>
      </c>
      <c r="I19">
        <f>($H19/(1+('AC Emissions Adjustments'!$B$26-1)*'AC Demand'!$H$5))*(1+('AC Emissions Adjustments'!$B$26-1)*'AC Demand'!I22)</f>
        <v>220.1640623955106</v>
      </c>
      <c r="J19">
        <f>($H19/(1+('AC Emissions Adjustments'!$B$26-1)*'AC Demand'!$H$5))*(1+('AC Emissions Adjustments'!$B$26-1)*'AC Demand'!J22)</f>
        <v>220.1640623955106</v>
      </c>
      <c r="K19">
        <f>($H19/(1+('AC Emissions Adjustments'!$B$26-1)*'AC Demand'!$H$5))*(1+('AC Emissions Adjustments'!$B$26-1)*'AC Demand'!K22)</f>
        <v>220.1640623955106</v>
      </c>
      <c r="L19">
        <f>($H19/(1+('AC Emissions Adjustments'!$B$26-1)*'AC Demand'!$H$5))*(1+('AC Emissions Adjustments'!$B$26-1)*'AC Demand'!L22)</f>
        <v>220.1640623955106</v>
      </c>
      <c r="M19">
        <f>($H19/(1+('AC Emissions Adjustments'!$B$26-1)*'AC Demand'!$H$5))*(1+('AC Emissions Adjustments'!$B$26-1)*'AC Demand'!M22)</f>
        <v>220.1640623955106</v>
      </c>
      <c r="N19">
        <f t="shared" si="0"/>
        <v>2654.1796304506202</v>
      </c>
      <c r="O19">
        <f>12*'July Weekday MOVES output'!D21</f>
        <v>1.1050630799999723</v>
      </c>
      <c r="P19">
        <f>12*'July Weekday MOVES output'!G21</f>
        <v>0.75758628000001238</v>
      </c>
    </row>
    <row r="20" spans="1:16" x14ac:dyDescent="0.25">
      <c r="A20">
        <v>2044</v>
      </c>
      <c r="B20">
        <f>($H20/(1+('AC Emissions Adjustments'!$B$26-1)*'AC Demand'!$H$5))*(1+('AC Emissions Adjustments'!$B$26-1)*'AC Demand'!B23)</f>
        <v>218.04043508753864</v>
      </c>
      <c r="C20">
        <f>($H20/(1+('AC Emissions Adjustments'!$B$26-1)*'AC Demand'!$H$5))*(1+('AC Emissions Adjustments'!$B$26-1)*'AC Demand'!C23)</f>
        <v>218.04043508753864</v>
      </c>
      <c r="D20">
        <f>($H20/(1+('AC Emissions Adjustments'!$B$26-1)*'AC Demand'!$H$5))*(1+('AC Emissions Adjustments'!$B$26-1)*'AC Demand'!D23)</f>
        <v>218.04043508753864</v>
      </c>
      <c r="E20">
        <f>($H20/(1+('AC Emissions Adjustments'!$B$26-1)*'AC Demand'!$H$5))*(1+('AC Emissions Adjustments'!$B$26-1)*'AC Demand'!E23)</f>
        <v>218.04043508753864</v>
      </c>
      <c r="F20">
        <f>($H20/(1+('AC Emissions Adjustments'!$B$26-1)*'AC Demand'!$H$5))*(1+('AC Emissions Adjustments'!$B$26-1)*'AC Demand'!F23)</f>
        <v>218.04043508753864</v>
      </c>
      <c r="G20">
        <f>($H20/(1+('AC Emissions Adjustments'!$B$26-1)*'AC Demand'!$H$5))*(1+('AC Emissions Adjustments'!$B$26-1)*'AC Demand'!G23)</f>
        <v>218.04043508753864</v>
      </c>
      <c r="H20" s="17">
        <v>230.13353480000296</v>
      </c>
      <c r="I20">
        <f>($H20/(1+('AC Emissions Adjustments'!$B$26-1)*'AC Demand'!$H$5))*(1+('AC Emissions Adjustments'!$B$26-1)*'AC Demand'!I23)</f>
        <v>218.04043508753864</v>
      </c>
      <c r="J20">
        <f>($H20/(1+('AC Emissions Adjustments'!$B$26-1)*'AC Demand'!$H$5))*(1+('AC Emissions Adjustments'!$B$26-1)*'AC Demand'!J23)</f>
        <v>218.04043508753864</v>
      </c>
      <c r="K20">
        <f>($H20/(1+('AC Emissions Adjustments'!$B$26-1)*'AC Demand'!$H$5))*(1+('AC Emissions Adjustments'!$B$26-1)*'AC Demand'!K23)</f>
        <v>218.04043508753864</v>
      </c>
      <c r="L20">
        <f>($H20/(1+('AC Emissions Adjustments'!$B$26-1)*'AC Demand'!$H$5))*(1+('AC Emissions Adjustments'!$B$26-1)*'AC Demand'!L23)</f>
        <v>218.04043508753864</v>
      </c>
      <c r="M20">
        <f>($H20/(1+('AC Emissions Adjustments'!$B$26-1)*'AC Demand'!$H$5))*(1+('AC Emissions Adjustments'!$B$26-1)*'AC Demand'!M23)</f>
        <v>218.04043508753864</v>
      </c>
      <c r="N20">
        <f t="shared" si="0"/>
        <v>2628.5783207629288</v>
      </c>
      <c r="O20">
        <f>12*'July Weekday MOVES output'!D22</f>
        <v>1.064345039999985</v>
      </c>
      <c r="P20">
        <f>12*'July Weekday MOVES output'!G22</f>
        <v>0.74189544000001462</v>
      </c>
    </row>
    <row r="21" spans="1:16" x14ac:dyDescent="0.25">
      <c r="A21">
        <v>2045</v>
      </c>
      <c r="B21">
        <f>($H21/(1+('AC Emissions Adjustments'!$B$26-1)*'AC Demand'!$H$5))*(1+('AC Emissions Adjustments'!$B$26-1)*'AC Demand'!B24)</f>
        <v>215.91680777956324</v>
      </c>
      <c r="C21">
        <f>($H21/(1+('AC Emissions Adjustments'!$B$26-1)*'AC Demand'!$H$5))*(1+('AC Emissions Adjustments'!$B$26-1)*'AC Demand'!C24)</f>
        <v>215.91680777956324</v>
      </c>
      <c r="D21">
        <f>($H21/(1+('AC Emissions Adjustments'!$B$26-1)*'AC Demand'!$H$5))*(1+('AC Emissions Adjustments'!$B$26-1)*'AC Demand'!D24)</f>
        <v>215.91680777956324</v>
      </c>
      <c r="E21">
        <f>($H21/(1+('AC Emissions Adjustments'!$B$26-1)*'AC Demand'!$H$5))*(1+('AC Emissions Adjustments'!$B$26-1)*'AC Demand'!E24)</f>
        <v>215.91680777956324</v>
      </c>
      <c r="F21">
        <f>($H21/(1+('AC Emissions Adjustments'!$B$26-1)*'AC Demand'!$H$5))*(1+('AC Emissions Adjustments'!$B$26-1)*'AC Demand'!F24)</f>
        <v>215.91680777956324</v>
      </c>
      <c r="G21">
        <f>($H21/(1+('AC Emissions Adjustments'!$B$26-1)*'AC Demand'!$H$5))*(1+('AC Emissions Adjustments'!$B$26-1)*'AC Demand'!G24)</f>
        <v>215.91680777956324</v>
      </c>
      <c r="H21" s="17">
        <v>227.89212549999866</v>
      </c>
      <c r="I21">
        <f>($H21/(1+('AC Emissions Adjustments'!$B$26-1)*'AC Demand'!$H$5))*(1+('AC Emissions Adjustments'!$B$26-1)*'AC Demand'!I24)</f>
        <v>215.91680777956324</v>
      </c>
      <c r="J21">
        <f>($H21/(1+('AC Emissions Adjustments'!$B$26-1)*'AC Demand'!$H$5))*(1+('AC Emissions Adjustments'!$B$26-1)*'AC Demand'!J24)</f>
        <v>215.91680777956324</v>
      </c>
      <c r="K21">
        <f>($H21/(1+('AC Emissions Adjustments'!$B$26-1)*'AC Demand'!$H$5))*(1+('AC Emissions Adjustments'!$B$26-1)*'AC Demand'!K24)</f>
        <v>215.91680777956324</v>
      </c>
      <c r="L21">
        <f>($H21/(1+('AC Emissions Adjustments'!$B$26-1)*'AC Demand'!$H$5))*(1+('AC Emissions Adjustments'!$B$26-1)*'AC Demand'!L24)</f>
        <v>215.91680777956324</v>
      </c>
      <c r="M21">
        <f>($H21/(1+('AC Emissions Adjustments'!$B$26-1)*'AC Demand'!$H$5))*(1+('AC Emissions Adjustments'!$B$26-1)*'AC Demand'!M24)</f>
        <v>215.91680777956324</v>
      </c>
      <c r="N21">
        <f t="shared" si="0"/>
        <v>2602.9770110751947</v>
      </c>
      <c r="O21">
        <f>12*'July Weekday MOVES output'!D23</f>
        <v>1.0236269999999976</v>
      </c>
      <c r="P21">
        <f>12*'July Weekday MOVES output'!G23</f>
        <v>0.72620459999997422</v>
      </c>
    </row>
    <row r="22" spans="1:16" x14ac:dyDescent="0.25">
      <c r="A22">
        <v>2046</v>
      </c>
      <c r="B22">
        <f>($H22/(1+('AC Emissions Adjustments'!$B$26-1)*'AC Demand'!$H$5))*(1+('AC Emissions Adjustments'!$B$26-1)*'AC Demand'!B25)</f>
        <v>213.79318047159128</v>
      </c>
      <c r="C22">
        <f>($H22/(1+('AC Emissions Adjustments'!$B$26-1)*'AC Demand'!$H$5))*(1+('AC Emissions Adjustments'!$B$26-1)*'AC Demand'!C25)</f>
        <v>213.79318047159128</v>
      </c>
      <c r="D22">
        <f>($H22/(1+('AC Emissions Adjustments'!$B$26-1)*'AC Demand'!$H$5))*(1+('AC Emissions Adjustments'!$B$26-1)*'AC Demand'!D25)</f>
        <v>213.79318047159128</v>
      </c>
      <c r="E22">
        <f>($H22/(1+('AC Emissions Adjustments'!$B$26-1)*'AC Demand'!$H$5))*(1+('AC Emissions Adjustments'!$B$26-1)*'AC Demand'!E25)</f>
        <v>213.79318047159128</v>
      </c>
      <c r="F22">
        <f>($H22/(1+('AC Emissions Adjustments'!$B$26-1)*'AC Demand'!$H$5))*(1+('AC Emissions Adjustments'!$B$26-1)*'AC Demand'!F25)</f>
        <v>213.79318047159128</v>
      </c>
      <c r="G22">
        <f>($H22/(1+('AC Emissions Adjustments'!$B$26-1)*'AC Demand'!$H$5))*(1+('AC Emissions Adjustments'!$B$26-1)*'AC Demand'!G25)</f>
        <v>213.79318047159128</v>
      </c>
      <c r="H22" s="17">
        <v>225.65071619999799</v>
      </c>
      <c r="I22">
        <f>($H22/(1+('AC Emissions Adjustments'!$B$26-1)*'AC Demand'!$H$5))*(1+('AC Emissions Adjustments'!$B$26-1)*'AC Demand'!I25)</f>
        <v>213.79318047159128</v>
      </c>
      <c r="J22">
        <f>($H22/(1+('AC Emissions Adjustments'!$B$26-1)*'AC Demand'!$H$5))*(1+('AC Emissions Adjustments'!$B$26-1)*'AC Demand'!J25)</f>
        <v>213.79318047159128</v>
      </c>
      <c r="K22">
        <f>($H22/(1+('AC Emissions Adjustments'!$B$26-1)*'AC Demand'!$H$5))*(1+('AC Emissions Adjustments'!$B$26-1)*'AC Demand'!K25)</f>
        <v>213.79318047159128</v>
      </c>
      <c r="L22">
        <f>($H22/(1+('AC Emissions Adjustments'!$B$26-1)*'AC Demand'!$H$5))*(1+('AC Emissions Adjustments'!$B$26-1)*'AC Demand'!L25)</f>
        <v>213.79318047159128</v>
      </c>
      <c r="M22">
        <f>($H22/(1+('AC Emissions Adjustments'!$B$26-1)*'AC Demand'!$H$5))*(1+('AC Emissions Adjustments'!$B$26-1)*'AC Demand'!M25)</f>
        <v>213.79318047159128</v>
      </c>
      <c r="N22">
        <f t="shared" si="0"/>
        <v>2577.375701387502</v>
      </c>
      <c r="O22">
        <f>12*'July Weekday MOVES output'!D24</f>
        <v>0.98290895999998895</v>
      </c>
      <c r="P22">
        <f>12*'July Weekday MOVES output'!G24</f>
        <v>0.71051375999997646</v>
      </c>
    </row>
    <row r="23" spans="1:16" x14ac:dyDescent="0.25">
      <c r="A23">
        <v>2047</v>
      </c>
      <c r="B23">
        <f>($H23/(1+('AC Emissions Adjustments'!$B$26-1)*'AC Demand'!$H$5))*(1+('AC Emissions Adjustments'!$B$26-1)*'AC Demand'!B26)</f>
        <v>211.66955316362277</v>
      </c>
      <c r="C23">
        <f>($H23/(1+('AC Emissions Adjustments'!$B$26-1)*'AC Demand'!$H$5))*(1+('AC Emissions Adjustments'!$B$26-1)*'AC Demand'!C26)</f>
        <v>211.66955316362277</v>
      </c>
      <c r="D23">
        <f>($H23/(1+('AC Emissions Adjustments'!$B$26-1)*'AC Demand'!$H$5))*(1+('AC Emissions Adjustments'!$B$26-1)*'AC Demand'!D26)</f>
        <v>211.66955316362277</v>
      </c>
      <c r="E23">
        <f>($H23/(1+('AC Emissions Adjustments'!$B$26-1)*'AC Demand'!$H$5))*(1+('AC Emissions Adjustments'!$B$26-1)*'AC Demand'!E26)</f>
        <v>211.66955316362277</v>
      </c>
      <c r="F23">
        <f>($H23/(1+('AC Emissions Adjustments'!$B$26-1)*'AC Demand'!$H$5))*(1+('AC Emissions Adjustments'!$B$26-1)*'AC Demand'!F26)</f>
        <v>211.66955316362277</v>
      </c>
      <c r="G23">
        <f>($H23/(1+('AC Emissions Adjustments'!$B$26-1)*'AC Demand'!$H$5))*(1+('AC Emissions Adjustments'!$B$26-1)*'AC Demand'!G26)</f>
        <v>211.66955316362277</v>
      </c>
      <c r="H23" s="17">
        <v>223.40930690000096</v>
      </c>
      <c r="I23">
        <f>($H23/(1+('AC Emissions Adjustments'!$B$26-1)*'AC Demand'!$H$5))*(1+('AC Emissions Adjustments'!$B$26-1)*'AC Demand'!I26)</f>
        <v>211.66955316362277</v>
      </c>
      <c r="J23">
        <f>($H23/(1+('AC Emissions Adjustments'!$B$26-1)*'AC Demand'!$H$5))*(1+('AC Emissions Adjustments'!$B$26-1)*'AC Demand'!J26)</f>
        <v>211.66955316362277</v>
      </c>
      <c r="K23">
        <f>($H23/(1+('AC Emissions Adjustments'!$B$26-1)*'AC Demand'!$H$5))*(1+('AC Emissions Adjustments'!$B$26-1)*'AC Demand'!K26)</f>
        <v>211.66955316362277</v>
      </c>
      <c r="L23">
        <f>($H23/(1+('AC Emissions Adjustments'!$B$26-1)*'AC Demand'!$H$5))*(1+('AC Emissions Adjustments'!$B$26-1)*'AC Demand'!L26)</f>
        <v>211.66955316362277</v>
      </c>
      <c r="M23">
        <f>($H23/(1+('AC Emissions Adjustments'!$B$26-1)*'AC Demand'!$H$5))*(1+('AC Emissions Adjustments'!$B$26-1)*'AC Demand'!M26)</f>
        <v>211.66955316362277</v>
      </c>
      <c r="N23">
        <f t="shared" si="0"/>
        <v>2551.7743916998515</v>
      </c>
      <c r="O23">
        <f>12*'July Weekday MOVES output'!D25</f>
        <v>0.94219091999998028</v>
      </c>
      <c r="P23">
        <f>12*'July Weekday MOVES output'!G25</f>
        <v>0.69482291999997869</v>
      </c>
    </row>
    <row r="24" spans="1:16" x14ac:dyDescent="0.25">
      <c r="A24">
        <v>2048</v>
      </c>
      <c r="B24">
        <f>($H24/(1+('AC Emissions Adjustments'!$B$26-1)*'AC Demand'!$H$5))*(1+('AC Emissions Adjustments'!$B$26-1)*'AC Demand'!B27)</f>
        <v>209.54592585564737</v>
      </c>
      <c r="C24">
        <f>($H24/(1+('AC Emissions Adjustments'!$B$26-1)*'AC Demand'!$H$5))*(1+('AC Emissions Adjustments'!$B$26-1)*'AC Demand'!C27)</f>
        <v>209.54592585564737</v>
      </c>
      <c r="D24">
        <f>($H24/(1+('AC Emissions Adjustments'!$B$26-1)*'AC Demand'!$H$5))*(1+('AC Emissions Adjustments'!$B$26-1)*'AC Demand'!D27)</f>
        <v>209.54592585564737</v>
      </c>
      <c r="E24">
        <f>($H24/(1+('AC Emissions Adjustments'!$B$26-1)*'AC Demand'!$H$5))*(1+('AC Emissions Adjustments'!$B$26-1)*'AC Demand'!E27)</f>
        <v>209.54592585564737</v>
      </c>
      <c r="F24">
        <f>($H24/(1+('AC Emissions Adjustments'!$B$26-1)*'AC Demand'!$H$5))*(1+('AC Emissions Adjustments'!$B$26-1)*'AC Demand'!F27)</f>
        <v>209.54592585564737</v>
      </c>
      <c r="G24">
        <f>($H24/(1+('AC Emissions Adjustments'!$B$26-1)*'AC Demand'!$H$5))*(1+('AC Emissions Adjustments'!$B$26-1)*'AC Demand'!G27)</f>
        <v>209.54592585564737</v>
      </c>
      <c r="H24" s="17">
        <v>221.16789759999665</v>
      </c>
      <c r="I24">
        <f>($H24/(1+('AC Emissions Adjustments'!$B$26-1)*'AC Demand'!$H$5))*(1+('AC Emissions Adjustments'!$B$26-1)*'AC Demand'!I27)</f>
        <v>209.54592585564737</v>
      </c>
      <c r="J24">
        <f>($H24/(1+('AC Emissions Adjustments'!$B$26-1)*'AC Demand'!$H$5))*(1+('AC Emissions Adjustments'!$B$26-1)*'AC Demand'!J27)</f>
        <v>209.54592585564737</v>
      </c>
      <c r="K24">
        <f>($H24/(1+('AC Emissions Adjustments'!$B$26-1)*'AC Demand'!$H$5))*(1+('AC Emissions Adjustments'!$B$26-1)*'AC Demand'!K27)</f>
        <v>209.54592585564737</v>
      </c>
      <c r="L24">
        <f>($H24/(1+('AC Emissions Adjustments'!$B$26-1)*'AC Demand'!$H$5))*(1+('AC Emissions Adjustments'!$B$26-1)*'AC Demand'!L27)</f>
        <v>209.54592585564737</v>
      </c>
      <c r="M24">
        <f>($H24/(1+('AC Emissions Adjustments'!$B$26-1)*'AC Demand'!$H$5))*(1+('AC Emissions Adjustments'!$B$26-1)*'AC Demand'!M27)</f>
        <v>209.54592585564737</v>
      </c>
      <c r="N24">
        <f t="shared" si="0"/>
        <v>2526.1730820121179</v>
      </c>
      <c r="O24">
        <f>12*'July Weekday MOVES output'!D26</f>
        <v>0.90147287999997161</v>
      </c>
      <c r="P24">
        <f>12*'July Weekday MOVES output'!G26</f>
        <v>0.67913207999998093</v>
      </c>
    </row>
    <row r="25" spans="1:16" x14ac:dyDescent="0.25">
      <c r="A25">
        <v>2049</v>
      </c>
      <c r="B25">
        <f>($H25/(1+('AC Emissions Adjustments'!$B$26-1)*'AC Demand'!$H$5))*(1+('AC Emissions Adjustments'!$B$26-1)*'AC Demand'!B28)</f>
        <v>207.42229854767541</v>
      </c>
      <c r="C25">
        <f>($H25/(1+('AC Emissions Adjustments'!$B$26-1)*'AC Demand'!$H$5))*(1+('AC Emissions Adjustments'!$B$26-1)*'AC Demand'!C28)</f>
        <v>207.42229854767541</v>
      </c>
      <c r="D25">
        <f>($H25/(1+('AC Emissions Adjustments'!$B$26-1)*'AC Demand'!$H$5))*(1+('AC Emissions Adjustments'!$B$26-1)*'AC Demand'!D28)</f>
        <v>207.42229854767541</v>
      </c>
      <c r="E25">
        <f>($H25/(1+('AC Emissions Adjustments'!$B$26-1)*'AC Demand'!$H$5))*(1+('AC Emissions Adjustments'!$B$26-1)*'AC Demand'!E28)</f>
        <v>207.42229854767541</v>
      </c>
      <c r="F25">
        <f>($H25/(1+('AC Emissions Adjustments'!$B$26-1)*'AC Demand'!$H$5))*(1+('AC Emissions Adjustments'!$B$26-1)*'AC Demand'!F28)</f>
        <v>207.42229854767541</v>
      </c>
      <c r="G25">
        <f>($H25/(1+('AC Emissions Adjustments'!$B$26-1)*'AC Demand'!$H$5))*(1+('AC Emissions Adjustments'!$B$26-1)*'AC Demand'!G28)</f>
        <v>207.42229854767541</v>
      </c>
      <c r="H25" s="17">
        <v>218.92648829999598</v>
      </c>
      <c r="I25">
        <f>($H25/(1+('AC Emissions Adjustments'!$B$26-1)*'AC Demand'!$H$5))*(1+('AC Emissions Adjustments'!$B$26-1)*'AC Demand'!I28)</f>
        <v>207.42229854767541</v>
      </c>
      <c r="J25">
        <f>($H25/(1+('AC Emissions Adjustments'!$B$26-1)*'AC Demand'!$H$5))*(1+('AC Emissions Adjustments'!$B$26-1)*'AC Demand'!J28)</f>
        <v>207.42229854767541</v>
      </c>
      <c r="K25">
        <f>($H25/(1+('AC Emissions Adjustments'!$B$26-1)*'AC Demand'!$H$5))*(1+('AC Emissions Adjustments'!$B$26-1)*'AC Demand'!K28)</f>
        <v>207.42229854767541</v>
      </c>
      <c r="L25">
        <f>($H25/(1+('AC Emissions Adjustments'!$B$26-1)*'AC Demand'!$H$5))*(1+('AC Emissions Adjustments'!$B$26-1)*'AC Demand'!L28)</f>
        <v>207.42229854767541</v>
      </c>
      <c r="M25">
        <f>($H25/(1+('AC Emissions Adjustments'!$B$26-1)*'AC Demand'!$H$5))*(1+('AC Emissions Adjustments'!$B$26-1)*'AC Demand'!M28)</f>
        <v>207.42229854767541</v>
      </c>
      <c r="N25">
        <f t="shared" si="0"/>
        <v>2500.5717723244256</v>
      </c>
      <c r="O25">
        <f>12*'July Weekday MOVES output'!D27</f>
        <v>0.86075483999999491</v>
      </c>
      <c r="P25">
        <f>12*'July Weekday MOVES output'!G27</f>
        <v>0.66344123999998317</v>
      </c>
    </row>
    <row r="26" spans="1:16" x14ac:dyDescent="0.25">
      <c r="A26" s="6">
        <v>2050</v>
      </c>
      <c r="B26">
        <f>($H26/(1+('AC Emissions Adjustments'!$B$26-1)*'AC Demand'!$H$5))*(1+('AC Emissions Adjustments'!$B$26-1)*'AC Demand'!B29)</f>
        <v>205.29867123970345</v>
      </c>
      <c r="C26">
        <f>($H26/(1+('AC Emissions Adjustments'!$B$26-1)*'AC Demand'!$H$5))*(1+('AC Emissions Adjustments'!$B$26-1)*'AC Demand'!C29)</f>
        <v>205.29867123970345</v>
      </c>
      <c r="D26">
        <f>($H26/(1+('AC Emissions Adjustments'!$B$26-1)*'AC Demand'!$H$5))*(1+('AC Emissions Adjustments'!$B$26-1)*'AC Demand'!D29)</f>
        <v>205.29867123970345</v>
      </c>
      <c r="E26">
        <f>($H26/(1+('AC Emissions Adjustments'!$B$26-1)*'AC Demand'!$H$5))*(1+('AC Emissions Adjustments'!$B$26-1)*'AC Demand'!E29)</f>
        <v>205.29867123970345</v>
      </c>
      <c r="F26">
        <f>($H26/(1+('AC Emissions Adjustments'!$B$26-1)*'AC Demand'!$H$5))*(1+('AC Emissions Adjustments'!$B$26-1)*'AC Demand'!F29)</f>
        <v>205.29867123970345</v>
      </c>
      <c r="G26">
        <f>($H26/(1+('AC Emissions Adjustments'!$B$26-1)*'AC Demand'!$H$5))*(1+('AC Emissions Adjustments'!$B$26-1)*'AC Demand'!G29)</f>
        <v>205.29867123970345</v>
      </c>
      <c r="H26" s="16">
        <v>216.68507899999531</v>
      </c>
      <c r="I26">
        <f>($H26/(1+('AC Emissions Adjustments'!$B$26-1)*'AC Demand'!$H$5))*(1+('AC Emissions Adjustments'!$B$26-1)*'AC Demand'!I29)</f>
        <v>205.29867123970345</v>
      </c>
      <c r="J26">
        <f>($H26/(1+('AC Emissions Adjustments'!$B$26-1)*'AC Demand'!$H$5))*(1+('AC Emissions Adjustments'!$B$26-1)*'AC Demand'!J29)</f>
        <v>205.29867123970345</v>
      </c>
      <c r="K26">
        <f>($H26/(1+('AC Emissions Adjustments'!$B$26-1)*'AC Demand'!$H$5))*(1+('AC Emissions Adjustments'!$B$26-1)*'AC Demand'!K29)</f>
        <v>205.29867123970345</v>
      </c>
      <c r="L26">
        <f>($H26/(1+('AC Emissions Adjustments'!$B$26-1)*'AC Demand'!$H$5))*(1+('AC Emissions Adjustments'!$B$26-1)*'AC Demand'!L29)</f>
        <v>205.29867123970345</v>
      </c>
      <c r="M26">
        <f>($H26/(1+('AC Emissions Adjustments'!$B$26-1)*'AC Demand'!$H$5))*(1+('AC Emissions Adjustments'!$B$26-1)*'AC Demand'!M29)</f>
        <v>205.29867123970345</v>
      </c>
      <c r="N26">
        <f t="shared" si="0"/>
        <v>2474.9704626367329</v>
      </c>
      <c r="O26">
        <f>12*'July Weekday MOVES output'!D28</f>
        <v>0.82003679999998624</v>
      </c>
      <c r="P26">
        <f>12*'July Weekday MOVES output'!G28</f>
        <v>0.6477503999999854</v>
      </c>
    </row>
    <row r="30" spans="1:16" x14ac:dyDescent="0.25">
      <c r="B30" t="s">
        <v>66</v>
      </c>
      <c r="C30" t="s">
        <v>67</v>
      </c>
      <c r="D30" t="s">
        <v>68</v>
      </c>
    </row>
    <row r="31" spans="1:16" x14ac:dyDescent="0.25">
      <c r="A31" t="s">
        <v>69</v>
      </c>
      <c r="B31">
        <f>SUM(N2:N6)</f>
        <v>14211.408879418073</v>
      </c>
      <c r="C31">
        <f t="shared" ref="C31:D31" si="1">SUM(O2:O6)</f>
        <v>12.399980999999727</v>
      </c>
      <c r="D31">
        <f t="shared" si="1"/>
        <v>4.664054999999955</v>
      </c>
    </row>
    <row r="32" spans="1:16" x14ac:dyDescent="0.25">
      <c r="A32" t="s">
        <v>70</v>
      </c>
      <c r="B32">
        <f>SUM(N2:N26)</f>
        <v>69243.020971851627</v>
      </c>
      <c r="C32">
        <f t="shared" ref="C32:D32" si="2">SUM(O2:O26)</f>
        <v>40.024340399999275</v>
      </c>
      <c r="D32">
        <f t="shared" si="2"/>
        <v>20.740447199999849</v>
      </c>
    </row>
  </sheetData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TOTAL GHG Emission Reductions</vt:lpstr>
      <vt:lpstr>BEB GHG Estimates</vt:lpstr>
      <vt:lpstr>AC fleet frac calc</vt:lpstr>
      <vt:lpstr>AC Demand</vt:lpstr>
      <vt:lpstr>AC Emissions Adjustments</vt:lpstr>
      <vt:lpstr>July Weekday MOVES output</vt:lpstr>
      <vt:lpstr>FareFree GHG Reductions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Elizabeth Niese</dc:creator>
  <cp:lastModifiedBy>Travis Miller</cp:lastModifiedBy>
  <dcterms:created xsi:type="dcterms:W3CDTF">2024-03-25T16:38:52Z</dcterms:created>
  <dcterms:modified xsi:type="dcterms:W3CDTF">2024-03-29T17:25:16Z</dcterms:modified>
</cp:coreProperties>
</file>