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1.xml" ContentType="application/vnd.openxmlformats-officedocument.drawing+xml"/>
  <Override PartName="/xl/tables/table4.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drawings/drawing3.xml" ContentType="application/vnd.openxmlformats-officedocument.drawing+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6"/>
  <workbookPr defaultThemeVersion="166925"/>
  <mc:AlternateContent xmlns:mc="http://schemas.openxmlformats.org/markup-compatibility/2006">
    <mc:Choice Requires="x15">
      <x15ac:absPath xmlns:x15ac="http://schemas.microsoft.com/office/spreadsheetml/2010/11/ac" url="/Users/dvingris/Desktop/CPRG PDFs/"/>
    </mc:Choice>
  </mc:AlternateContent>
  <xr:revisionPtr revIDLastSave="0" documentId="8_{AB9BC952-4C73-7D4C-A854-A806106BF7C5}" xr6:coauthVersionLast="47" xr6:coauthVersionMax="47" xr10:uidLastSave="{00000000-0000-0000-0000-000000000000}"/>
  <bookViews>
    <workbookView xWindow="1540" yWindow="1540" windowWidth="17280" windowHeight="9960" firstSheet="2" activeTab="2" xr2:uid="{00000000-000D-0000-FFFF-FFFF00000000}"/>
  </bookViews>
  <sheets>
    <sheet name="Contents" sheetId="2" r:id="rId1"/>
    <sheet name="EIA PJM Total" sheetId="10" r:id="rId2"/>
    <sheet name="Grid GHG" sheetId="4" r:id="rId3"/>
    <sheet name="AVERT" sheetId="9" r:id="rId4"/>
    <sheet name="Measure1" sheetId="1" r:id="rId5"/>
    <sheet name="ResStock" sheetId="5" r:id="rId6"/>
    <sheet name="Measure2" sheetId="7" r:id="rId7"/>
    <sheet name="Cost-Effectivenes" sheetId="8" r:id="rId8"/>
  </sheets>
  <externalReferences>
    <externalReference r:id="rId9"/>
  </externalReferences>
  <definedNames>
    <definedName name="AVERT_2022">AVERT!$S$15</definedName>
    <definedName name="regionNameLibrary">[1]Library!$C$60</definedName>
    <definedName name="slope_long">AVERT!$AC$11</definedName>
    <definedName name="slope_near">AVERT!$AC$10</definedName>
    <definedName name="Y0_long">AVERT!$AD$11</definedName>
    <definedName name="Y0_near">AVERT!$AD$10</definedName>
    <definedName name="yearRange">[1]CalculateEERE!$N$20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10" i="9" l="1"/>
  <c r="AD10" i="9"/>
  <c r="G6" i="4"/>
  <c r="C7" i="4"/>
  <c r="C8" i="4"/>
  <c r="C9" i="4"/>
  <c r="C10" i="4"/>
  <c r="C11" i="4"/>
  <c r="C12" i="4"/>
  <c r="C13" i="4"/>
  <c r="C14" i="4"/>
  <c r="C15" i="4"/>
  <c r="C16" i="4"/>
  <c r="C17" i="4"/>
  <c r="C18" i="4"/>
  <c r="C19" i="4"/>
  <c r="C20" i="4"/>
  <c r="C21" i="4"/>
  <c r="C22" i="4"/>
  <c r="C23" i="4"/>
  <c r="C24" i="4"/>
  <c r="C25" i="4"/>
  <c r="C26" i="4"/>
  <c r="C27" i="4"/>
  <c r="C28" i="4"/>
  <c r="C29" i="4"/>
  <c r="C30" i="4"/>
  <c r="C31" i="4"/>
  <c r="C32" i="4"/>
  <c r="C33" i="4"/>
  <c r="C34" i="4"/>
  <c r="B7" i="4"/>
  <c r="B8" i="4"/>
  <c r="B9" i="4"/>
  <c r="B10" i="4"/>
  <c r="B11" i="4"/>
  <c r="B12" i="4"/>
  <c r="B13" i="4"/>
  <c r="B14" i="4"/>
  <c r="B15" i="4"/>
  <c r="B16" i="4"/>
  <c r="B17" i="4"/>
  <c r="B18" i="4"/>
  <c r="B19" i="4"/>
  <c r="B20" i="4"/>
  <c r="B21" i="4"/>
  <c r="B22" i="4"/>
  <c r="B23" i="4"/>
  <c r="B24" i="4"/>
  <c r="B25" i="4"/>
  <c r="B26" i="4"/>
  <c r="B27" i="4"/>
  <c r="B28" i="4"/>
  <c r="B29" i="4"/>
  <c r="B30" i="4"/>
  <c r="B31" i="4"/>
  <c r="B32" i="4"/>
  <c r="B33" i="4"/>
  <c r="B34" i="4"/>
  <c r="C6" i="4"/>
  <c r="B6" i="4"/>
  <c r="L32" i="10"/>
  <c r="K32" i="10"/>
  <c r="L31" i="10"/>
  <c r="K31" i="10"/>
  <c r="L30" i="10"/>
  <c r="K30" i="10"/>
  <c r="L29" i="10"/>
  <c r="K29" i="10"/>
  <c r="L28" i="10"/>
  <c r="K28" i="10"/>
  <c r="L27" i="10"/>
  <c r="K27" i="10"/>
  <c r="L26" i="10"/>
  <c r="K26" i="10"/>
  <c r="L25" i="10"/>
  <c r="K25" i="10"/>
  <c r="L24" i="10"/>
  <c r="K24" i="10"/>
  <c r="L23" i="10"/>
  <c r="K23" i="10"/>
  <c r="L22" i="10"/>
  <c r="K22" i="10"/>
  <c r="L21" i="10"/>
  <c r="K21" i="10"/>
  <c r="L20" i="10"/>
  <c r="K20" i="10"/>
  <c r="L19" i="10"/>
  <c r="K19" i="10"/>
  <c r="L18" i="10"/>
  <c r="K18" i="10"/>
  <c r="L17" i="10"/>
  <c r="K17" i="10"/>
  <c r="L16" i="10"/>
  <c r="K16" i="10"/>
  <c r="L15" i="10"/>
  <c r="K15" i="10"/>
  <c r="L14" i="10"/>
  <c r="K14" i="10"/>
  <c r="L13" i="10"/>
  <c r="K13" i="10"/>
  <c r="L12" i="10"/>
  <c r="K12" i="10"/>
  <c r="L11" i="10"/>
  <c r="K11" i="10"/>
  <c r="L10" i="10"/>
  <c r="K10" i="10"/>
  <c r="L9" i="10"/>
  <c r="K9" i="10"/>
  <c r="L8" i="10"/>
  <c r="K8" i="10"/>
  <c r="L7" i="10"/>
  <c r="K7" i="10"/>
  <c r="L6" i="10"/>
  <c r="K6" i="10"/>
  <c r="L5" i="10"/>
  <c r="K5" i="10"/>
  <c r="L4" i="10"/>
  <c r="K4" i="10"/>
  <c r="AI10" i="9" l="1"/>
  <c r="AM10" i="9"/>
  <c r="AM11" i="9"/>
  <c r="AM12" i="9"/>
  <c r="AM13" i="9"/>
  <c r="AM14" i="9"/>
  <c r="AM15" i="9"/>
  <c r="AM16" i="9"/>
  <c r="AM17" i="9"/>
  <c r="AM18" i="9"/>
  <c r="AM19" i="9"/>
  <c r="AM20" i="9"/>
  <c r="AM21" i="9"/>
  <c r="AM22" i="9"/>
  <c r="AM23" i="9"/>
  <c r="AM24" i="9"/>
  <c r="AM25" i="9"/>
  <c r="AM26" i="9"/>
  <c r="AM27" i="9"/>
  <c r="AM28" i="9"/>
  <c r="AM29" i="9"/>
  <c r="AM30" i="9"/>
  <c r="AM31" i="9"/>
  <c r="AM32" i="9"/>
  <c r="AM33" i="9"/>
  <c r="AM34" i="9"/>
  <c r="AM35" i="9"/>
  <c r="R16" i="9"/>
  <c r="R17" i="9" s="1"/>
  <c r="R18" i="9" s="1"/>
  <c r="R19" i="9" s="1"/>
  <c r="X16" i="9"/>
  <c r="X17" i="9"/>
  <c r="X18" i="9"/>
  <c r="X19" i="9"/>
  <c r="X20" i="9"/>
  <c r="X21" i="9"/>
  <c r="W17" i="9"/>
  <c r="W18" i="9"/>
  <c r="W19" i="9"/>
  <c r="W20" i="9"/>
  <c r="W21" i="9"/>
  <c r="W16" i="9"/>
  <c r="V17" i="9"/>
  <c r="Y17" i="9" s="1"/>
  <c r="V18" i="9"/>
  <c r="Y18" i="9" s="1"/>
  <c r="V19" i="9"/>
  <c r="Y19" i="9" s="1"/>
  <c r="V20" i="9"/>
  <c r="Y20" i="9" s="1"/>
  <c r="V21" i="9"/>
  <c r="Y21" i="9" s="1"/>
  <c r="V16" i="9"/>
  <c r="Y16" i="9" s="1"/>
  <c r="V15" i="9"/>
  <c r="X15" i="9" s="1"/>
  <c r="V14" i="9"/>
  <c r="W14" i="9" s="1"/>
  <c r="X14" i="9" s="1"/>
  <c r="Y14" i="9" s="1"/>
  <c r="V13" i="9"/>
  <c r="W13" i="9" s="1"/>
  <c r="X13" i="9" s="1"/>
  <c r="Y13" i="9" s="1"/>
  <c r="V12" i="9"/>
  <c r="W12" i="9" s="1"/>
  <c r="X12" i="9" s="1"/>
  <c r="Y12" i="9" s="1"/>
  <c r="V11" i="9"/>
  <c r="W11" i="9" s="1"/>
  <c r="X11" i="9" s="1"/>
  <c r="Y11" i="9" s="1"/>
  <c r="V10" i="9"/>
  <c r="W10" i="9" s="1"/>
  <c r="X10" i="9" s="1"/>
  <c r="Y10" i="9" s="1"/>
  <c r="AM36" i="9" l="1"/>
  <c r="R20" i="9"/>
  <c r="R21" i="9" s="1"/>
  <c r="Y15" i="9"/>
  <c r="W15" i="9"/>
  <c r="AC11" i="9" l="1"/>
  <c r="AD11" i="9"/>
  <c r="M5" i="8"/>
  <c r="AI18" i="9" l="1"/>
  <c r="AO18" i="9" s="1"/>
  <c r="AI29" i="9"/>
  <c r="AO29" i="9" s="1"/>
  <c r="AI34" i="9"/>
  <c r="AO34" i="9" s="1"/>
  <c r="AI24" i="9"/>
  <c r="AO24" i="9" s="1"/>
  <c r="AI32" i="9"/>
  <c r="AO32" i="9" s="1"/>
  <c r="AI31" i="9"/>
  <c r="AO31" i="9" s="1"/>
  <c r="AI17" i="9"/>
  <c r="AO17" i="9" s="1"/>
  <c r="AI23" i="9"/>
  <c r="AO23" i="9" s="1"/>
  <c r="AI25" i="9"/>
  <c r="AO25" i="9" s="1"/>
  <c r="AI22" i="9"/>
  <c r="AO22" i="9" s="1"/>
  <c r="AI26" i="9"/>
  <c r="AO26" i="9" s="1"/>
  <c r="AI33" i="9"/>
  <c r="AO33" i="9" s="1"/>
  <c r="AI16" i="9"/>
  <c r="AO16" i="9" s="1"/>
  <c r="AI35" i="9"/>
  <c r="AO35" i="9" s="1"/>
  <c r="AI27" i="9"/>
  <c r="AO27" i="9" s="1"/>
  <c r="AI20" i="9"/>
  <c r="AO20" i="9" s="1"/>
  <c r="AI15" i="9"/>
  <c r="AO15" i="9" s="1"/>
  <c r="AI19" i="9"/>
  <c r="AO19" i="9" s="1"/>
  <c r="AI28" i="9"/>
  <c r="AO28" i="9" s="1"/>
  <c r="AI30" i="9"/>
  <c r="AO30" i="9" s="1"/>
  <c r="AO10" i="9"/>
  <c r="AI12" i="9"/>
  <c r="AO12" i="9" s="1"/>
  <c r="AI13" i="9"/>
  <c r="AO13" i="9" s="1"/>
  <c r="AI14" i="9"/>
  <c r="AO14" i="9" s="1"/>
  <c r="AI11" i="9"/>
  <c r="AO11" i="9" s="1"/>
  <c r="AI21" i="9"/>
  <c r="AO21" i="9" s="1"/>
  <c r="AO36" i="9" l="1"/>
  <c r="O4" i="8"/>
  <c r="O3" i="8"/>
  <c r="O5" i="8" s="1"/>
  <c r="N5" i="8"/>
  <c r="S11" i="7"/>
  <c r="S12" i="7" s="1"/>
  <c r="H8" i="1"/>
  <c r="H7" i="1"/>
  <c r="H5" i="7"/>
  <c r="H4" i="7"/>
  <c r="G5" i="7"/>
  <c r="G4" i="7"/>
  <c r="F18" i="2"/>
  <c r="D34" i="4"/>
  <c r="D33" i="4"/>
  <c r="D32" i="4"/>
  <c r="D31" i="4"/>
  <c r="D30" i="4"/>
  <c r="D29" i="4"/>
  <c r="D28" i="4"/>
  <c r="D27" i="4"/>
  <c r="D26" i="4"/>
  <c r="D25" i="4"/>
  <c r="D24" i="4"/>
  <c r="D23" i="4"/>
  <c r="D22" i="4"/>
  <c r="D21" i="4"/>
  <c r="D20" i="4"/>
  <c r="D19" i="4"/>
  <c r="D18" i="4"/>
  <c r="D17" i="4"/>
  <c r="D16" i="4"/>
  <c r="D15" i="4"/>
  <c r="D14" i="4"/>
  <c r="D13" i="4"/>
  <c r="D12" i="4"/>
  <c r="D11" i="4"/>
  <c r="D10" i="4"/>
  <c r="D9" i="4"/>
  <c r="D8" i="4"/>
  <c r="D7" i="4"/>
  <c r="D6" i="4"/>
  <c r="E33" i="4"/>
  <c r="E32" i="4"/>
  <c r="E31" i="4"/>
  <c r="E30" i="4"/>
  <c r="E29" i="4"/>
  <c r="E28" i="4"/>
  <c r="E27" i="4"/>
  <c r="E26" i="4"/>
  <c r="E25" i="4"/>
  <c r="E24" i="4"/>
  <c r="E23" i="4"/>
  <c r="E22" i="4"/>
  <c r="E21" i="4"/>
  <c r="E20" i="4"/>
  <c r="E19" i="4"/>
  <c r="E18" i="4"/>
  <c r="E17" i="4"/>
  <c r="E16" i="4"/>
  <c r="E15" i="4"/>
  <c r="E14" i="4"/>
  <c r="E13" i="4"/>
  <c r="E12" i="4"/>
  <c r="E11" i="4"/>
  <c r="E10" i="4"/>
  <c r="E9" i="4"/>
  <c r="E8" i="4"/>
  <c r="E7" i="4"/>
  <c r="E6" i="4"/>
  <c r="E34" i="4"/>
  <c r="H6" i="1"/>
  <c r="F25" i="4" l="1"/>
  <c r="F6" i="4"/>
  <c r="F7" i="4"/>
  <c r="G7" i="4" s="1"/>
  <c r="F8" i="4"/>
  <c r="F13" i="4"/>
  <c r="AH14" i="9" s="1"/>
  <c r="AN14" i="9" s="1"/>
  <c r="F34" i="4"/>
  <c r="AH35" i="9" s="1"/>
  <c r="AN35" i="9" s="1"/>
  <c r="F16" i="4"/>
  <c r="AH17" i="9" s="1"/>
  <c r="AN17" i="9" s="1"/>
  <c r="F28" i="4"/>
  <c r="AH29" i="9" s="1"/>
  <c r="AN29" i="9" s="1"/>
  <c r="F17" i="4"/>
  <c r="AH18" i="9" s="1"/>
  <c r="AN18" i="9" s="1"/>
  <c r="F29" i="4"/>
  <c r="AH30" i="9" s="1"/>
  <c r="AN30" i="9" s="1"/>
  <c r="F18" i="4"/>
  <c r="AH19" i="9" s="1"/>
  <c r="AN19" i="9" s="1"/>
  <c r="F30" i="4"/>
  <c r="AH31" i="9" s="1"/>
  <c r="AN31" i="9" s="1"/>
  <c r="F14" i="4"/>
  <c r="AH15" i="9" s="1"/>
  <c r="AN15" i="9" s="1"/>
  <c r="F26" i="4"/>
  <c r="AH27" i="9" s="1"/>
  <c r="AN27" i="9" s="1"/>
  <c r="F15" i="4"/>
  <c r="AH16" i="9" s="1"/>
  <c r="AN16" i="9" s="1"/>
  <c r="F27" i="4"/>
  <c r="AH28" i="9" s="1"/>
  <c r="AN28" i="9" s="1"/>
  <c r="F19" i="4"/>
  <c r="AH20" i="9" s="1"/>
  <c r="AN20" i="9" s="1"/>
  <c r="F31" i="4"/>
  <c r="AH32" i="9" s="1"/>
  <c r="AN32" i="9" s="1"/>
  <c r="F20" i="4"/>
  <c r="AH21" i="9" s="1"/>
  <c r="AN21" i="9" s="1"/>
  <c r="F32" i="4"/>
  <c r="AH33" i="9" s="1"/>
  <c r="AN33" i="9" s="1"/>
  <c r="F9" i="4"/>
  <c r="AH10" i="9" s="1"/>
  <c r="AN10" i="9" s="1"/>
  <c r="F21" i="4"/>
  <c r="AH22" i="9" s="1"/>
  <c r="AN22" i="9" s="1"/>
  <c r="F33" i="4"/>
  <c r="AH34" i="9" s="1"/>
  <c r="AN34" i="9" s="1"/>
  <c r="F10" i="4"/>
  <c r="AH11" i="9" s="1"/>
  <c r="AN11" i="9" s="1"/>
  <c r="F22" i="4"/>
  <c r="AH23" i="9" s="1"/>
  <c r="AN23" i="9" s="1"/>
  <c r="F11" i="4"/>
  <c r="AH12" i="9" s="1"/>
  <c r="AN12" i="9" s="1"/>
  <c r="F23" i="4"/>
  <c r="AH24" i="9" s="1"/>
  <c r="AN24" i="9" s="1"/>
  <c r="F12" i="4"/>
  <c r="AH13" i="9" s="1"/>
  <c r="AN13" i="9" s="1"/>
  <c r="F24" i="4"/>
  <c r="AH25" i="9" s="1"/>
  <c r="AN25" i="9" s="1"/>
  <c r="N12" i="7"/>
  <c r="N13" i="7"/>
  <c r="N14" i="7"/>
  <c r="N15" i="7"/>
  <c r="N16" i="7"/>
  <c r="N17" i="7"/>
  <c r="N18" i="7"/>
  <c r="N19" i="7"/>
  <c r="N20" i="7"/>
  <c r="N21" i="7"/>
  <c r="N22" i="7"/>
  <c r="N23" i="7"/>
  <c r="N24" i="7"/>
  <c r="N25" i="7"/>
  <c r="N26" i="7"/>
  <c r="N27" i="7"/>
  <c r="N28" i="7"/>
  <c r="N29" i="7"/>
  <c r="N30" i="7"/>
  <c r="N31" i="7"/>
  <c r="N32" i="7"/>
  <c r="N33" i="7"/>
  <c r="N34" i="7"/>
  <c r="N35" i="7"/>
  <c r="N36" i="7"/>
  <c r="N11" i="7"/>
  <c r="S13" i="7"/>
  <c r="I22" i="1" l="1"/>
  <c r="AH26" i="9"/>
  <c r="AN26" i="9" s="1"/>
  <c r="AN36" i="9" s="1"/>
  <c r="AO37" i="9" s="1"/>
  <c r="L27" i="7"/>
  <c r="M27" i="7" s="1"/>
  <c r="P27" i="7" s="1"/>
  <c r="G8" i="4"/>
  <c r="G9" i="4" s="1"/>
  <c r="AJ10" i="9" s="1"/>
  <c r="AP10" i="9" s="1"/>
  <c r="L12" i="7"/>
  <c r="M12" i="7" s="1"/>
  <c r="I7" i="1"/>
  <c r="L35" i="7"/>
  <c r="M35" i="7" s="1"/>
  <c r="I30" i="1"/>
  <c r="L20" i="7"/>
  <c r="M20" i="7" s="1"/>
  <c r="I15" i="1"/>
  <c r="I26" i="1"/>
  <c r="L31" i="7"/>
  <c r="M31" i="7" s="1"/>
  <c r="I14" i="1"/>
  <c r="L19" i="7"/>
  <c r="M19" i="7" s="1"/>
  <c r="I29" i="1"/>
  <c r="L34" i="7"/>
  <c r="M34" i="7" s="1"/>
  <c r="I28" i="1"/>
  <c r="L33" i="7"/>
  <c r="M33" i="7" s="1"/>
  <c r="L36" i="7"/>
  <c r="M36" i="7" s="1"/>
  <c r="I31" i="1"/>
  <c r="L17" i="7"/>
  <c r="M17" i="7" s="1"/>
  <c r="I12" i="1"/>
  <c r="I19" i="1"/>
  <c r="L24" i="7"/>
  <c r="M24" i="7" s="1"/>
  <c r="L16" i="7"/>
  <c r="M16" i="7" s="1"/>
  <c r="I11" i="1"/>
  <c r="I27" i="1"/>
  <c r="L32" i="7"/>
  <c r="M32" i="7" s="1"/>
  <c r="L23" i="7"/>
  <c r="M23" i="7" s="1"/>
  <c r="I18" i="1"/>
  <c r="L11" i="7"/>
  <c r="M11" i="7" s="1"/>
  <c r="I6" i="1"/>
  <c r="L30" i="7"/>
  <c r="M30" i="7" s="1"/>
  <c r="I25" i="1"/>
  <c r="L22" i="7"/>
  <c r="M22" i="7" s="1"/>
  <c r="I17" i="1"/>
  <c r="L18" i="7"/>
  <c r="M18" i="7" s="1"/>
  <c r="I13" i="1"/>
  <c r="I21" i="1"/>
  <c r="L26" i="7"/>
  <c r="M26" i="7" s="1"/>
  <c r="I16" i="1"/>
  <c r="L21" i="7"/>
  <c r="M21" i="7" s="1"/>
  <c r="I10" i="1"/>
  <c r="L15" i="7"/>
  <c r="M15" i="7" s="1"/>
  <c r="L14" i="7"/>
  <c r="M14" i="7" s="1"/>
  <c r="I9" i="1"/>
  <c r="I24" i="1"/>
  <c r="L29" i="7"/>
  <c r="M29" i="7" s="1"/>
  <c r="I20" i="1"/>
  <c r="L25" i="7"/>
  <c r="M25" i="7" s="1"/>
  <c r="I8" i="1"/>
  <c r="J8" i="1" s="1"/>
  <c r="L13" i="7"/>
  <c r="M13" i="7" s="1"/>
  <c r="I23" i="1"/>
  <c r="L28" i="7"/>
  <c r="M28" i="7" s="1"/>
  <c r="S14" i="7"/>
  <c r="O27" i="7" l="1"/>
  <c r="Q27" i="7"/>
  <c r="G10" i="4"/>
  <c r="AJ11" i="9" s="1"/>
  <c r="AP11" i="9" s="1"/>
  <c r="K6" i="1"/>
  <c r="L6" i="1" s="1"/>
  <c r="O34" i="7"/>
  <c r="Q34" i="7"/>
  <c r="P34" i="7"/>
  <c r="P16" i="7"/>
  <c r="Q16" i="7"/>
  <c r="O16" i="7"/>
  <c r="Q13" i="7"/>
  <c r="P13" i="7"/>
  <c r="O13" i="7"/>
  <c r="O32" i="7"/>
  <c r="P32" i="7"/>
  <c r="Q32" i="7"/>
  <c r="P25" i="7"/>
  <c r="Q25" i="7"/>
  <c r="O25" i="7"/>
  <c r="P29" i="7"/>
  <c r="Q29" i="7"/>
  <c r="O29" i="7"/>
  <c r="P24" i="7"/>
  <c r="O24" i="7"/>
  <c r="Q24" i="7"/>
  <c r="O22" i="7"/>
  <c r="Q22" i="7"/>
  <c r="P22" i="7"/>
  <c r="Q30" i="7"/>
  <c r="O30" i="7"/>
  <c r="P30" i="7"/>
  <c r="P20" i="7"/>
  <c r="Q20" i="7"/>
  <c r="O20" i="7"/>
  <c r="P11" i="7"/>
  <c r="Q11" i="7"/>
  <c r="O11" i="7"/>
  <c r="P36" i="7"/>
  <c r="O36" i="7"/>
  <c r="Q36" i="7"/>
  <c r="O28" i="7"/>
  <c r="P28" i="7"/>
  <c r="Q28" i="7"/>
  <c r="O33" i="7"/>
  <c r="Q33" i="7"/>
  <c r="P33" i="7"/>
  <c r="O26" i="7"/>
  <c r="Q26" i="7"/>
  <c r="P26" i="7"/>
  <c r="O19" i="7"/>
  <c r="P19" i="7"/>
  <c r="Q19" i="7"/>
  <c r="O18" i="7"/>
  <c r="Q18" i="7"/>
  <c r="P18" i="7"/>
  <c r="P31" i="7"/>
  <c r="Q31" i="7"/>
  <c r="O31" i="7"/>
  <c r="P14" i="7"/>
  <c r="O14" i="7"/>
  <c r="Q14" i="7"/>
  <c r="Q17" i="7"/>
  <c r="O17" i="7"/>
  <c r="P17" i="7"/>
  <c r="P15" i="7"/>
  <c r="O15" i="7"/>
  <c r="Q15" i="7"/>
  <c r="O35" i="7"/>
  <c r="P35" i="7"/>
  <c r="Q35" i="7"/>
  <c r="P21" i="7"/>
  <c r="Q21" i="7"/>
  <c r="O21" i="7"/>
  <c r="P23" i="7"/>
  <c r="Q23" i="7"/>
  <c r="O23" i="7"/>
  <c r="Q12" i="7"/>
  <c r="O12" i="7"/>
  <c r="P12" i="7"/>
  <c r="S15" i="7"/>
  <c r="E11" i="8" l="1"/>
  <c r="G11" i="4"/>
  <c r="AJ12" i="9" s="1"/>
  <c r="AP12" i="9" s="1"/>
  <c r="K7" i="1"/>
  <c r="L7" i="1" s="1"/>
  <c r="E12" i="8" s="1"/>
  <c r="U14" i="7"/>
  <c r="T14" i="7"/>
  <c r="U13" i="7"/>
  <c r="T13" i="7"/>
  <c r="U11" i="7"/>
  <c r="T11" i="7"/>
  <c r="U12" i="7"/>
  <c r="T12" i="7"/>
  <c r="S16" i="7"/>
  <c r="T15" i="7"/>
  <c r="U15" i="7"/>
  <c r="G12" i="4" l="1"/>
  <c r="AJ13" i="9" s="1"/>
  <c r="AP13" i="9" s="1"/>
  <c r="K8" i="1"/>
  <c r="L8" i="1" s="1"/>
  <c r="E13" i="8" s="1"/>
  <c r="V14" i="7"/>
  <c r="D23" i="7" s="1"/>
  <c r="V12" i="7"/>
  <c r="V11" i="7"/>
  <c r="V13" i="7"/>
  <c r="V15" i="7"/>
  <c r="S17" i="7"/>
  <c r="T16" i="7"/>
  <c r="U16" i="7"/>
  <c r="F14" i="8" l="1"/>
  <c r="I14" i="8" s="1"/>
  <c r="G13" i="4"/>
  <c r="AJ14" i="9" s="1"/>
  <c r="AP14" i="9" s="1"/>
  <c r="K9" i="1"/>
  <c r="L9" i="1" s="1"/>
  <c r="F13" i="8"/>
  <c r="I13" i="8" s="1"/>
  <c r="D22" i="7"/>
  <c r="F11" i="8"/>
  <c r="D20" i="7"/>
  <c r="D21" i="7"/>
  <c r="F12" i="8"/>
  <c r="I12" i="8" s="1"/>
  <c r="F15" i="8"/>
  <c r="I15" i="8" s="1"/>
  <c r="D24" i="7"/>
  <c r="V16" i="7"/>
  <c r="S18" i="7"/>
  <c r="T17" i="7"/>
  <c r="U17" i="7"/>
  <c r="E14" i="8" l="1"/>
  <c r="G14" i="4"/>
  <c r="AJ15" i="9" s="1"/>
  <c r="AP15" i="9" s="1"/>
  <c r="K10" i="1"/>
  <c r="L10" i="1" s="1"/>
  <c r="E15" i="8" s="1"/>
  <c r="I11" i="8"/>
  <c r="D16" i="7"/>
  <c r="D25" i="7"/>
  <c r="F16" i="8"/>
  <c r="N6" i="8" s="1"/>
  <c r="D17" i="7"/>
  <c r="V17" i="7"/>
  <c r="S19" i="7"/>
  <c r="U19" i="7" s="1"/>
  <c r="T18" i="7"/>
  <c r="U18" i="7"/>
  <c r="F40" i="8" l="1"/>
  <c r="G15" i="4"/>
  <c r="AJ16" i="9" s="1"/>
  <c r="AP16" i="9" s="1"/>
  <c r="K11" i="1"/>
  <c r="L11" i="1" s="1"/>
  <c r="E16" i="8" s="1"/>
  <c r="E40" i="8" s="1"/>
  <c r="F17" i="8"/>
  <c r="I17" i="8" s="1"/>
  <c r="D26" i="7"/>
  <c r="I16" i="8"/>
  <c r="N8" i="8"/>
  <c r="V18" i="7"/>
  <c r="S20" i="7"/>
  <c r="T19" i="7"/>
  <c r="G16" i="4" l="1"/>
  <c r="AJ17" i="9" s="1"/>
  <c r="AP17" i="9" s="1"/>
  <c r="K12" i="1"/>
  <c r="L12" i="1" s="1"/>
  <c r="F18" i="8"/>
  <c r="I18" i="8" s="1"/>
  <c r="D27" i="7"/>
  <c r="I40" i="8"/>
  <c r="V19" i="7"/>
  <c r="S21" i="7"/>
  <c r="T20" i="7"/>
  <c r="U20" i="7"/>
  <c r="E17" i="8" l="1"/>
  <c r="G17" i="4"/>
  <c r="AJ18" i="9" s="1"/>
  <c r="AP18" i="9" s="1"/>
  <c r="K13" i="1"/>
  <c r="L13" i="1" s="1"/>
  <c r="E18" i="8" s="1"/>
  <c r="F19" i="8"/>
  <c r="I19" i="8" s="1"/>
  <c r="D28" i="7"/>
  <c r="V20" i="7"/>
  <c r="S22" i="7"/>
  <c r="T21" i="7"/>
  <c r="U21" i="7"/>
  <c r="G18" i="4" l="1"/>
  <c r="AJ19" i="9" s="1"/>
  <c r="AP19" i="9" s="1"/>
  <c r="K14" i="1"/>
  <c r="L14" i="1" s="1"/>
  <c r="E19" i="8" s="1"/>
  <c r="F20" i="8"/>
  <c r="I20" i="8" s="1"/>
  <c r="D29" i="7"/>
  <c r="V21" i="7"/>
  <c r="S23" i="7"/>
  <c r="T22" i="7"/>
  <c r="U22" i="7"/>
  <c r="G19" i="4" l="1"/>
  <c r="AJ20" i="9" s="1"/>
  <c r="AP20" i="9" s="1"/>
  <c r="K15" i="1"/>
  <c r="L15" i="1" s="1"/>
  <c r="E20" i="8" s="1"/>
  <c r="F21" i="8"/>
  <c r="I21" i="8" s="1"/>
  <c r="D30" i="7"/>
  <c r="V22" i="7"/>
  <c r="S24" i="7"/>
  <c r="T23" i="7"/>
  <c r="U23" i="7"/>
  <c r="G20" i="4" l="1"/>
  <c r="AJ21" i="9" s="1"/>
  <c r="AP21" i="9" s="1"/>
  <c r="K16" i="1"/>
  <c r="L16" i="1" s="1"/>
  <c r="E21" i="8" s="1"/>
  <c r="F22" i="8"/>
  <c r="I22" i="8" s="1"/>
  <c r="D31" i="7"/>
  <c r="V23" i="7"/>
  <c r="S25" i="7"/>
  <c r="T24" i="7"/>
  <c r="U24" i="7"/>
  <c r="G21" i="4" l="1"/>
  <c r="AJ22" i="9" s="1"/>
  <c r="AP22" i="9" s="1"/>
  <c r="K17" i="1"/>
  <c r="L17" i="1" s="1"/>
  <c r="E22" i="8" s="1"/>
  <c r="F23" i="8"/>
  <c r="I23" i="8" s="1"/>
  <c r="D32" i="7"/>
  <c r="V24" i="7"/>
  <c r="S26" i="7"/>
  <c r="T25" i="7"/>
  <c r="U25" i="7"/>
  <c r="G22" i="4" l="1"/>
  <c r="AJ23" i="9" s="1"/>
  <c r="AP23" i="9" s="1"/>
  <c r="K18" i="1"/>
  <c r="L18" i="1" s="1"/>
  <c r="E23" i="8" s="1"/>
  <c r="F24" i="8"/>
  <c r="I24" i="8" s="1"/>
  <c r="D33" i="7"/>
  <c r="V25" i="7"/>
  <c r="S27" i="7"/>
  <c r="T26" i="7"/>
  <c r="U26" i="7"/>
  <c r="G23" i="4" l="1"/>
  <c r="AJ24" i="9" s="1"/>
  <c r="AP24" i="9" s="1"/>
  <c r="K19" i="1"/>
  <c r="L19" i="1" s="1"/>
  <c r="E24" i="8" s="1"/>
  <c r="F25" i="8"/>
  <c r="I25" i="8" s="1"/>
  <c r="D34" i="7"/>
  <c r="V26" i="7"/>
  <c r="S28" i="7"/>
  <c r="T27" i="7"/>
  <c r="U27" i="7"/>
  <c r="G24" i="4" l="1"/>
  <c r="AJ25" i="9" s="1"/>
  <c r="AP25" i="9" s="1"/>
  <c r="K20" i="1"/>
  <c r="L20" i="1" s="1"/>
  <c r="E25" i="8" s="1"/>
  <c r="F26" i="8"/>
  <c r="I26" i="8" s="1"/>
  <c r="D35" i="7"/>
  <c r="V27" i="7"/>
  <c r="S29" i="7"/>
  <c r="T28" i="7"/>
  <c r="U28" i="7"/>
  <c r="G25" i="4" l="1"/>
  <c r="AJ26" i="9" s="1"/>
  <c r="AP26" i="9" s="1"/>
  <c r="K21" i="1"/>
  <c r="L21" i="1" s="1"/>
  <c r="E26" i="8" s="1"/>
  <c r="F27" i="8"/>
  <c r="I27" i="8" s="1"/>
  <c r="D36" i="7"/>
  <c r="V28" i="7"/>
  <c r="S30" i="7"/>
  <c r="T29" i="7"/>
  <c r="U29" i="7"/>
  <c r="G26" i="4" l="1"/>
  <c r="AJ27" i="9" s="1"/>
  <c r="AP27" i="9" s="1"/>
  <c r="K22" i="1"/>
  <c r="L22" i="1" s="1"/>
  <c r="E27" i="8" s="1"/>
  <c r="F28" i="8"/>
  <c r="I28" i="8" s="1"/>
  <c r="D37" i="7"/>
  <c r="V29" i="7"/>
  <c r="S31" i="7"/>
  <c r="T30" i="7"/>
  <c r="U30" i="7"/>
  <c r="G27" i="4" l="1"/>
  <c r="AJ28" i="9" s="1"/>
  <c r="AP28" i="9" s="1"/>
  <c r="K23" i="1"/>
  <c r="L23" i="1" s="1"/>
  <c r="E28" i="8" s="1"/>
  <c r="F29" i="8"/>
  <c r="I29" i="8" s="1"/>
  <c r="D38" i="7"/>
  <c r="V30" i="7"/>
  <c r="S32" i="7"/>
  <c r="T31" i="7"/>
  <c r="U31" i="7"/>
  <c r="G28" i="4" l="1"/>
  <c r="AJ29" i="9" s="1"/>
  <c r="AP29" i="9" s="1"/>
  <c r="K24" i="1"/>
  <c r="L24" i="1" s="1"/>
  <c r="E29" i="8" s="1"/>
  <c r="F30" i="8"/>
  <c r="I30" i="8" s="1"/>
  <c r="D39" i="7"/>
  <c r="V31" i="7"/>
  <c r="S33" i="7"/>
  <c r="T32" i="7"/>
  <c r="U32" i="7"/>
  <c r="G29" i="4" l="1"/>
  <c r="AJ30" i="9" s="1"/>
  <c r="AP30" i="9" s="1"/>
  <c r="K25" i="1"/>
  <c r="L25" i="1" s="1"/>
  <c r="E30" i="8" s="1"/>
  <c r="F31" i="8"/>
  <c r="I31" i="8" s="1"/>
  <c r="D40" i="7"/>
  <c r="V32" i="7"/>
  <c r="S34" i="7"/>
  <c r="T33" i="7"/>
  <c r="U33" i="7"/>
  <c r="G30" i="4" l="1"/>
  <c r="AJ31" i="9" s="1"/>
  <c r="AP31" i="9" s="1"/>
  <c r="K26" i="1"/>
  <c r="L26" i="1" s="1"/>
  <c r="E31" i="8" s="1"/>
  <c r="F32" i="8"/>
  <c r="I32" i="8" s="1"/>
  <c r="D41" i="7"/>
  <c r="V33" i="7"/>
  <c r="S35" i="7"/>
  <c r="T34" i="7"/>
  <c r="U34" i="7"/>
  <c r="G31" i="4" l="1"/>
  <c r="AJ32" i="9" s="1"/>
  <c r="AP32" i="9" s="1"/>
  <c r="K27" i="1"/>
  <c r="L27" i="1" s="1"/>
  <c r="E32" i="8" s="1"/>
  <c r="F33" i="8"/>
  <c r="I33" i="8" s="1"/>
  <c r="D42" i="7"/>
  <c r="V34" i="7"/>
  <c r="S36" i="7"/>
  <c r="T35" i="7"/>
  <c r="U35" i="7"/>
  <c r="G32" i="4" l="1"/>
  <c r="AJ33" i="9" s="1"/>
  <c r="AP33" i="9" s="1"/>
  <c r="K28" i="1"/>
  <c r="L28" i="1" s="1"/>
  <c r="E33" i="8" s="1"/>
  <c r="F34" i="8"/>
  <c r="I34" i="8" s="1"/>
  <c r="D43" i="7"/>
  <c r="V35" i="7"/>
  <c r="D44" i="7" s="1"/>
  <c r="T36" i="7"/>
  <c r="U36" i="7"/>
  <c r="G33" i="4" l="1"/>
  <c r="AJ34" i="9" s="1"/>
  <c r="AP34" i="9" s="1"/>
  <c r="K29" i="1"/>
  <c r="L29" i="1" s="1"/>
  <c r="E34" i="8" s="1"/>
  <c r="V36" i="7"/>
  <c r="F35" i="8"/>
  <c r="G34" i="4" l="1"/>
  <c r="K30" i="1"/>
  <c r="L30" i="1" s="1"/>
  <c r="E35" i="8" s="1"/>
  <c r="D19" i="7"/>
  <c r="D18" i="7"/>
  <c r="F36" i="8"/>
  <c r="D45" i="7"/>
  <c r="I35" i="8"/>
  <c r="I36" i="8" l="1"/>
  <c r="F41" i="8"/>
  <c r="K31" i="1"/>
  <c r="L31" i="1" s="1"/>
  <c r="AJ35" i="9"/>
  <c r="AP35" i="9" s="1"/>
  <c r="AP36" i="9" s="1"/>
  <c r="AP37" i="9" s="1"/>
  <c r="E36" i="8"/>
  <c r="E41" i="8" s="1"/>
  <c r="L32" i="1"/>
  <c r="I41" i="8"/>
  <c r="N7" i="8"/>
  <c r="E28" i="1"/>
  <c r="F31" i="1"/>
  <c r="E24" i="1"/>
  <c r="E25" i="1"/>
  <c r="E19" i="1"/>
  <c r="E13" i="1"/>
  <c r="E16" i="1"/>
  <c r="G31" i="1"/>
  <c r="E14" i="1"/>
  <c r="E20" i="1"/>
  <c r="E9" i="1"/>
  <c r="H9" i="1" s="1"/>
  <c r="J9" i="1" s="1"/>
  <c r="E15" i="1"/>
  <c r="E21" i="1"/>
  <c r="E26" i="1"/>
  <c r="E27" i="1"/>
  <c r="E10" i="1"/>
  <c r="E11" i="1"/>
  <c r="E22" i="1"/>
  <c r="E23" i="1"/>
  <c r="E30" i="1"/>
  <c r="J7" i="1"/>
  <c r="E12" i="1"/>
  <c r="E17" i="1"/>
  <c r="E18" i="1"/>
  <c r="E29" i="1"/>
  <c r="E31" i="1"/>
  <c r="J6" i="1"/>
  <c r="G24" i="1"/>
  <c r="G12" i="1"/>
  <c r="G22" i="1"/>
  <c r="G10" i="1"/>
  <c r="R15" i="1" s="1"/>
  <c r="G21" i="1"/>
  <c r="G20" i="1"/>
  <c r="G19" i="1"/>
  <c r="G30" i="1"/>
  <c r="G18" i="1"/>
  <c r="G17" i="1"/>
  <c r="G16" i="1"/>
  <c r="G27" i="1"/>
  <c r="G15" i="1"/>
  <c r="G29" i="1"/>
  <c r="G14" i="1"/>
  <c r="G26" i="1"/>
  <c r="H26" i="1" s="1"/>
  <c r="J26" i="1" s="1"/>
  <c r="G25" i="1"/>
  <c r="G23" i="1"/>
  <c r="G13" i="1"/>
  <c r="G28" i="1"/>
  <c r="G11" i="1"/>
  <c r="F19" i="1"/>
  <c r="F29" i="1"/>
  <c r="F11" i="1"/>
  <c r="F15" i="1"/>
  <c r="F17" i="1"/>
  <c r="F26" i="1"/>
  <c r="F16" i="1"/>
  <c r="F14" i="1"/>
  <c r="F27" i="1"/>
  <c r="F13" i="1"/>
  <c r="F12" i="1"/>
  <c r="F25" i="1"/>
  <c r="F24" i="1"/>
  <c r="F21" i="1"/>
  <c r="F20" i="1"/>
  <c r="F22" i="1"/>
  <c r="F10" i="1"/>
  <c r="F32" i="1" s="1"/>
  <c r="Q14" i="1" s="1"/>
  <c r="F23" i="1"/>
  <c r="F30" i="1"/>
  <c r="F28" i="1"/>
  <c r="F18" i="1"/>
  <c r="H12" i="1" l="1"/>
  <c r="J12" i="1" s="1"/>
  <c r="P13" i="1"/>
  <c r="P14" i="1"/>
  <c r="H21" i="1"/>
  <c r="J21" i="1" s="1"/>
  <c r="H27" i="1"/>
  <c r="J27" i="1" s="1"/>
  <c r="H32" i="8" s="1"/>
  <c r="J32" i="8" s="1"/>
  <c r="H31" i="1"/>
  <c r="J31" i="1" s="1"/>
  <c r="H36" i="8" s="1"/>
  <c r="J36" i="8" s="1"/>
  <c r="H14" i="1"/>
  <c r="J14" i="1" s="1"/>
  <c r="G19" i="8" s="1"/>
  <c r="H23" i="1"/>
  <c r="J23" i="1" s="1"/>
  <c r="G28" i="8" s="1"/>
  <c r="H24" i="1"/>
  <c r="J24" i="1" s="1"/>
  <c r="G29" i="8" s="1"/>
  <c r="H25" i="1"/>
  <c r="J25" i="1" s="1"/>
  <c r="H30" i="8" s="1"/>
  <c r="J30" i="8" s="1"/>
  <c r="H30" i="1"/>
  <c r="J30" i="1" s="1"/>
  <c r="H35" i="8" s="1"/>
  <c r="J35" i="8" s="1"/>
  <c r="H31" i="8"/>
  <c r="J31" i="8" s="1"/>
  <c r="H13" i="8"/>
  <c r="J13" i="8" s="1"/>
  <c r="H17" i="8"/>
  <c r="J17" i="8" s="1"/>
  <c r="H12" i="8"/>
  <c r="J12" i="8" s="1"/>
  <c r="H11" i="1"/>
  <c r="J11" i="1" s="1"/>
  <c r="H19" i="1"/>
  <c r="J19" i="1" s="1"/>
  <c r="H17" i="1"/>
  <c r="J17" i="1" s="1"/>
  <c r="H29" i="1"/>
  <c r="J29" i="1" s="1"/>
  <c r="H16" i="1"/>
  <c r="J16" i="1" s="1"/>
  <c r="H18" i="1"/>
  <c r="J18" i="1" s="1"/>
  <c r="H13" i="1"/>
  <c r="J13" i="1" s="1"/>
  <c r="H15" i="1"/>
  <c r="J15" i="1" s="1"/>
  <c r="H28" i="1"/>
  <c r="J28" i="1" s="1"/>
  <c r="H20" i="1"/>
  <c r="J20" i="1" s="1"/>
  <c r="H22" i="1"/>
  <c r="J22" i="1" s="1"/>
  <c r="E32" i="1"/>
  <c r="Q13" i="1" s="1"/>
  <c r="R14" i="1"/>
  <c r="S13" i="1"/>
  <c r="S14" i="1"/>
  <c r="P15" i="1"/>
  <c r="S15" i="1"/>
  <c r="R13" i="1"/>
  <c r="H10" i="1"/>
  <c r="J10" i="1" s="1"/>
  <c r="G32" i="1"/>
  <c r="Q15" i="1" s="1"/>
  <c r="G12" i="8" l="1"/>
  <c r="G11" i="8"/>
  <c r="H26" i="8"/>
  <c r="J26" i="8" s="1"/>
  <c r="G26" i="8"/>
  <c r="H11" i="8"/>
  <c r="J11" i="8" s="1"/>
  <c r="P16" i="1"/>
  <c r="G32" i="8"/>
  <c r="H28" i="8"/>
  <c r="J28" i="8" s="1"/>
  <c r="G31" i="8"/>
  <c r="G35" i="8"/>
  <c r="G13" i="8"/>
  <c r="H19" i="8"/>
  <c r="J19" i="8" s="1"/>
  <c r="H29" i="8"/>
  <c r="J29" i="8" s="1"/>
  <c r="Q7" i="1"/>
  <c r="G36" i="8"/>
  <c r="G30" i="8"/>
  <c r="G17" i="8"/>
  <c r="H25" i="8"/>
  <c r="J25" i="8" s="1"/>
  <c r="H33" i="8"/>
  <c r="J33" i="8" s="1"/>
  <c r="H20" i="8"/>
  <c r="J20" i="8" s="1"/>
  <c r="H15" i="8"/>
  <c r="J15" i="8" s="1"/>
  <c r="R16" i="1"/>
  <c r="P6" i="1"/>
  <c r="Q16" i="1"/>
  <c r="Q6" i="1"/>
  <c r="Q8" i="1"/>
  <c r="P8" i="1"/>
  <c r="Q5" i="1"/>
  <c r="S16" i="1"/>
  <c r="P7" i="1"/>
  <c r="G14" i="8"/>
  <c r="H14" i="8"/>
  <c r="J14" i="8" s="1"/>
  <c r="H32" i="1"/>
  <c r="J32" i="1"/>
  <c r="P5" i="1"/>
  <c r="M6" i="8" l="1"/>
  <c r="M8" i="8" s="1"/>
  <c r="M7" i="8"/>
  <c r="O7" i="8" s="1"/>
  <c r="G33" i="8"/>
  <c r="G25" i="8"/>
  <c r="G20" i="8"/>
  <c r="G21" i="8"/>
  <c r="H21" i="8"/>
  <c r="J21" i="8" s="1"/>
  <c r="H23" i="8"/>
  <c r="J23" i="8" s="1"/>
  <c r="G23" i="8"/>
  <c r="G24" i="8"/>
  <c r="H24" i="8"/>
  <c r="J24" i="8" s="1"/>
  <c r="G22" i="8"/>
  <c r="H22" i="8"/>
  <c r="J22" i="8" s="1"/>
  <c r="H16" i="8"/>
  <c r="J16" i="8" s="1"/>
  <c r="G16" i="8"/>
  <c r="H18" i="8"/>
  <c r="J18" i="8" s="1"/>
  <c r="G18" i="8"/>
  <c r="G15" i="8"/>
  <c r="G40" i="8" s="1"/>
  <c r="G27" i="8"/>
  <c r="H27" i="8"/>
  <c r="J27" i="8" s="1"/>
  <c r="H34" i="8"/>
  <c r="J34" i="8" s="1"/>
  <c r="G34" i="8"/>
  <c r="G41" i="8" l="1"/>
  <c r="J41" i="8"/>
  <c r="G37" i="8"/>
  <c r="E37" i="8" s="1"/>
  <c r="J40" i="8"/>
  <c r="J37" i="8"/>
  <c r="I37" i="8" s="1"/>
  <c r="H40" i="8"/>
  <c r="H41" i="8"/>
  <c r="O6" i="8"/>
  <c r="O8" i="8" s="1"/>
  <c r="F37" i="8" l="1"/>
  <c r="H37" i="8"/>
</calcChain>
</file>

<file path=xl/sharedStrings.xml><?xml version="1.0" encoding="utf-8"?>
<sst xmlns="http://schemas.openxmlformats.org/spreadsheetml/2006/main" count="287" uniqueCount="219">
  <si>
    <t xml:space="preserve">Worksheet </t>
  </si>
  <si>
    <t>Description</t>
  </si>
  <si>
    <t>Contents</t>
  </si>
  <si>
    <t>Table Assumptions: Assumptions and sources for data used.</t>
  </si>
  <si>
    <t>EIA PJM Total</t>
  </si>
  <si>
    <t>Totalled EIA data for the PJM grid</t>
  </si>
  <si>
    <t xml:space="preserve">Grid GHG </t>
  </si>
  <si>
    <t>Table GridCO2: Annual carbon intensity for PJM/West grid from EIA AEO2023 data.</t>
  </si>
  <si>
    <t>AVERT</t>
  </si>
  <si>
    <t>Analyzes AVERT, Cambien, and EIA emissions comparisons for final projection.</t>
  </si>
  <si>
    <t>Measure1</t>
  </si>
  <si>
    <t>Calculates GHG reductions for Measure 1: The Virtual Power Plant</t>
  </si>
  <si>
    <t>ResStock™</t>
  </si>
  <si>
    <t>Tabulated ResStock values used for energy/home for Baseline scenario.</t>
  </si>
  <si>
    <t>Measure2</t>
  </si>
  <si>
    <t>Calculates GHG Reductions for Measure 2: Local Green Fund</t>
  </si>
  <si>
    <t>Cost-Effectiveness</t>
  </si>
  <si>
    <t>Calculates the quantified CPRG emissions and associated cost effectiveness.</t>
  </si>
  <si>
    <t>Category</t>
  </si>
  <si>
    <t>Original Value</t>
  </si>
  <si>
    <t>Original Units</t>
  </si>
  <si>
    <t>Metric value</t>
  </si>
  <si>
    <t>Metric units</t>
  </si>
  <si>
    <t>Source</t>
  </si>
  <si>
    <t>Electricity avoided emissions</t>
  </si>
  <si>
    <t>--&gt;</t>
  </si>
  <si>
    <t>See: "Long term electric emissions" tab</t>
  </si>
  <si>
    <t>Natural gas combustion emissions</t>
  </si>
  <si>
    <t>kg CO2/MMBtu</t>
  </si>
  <si>
    <t>Metric Tons CO2/MMBtu</t>
  </si>
  <si>
    <t>https://www.eia.gov/environment/emissions/co2_vol_mass.php</t>
  </si>
  <si>
    <t>Percentage of SOPEC region green energy customers</t>
  </si>
  <si>
    <t>NA</t>
  </si>
  <si>
    <t>SOPEC data</t>
  </si>
  <si>
    <t>Natural gas unit conversions</t>
  </si>
  <si>
    <t>https://www.eia.gov/tools/faqs/faq.php?id=45&amp;t=8</t>
  </si>
  <si>
    <t>Home energy retrofit data</t>
  </si>
  <si>
    <t>See: "ResStock Data" tab</t>
  </si>
  <si>
    <t>PJM East</t>
  </si>
  <si>
    <t>West (Ohio)</t>
  </si>
  <si>
    <t>Commonwealth Edison</t>
  </si>
  <si>
    <t>Dominion</t>
  </si>
  <si>
    <t>PJM Total</t>
  </si>
  <si>
    <t>Year</t>
  </si>
  <si>
    <t>Emissions: Carbon Dioxide (MMst) MMst</t>
  </si>
  <si>
    <t>Total Electricity Generation (BkWh) BkWh</t>
  </si>
  <si>
    <t>Emissions: Carbon Dioxide (MMst) MMst2</t>
  </si>
  <si>
    <t>Total Electricity Generation (BkWh) BkWh3</t>
  </si>
  <si>
    <t>Emissions: Carbon Dioxide (MMst) MMst3</t>
  </si>
  <si>
    <t>Total Electricity Generation (BkWh) BkWh4</t>
  </si>
  <si>
    <t>Emissions: Carbon Dioxide (MMst) MMst4</t>
  </si>
  <si>
    <t>Total Electricity Generation (BkWh) BkWh5</t>
  </si>
  <si>
    <t>Emissions: Carbon Dioxide (MMst) MMst42</t>
  </si>
  <si>
    <t>Total Electricity Generation (BkWh) BkWh53</t>
  </si>
  <si>
    <t>Annual Energy Outlook 2023; 
Table: Table 54. Electric Power Projections by Electricity Market Module Region; 
Case: Reference case | Region: PJM / East</t>
  </si>
  <si>
    <t>https://www.eia.gov/outlooks/aeo/data/browser/#/?id=62-AEO2023&amp;region=5-11&amp;cases=ref2023&amp;start=2021&amp;end=2050&amp;f=A&amp;linechart=~ref2023-d020623a.156-62-AEO2023.5-11~ref2023-d020623a.108-62-AEO2023.5-11~~~~~~~~~~~&amp;map=&amp;ctype=linechart&amp;sourcekey=0</t>
  </si>
  <si>
    <t>20:00:38 GMT-0400 (Eastern Daylight Time)</t>
  </si>
  <si>
    <t>Data source: U.S. Energy Information Administration</t>
  </si>
  <si>
    <t xml:space="preserve">https://www.eia.gov/tools/faqs/faq.php?id=7&amp;t=2 </t>
  </si>
  <si>
    <t>1 BkWh * 1,000,000 = 1 MWh</t>
  </si>
  <si>
    <t>1 mtCO2 = 1 mtCO2e</t>
  </si>
  <si>
    <t>CO2 emissions (metric tons)</t>
  </si>
  <si>
    <t>Electricity Generation (MWh)</t>
  </si>
  <si>
    <t>EIA Emissions Rate (mtCO2/MWh)</t>
  </si>
  <si>
    <t>EIA + AVERT Emissions Rate (mtCO2/MWh)2</t>
  </si>
  <si>
    <t>Electricity (Case Reference case Region PJM per East)</t>
  </si>
  <si>
    <t>https://www.eia.gov/outlooks/aeo/data/browser/#/?id=62-AEO2023&amp;region=5-10&amp;cases=ref2023&amp;start=2021&amp;end=2050&amp;f=A&amp;linechart=~ref2023-d020623a.156-62-AEO2023.5-10~ref2023-d020623a.108-62-AEO2023.5-10~~~~~~~~~~~&amp;map=&amp;ctype=linechart&amp;sourcekey=0</t>
  </si>
  <si>
    <t xml:space="preserve">https://www.eia.gov/outlooks/aeo/pdf/nerc_map.pdf </t>
  </si>
  <si>
    <t>https://www.pjm.com/-/media/about-pjm/pjm-zones.ashx</t>
  </si>
  <si>
    <t>Table Obtained from the AVERT Excel Model, avert-main-module-v4.2.xlsx, which was downloaded and used on 03/29/2024 at 5:00PM EDT.</t>
  </si>
  <si>
    <t>CO2 emission rate (lb/MWh)</t>
  </si>
  <si>
    <t>Data Transpoed from AVERT Table</t>
  </si>
  <si>
    <t>Column1</t>
  </si>
  <si>
    <t>Column2</t>
  </si>
  <si>
    <t>2017</t>
  </si>
  <si>
    <t>2018</t>
  </si>
  <si>
    <t>2019</t>
  </si>
  <si>
    <t>2020</t>
  </si>
  <si>
    <t>2021</t>
  </si>
  <si>
    <t>2022</t>
  </si>
  <si>
    <t>2024</t>
  </si>
  <si>
    <t>2026</t>
  </si>
  <si>
    <t>2028</t>
  </si>
  <si>
    <t>2030</t>
  </si>
  <si>
    <t>2035</t>
  </si>
  <si>
    <t>2040</t>
  </si>
  <si>
    <t>Emission Rate (lbCO2/MWh)</t>
  </si>
  <si>
    <t>Emission Rate (mtCO2/MWh)</t>
  </si>
  <si>
    <t>Extrapolated Emission Reduction Rates (mtCO2e)</t>
  </si>
  <si>
    <t>Extrapolated GHG Reduction (mtCO2e)</t>
  </si>
  <si>
    <t>Year No.</t>
  </si>
  <si>
    <t>Cambium SRMER</t>
  </si>
  <si>
    <t>Cambium LRMER</t>
  </si>
  <si>
    <t>Avg (lbCO2/MWh)</t>
  </si>
  <si>
    <t>Cambium SRMER2</t>
  </si>
  <si>
    <t>Cambium LRMER3</t>
  </si>
  <si>
    <t>Average</t>
  </si>
  <si>
    <t>Scenario</t>
  </si>
  <si>
    <t>Years Range</t>
  </si>
  <si>
    <t>Slope</t>
  </si>
  <si>
    <t>Y-Intercept</t>
  </si>
  <si>
    <t>EIA</t>
  </si>
  <si>
    <t>AVERT-Cambium Avg.</t>
  </si>
  <si>
    <t>AVERT 2022 at EIA rate of change</t>
  </si>
  <si>
    <t>VPP Output</t>
  </si>
  <si>
    <t>This run</t>
  </si>
  <si>
    <t>Near-Term</t>
  </si>
  <si>
    <t>2021 - 2030</t>
  </si>
  <si>
    <t>Long-Term</t>
  </si>
  <si>
    <t>2030 - 2040</t>
  </si>
  <si>
    <t>Min</t>
  </si>
  <si>
    <t>Max</t>
  </si>
  <si>
    <t>r</t>
  </si>
  <si>
    <t>Mid-Case</t>
  </si>
  <si>
    <t>Low RE Cost</t>
  </si>
  <si>
    <t>Mid-Case 95 by 2050</t>
  </si>
  <si>
    <r>
      <t xml:space="preserve">Cambium emission rates consist of the short-run marginal emission rate (SRMER) and long-run marginal emission rate (LRMER) from NREL's </t>
    </r>
    <r>
      <rPr>
        <i/>
        <sz val="10"/>
        <color theme="1"/>
        <rFont val="Arial"/>
        <family val="2"/>
      </rPr>
      <t>2022 Cambium Data</t>
    </r>
    <r>
      <rPr>
        <sz val="10"/>
        <color theme="1"/>
        <rFont val="Arial"/>
        <family val="2"/>
      </rPr>
      <t xml:space="preserve">, as shown in NREL's Cambium tool. More information on SRMERs and LRMERs is available at </t>
    </r>
    <r>
      <rPr>
        <u/>
        <sz val="10"/>
        <color theme="1"/>
        <rFont val="Arial"/>
        <family val="2"/>
      </rPr>
      <t>https://www.nrel.gov/analysis/cambium.html</t>
    </r>
    <r>
      <rPr>
        <sz val="10"/>
        <color theme="1"/>
        <rFont val="Arial"/>
        <family val="2"/>
      </rPr>
      <t xml:space="preserve">. SRMER and LRMER are two different metrics for measuring marginal emission rates, and are each useful for different applications. Both are shown for 2028, 2030, 2035, and 2040. </t>
    </r>
  </si>
  <si>
    <t>AVERT’s calculations are made assuming no additions or retirements of power plants in response to the modeled change in load. This is analogous to the SRMER trajectory, and is useful for understanding emission impacts as they occur over a relatively short time horizon (e.g., 5 years), before a structural response can occur. Users who wish to understand how load changes affect emissions over a longer time period would be better served by the LRMER trajectory, which takes into account the fact that power plants may be added or retired in response to the modeled load change -- a structural response. Cambium emission rates shown for future years do not perfectly correspond to historical AVERT emission rates due to differences in modeling methodology and topology.</t>
  </si>
  <si>
    <t>Total</t>
  </si>
  <si>
    <t>Cambium SRMER (mtCO2/MWh)</t>
  </si>
  <si>
    <r>
      <t>At this time, estimates of future emission rates from Cambium are only available for CO</t>
    </r>
    <r>
      <rPr>
        <vertAlign val="subscript"/>
        <sz val="10"/>
        <color theme="1"/>
        <rFont val="Arial"/>
        <family val="2"/>
      </rPr>
      <t>2</t>
    </r>
    <r>
      <rPr>
        <sz val="10"/>
        <color theme="1"/>
        <rFont val="Arial"/>
        <family val="2"/>
      </rPr>
      <t xml:space="preserve">. </t>
    </r>
  </si>
  <si>
    <t>Generation Summary</t>
  </si>
  <si>
    <t>Impact Summary</t>
  </si>
  <si>
    <t>Generation (MWh)</t>
  </si>
  <si>
    <t>EIA AEO2023 Avoided Emissions</t>
  </si>
  <si>
    <t>AVERT + EIA AEO2023 Avoided Emissions</t>
  </si>
  <si>
    <t>Period</t>
  </si>
  <si>
    <t>Emissions (mtCO2e)</t>
  </si>
  <si>
    <t>Valleycrest Landfill</t>
  </si>
  <si>
    <t>Liberty</t>
  </si>
  <si>
    <t>Dayton Steel</t>
  </si>
  <si>
    <t>Annual Total</t>
  </si>
  <si>
    <t>Emissions rate (mtCO2/MWh)</t>
  </si>
  <si>
    <t>Avoided Emissions (mtCO2)</t>
  </si>
  <si>
    <t>2025-2030 Annual Average</t>
  </si>
  <si>
    <t>2025-2030 Cumulative</t>
  </si>
  <si>
    <t>2025-2050 Annual Average</t>
  </si>
  <si>
    <t>2025-2050 Cumulative</t>
  </si>
  <si>
    <t>* These are gross emissions - they have not been quantified for CPRG funding vs. other funding sources.</t>
  </si>
  <si>
    <t>VPP Site</t>
  </si>
  <si>
    <t>Electrical Output - 5 year</t>
  </si>
  <si>
    <t>Electrical Output - 25 year</t>
  </si>
  <si>
    <t>GHG Reductions - 6 year</t>
  </si>
  <si>
    <t>GHG Reductions - 25 year</t>
  </si>
  <si>
    <t>Liberty Site</t>
  </si>
  <si>
    <t>https://public.tableau.com/app/profile/nrel.buildingstock/viz/StateLevelResidentialBuildingStockandEnergyEfficiencyElectrificationPackagesAnalysis/Introduction</t>
  </si>
  <si>
    <t>Energy Consumption: Ohio, Climate Zone 5A, Single-Family Detached, 0-80% AMI</t>
  </si>
  <si>
    <t>Measure Names</t>
  </si>
  <si>
    <t>Measure Values per Home</t>
  </si>
  <si>
    <t>Baseline Average Propane Consumption [MMBtu]</t>
  </si>
  <si>
    <t>Baseline Average Fuel Oil Consumption [MMBtu]</t>
  </si>
  <si>
    <t>Baseline Average Natural Gas Consumption [therm]</t>
  </si>
  <si>
    <t>Baseline Average Electricity Consumption [kWh]</t>
  </si>
  <si>
    <t>Baseline Average Total Energy Consumption [MMBtu]</t>
  </si>
  <si>
    <t>Dwelling Unit Savings - Total: Ohio, Climate Zone 5A, Single-Family Detached, 0-80% AMI</t>
  </si>
  <si>
    <t>Energy Efficiency and Electrification Upgrade</t>
  </si>
  <si>
    <t>Certainty of Results</t>
  </si>
  <si>
    <t>Bill Saving Average [USD]</t>
  </si>
  <si>
    <t>Bill Savings Average from Electricity [USD]</t>
  </si>
  <si>
    <t>Bill Savings Average from Fuel Oil [USD]</t>
  </si>
  <si>
    <t>Bill Savings Average from Natural Gas [USD]</t>
  </si>
  <si>
    <t>Bill Savings Average from Propane [USD]</t>
  </si>
  <si>
    <t>Emission Saving Average [kgCO2e]</t>
  </si>
  <si>
    <t>Emission Savings Average from Electricity [kgCO2e]</t>
  </si>
  <si>
    <t>Emission Savings Average from Fuel Oil [kgCO2e]</t>
  </si>
  <si>
    <t>Emission Savings Average from Natural Gas [kgCO2e]</t>
  </si>
  <si>
    <t>Emission Savings Average from Propane [kgCO2e]</t>
  </si>
  <si>
    <t>Energy Saving Average [MMBtu]</t>
  </si>
  <si>
    <t>Energy Savings Average from Electricity [kWh]</t>
  </si>
  <si>
    <t>Energy Savings Average from Fuel Oil [MMBtu]</t>
  </si>
  <si>
    <t>Energy Savings Average from Natural Gas [therm]</t>
  </si>
  <si>
    <t>Energy Savings Average from Propane [MMBtu]</t>
  </si>
  <si>
    <t>Basic enclosure upgrade</t>
  </si>
  <si>
    <t>Very Good</t>
  </si>
  <si>
    <t>Enhanced enclosure upgrade + high efficiency whole home electrification</t>
  </si>
  <si>
    <t>ResStock data</t>
  </si>
  <si>
    <t>Post- project consumption</t>
  </si>
  <si>
    <t>Baseline consumption</t>
  </si>
  <si>
    <t>Savings: Package 1 - Basic Enclosure Upgrade</t>
  </si>
  <si>
    <t>Savings: Package 10 - Enhanced enclosure upgrade + high efficiency whole home electrification</t>
  </si>
  <si>
    <t>Package 1 - Basic enclosure</t>
  </si>
  <si>
    <t>Package 10 - Enhanced enclosure upgrade + high efficiency whole home electrification</t>
  </si>
  <si>
    <t>Natural Gas [therm]</t>
  </si>
  <si>
    <t>Electricity [kWh]</t>
  </si>
  <si>
    <t>1000 kWh = 1 MWh; 1 therm = 0.1 MMBtu</t>
  </si>
  <si>
    <t>Electric grid emissions rate (mtCO2e/MWh)</t>
  </si>
  <si>
    <t>SOPEC region equivalent emissions rate (mtCO2e/MWh)</t>
  </si>
  <si>
    <t>Natural gas combusion emissions rate (mtCO2e/MMBtu)</t>
  </si>
  <si>
    <t>Baseline emissions (mtCO2e/house)</t>
  </si>
  <si>
    <t>Emissions post-basic enclosure (mtCO2e/house)</t>
  </si>
  <si>
    <t>Emissions post-Package 10 (mtCO2e/house)</t>
  </si>
  <si>
    <t>Houses completed (performance year)</t>
  </si>
  <si>
    <t>Houses completed (cumulative)</t>
  </si>
  <si>
    <t>Avoided emissions (existing basic weatherization efforts) mtCO2e</t>
  </si>
  <si>
    <t>Avoided emissions (proposed program - Package 10) mtCO2e</t>
  </si>
  <si>
    <t>Avoided emissions from proposed program (mtCO2e)</t>
  </si>
  <si>
    <t>Impact summary</t>
  </si>
  <si>
    <t>VPP</t>
  </si>
  <si>
    <t>Green Fund</t>
  </si>
  <si>
    <t>Requested CPRG funding</t>
  </si>
  <si>
    <t>Total funding to implement measure</t>
  </si>
  <si>
    <t>GHG reduction scaling ratio</t>
  </si>
  <si>
    <t>Magnitude of GHG reductions from 2025 through 2030 (mtCO2e)</t>
  </si>
  <si>
    <t>Magnitude of GHG reductions from 2025 through 2050 (mtCO2e)</t>
  </si>
  <si>
    <t>Cost effectiveness of GHG reductions ($/mtCO2e)</t>
  </si>
  <si>
    <t>Gross emissions reductions by measure (mtCO2e)</t>
  </si>
  <si>
    <t>Quantified emissions reductions by measure (mtCO2e)</t>
  </si>
  <si>
    <t>Solar</t>
  </si>
  <si>
    <t>Revolving Green Fund</t>
  </si>
  <si>
    <t>Measure 1: VPP</t>
  </si>
  <si>
    <t>Measure 2: Green Fund</t>
  </si>
  <si>
    <t>All measures</t>
  </si>
  <si>
    <t>Screenshots to double-check numbers before submission:</t>
  </si>
  <si>
    <t>Column3</t>
  </si>
  <si>
    <t>Column4</t>
  </si>
  <si>
    <t>Measure 1 - VPP</t>
  </si>
  <si>
    <t>All Measures</t>
  </si>
  <si>
    <t>Cumulative: 2025-2030</t>
  </si>
  <si>
    <t>Cumulative: 2025-2050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</si>
</sst>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quot;#,##0.00_);[Red]\(&quot;$&quot;#,##0.00\)"/>
    <numFmt numFmtId="44" formatCode="_(&quot;$&quot;* #,##0.00_);_(&quot;$&quot;* \(#,##0.00\);_(&quot;$&quot;* &quot;-&quot;??_);_(@_)"/>
    <numFmt numFmtId="43" formatCode="_(* #,##0.00_);_(* \(#,##0.00\);_(* &quot;-&quot;??_);_(@_)"/>
    <numFmt numFmtId="164" formatCode="_(* #,##0_);_(* \(#,##0\);_(* &quot;-&quot;??_);_(@_)"/>
    <numFmt numFmtId="165" formatCode="_(* #,##0.0000_);_(* \(#,##0.0000\);_(* &quot;-&quot;??_);_(@_)"/>
    <numFmt numFmtId="166" formatCode="0.000"/>
    <numFmt numFmtId="167"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8"/>
      <name val="Calibri"/>
      <family val="2"/>
      <scheme val="minor"/>
    </font>
    <font>
      <sz val="11"/>
      <name val="Calibri"/>
      <family val="2"/>
      <scheme val="minor"/>
    </font>
    <font>
      <b/>
      <sz val="11"/>
      <color theme="0"/>
      <name val="Calibri"/>
      <family val="2"/>
      <scheme val="minor"/>
    </font>
    <font>
      <b/>
      <sz val="11"/>
      <name val="Calibri"/>
      <family val="2"/>
      <scheme val="minor"/>
    </font>
    <font>
      <b/>
      <sz val="11"/>
      <color theme="1"/>
      <name val="Arial"/>
      <family val="2"/>
    </font>
    <font>
      <b/>
      <sz val="11"/>
      <color theme="1" tint="0.34998626667073579"/>
      <name val="Arial"/>
      <family val="2"/>
    </font>
    <font>
      <sz val="10"/>
      <color theme="1"/>
      <name val="Arial"/>
      <family val="2"/>
    </font>
    <font>
      <sz val="10"/>
      <color theme="0" tint="-4.9989318521683403E-2"/>
      <name val="Arial"/>
      <family val="2"/>
    </font>
    <font>
      <i/>
      <sz val="10"/>
      <color theme="1"/>
      <name val="Arial"/>
      <family val="2"/>
    </font>
    <font>
      <u/>
      <sz val="10"/>
      <color theme="1"/>
      <name val="Arial"/>
      <family val="2"/>
    </font>
    <font>
      <vertAlign val="subscript"/>
      <sz val="10"/>
      <color theme="1"/>
      <name val="Arial"/>
      <family val="2"/>
    </font>
    <font>
      <b/>
      <sz val="10"/>
      <color theme="1"/>
      <name val="Arial"/>
      <family val="2"/>
    </font>
  </fonts>
  <fills count="8">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6"/>
        <bgColor theme="6"/>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s>
  <borders count="35">
    <border>
      <left/>
      <right/>
      <top/>
      <bottom/>
      <diagonal/>
    </border>
    <border>
      <left/>
      <right style="thick">
        <color auto="1"/>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right/>
      <top style="thin">
        <color theme="0" tint="-0.499984740745262"/>
      </top>
      <bottom/>
      <diagonal/>
    </border>
    <border>
      <left/>
      <right style="thin">
        <color theme="0" tint="-0.499984740745262"/>
      </right>
      <top style="thin">
        <color theme="0" tint="-0.499984740745262"/>
      </top>
      <bottom/>
      <diagonal/>
    </border>
    <border>
      <left/>
      <right/>
      <top style="hair">
        <color theme="0" tint="-0.499984740745262"/>
      </top>
      <bottom style="hair">
        <color theme="0" tint="-0.499984740745262"/>
      </bottom>
      <diagonal/>
    </border>
    <border>
      <left/>
      <right style="thin">
        <color theme="0" tint="-0.499984740745262"/>
      </right>
      <top style="hair">
        <color theme="0" tint="-0.499984740745262"/>
      </top>
      <bottom style="hair">
        <color theme="0" tint="-0.499984740745262"/>
      </bottom>
      <diagonal/>
    </border>
    <border>
      <left/>
      <right/>
      <top style="hair">
        <color theme="0" tint="-0.499984740745262"/>
      </top>
      <bottom style="thin">
        <color theme="0" tint="-0.499984740745262"/>
      </bottom>
      <diagonal/>
    </border>
    <border>
      <left style="medium">
        <color indexed="64"/>
      </left>
      <right style="medium">
        <color indexed="64"/>
      </right>
      <top style="thin">
        <color theme="6"/>
      </top>
      <bottom/>
      <diagonal/>
    </border>
    <border>
      <left style="medium">
        <color indexed="64"/>
      </left>
      <right style="medium">
        <color indexed="64"/>
      </right>
      <top style="thin">
        <color theme="6"/>
      </top>
      <bottom style="medium">
        <color indexed="64"/>
      </bottom>
      <diagonal/>
    </border>
    <border>
      <left style="medium">
        <color theme="5"/>
      </left>
      <right style="medium">
        <color theme="5"/>
      </right>
      <top style="medium">
        <color theme="5"/>
      </top>
      <bottom style="medium">
        <color indexed="64"/>
      </bottom>
      <diagonal/>
    </border>
    <border>
      <left style="medium">
        <color theme="5"/>
      </left>
      <right style="medium">
        <color theme="5"/>
      </right>
      <top/>
      <bottom/>
      <diagonal/>
    </border>
    <border>
      <left style="medium">
        <color theme="5"/>
      </left>
      <right style="medium">
        <color theme="5"/>
      </right>
      <top/>
      <bottom style="medium">
        <color theme="5"/>
      </bottom>
      <diagonal/>
    </border>
    <border>
      <left style="thin">
        <color theme="6"/>
      </left>
      <right/>
      <top/>
      <bottom/>
      <diagonal/>
    </border>
    <border>
      <left style="medium">
        <color indexed="64"/>
      </left>
      <right/>
      <top/>
      <bottom/>
      <diagonal/>
    </border>
    <border>
      <left/>
      <right/>
      <top style="hair">
        <color theme="0" tint="-0.499984740745262"/>
      </top>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112">
    <xf numFmtId="0" fontId="0" fillId="0" borderId="0" xfId="0"/>
    <xf numFmtId="164" fontId="0" fillId="0" borderId="0" xfId="1" applyNumberFormat="1" applyFont="1"/>
    <xf numFmtId="164" fontId="0" fillId="0" borderId="0" xfId="0" applyNumberFormat="1"/>
    <xf numFmtId="0" fontId="0" fillId="0" borderId="0" xfId="0" quotePrefix="1"/>
    <xf numFmtId="0" fontId="0" fillId="0" borderId="1" xfId="0" applyBorder="1"/>
    <xf numFmtId="0" fontId="0" fillId="0" borderId="2" xfId="0" applyBorder="1"/>
    <xf numFmtId="0" fontId="0" fillId="0" borderId="3" xfId="0" applyBorder="1"/>
    <xf numFmtId="165" fontId="0" fillId="0" borderId="0" xfId="0" applyNumberFormat="1"/>
    <xf numFmtId="4" fontId="0" fillId="0" borderId="0" xfId="0" applyNumberFormat="1"/>
    <xf numFmtId="3" fontId="0" fillId="0" borderId="0" xfId="0" applyNumberFormat="1"/>
    <xf numFmtId="9" fontId="0" fillId="0" borderId="0" xfId="2" applyFont="1"/>
    <xf numFmtId="0" fontId="0" fillId="0" borderId="0" xfId="0" applyAlignment="1">
      <alignment textRotation="45" wrapText="1"/>
    </xf>
    <xf numFmtId="166" fontId="0" fillId="0" borderId="2" xfId="0" applyNumberFormat="1" applyBorder="1"/>
    <xf numFmtId="166" fontId="0" fillId="0" borderId="0" xfId="0" applyNumberFormat="1"/>
    <xf numFmtId="166" fontId="0" fillId="0" borderId="3" xfId="0" applyNumberFormat="1" applyBorder="1"/>
    <xf numFmtId="167" fontId="0" fillId="0" borderId="2" xfId="0" applyNumberFormat="1" applyBorder="1"/>
    <xf numFmtId="167" fontId="0" fillId="0" borderId="0" xfId="0" applyNumberFormat="1"/>
    <xf numFmtId="167" fontId="0" fillId="0" borderId="3" xfId="0" applyNumberFormat="1" applyBorder="1"/>
    <xf numFmtId="164" fontId="0" fillId="0" borderId="2" xfId="1" applyNumberFormat="1" applyFont="1" applyBorder="1"/>
    <xf numFmtId="164" fontId="0" fillId="0" borderId="0" xfId="1" applyNumberFormat="1" applyFont="1" applyBorder="1"/>
    <xf numFmtId="43" fontId="0" fillId="0" borderId="0" xfId="0" applyNumberFormat="1"/>
    <xf numFmtId="0" fontId="0" fillId="2" borderId="0" xfId="0" applyFill="1"/>
    <xf numFmtId="0" fontId="2" fillId="2" borderId="0" xfId="0" applyFont="1" applyFill="1"/>
    <xf numFmtId="0" fontId="0" fillId="0" borderId="0" xfId="0" applyAlignment="1">
      <alignment horizontal="right" indent="2"/>
    </xf>
    <xf numFmtId="9" fontId="1" fillId="0" borderId="0" xfId="0" applyNumberFormat="1" applyFont="1"/>
    <xf numFmtId="0" fontId="2" fillId="2" borderId="0" xfId="0" applyFont="1" applyFill="1" applyAlignment="1">
      <alignment horizontal="left"/>
    </xf>
    <xf numFmtId="0" fontId="2" fillId="0" borderId="3" xfId="0" applyFont="1" applyBorder="1" applyAlignment="1">
      <alignment textRotation="45" wrapText="1"/>
    </xf>
    <xf numFmtId="0" fontId="2" fillId="0" borderId="2" xfId="0" applyFont="1" applyBorder="1" applyAlignment="1">
      <alignment textRotation="45" wrapText="1"/>
    </xf>
    <xf numFmtId="0" fontId="2" fillId="0" borderId="0" xfId="0" applyFont="1" applyAlignment="1">
      <alignment textRotation="45" wrapText="1"/>
    </xf>
    <xf numFmtId="0" fontId="3" fillId="0" borderId="0" xfId="4"/>
    <xf numFmtId="164" fontId="2" fillId="0" borderId="0" xfId="1" applyNumberFormat="1" applyFont="1" applyFill="1"/>
    <xf numFmtId="164" fontId="2" fillId="0" borderId="0" xfId="0" applyNumberFormat="1" applyFont="1"/>
    <xf numFmtId="8" fontId="0" fillId="0" borderId="0" xfId="0" applyNumberFormat="1"/>
    <xf numFmtId="44" fontId="0" fillId="0" borderId="0" xfId="3" applyFont="1" applyFill="1"/>
    <xf numFmtId="44" fontId="0" fillId="0" borderId="0" xfId="0" applyNumberFormat="1"/>
    <xf numFmtId="0" fontId="0" fillId="0" borderId="0" xfId="0" applyAlignment="1">
      <alignment horizontal="right"/>
    </xf>
    <xf numFmtId="0" fontId="5" fillId="0" borderId="6" xfId="0" applyFont="1" applyBorder="1" applyAlignment="1">
      <alignment horizontal="left" vertical="center" textRotation="45"/>
    </xf>
    <xf numFmtId="0" fontId="5" fillId="0" borderId="4" xfId="0" applyFont="1" applyBorder="1" applyAlignment="1">
      <alignment horizontal="left" vertical="center" textRotation="45"/>
    </xf>
    <xf numFmtId="0" fontId="5" fillId="0" borderId="5" xfId="0" applyFont="1" applyBorder="1" applyAlignment="1">
      <alignment horizontal="left" vertical="center" textRotation="45"/>
    </xf>
    <xf numFmtId="0" fontId="2" fillId="3" borderId="0" xfId="0" applyFont="1" applyFill="1"/>
    <xf numFmtId="3" fontId="2" fillId="3" borderId="0" xfId="0" applyNumberFormat="1" applyFont="1" applyFill="1"/>
    <xf numFmtId="0" fontId="5" fillId="3" borderId="6" xfId="0" applyFont="1" applyFill="1" applyBorder="1" applyAlignment="1">
      <alignment horizontal="left" vertical="center" textRotation="45"/>
    </xf>
    <xf numFmtId="0" fontId="0" fillId="3" borderId="0" xfId="0" applyFill="1"/>
    <xf numFmtId="4" fontId="0" fillId="3" borderId="0" xfId="0" applyNumberFormat="1" applyFill="1"/>
    <xf numFmtId="0" fontId="2" fillId="3" borderId="2" xfId="0" applyFont="1" applyFill="1" applyBorder="1"/>
    <xf numFmtId="0" fontId="7" fillId="3" borderId="2" xfId="0" applyFont="1" applyFill="1" applyBorder="1" applyAlignment="1">
      <alignment textRotation="45" wrapText="1"/>
    </xf>
    <xf numFmtId="0" fontId="0" fillId="0" borderId="8" xfId="0" applyBorder="1"/>
    <xf numFmtId="0" fontId="0" fillId="0" borderId="0" xfId="0" applyAlignment="1">
      <alignment wrapText="1"/>
    </xf>
    <xf numFmtId="0" fontId="0" fillId="0" borderId="0" xfId="0" applyAlignment="1">
      <alignment vertical="center"/>
    </xf>
    <xf numFmtId="0" fontId="0" fillId="0" borderId="0" xfId="0" applyAlignment="1">
      <alignment horizontal="left" vertical="center" wrapText="1"/>
    </xf>
    <xf numFmtId="0" fontId="3" fillId="0" borderId="0" xfId="4" applyAlignment="1">
      <alignment vertical="center"/>
    </xf>
    <xf numFmtId="0" fontId="0" fillId="0" borderId="1" xfId="0" applyBorder="1" applyAlignment="1">
      <alignment wrapText="1"/>
    </xf>
    <xf numFmtId="0" fontId="8" fillId="0" borderId="0" xfId="0" applyFont="1"/>
    <xf numFmtId="0" fontId="9" fillId="5" borderId="13" xfId="0" applyFont="1" applyFill="1" applyBorder="1" applyAlignment="1">
      <alignment horizontal="center"/>
    </xf>
    <xf numFmtId="0" fontId="9" fillId="5" borderId="14" xfId="0" applyFont="1" applyFill="1" applyBorder="1" applyAlignment="1">
      <alignment horizontal="center"/>
    </xf>
    <xf numFmtId="0" fontId="10" fillId="6" borderId="13" xfId="0" applyFont="1" applyFill="1" applyBorder="1" applyAlignment="1">
      <alignment horizontal="left"/>
    </xf>
    <xf numFmtId="3" fontId="10" fillId="7" borderId="13" xfId="0" applyNumberFormat="1" applyFont="1" applyFill="1" applyBorder="1" applyAlignment="1">
      <alignment horizontal="center"/>
    </xf>
    <xf numFmtId="0" fontId="10" fillId="6" borderId="15" xfId="0" applyFont="1" applyFill="1" applyBorder="1" applyAlignment="1">
      <alignment horizontal="left"/>
    </xf>
    <xf numFmtId="3" fontId="10" fillId="6" borderId="15" xfId="0" applyNumberFormat="1" applyFont="1" applyFill="1" applyBorder="1" applyAlignment="1">
      <alignment horizontal="center"/>
    </xf>
    <xf numFmtId="3" fontId="10" fillId="7" borderId="15" xfId="0" applyNumberFormat="1" applyFont="1" applyFill="1" applyBorder="1" applyAlignment="1">
      <alignment horizontal="center"/>
    </xf>
    <xf numFmtId="0" fontId="10" fillId="6" borderId="17" xfId="0" applyFont="1" applyFill="1" applyBorder="1" applyAlignment="1">
      <alignment horizontal="left"/>
    </xf>
    <xf numFmtId="3" fontId="10" fillId="6" borderId="17" xfId="0" applyNumberFormat="1" applyFont="1" applyFill="1" applyBorder="1" applyAlignment="1">
      <alignment horizontal="center"/>
    </xf>
    <xf numFmtId="3" fontId="10" fillId="7" borderId="17" xfId="0" applyNumberFormat="1" applyFont="1" applyFill="1" applyBorder="1" applyAlignment="1">
      <alignment horizontal="center"/>
    </xf>
    <xf numFmtId="3" fontId="11" fillId="7" borderId="13" xfId="0" applyNumberFormat="1" applyFont="1" applyFill="1" applyBorder="1" applyAlignment="1">
      <alignment horizontal="center"/>
    </xf>
    <xf numFmtId="0" fontId="10" fillId="0" borderId="15" xfId="0" applyFont="1" applyBorder="1"/>
    <xf numFmtId="0" fontId="0" fillId="7" borderId="15" xfId="0" applyFill="1" applyBorder="1"/>
    <xf numFmtId="3" fontId="10" fillId="6" borderId="16" xfId="0" applyNumberFormat="1" applyFont="1" applyFill="1" applyBorder="1" applyAlignment="1">
      <alignment horizontal="center"/>
    </xf>
    <xf numFmtId="3" fontId="11" fillId="7" borderId="15" xfId="0" applyNumberFormat="1" applyFont="1" applyFill="1" applyBorder="1" applyAlignment="1">
      <alignment horizontal="center"/>
    </xf>
    <xf numFmtId="3" fontId="10" fillId="0" borderId="15" xfId="0" applyNumberFormat="1" applyFont="1" applyBorder="1" applyAlignment="1">
      <alignment horizontal="center"/>
    </xf>
    <xf numFmtId="3" fontId="10" fillId="0" borderId="16" xfId="0" applyNumberFormat="1" applyFont="1" applyBorder="1" applyAlignment="1">
      <alignment horizontal="center"/>
    </xf>
    <xf numFmtId="3" fontId="11" fillId="7" borderId="17" xfId="0" applyNumberFormat="1" applyFont="1" applyFill="1" applyBorder="1" applyAlignment="1">
      <alignment horizontal="center"/>
    </xf>
    <xf numFmtId="3" fontId="10" fillId="0" borderId="17" xfId="0" applyNumberFormat="1" applyFont="1" applyBorder="1" applyAlignment="1">
      <alignment horizontal="center"/>
    </xf>
    <xf numFmtId="0" fontId="9" fillId="5" borderId="0" xfId="0" applyFont="1" applyFill="1" applyAlignment="1">
      <alignment horizontal="center"/>
    </xf>
    <xf numFmtId="0" fontId="0" fillId="0" borderId="12" xfId="0" applyBorder="1"/>
    <xf numFmtId="0" fontId="0" fillId="0" borderId="10" xfId="0" applyBorder="1"/>
    <xf numFmtId="0" fontId="0" fillId="0" borderId="20" xfId="0" applyBorder="1"/>
    <xf numFmtId="0" fontId="0" fillId="0" borderId="21" xfId="0" applyBorder="1"/>
    <xf numFmtId="0" fontId="0" fillId="0" borderId="22" xfId="0" applyBorder="1"/>
    <xf numFmtId="0" fontId="0" fillId="0" borderId="18" xfId="0" applyBorder="1"/>
    <xf numFmtId="0" fontId="0" fillId="0" borderId="19" xfId="0" applyBorder="1"/>
    <xf numFmtId="0" fontId="10" fillId="0" borderId="25" xfId="0" applyFont="1" applyBorder="1"/>
    <xf numFmtId="0" fontId="10" fillId="6" borderId="25" xfId="0" applyFont="1" applyFill="1" applyBorder="1" applyAlignment="1">
      <alignment horizontal="left"/>
    </xf>
    <xf numFmtId="0" fontId="0" fillId="7" borderId="25" xfId="0" applyFill="1" applyBorder="1"/>
    <xf numFmtId="3" fontId="10" fillId="6" borderId="25" xfId="0" applyNumberFormat="1" applyFont="1" applyFill="1" applyBorder="1" applyAlignment="1">
      <alignment horizontal="center"/>
    </xf>
    <xf numFmtId="0" fontId="0" fillId="0" borderId="24" xfId="0" applyBorder="1" applyAlignment="1">
      <alignment wrapText="1"/>
    </xf>
    <xf numFmtId="0" fontId="0" fillId="0" borderId="11" xfId="0" applyBorder="1" applyAlignment="1">
      <alignment wrapText="1"/>
    </xf>
    <xf numFmtId="0" fontId="0" fillId="0" borderId="24" xfId="0" applyBorder="1"/>
    <xf numFmtId="0" fontId="0" fillId="0" borderId="11" xfId="0" applyBorder="1"/>
    <xf numFmtId="0" fontId="0" fillId="0" borderId="34" xfId="0" applyBorder="1"/>
    <xf numFmtId="0" fontId="0" fillId="0" borderId="9" xfId="0" applyBorder="1"/>
    <xf numFmtId="0" fontId="3" fillId="0" borderId="0" xfId="4" quotePrefix="1" applyAlignment="1">
      <alignment vertical="center"/>
    </xf>
    <xf numFmtId="3" fontId="15" fillId="3" borderId="15" xfId="0" applyNumberFormat="1" applyFont="1" applyFill="1" applyBorder="1" applyAlignment="1">
      <alignment horizontal="center"/>
    </xf>
    <xf numFmtId="0" fontId="9" fillId="3" borderId="13" xfId="0" applyFont="1" applyFill="1" applyBorder="1" applyAlignment="1">
      <alignment horizontal="center"/>
    </xf>
    <xf numFmtId="0" fontId="10" fillId="6" borderId="13" xfId="0" applyFont="1" applyFill="1" applyBorder="1" applyAlignment="1">
      <alignment horizontal="left" wrapText="1"/>
    </xf>
    <xf numFmtId="3" fontId="10" fillId="7" borderId="13" xfId="0" applyNumberFormat="1" applyFont="1" applyFill="1" applyBorder="1" applyAlignment="1">
      <alignment horizontal="center" wrapText="1"/>
    </xf>
    <xf numFmtId="0" fontId="6" fillId="4" borderId="23" xfId="0" applyFont="1" applyFill="1" applyBorder="1" applyAlignment="1">
      <alignment wrapText="1"/>
    </xf>
    <xf numFmtId="0" fontId="6" fillId="4" borderId="0" xfId="0" applyFont="1" applyFill="1" applyAlignment="1">
      <alignment wrapText="1"/>
    </xf>
    <xf numFmtId="0" fontId="0" fillId="0" borderId="32" xfId="0" applyBorder="1" applyAlignment="1">
      <alignment horizontal="center"/>
    </xf>
    <xf numFmtId="0" fontId="0" fillId="0" borderId="33" xfId="0" applyBorder="1" applyAlignment="1">
      <alignment horizontal="center"/>
    </xf>
    <xf numFmtId="0" fontId="2" fillId="0" borderId="7" xfId="0" applyFont="1" applyBorder="1" applyAlignment="1">
      <alignment horizontal="center"/>
    </xf>
    <xf numFmtId="0" fontId="0" fillId="0" borderId="0" xfId="0" applyAlignment="1">
      <alignment horizontal="center"/>
    </xf>
    <xf numFmtId="0" fontId="0" fillId="0" borderId="7" xfId="0" applyBorder="1" applyAlignment="1">
      <alignment horizontal="center"/>
    </xf>
    <xf numFmtId="0" fontId="10" fillId="0" borderId="26" xfId="0" applyFont="1" applyBorder="1" applyAlignment="1">
      <alignment horizontal="left" vertical="top" wrapText="1"/>
    </xf>
    <xf numFmtId="0" fontId="10" fillId="0" borderId="27" xfId="0" applyFont="1" applyBorder="1" applyAlignment="1">
      <alignment horizontal="left" vertical="top" wrapText="1"/>
    </xf>
    <xf numFmtId="0" fontId="10" fillId="0" borderId="28" xfId="0" applyFont="1" applyBorder="1" applyAlignment="1">
      <alignment horizontal="left" vertical="top" wrapText="1"/>
    </xf>
    <xf numFmtId="0" fontId="10" fillId="0" borderId="29" xfId="0" applyFont="1" applyBorder="1" applyAlignment="1">
      <alignment horizontal="left" vertical="top" wrapText="1"/>
    </xf>
    <xf numFmtId="0" fontId="10" fillId="0" borderId="30" xfId="0" applyFont="1" applyBorder="1" applyAlignment="1">
      <alignment horizontal="left" vertical="top" wrapText="1"/>
    </xf>
    <xf numFmtId="0" fontId="10" fillId="0" borderId="31" xfId="0" applyFont="1" applyBorder="1" applyAlignment="1">
      <alignment horizontal="left" vertical="top" wrapText="1"/>
    </xf>
    <xf numFmtId="0" fontId="10" fillId="0" borderId="0" xfId="0" applyFont="1" applyAlignment="1">
      <alignment horizontal="left" vertical="top" wrapText="1"/>
    </xf>
    <xf numFmtId="0" fontId="2" fillId="2" borderId="0" xfId="0" applyFont="1" applyFill="1" applyAlignment="1">
      <alignment horizontal="center"/>
    </xf>
    <xf numFmtId="0" fontId="2" fillId="2" borderId="3" xfId="0" applyFont="1" applyFill="1" applyBorder="1" applyAlignment="1">
      <alignment horizontal="center"/>
    </xf>
    <xf numFmtId="0" fontId="0" fillId="2" borderId="0" xfId="0" applyFill="1" applyAlignment="1">
      <alignment horizontal="center"/>
    </xf>
  </cellXfs>
  <cellStyles count="5">
    <cellStyle name="Comma" xfId="1" builtinId="3"/>
    <cellStyle name="Currency" xfId="3" builtinId="4"/>
    <cellStyle name="Hyperlink" xfId="4" builtinId="8"/>
    <cellStyle name="Normal" xfId="0" builtinId="0"/>
    <cellStyle name="Percent" xfId="2" builtinId="5"/>
  </cellStyles>
  <dxfs count="122">
    <dxf>
      <font>
        <color theme="0" tint="-4.9989318521683403E-2"/>
      </font>
      <fill>
        <patternFill>
          <bgColor theme="0" tint="-4.9989318521683403E-2"/>
        </patternFill>
      </fill>
    </dxf>
    <dxf>
      <numFmt numFmtId="164" formatCode="_(* #,##0_);_(* \(#,##0\);_(* &quot;-&quot;??_);_(@_)"/>
    </dxf>
    <dxf>
      <numFmt numFmtId="164" formatCode="_(* #,##0_);_(* \(#,##0\);_(* &quot;-&quot;??_);_(@_)"/>
    </dxf>
    <dxf>
      <numFmt numFmtId="164" formatCode="_(* #,##0_);_(* \(#,##0\);_(* &quot;-&quot;??_);_(@_)"/>
    </dxf>
    <dxf>
      <numFmt numFmtId="164" formatCode="_(* #,##0_);_(* \(#,##0\);_(* &quot;-&quot;??_);_(@_)"/>
    </dxf>
    <dxf>
      <numFmt numFmtId="164" formatCode="_(* #,##0_);_(* \(#,##0\);_(* &quot;-&quot;??_);_(@_)"/>
    </dxf>
    <dxf>
      <numFmt numFmtId="164" formatCode="_(* #,##0_);_(* \(#,##0\);_(* &quot;-&quot;??_);_(@_)"/>
    </dxf>
    <dxf>
      <numFmt numFmtId="164" formatCode="_(* #,##0_);_(* \(#,##0\);_(* &quot;-&quot;??_);_(@_)"/>
    </dxf>
    <dxf>
      <numFmt numFmtId="164" formatCode="_(* #,##0_);_(* \(#,##0\);_(* &quot;-&quot;??_);_(@_)"/>
    </dxf>
    <dxf>
      <font>
        <b val="0"/>
        <i val="0"/>
        <strike val="0"/>
        <condense val="0"/>
        <extend val="0"/>
        <outline val="0"/>
        <shadow val="0"/>
        <u val="none"/>
        <vertAlign val="baseline"/>
        <sz val="11"/>
        <color theme="1"/>
        <name val="Calibri"/>
        <family val="2"/>
        <scheme val="minor"/>
      </font>
      <numFmt numFmtId="164" formatCode="_(* #,##0_);_(* \(#,##0\);_(* &quot;-&quot;??_);_(@_)"/>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numFmt numFmtId="164" formatCode="_(* #,##0_);_(* \(#,##0\);_(* &quot;-&quot;??_);_(@_)"/>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numFmt numFmtId="164" formatCode="_(* #,##0_);_(* \(#,##0\);_(* &quot;-&quot;??_);_(@_)"/>
    </dxf>
    <dxf>
      <numFmt numFmtId="164" formatCode="_(* #,##0_);_(* \(#,##0\);_(* &quot;-&quot;??_);_(@_)"/>
    </dxf>
    <dxf>
      <font>
        <b val="0"/>
        <i val="0"/>
        <strike val="0"/>
        <condense val="0"/>
        <extend val="0"/>
        <outline val="0"/>
        <shadow val="0"/>
        <u val="none"/>
        <vertAlign val="baseline"/>
        <sz val="11"/>
        <color theme="1"/>
        <name val="Calibri"/>
        <family val="2"/>
        <scheme val="minor"/>
      </font>
      <numFmt numFmtId="164" formatCode="_(* #,##0_);_(* \(#,##0\);_(* &quot;-&quot;??_);_(@_)"/>
    </dxf>
    <dxf>
      <font>
        <b val="0"/>
        <i val="0"/>
        <strike val="0"/>
        <condense val="0"/>
        <extend val="0"/>
        <outline val="0"/>
        <shadow val="0"/>
        <u val="none"/>
        <vertAlign val="baseline"/>
        <sz val="11"/>
        <color theme="1"/>
        <name val="Calibri"/>
        <family val="2"/>
        <scheme val="minor"/>
      </font>
      <numFmt numFmtId="13" formatCode="0%"/>
    </dxf>
    <dxf>
      <font>
        <b val="0"/>
        <i val="0"/>
        <strike val="0"/>
        <condense val="0"/>
        <extend val="0"/>
        <outline val="0"/>
        <shadow val="0"/>
        <u val="none"/>
        <vertAlign val="baseline"/>
        <sz val="11"/>
        <color theme="1"/>
        <name val="Calibri"/>
        <family val="2"/>
        <scheme val="minor"/>
      </font>
      <numFmt numFmtId="164" formatCode="_(* #,##0_);_(* \(#,##0\);_(* &quot;-&quot;??_);_(@_)"/>
    </dxf>
    <dxf>
      <font>
        <b val="0"/>
        <i val="0"/>
        <strike val="0"/>
        <condense val="0"/>
        <extend val="0"/>
        <outline val="0"/>
        <shadow val="0"/>
        <u val="none"/>
        <vertAlign val="baseline"/>
        <sz val="11"/>
        <color theme="1"/>
        <name val="Calibri"/>
        <family val="2"/>
        <scheme val="minor"/>
      </font>
      <numFmt numFmtId="13" formatCode="0%"/>
    </dxf>
    <dxf>
      <font>
        <b val="0"/>
        <i val="0"/>
        <strike val="0"/>
        <condense val="0"/>
        <extend val="0"/>
        <outline val="0"/>
        <shadow val="0"/>
        <u val="none"/>
        <vertAlign val="baseline"/>
        <sz val="11"/>
        <color theme="1"/>
        <name val="Calibri"/>
        <family val="2"/>
        <scheme val="minor"/>
      </font>
      <numFmt numFmtId="164" formatCode="_(* #,##0_);_(* \(#,##0\);_(* &quot;-&quot;??_);_(@_)"/>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numFmt numFmtId="164" formatCode="_(* #,##0_);_(* \(#,##0\);_(* &quot;-&quot;??_);_(@_)"/>
    </dxf>
    <dxf>
      <font>
        <b val="0"/>
        <i val="0"/>
        <strike val="0"/>
        <condense val="0"/>
        <extend val="0"/>
        <outline val="0"/>
        <shadow val="0"/>
        <u val="none"/>
        <vertAlign val="baseline"/>
        <sz val="11"/>
        <color theme="1"/>
        <name val="Calibri"/>
        <family val="2"/>
        <scheme val="minor"/>
      </font>
      <numFmt numFmtId="164" formatCode="_(* #,##0_);_(* \(#,##0\);_(* &quot;-&quot;??_);_(@_)"/>
    </dxf>
    <dxf>
      <font>
        <b val="0"/>
        <i val="0"/>
        <strike val="0"/>
        <condense val="0"/>
        <extend val="0"/>
        <outline val="0"/>
        <shadow val="0"/>
        <u val="none"/>
        <vertAlign val="baseline"/>
        <sz val="11"/>
        <color theme="1"/>
        <name val="Calibri"/>
        <family val="2"/>
        <scheme val="minor"/>
      </font>
      <numFmt numFmtId="164" formatCode="_(* #,##0_);_(* \(#,##0\);_(* &quot;-&quot;??_);_(@_)"/>
      <border diagonalUp="0" diagonalDown="0">
        <left style="thin">
          <color indexed="64"/>
        </left>
        <right/>
        <top/>
        <bottom/>
        <vertical/>
        <horizontal/>
      </border>
    </dxf>
    <dxf>
      <border diagonalUp="0" diagonalDown="0">
        <left/>
        <right style="thin">
          <color indexed="64"/>
        </right>
        <top/>
        <bottom/>
        <vertical/>
        <horizontal/>
      </border>
    </dxf>
    <dxf>
      <border diagonalUp="0" diagonalDown="0">
        <left style="thin">
          <color indexed="64"/>
        </left>
        <right/>
        <top/>
        <bottom/>
        <vertical/>
        <horizontal/>
      </border>
    </dxf>
    <dxf>
      <numFmt numFmtId="167" formatCode="0.0"/>
      <border diagonalUp="0" diagonalDown="0">
        <left/>
        <right style="thin">
          <color indexed="64"/>
        </right>
        <top/>
        <bottom/>
        <vertical/>
        <horizontal/>
      </border>
    </dxf>
    <dxf>
      <numFmt numFmtId="167" formatCode="0.0"/>
    </dxf>
    <dxf>
      <numFmt numFmtId="167" formatCode="0.0"/>
      <border diagonalUp="0" diagonalDown="0">
        <left style="thin">
          <color indexed="64"/>
        </left>
        <right/>
        <top/>
        <bottom/>
        <vertical/>
        <horizontal/>
      </border>
    </dxf>
    <dxf>
      <numFmt numFmtId="166" formatCode="0.000"/>
      <border diagonalUp="0" diagonalDown="0">
        <left/>
        <right style="thin">
          <color indexed="64"/>
        </right>
        <top/>
        <bottom/>
        <vertical/>
        <horizontal/>
      </border>
    </dxf>
    <dxf>
      <numFmt numFmtId="166" formatCode="0.000"/>
    </dxf>
    <dxf>
      <numFmt numFmtId="166" formatCode="0.000"/>
      <border diagonalUp="0" diagonalDown="0">
        <left style="thin">
          <color indexed="64"/>
        </left>
        <right/>
        <top/>
        <bottom/>
        <vertical/>
        <horizontal/>
      </border>
    </dxf>
    <dxf>
      <border diagonalUp="0" diagonalDown="0">
        <left/>
        <right style="thin">
          <color indexed="64"/>
        </right>
        <top/>
        <bottom/>
        <vertical/>
        <horizontal/>
      </border>
    </dxf>
    <dxf>
      <border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Calibri"/>
        <family val="2"/>
        <scheme val="minor"/>
      </font>
      <alignment horizontal="general" vertical="bottom" textRotation="45" wrapText="1" indent="0" justifyLastLine="0" shrinkToFit="0" readingOrder="0"/>
    </dxf>
    <dxf>
      <alignment horizontal="general" vertical="bottom" textRotation="45" wrapText="1" indent="0" justifyLastLine="0" shrinkToFit="0" readingOrder="0"/>
    </dxf>
    <dxf>
      <font>
        <b val="0"/>
        <i val="0"/>
        <strike val="0"/>
        <condense val="0"/>
        <extend val="0"/>
        <outline val="0"/>
        <shadow val="0"/>
        <u val="none"/>
        <vertAlign val="baseline"/>
        <sz val="11"/>
        <color theme="1"/>
        <name val="Calibri"/>
        <family val="2"/>
        <scheme val="minor"/>
      </font>
      <numFmt numFmtId="164" formatCode="_(* #,##0_);_(* \(#,##0\);_(* &quot;-&quot;??_);_(@_)"/>
    </dxf>
    <dxf>
      <font>
        <b/>
      </font>
      <fill>
        <patternFill patternType="solid">
          <fgColor indexed="64"/>
          <bgColor rgb="FFFFFF00"/>
        </patternFill>
      </fill>
    </dxf>
    <dxf>
      <font>
        <b/>
      </font>
      <fill>
        <patternFill patternType="solid">
          <fgColor indexed="64"/>
          <bgColor rgb="FFFFFF00"/>
        </patternFill>
      </fill>
    </dxf>
    <dxf>
      <numFmt numFmtId="3" formatCode="#,##0"/>
    </dxf>
    <dxf>
      <numFmt numFmtId="3" formatCode="#,##0"/>
    </dxf>
    <dxf>
      <font>
        <b val="0"/>
      </font>
      <alignment horizontal="general" vertical="bottom" textRotation="90" wrapText="0" indent="0" justifyLastLine="0" shrinkToFit="0" readingOrder="0"/>
    </dxf>
    <dxf>
      <numFmt numFmtId="164" formatCode="_(* #,##0_);_(* \(#,##0\);_(* &quot;-&quot;??_);_(@_)"/>
    </dxf>
    <dxf>
      <numFmt numFmtId="164" formatCode="_(* #,##0_);_(* \(#,##0\);_(* &quot;-&quot;??_);_(@_)"/>
    </dxf>
    <dxf>
      <numFmt numFmtId="165" formatCode="_(* #,##0.0000_);_(* \(#,##0.0000\);_(* &quot;-&quot;??_);_(@_)"/>
    </dxf>
    <dxf>
      <alignment horizontal="right" vertical="bottom" textRotation="0" wrapText="0" relativeIndent="1" justifyLastLine="0" shrinkToFit="0" readingOrder="0"/>
    </dxf>
    <dxf>
      <numFmt numFmtId="164" formatCode="_(* #,##0_);_(* \(#,##0\);_(* &quot;-&quot;??_);_(@_)"/>
    </dxf>
    <dxf>
      <numFmt numFmtId="164" formatCode="_(* #,##0_);_(* \(#,##0\);_(* &quot;-&quot;??_);_(@_)"/>
    </dxf>
    <dxf>
      <numFmt numFmtId="164" formatCode="_(* #,##0_);_(* \(#,##0\);_(* &quot;-&quot;??_);_(@_)"/>
    </dxf>
    <dxf>
      <numFmt numFmtId="164" formatCode="_(* #,##0_);_(* \(#,##0\);_(* &quot;-&quot;??_);_(@_)"/>
    </dxf>
    <dxf>
      <numFmt numFmtId="164" formatCode="_(* #,##0_);_(* \(#,##0\);_(* &quot;-&quot;??_);_(@_)"/>
    </dxf>
    <dxf>
      <numFmt numFmtId="164" formatCode="_(* #,##0_);_(* \(#,##0\);_(* &quot;-&quot;??_);_(@_)"/>
    </dxf>
    <dxf>
      <numFmt numFmtId="164" formatCode="_(* #,##0_);_(* \(#,##0\);_(* &quot;-&quot;??_);_(@_)"/>
    </dxf>
    <dxf>
      <numFmt numFmtId="164" formatCode="_(* #,##0_);_(* \(#,##0\);_(* &quot;-&quot;??_);_(@_)"/>
    </dxf>
    <dxf>
      <numFmt numFmtId="164" formatCode="_(* #,##0_);_(* \(#,##0\);_(* &quot;-&quot;??_);_(@_)"/>
    </dxf>
    <dxf>
      <numFmt numFmtId="164" formatCode="_(* #,##0_);_(* \(#,##0\);_(* &quot;-&quot;??_);_(@_)"/>
    </dxf>
    <dxf>
      <numFmt numFmtId="164" formatCode="_(* #,##0_);_(* \(#,##0\);_(* &quot;-&quot;??_);_(@_)"/>
    </dxf>
    <dxf>
      <numFmt numFmtId="164" formatCode="_(* #,##0_);_(* \(#,##0\);_(* &quot;-&quot;??_);_(@_)"/>
    </dxf>
    <dxf>
      <numFmt numFmtId="165" formatCode="_(* #,##0.0000_);_(* \(#,##0.0000\);_(* &quot;-&quot;??_);_(@_)"/>
    </dxf>
    <dxf>
      <alignment horizontal="right" vertical="bottom" textRotation="0" wrapText="0" relativeIndent="1" justifyLastLine="0" shrinkToFit="0" readingOrder="0"/>
    </dxf>
    <dxf>
      <numFmt numFmtId="164" formatCode="_(* #,##0_);_(* \(#,##0\);_(* &quot;-&quot;??_);_(@_)"/>
    </dxf>
    <dxf>
      <numFmt numFmtId="164" formatCode="_(* #,##0_);_(* \(#,##0\);_(* &quot;-&quot;??_);_(@_)"/>
    </dxf>
    <dxf>
      <numFmt numFmtId="164" formatCode="_(* #,##0_);_(* \(#,##0\);_(* &quot;-&quot;??_);_(@_)"/>
    </dxf>
    <dxf>
      <numFmt numFmtId="164" formatCode="_(* #,##0_);_(* \(#,##0\);_(* &quot;-&quot;??_);_(@_)"/>
    </dxf>
    <dxf>
      <numFmt numFmtId="164" formatCode="_(* #,##0_);_(* \(#,##0\);_(* &quot;-&quot;??_);_(@_)"/>
    </dxf>
    <dxf>
      <numFmt numFmtId="164" formatCode="_(* #,##0_);_(* \(#,##0\);_(* &quot;-&quot;??_);_(@_)"/>
    </dxf>
    <dxf>
      <numFmt numFmtId="164" formatCode="_(* #,##0_);_(* \(#,##0\);_(* &quot;-&quot;??_);_(@_)"/>
    </dxf>
    <dxf>
      <numFmt numFmtId="164" formatCode="_(* #,##0_);_(* \(#,##0\);_(* &quot;-&quot;??_);_(@_)"/>
    </dxf>
    <dxf>
      <alignment horizontal="right" vertical="bottom" textRotation="0" wrapText="0" relativeIndent="1" justifyLastLine="0" shrinkToFit="0" readingOrder="0"/>
    </dxf>
    <dxf>
      <font>
        <b val="0"/>
        <i val="0"/>
        <strike val="0"/>
        <condense val="0"/>
        <extend val="0"/>
        <outline val="0"/>
        <shadow val="0"/>
        <u val="none"/>
        <vertAlign val="baseline"/>
        <sz val="10"/>
        <color theme="1"/>
        <name val="Arial"/>
        <family val="2"/>
        <scheme val="none"/>
      </font>
      <numFmt numFmtId="3" formatCode="#,##0"/>
      <alignment horizontal="center" vertical="bottom" textRotation="0" wrapText="0" indent="0" justifyLastLine="0" shrinkToFit="0" readingOrder="0"/>
      <border diagonalUp="0" diagonalDown="0">
        <left/>
        <right/>
        <top style="hair">
          <color theme="0" tint="-0.499984740745262"/>
        </top>
        <bottom style="hair">
          <color theme="0" tint="-0.499984740745262"/>
        </bottom>
        <vertical/>
        <horizontal/>
      </border>
    </dxf>
    <dxf>
      <font>
        <b val="0"/>
        <i val="0"/>
        <strike val="0"/>
        <condense val="0"/>
        <extend val="0"/>
        <outline val="0"/>
        <shadow val="0"/>
        <u val="none"/>
        <vertAlign val="baseline"/>
        <sz val="10"/>
        <color theme="1"/>
        <name val="Arial"/>
        <family val="2"/>
        <scheme val="none"/>
      </font>
      <numFmt numFmtId="3" formatCode="#,##0"/>
      <alignment horizontal="center" vertical="bottom" textRotation="0" wrapText="0" indent="0" justifyLastLine="0" shrinkToFit="0" readingOrder="0"/>
      <border diagonalUp="0" diagonalDown="0">
        <left/>
        <right/>
        <top style="hair">
          <color theme="0" tint="-0.499984740745262"/>
        </top>
        <bottom style="hair">
          <color theme="0" tint="-0.499984740745262"/>
        </bottom>
        <vertical/>
        <horizontal/>
      </border>
    </dxf>
    <dxf>
      <font>
        <b val="0"/>
        <i val="0"/>
        <strike val="0"/>
        <condense val="0"/>
        <extend val="0"/>
        <outline val="0"/>
        <shadow val="0"/>
        <u val="none"/>
        <vertAlign val="baseline"/>
        <sz val="10"/>
        <color theme="1"/>
        <name val="Arial"/>
        <family val="2"/>
        <scheme val="none"/>
      </font>
      <numFmt numFmtId="3" formatCode="#,##0"/>
      <alignment horizontal="center" vertical="bottom" textRotation="0" wrapText="0" indent="0" justifyLastLine="0" shrinkToFit="0" readingOrder="0"/>
      <border diagonalUp="0" diagonalDown="0">
        <left/>
        <right/>
        <top style="hair">
          <color theme="0" tint="-0.499984740745262"/>
        </top>
        <bottom style="hair">
          <color theme="0" tint="-0.499984740745262"/>
        </bottom>
        <vertical/>
        <horizontal/>
      </border>
    </dxf>
    <dxf>
      <font>
        <b val="0"/>
        <i val="0"/>
        <strike val="0"/>
        <condense val="0"/>
        <extend val="0"/>
        <outline val="0"/>
        <shadow val="0"/>
        <u val="none"/>
        <vertAlign val="baseline"/>
        <sz val="10"/>
        <color theme="1"/>
        <name val="Arial"/>
        <family val="2"/>
        <scheme val="none"/>
      </font>
      <numFmt numFmtId="3" formatCode="#,##0"/>
      <alignment horizontal="center" vertical="bottom" textRotation="0" wrapText="0" indent="0" justifyLastLine="0" shrinkToFit="0" readingOrder="0"/>
      <border diagonalUp="0" diagonalDown="0">
        <left/>
        <right/>
        <top style="hair">
          <color theme="0" tint="-0.499984740745262"/>
        </top>
        <bottom style="hair">
          <color theme="0" tint="-0.499984740745262"/>
        </bottom>
        <vertical/>
        <horizontal/>
      </border>
    </dxf>
    <dxf>
      <font>
        <b val="0"/>
        <i val="0"/>
        <strike val="0"/>
        <condense val="0"/>
        <extend val="0"/>
        <outline val="0"/>
        <shadow val="0"/>
        <u val="none"/>
        <vertAlign val="baseline"/>
        <sz val="10"/>
        <color theme="1"/>
        <name val="Arial"/>
        <family val="2"/>
        <scheme val="none"/>
      </font>
      <numFmt numFmtId="3" formatCode="#,##0"/>
      <alignment horizontal="center" vertical="bottom" textRotation="0" wrapText="0" indent="0" justifyLastLine="0" shrinkToFit="0" readingOrder="0"/>
      <border diagonalUp="0" diagonalDown="0">
        <left/>
        <right/>
        <top style="hair">
          <color theme="0" tint="-0.499984740745262"/>
        </top>
        <bottom style="hair">
          <color theme="0" tint="-0.499984740745262"/>
        </bottom>
        <vertical/>
        <horizontal/>
      </border>
    </dxf>
    <dxf>
      <font>
        <b val="0"/>
        <i val="0"/>
        <strike val="0"/>
        <condense val="0"/>
        <extend val="0"/>
        <outline val="0"/>
        <shadow val="0"/>
        <u val="none"/>
        <vertAlign val="baseline"/>
        <sz val="10"/>
        <color theme="1"/>
        <name val="Arial"/>
        <family val="2"/>
        <scheme val="none"/>
      </font>
      <numFmt numFmtId="3" formatCode="#,##0"/>
      <alignment horizontal="center" vertical="bottom" textRotation="0" wrapText="0" indent="0" justifyLastLine="0" shrinkToFit="0" readingOrder="0"/>
      <border diagonalUp="0" diagonalDown="0">
        <left/>
        <right/>
        <top style="hair">
          <color theme="0" tint="-0.499984740745262"/>
        </top>
        <bottom style="hair">
          <color theme="0" tint="-0.499984740745262"/>
        </bottom>
        <vertical/>
        <horizontal/>
      </border>
    </dxf>
    <dxf>
      <font>
        <b val="0"/>
        <i val="0"/>
        <strike val="0"/>
        <condense val="0"/>
        <extend val="0"/>
        <outline val="0"/>
        <shadow val="0"/>
        <u val="none"/>
        <vertAlign val="baseline"/>
        <sz val="10"/>
        <color theme="0" tint="-4.9989318521683403E-2"/>
        <name val="Arial"/>
        <family val="2"/>
        <scheme val="none"/>
      </font>
      <numFmt numFmtId="3" formatCode="#,##0"/>
      <fill>
        <patternFill patternType="solid">
          <fgColor indexed="64"/>
          <bgColor theme="0" tint="-4.9989318521683403E-2"/>
        </patternFill>
      </fill>
      <alignment horizontal="center" vertical="bottom" textRotation="0" wrapText="0" indent="0" justifyLastLine="0" shrinkToFit="0" readingOrder="0"/>
      <border diagonalUp="0" diagonalDown="0">
        <left/>
        <right/>
        <top style="hair">
          <color theme="0" tint="-0.499984740745262"/>
        </top>
        <bottom style="hair">
          <color theme="0" tint="-0.499984740745262"/>
        </bottom>
        <vertical/>
        <horizontal/>
      </border>
    </dxf>
    <dxf>
      <font>
        <b val="0"/>
        <i val="0"/>
        <strike val="0"/>
        <condense val="0"/>
        <extend val="0"/>
        <outline val="0"/>
        <shadow val="0"/>
        <u val="none"/>
        <vertAlign val="baseline"/>
        <sz val="10"/>
        <color theme="0" tint="-4.9989318521683403E-2"/>
        <name val="Arial"/>
        <family val="2"/>
        <scheme val="none"/>
      </font>
      <numFmt numFmtId="3" formatCode="#,##0"/>
      <fill>
        <patternFill patternType="solid">
          <fgColor indexed="64"/>
          <bgColor theme="0" tint="-4.9989318521683403E-2"/>
        </patternFill>
      </fill>
      <alignment horizontal="center" vertical="bottom" textRotation="0" wrapText="0" indent="0" justifyLastLine="0" shrinkToFit="0" readingOrder="0"/>
      <border diagonalUp="0" diagonalDown="0">
        <left/>
        <right/>
        <top style="hair">
          <color theme="0" tint="-0.499984740745262"/>
        </top>
        <bottom style="hair">
          <color theme="0" tint="-0.499984740745262"/>
        </bottom>
        <vertical/>
        <horizontal/>
      </border>
    </dxf>
    <dxf>
      <font>
        <b val="0"/>
        <i val="0"/>
        <strike val="0"/>
        <condense val="0"/>
        <extend val="0"/>
        <outline val="0"/>
        <shadow val="0"/>
        <u val="none"/>
        <vertAlign val="baseline"/>
        <sz val="10"/>
        <color theme="1"/>
        <name val="Arial"/>
        <family val="2"/>
        <scheme val="none"/>
      </font>
      <numFmt numFmtId="3" formatCode="#,##0"/>
      <fill>
        <patternFill patternType="solid">
          <fgColor indexed="64"/>
          <bgColor theme="0" tint="-4.9989318521683403E-2"/>
        </patternFill>
      </fill>
      <alignment horizontal="center" vertical="bottom" textRotation="0" wrapText="0" indent="0" justifyLastLine="0" shrinkToFit="0" readingOrder="0"/>
      <border diagonalUp="0" diagonalDown="0">
        <left/>
        <right/>
        <top style="hair">
          <color theme="0" tint="-0.499984740745262"/>
        </top>
        <bottom style="hair">
          <color theme="0" tint="-0.499984740745262"/>
        </bottom>
        <vertical/>
        <horizontal/>
      </border>
    </dxf>
    <dxf>
      <font>
        <b val="0"/>
        <i val="0"/>
        <strike val="0"/>
        <condense val="0"/>
        <extend val="0"/>
        <outline val="0"/>
        <shadow val="0"/>
        <u val="none"/>
        <vertAlign val="baseline"/>
        <sz val="10"/>
        <color theme="1"/>
        <name val="Arial"/>
        <family val="2"/>
        <scheme val="none"/>
      </font>
      <numFmt numFmtId="3" formatCode="#,##0"/>
      <fill>
        <patternFill patternType="solid">
          <fgColor indexed="64"/>
          <bgColor theme="0" tint="-4.9989318521683403E-2"/>
        </patternFill>
      </fill>
      <alignment horizontal="center" vertical="bottom" textRotation="0" wrapText="0" indent="0" justifyLastLine="0" shrinkToFit="0" readingOrder="0"/>
      <border diagonalUp="0" diagonalDown="0">
        <left/>
        <right/>
        <top style="hair">
          <color theme="0" tint="-0.499984740745262"/>
        </top>
        <bottom style="hair">
          <color theme="0" tint="-0.499984740745262"/>
        </bottom>
        <vertical/>
        <horizontal/>
      </border>
    </dxf>
    <dxf>
      <font>
        <b val="0"/>
        <i val="0"/>
        <strike val="0"/>
        <condense val="0"/>
        <extend val="0"/>
        <outline val="0"/>
        <shadow val="0"/>
        <u val="none"/>
        <vertAlign val="baseline"/>
        <sz val="10"/>
        <color theme="1"/>
        <name val="Arial"/>
        <family val="2"/>
        <scheme val="none"/>
      </font>
      <numFmt numFmtId="3" formatCode="#,##0"/>
      <fill>
        <patternFill patternType="solid">
          <fgColor indexed="64"/>
          <bgColor theme="0" tint="-4.9989318521683403E-2"/>
        </patternFill>
      </fill>
      <alignment horizontal="center" vertical="bottom" textRotation="0" wrapText="0" indent="0" justifyLastLine="0" shrinkToFit="0" readingOrder="0"/>
      <border diagonalUp="0" diagonalDown="0">
        <left/>
        <right/>
        <top style="hair">
          <color theme="0" tint="-0.499984740745262"/>
        </top>
        <bottom style="hair">
          <color theme="0" tint="-0.499984740745262"/>
        </bottom>
        <vertical/>
        <horizontal/>
      </border>
    </dxf>
    <dxf>
      <font>
        <b val="0"/>
        <i val="0"/>
        <strike val="0"/>
        <condense val="0"/>
        <extend val="0"/>
        <outline val="0"/>
        <shadow val="0"/>
        <u val="none"/>
        <vertAlign val="baseline"/>
        <sz val="10"/>
        <color theme="1"/>
        <name val="Arial"/>
        <family val="2"/>
        <scheme val="none"/>
      </font>
      <numFmt numFmtId="3" formatCode="#,##0"/>
      <fill>
        <patternFill patternType="solid">
          <fgColor indexed="64"/>
          <bgColor theme="0" tint="-4.9989318521683403E-2"/>
        </patternFill>
      </fill>
      <alignment horizontal="center" vertical="bottom" textRotation="0" wrapText="0" indent="0" justifyLastLine="0" shrinkToFit="0" readingOrder="0"/>
      <border diagonalUp="0" diagonalDown="0">
        <left/>
        <right/>
        <top style="hair">
          <color theme="0" tint="-0.499984740745262"/>
        </top>
        <bottom style="hair">
          <color theme="0" tint="-0.499984740745262"/>
        </bottom>
        <vertical/>
        <horizontal/>
      </border>
    </dxf>
    <dxf>
      <font>
        <b val="0"/>
        <i val="0"/>
        <strike val="0"/>
        <condense val="0"/>
        <extend val="0"/>
        <outline val="0"/>
        <shadow val="0"/>
        <u val="none"/>
        <vertAlign val="baseline"/>
        <sz val="10"/>
        <color theme="1"/>
        <name val="Arial"/>
        <family val="2"/>
        <scheme val="none"/>
      </font>
      <fill>
        <patternFill patternType="solid">
          <fgColor indexed="64"/>
          <bgColor theme="0"/>
        </patternFill>
      </fill>
      <alignment horizontal="left" vertical="bottom" textRotation="0" wrapText="0" indent="0" justifyLastLine="0" shrinkToFit="0" readingOrder="0"/>
      <border diagonalUp="0" diagonalDown="0">
        <left/>
        <right/>
        <top style="hair">
          <color theme="0" tint="-0.499984740745262"/>
        </top>
        <bottom style="hair">
          <color theme="0" tint="-0.499984740745262"/>
        </bottom>
        <vertical/>
        <horizontal/>
      </border>
    </dxf>
    <dxf>
      <font>
        <b val="0"/>
        <i val="0"/>
        <strike val="0"/>
        <condense val="0"/>
        <extend val="0"/>
        <outline val="0"/>
        <shadow val="0"/>
        <u val="none"/>
        <vertAlign val="baseline"/>
        <sz val="10"/>
        <color theme="1"/>
        <name val="Arial"/>
        <family val="2"/>
        <scheme val="none"/>
      </font>
      <fill>
        <patternFill patternType="solid">
          <fgColor indexed="64"/>
          <bgColor theme="0"/>
        </patternFill>
      </fill>
      <alignment horizontal="left" vertical="bottom" textRotation="0" wrapText="0" indent="0" justifyLastLine="0" shrinkToFit="0" readingOrder="0"/>
      <border diagonalUp="0" diagonalDown="0">
        <left/>
        <right/>
        <top style="hair">
          <color theme="0" tint="-0.499984740745262"/>
        </top>
        <bottom style="hair">
          <color theme="0" tint="-0.499984740745262"/>
        </bottom>
        <vertical/>
        <horizontal/>
      </border>
    </dxf>
    <dxf>
      <border outline="0">
        <left style="thin">
          <color theme="0" tint="-0.499984740745262"/>
        </left>
        <right style="thin">
          <color theme="0" tint="-0.499984740745262"/>
        </right>
        <top style="thin">
          <color theme="0" tint="-0.499984740745262"/>
        </top>
        <bottom style="thin">
          <color theme="0" tint="-0.499984740745262"/>
        </bottom>
      </border>
    </dxf>
    <dxf>
      <font>
        <b val="0"/>
        <i val="0"/>
        <strike val="0"/>
        <condense val="0"/>
        <extend val="0"/>
        <outline val="0"/>
        <shadow val="0"/>
        <u val="none"/>
        <vertAlign val="baseline"/>
        <sz val="10"/>
        <color theme="1"/>
        <name val="Arial"/>
        <family val="2"/>
        <scheme val="none"/>
      </font>
      <alignment horizontal="center" vertical="bottom" textRotation="0" wrapText="0" indent="0" justifyLastLine="0" shrinkToFit="0" readingOrder="0"/>
    </dxf>
    <dxf>
      <font>
        <b/>
        <i val="0"/>
        <strike val="0"/>
        <condense val="0"/>
        <extend val="0"/>
        <outline val="0"/>
        <shadow val="0"/>
        <u val="none"/>
        <vertAlign val="baseline"/>
        <sz val="11"/>
        <color theme="1" tint="0.34998626667073579"/>
        <name val="Arial"/>
        <family val="2"/>
        <scheme val="none"/>
      </font>
      <fill>
        <patternFill patternType="solid">
          <fgColor indexed="64"/>
          <bgColor theme="0" tint="-0.14999847407452621"/>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3" formatCode="#,##0"/>
    </dxf>
    <dxf>
      <numFmt numFmtId="3" formatCode="#,##0"/>
    </dxf>
    <dxf>
      <font>
        <b val="0"/>
        <i val="0"/>
        <strike val="0"/>
        <condense val="0"/>
        <extend val="0"/>
        <outline val="0"/>
        <shadow val="0"/>
        <u val="none"/>
        <vertAlign val="baseline"/>
        <sz val="11"/>
        <color theme="1"/>
        <name val="Calibri"/>
        <family val="2"/>
        <scheme val="minor"/>
      </font>
      <numFmt numFmtId="3" formatCode="#,##0"/>
    </dxf>
    <dxf>
      <numFmt numFmtId="3" formatCode="#,##0"/>
    </dxf>
    <dxf>
      <font>
        <b val="0"/>
        <i val="0"/>
        <strike val="0"/>
        <condense val="0"/>
        <extend val="0"/>
        <outline val="0"/>
        <shadow val="0"/>
        <u val="none"/>
        <vertAlign val="baseline"/>
        <sz val="11"/>
        <color theme="1"/>
        <name val="Calibri"/>
        <family val="2"/>
        <scheme val="minor"/>
      </font>
      <numFmt numFmtId="3" formatCode="#,##0"/>
    </dxf>
    <dxf>
      <numFmt numFmtId="3" formatCode="#,##0"/>
    </dxf>
    <dxf>
      <font>
        <b val="0"/>
        <i val="0"/>
        <strike val="0"/>
        <condense val="0"/>
        <extend val="0"/>
        <outline val="0"/>
        <shadow val="0"/>
        <u val="none"/>
        <vertAlign val="baseline"/>
        <sz val="11"/>
        <color theme="1"/>
        <name val="Calibri"/>
        <family val="2"/>
        <scheme val="minor"/>
      </font>
      <numFmt numFmtId="3" formatCode="#,##0"/>
    </dxf>
    <dxf>
      <font>
        <b val="0"/>
        <i val="0"/>
        <strike val="0"/>
        <condense val="0"/>
        <extend val="0"/>
        <outline val="0"/>
        <shadow val="0"/>
        <u val="none"/>
        <vertAlign val="baseline"/>
        <sz val="11"/>
        <color theme="1"/>
        <name val="Calibri"/>
        <family val="2"/>
        <scheme val="minor"/>
      </font>
      <numFmt numFmtId="3" formatCode="#,##0"/>
    </dxf>
    <dxf>
      <font>
        <b val="0"/>
        <i val="0"/>
        <strike val="0"/>
        <condense val="0"/>
        <extend val="0"/>
        <outline val="0"/>
        <shadow val="0"/>
        <u val="none"/>
        <vertAlign val="baseline"/>
        <sz val="11"/>
        <color theme="1"/>
        <name val="Calibri"/>
        <family val="2"/>
        <scheme val="minor"/>
      </font>
      <numFmt numFmtId="3" formatCode="#,##0"/>
    </dxf>
    <dxf>
      <font>
        <b val="0"/>
        <i val="0"/>
        <strike val="0"/>
        <condense val="0"/>
        <extend val="0"/>
        <outline val="0"/>
        <shadow val="0"/>
        <u val="none"/>
        <vertAlign val="baseline"/>
        <sz val="11"/>
        <color theme="1"/>
        <name val="Calibri"/>
        <family val="2"/>
        <scheme val="minor"/>
      </font>
      <border diagonalUp="0" diagonalDown="0">
        <left style="medium">
          <color indexed="64"/>
        </left>
        <right style="medium">
          <color indexed="64"/>
        </right>
        <top style="thin">
          <color theme="6"/>
        </top>
        <bottom/>
        <vertical/>
        <horizontal/>
      </border>
    </dxf>
    <dxf>
      <border outline="0">
        <top style="thin">
          <color theme="6"/>
        </top>
      </border>
    </dxf>
    <dxf>
      <font>
        <b/>
        <i val="0"/>
        <strike val="0"/>
        <condense val="0"/>
        <extend val="0"/>
        <outline val="0"/>
        <shadow val="0"/>
        <u val="none"/>
        <vertAlign val="baseline"/>
        <sz val="11"/>
        <color theme="0"/>
        <name val="Calibri"/>
        <family val="2"/>
        <scheme val="minor"/>
      </font>
      <fill>
        <patternFill patternType="solid">
          <fgColor theme="6"/>
          <bgColor theme="6"/>
        </patternFill>
      </fill>
      <alignment vertical="bottom" textRotation="0" wrapText="1" indent="0" justifyLastLine="0" shrinkToFit="0" readingOrder="0"/>
    </dxf>
    <dxf>
      <border diagonalUp="0" diagonalDown="0">
        <left style="medium">
          <color indexed="64"/>
        </left>
        <right style="medium">
          <color indexed="64"/>
        </right>
        <top/>
        <bottom/>
        <vertical/>
        <horizontal/>
      </border>
    </dxf>
    <dxf>
      <border diagonalUp="0" diagonalDown="0">
        <left style="medium">
          <color indexed="64"/>
        </left>
        <right style="medium">
          <color indexed="64"/>
        </right>
        <top/>
        <bottom/>
        <vertical/>
        <horizontal/>
      </border>
    </dxf>
    <dxf>
      <alignment vertical="bottom" textRotation="0" wrapText="1" indent="0" justifyLastLine="0" shrinkToFit="0" readingOrder="0"/>
    </dxf>
    <dxf>
      <numFmt numFmtId="0" formatCode="General"/>
    </dxf>
    <dxf>
      <alignment vertical="bottom" textRotation="0" wrapText="1" indent="0" justifyLastLine="0" shrinkToFit="0" readingOrder="0"/>
    </dxf>
    <dxf>
      <numFmt numFmtId="3" formatCode="#,##0"/>
    </dxf>
    <dxf>
      <font>
        <b val="0"/>
        <i val="0"/>
        <strike val="0"/>
        <condense val="0"/>
        <extend val="0"/>
        <outline val="0"/>
        <shadow val="0"/>
        <u val="none"/>
        <vertAlign val="baseline"/>
        <sz val="10"/>
        <color theme="1"/>
        <name val="Arial"/>
        <family val="2"/>
        <scheme val="none"/>
      </font>
      <numFmt numFmtId="3" formatCode="#,##0"/>
      <alignment horizontal="center" vertical="bottom" textRotation="0" wrapText="0" indent="0" justifyLastLine="0" shrinkToFit="0" readingOrder="0"/>
      <border diagonalUp="0" diagonalDown="0">
        <left/>
        <right/>
        <top style="hair">
          <color theme="0" tint="-0.499984740745262"/>
        </top>
        <bottom style="hair">
          <color theme="0" tint="-0.499984740745262"/>
        </bottom>
        <vertical/>
        <horizontal/>
      </border>
    </dxf>
    <dxf>
      <font>
        <b val="0"/>
        <i val="0"/>
        <strike val="0"/>
        <condense val="0"/>
        <extend val="0"/>
        <outline val="0"/>
        <shadow val="0"/>
        <u val="none"/>
        <vertAlign val="baseline"/>
        <sz val="10"/>
        <color theme="1"/>
        <name val="Arial"/>
        <family val="2"/>
        <scheme val="none"/>
      </font>
      <numFmt numFmtId="3" formatCode="#,##0"/>
      <fill>
        <patternFill patternType="solid">
          <fgColor indexed="64"/>
          <bgColor theme="0"/>
        </patternFill>
      </fill>
      <alignment horizontal="center" vertical="bottom" textRotation="0" wrapText="0" indent="0" justifyLastLine="0" shrinkToFit="0" readingOrder="0"/>
      <border diagonalUp="0" diagonalDown="0">
        <left/>
        <right/>
        <top style="hair">
          <color theme="0" tint="-0.499984740745262"/>
        </top>
        <bottom style="hair">
          <color theme="0" tint="-0.499984740745262"/>
        </bottom>
        <vertical/>
        <horizontal/>
      </border>
    </dxf>
    <dxf>
      <font>
        <b/>
        <i val="0"/>
        <strike val="0"/>
        <condense val="0"/>
        <extend val="0"/>
        <outline val="0"/>
        <shadow val="0"/>
        <u val="none"/>
        <vertAlign val="baseline"/>
        <sz val="11"/>
        <color theme="1" tint="0.34998626667073579"/>
        <name val="Arial"/>
        <family val="2"/>
        <scheme val="none"/>
      </font>
      <fill>
        <patternFill patternType="solid">
          <fgColor indexed="64"/>
          <bgColor theme="0" tint="-0.14999847407452621"/>
        </patternFill>
      </fill>
      <alignment horizontal="center" vertical="bottom" textRotation="0" wrapText="0" indent="0" justifyLastLine="0" shrinkToFit="0" readingOrder="0"/>
    </dxf>
    <dxf>
      <font>
        <b/>
        <i val="0"/>
        <strike val="0"/>
        <condense val="0"/>
        <extend val="0"/>
        <outline val="0"/>
        <shadow val="0"/>
        <u val="none"/>
        <vertAlign val="baseline"/>
        <sz val="11"/>
        <color theme="1" tint="0.34998626667073579"/>
        <name val="Arial"/>
        <family val="2"/>
        <scheme val="none"/>
      </font>
      <fill>
        <patternFill patternType="solid">
          <fgColor indexed="64"/>
          <bgColor theme="0" tint="-0.14999847407452621"/>
        </patternFill>
      </fill>
      <alignment horizontal="center" vertical="bottom" textRotation="0" wrapText="0" indent="0" justifyLastLine="0" shrinkToFit="0" readingOrder="0"/>
      <border diagonalUp="0" diagonalDown="0">
        <left/>
        <right/>
        <top style="thin">
          <color theme="0" tint="-0.499984740745262"/>
        </top>
        <bottom/>
        <vertical/>
        <horizontal/>
      </border>
    </dxf>
    <dxf>
      <alignment vertical="bottom" textRotation="0" wrapText="1" indent="0" justifyLastLine="0" shrinkToFit="0" readingOrder="0"/>
    </dxf>
    <dxf>
      <numFmt numFmtId="0" formatCode="General"/>
    </dxf>
    <dxf>
      <numFmt numFmtId="3" formatCode="#,##0"/>
    </dxf>
    <dxf>
      <numFmt numFmtId="3" formatCode="#,##0"/>
    </dxf>
    <dxf>
      <numFmt numFmtId="3" formatCode="#,##0"/>
    </dxf>
    <dxf>
      <numFmt numFmtId="3" formatCode="#,##0"/>
    </dxf>
    <dxf>
      <border diagonalUp="0" diagonalDown="0" outline="0">
        <left/>
        <right style="thick">
          <color auto="1"/>
        </right>
        <top/>
        <bottom/>
      </border>
    </dxf>
    <dxf>
      <alignment horizontal="general" vertical="bottom" textRotation="0" wrapText="1" indent="0" justifyLastLine="0" shrinkToFit="0" readingOrder="0"/>
    </dxf>
    <dxf>
      <numFmt numFmtId="0" formatCode="General"/>
      <border diagonalUp="0" diagonalDown="0">
        <left/>
        <right style="medium">
          <color indexed="64"/>
        </right>
        <top/>
        <bottom/>
        <vertical/>
        <horizontal/>
      </border>
    </dxf>
    <dxf>
      <numFmt numFmtId="0" formatCode="General"/>
      <border diagonalUp="0" diagonalDown="0">
        <left style="medium">
          <color indexed="64"/>
        </left>
        <right/>
        <top/>
        <bottom/>
        <vertical/>
        <horizontal/>
      </border>
    </dxf>
    <dxf>
      <alignment horizontal="general" vertical="bottom" textRotation="0" wrapText="1" indent="0" justifyLastLine="0" shrinkToFit="0" readingOrder="0"/>
    </dxf>
    <dxf>
      <alignment horizontal="left" vertical="center" textRotation="0" wrapText="1" indent="0" justifyLastLine="0" shrinkToFit="0" readingOrder="0"/>
    </dxf>
    <dxf>
      <alignment horizontal="general" vertical="center" textRotation="0" wrapText="0" indent="0" justifyLastLine="0" shrinkToFit="0" readingOrder="0"/>
    </dxf>
    <dxf>
      <alignment horizontal="left" vertical="center" textRotation="0" wrapText="1" indent="0" justifyLastLine="0" shrinkToFit="0" readingOrder="0"/>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PJM Grid Avoided Emissions Rates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2"/>
          <c:order val="2"/>
          <c:tx>
            <c:v>AVERT + Cambium</c:v>
          </c:tx>
          <c:spPr>
            <a:ln w="25400" cap="rnd">
              <a:noFill/>
              <a:round/>
            </a:ln>
            <a:effectLst/>
          </c:spPr>
          <c:marker>
            <c:symbol val="circle"/>
            <c:size val="5"/>
            <c:spPr>
              <a:solidFill>
                <a:schemeClr val="tx1"/>
              </a:solidFill>
              <a:ln w="9525">
                <a:noFill/>
              </a:ln>
              <a:effectLst/>
            </c:spPr>
          </c:marker>
          <c:xVal>
            <c:numRef>
              <c:f>AVERT!$Q$10:$Q$19</c:f>
              <c:numCache>
                <c:formatCode>General</c:formatCode>
                <c:ptCount val="10"/>
                <c:pt idx="0">
                  <c:v>2017</c:v>
                </c:pt>
                <c:pt idx="1">
                  <c:v>2018</c:v>
                </c:pt>
                <c:pt idx="2">
                  <c:v>2019</c:v>
                </c:pt>
                <c:pt idx="3">
                  <c:v>2020</c:v>
                </c:pt>
                <c:pt idx="4">
                  <c:v>2021</c:v>
                </c:pt>
                <c:pt idx="5">
                  <c:v>2022</c:v>
                </c:pt>
                <c:pt idx="6">
                  <c:v>2024</c:v>
                </c:pt>
                <c:pt idx="7">
                  <c:v>2026</c:v>
                </c:pt>
                <c:pt idx="8">
                  <c:v>2028</c:v>
                </c:pt>
                <c:pt idx="9">
                  <c:v>2030</c:v>
                </c:pt>
              </c:numCache>
            </c:numRef>
          </c:xVal>
          <c:yVal>
            <c:numRef>
              <c:f>AVERT!$Y$10:$Y$19</c:f>
              <c:numCache>
                <c:formatCode>General</c:formatCode>
                <c:ptCount val="10"/>
                <c:pt idx="0">
                  <c:v>0.72280066162394951</c:v>
                </c:pt>
                <c:pt idx="1">
                  <c:v>0.70588188213298142</c:v>
                </c:pt>
                <c:pt idx="2">
                  <c:v>0.67879623714182757</c:v>
                </c:pt>
                <c:pt idx="3">
                  <c:v>0.66684791367222696</c:v>
                </c:pt>
                <c:pt idx="4">
                  <c:v>0.70469856805982889</c:v>
                </c:pt>
                <c:pt idx="5">
                  <c:v>0.65235964257821155</c:v>
                </c:pt>
                <c:pt idx="6">
                  <c:v>0.5699673153711986</c:v>
                </c:pt>
                <c:pt idx="7">
                  <c:v>0.5303665356013102</c:v>
                </c:pt>
                <c:pt idx="8">
                  <c:v>0.45883630499910544</c:v>
                </c:pt>
                <c:pt idx="9">
                  <c:v>0.43853532951807295</c:v>
                </c:pt>
              </c:numCache>
            </c:numRef>
          </c:yVal>
          <c:smooth val="0"/>
          <c:extLst>
            <c:ext xmlns:c16="http://schemas.microsoft.com/office/drawing/2014/chart" uri="{C3380CC4-5D6E-409C-BE32-E72D297353CC}">
              <c16:uniqueId val="{00000002-F072-48B3-8743-AE0A2EA9746A}"/>
            </c:ext>
          </c:extLst>
        </c:ser>
        <c:dLbls>
          <c:showLegendKey val="0"/>
          <c:showVal val="0"/>
          <c:showCatName val="0"/>
          <c:showSerName val="0"/>
          <c:showPercent val="0"/>
          <c:showBubbleSize val="0"/>
        </c:dLbls>
        <c:axId val="2077586735"/>
        <c:axId val="1967168895"/>
      </c:scatterChart>
      <c:scatterChart>
        <c:scatterStyle val="smoothMarker"/>
        <c:varyColors val="0"/>
        <c:ser>
          <c:idx val="1"/>
          <c:order val="0"/>
          <c:tx>
            <c:strRef>
              <c:f>'Grid GHG'!$F$5</c:f>
              <c:strCache>
                <c:ptCount val="1"/>
                <c:pt idx="0">
                  <c:v>EIA Emissions Rate (mtCO2/MWh)</c:v>
                </c:pt>
              </c:strCache>
            </c:strRef>
          </c:tx>
          <c:spPr>
            <a:ln w="28575" cap="rnd">
              <a:solidFill>
                <a:schemeClr val="accent2"/>
              </a:solidFill>
              <a:round/>
            </a:ln>
            <a:effectLst/>
          </c:spPr>
          <c:marker>
            <c:symbol val="none"/>
          </c:marker>
          <c:xVal>
            <c:numRef>
              <c:f>'Grid GHG'!$A$9:$A$34</c:f>
              <c:numCache>
                <c:formatCode>General</c:formatCode>
                <c:ptCount val="2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pt idx="16">
                  <c:v>2041</c:v>
                </c:pt>
                <c:pt idx="17">
                  <c:v>2042</c:v>
                </c:pt>
                <c:pt idx="18">
                  <c:v>2043</c:v>
                </c:pt>
                <c:pt idx="19">
                  <c:v>2044</c:v>
                </c:pt>
                <c:pt idx="20">
                  <c:v>2045</c:v>
                </c:pt>
                <c:pt idx="21">
                  <c:v>2046</c:v>
                </c:pt>
                <c:pt idx="22">
                  <c:v>2047</c:v>
                </c:pt>
                <c:pt idx="23">
                  <c:v>2048</c:v>
                </c:pt>
                <c:pt idx="24">
                  <c:v>2049</c:v>
                </c:pt>
                <c:pt idx="25">
                  <c:v>2050</c:v>
                </c:pt>
              </c:numCache>
            </c:numRef>
          </c:xVal>
          <c:yVal>
            <c:numRef>
              <c:f>'Grid GHG'!$F$9:$F$34</c:f>
              <c:numCache>
                <c:formatCode>General</c:formatCode>
                <c:ptCount val="26"/>
                <c:pt idx="0">
                  <c:v>0.38296767586598895</c:v>
                </c:pt>
                <c:pt idx="1">
                  <c:v>0.36945216642884204</c:v>
                </c:pt>
                <c:pt idx="2">
                  <c:v>0.3424258499101735</c:v>
                </c:pt>
                <c:pt idx="3">
                  <c:v>0.32674629656763332</c:v>
                </c:pt>
                <c:pt idx="4">
                  <c:v>0.31252951373730531</c:v>
                </c:pt>
                <c:pt idx="5">
                  <c:v>0.29099665360100052</c:v>
                </c:pt>
                <c:pt idx="6">
                  <c:v>0.27622000690200782</c:v>
                </c:pt>
                <c:pt idx="7">
                  <c:v>0.27505678814887768</c:v>
                </c:pt>
                <c:pt idx="8">
                  <c:v>0.25606962674017136</c:v>
                </c:pt>
                <c:pt idx="9">
                  <c:v>0.23942871555357381</c:v>
                </c:pt>
                <c:pt idx="10">
                  <c:v>0.23420701364913374</c:v>
                </c:pt>
                <c:pt idx="11">
                  <c:v>0.23354859475148512</c:v>
                </c:pt>
                <c:pt idx="12">
                  <c:v>0.23355026217026298</c:v>
                </c:pt>
                <c:pt idx="13">
                  <c:v>0.24370400649753346</c:v>
                </c:pt>
                <c:pt idx="14">
                  <c:v>0.2432297089596841</c:v>
                </c:pt>
                <c:pt idx="15">
                  <c:v>0.2435177275783621</c:v>
                </c:pt>
                <c:pt idx="16">
                  <c:v>0.2433978808209685</c:v>
                </c:pt>
                <c:pt idx="17">
                  <c:v>0.24245869199628484</c:v>
                </c:pt>
                <c:pt idx="18">
                  <c:v>0.24222323524399106</c:v>
                </c:pt>
                <c:pt idx="19">
                  <c:v>0.24270807884028053</c:v>
                </c:pt>
                <c:pt idx="20">
                  <c:v>0.24220014655704755</c:v>
                </c:pt>
                <c:pt idx="21">
                  <c:v>0.23842711836227692</c:v>
                </c:pt>
                <c:pt idx="22">
                  <c:v>0.23628489707978009</c:v>
                </c:pt>
                <c:pt idx="23">
                  <c:v>0.23059568153790189</c:v>
                </c:pt>
                <c:pt idx="24">
                  <c:v>0.23118436937371162</c:v>
                </c:pt>
                <c:pt idx="25">
                  <c:v>0.22645678523367976</c:v>
                </c:pt>
              </c:numCache>
            </c:numRef>
          </c:yVal>
          <c:smooth val="1"/>
          <c:extLst>
            <c:ext xmlns:c16="http://schemas.microsoft.com/office/drawing/2014/chart" uri="{C3380CC4-5D6E-409C-BE32-E72D297353CC}">
              <c16:uniqueId val="{00000001-ED57-45C1-8353-1E381C651057}"/>
            </c:ext>
          </c:extLst>
        </c:ser>
        <c:ser>
          <c:idx val="0"/>
          <c:order val="1"/>
          <c:tx>
            <c:strRef>
              <c:f>'Grid GHG'!$G$5</c:f>
              <c:strCache>
                <c:ptCount val="1"/>
                <c:pt idx="0">
                  <c:v>EIA + AVERT Emissions Rate (mtCO2/MWh)2</c:v>
                </c:pt>
              </c:strCache>
            </c:strRef>
          </c:tx>
          <c:spPr>
            <a:ln w="28575" cap="rnd">
              <a:solidFill>
                <a:schemeClr val="accent1"/>
              </a:solidFill>
              <a:round/>
            </a:ln>
            <a:effectLst/>
          </c:spPr>
          <c:marker>
            <c:symbol val="none"/>
          </c:marker>
          <c:xVal>
            <c:numRef>
              <c:f>'Grid GHG'!$A$9:$A$34</c:f>
              <c:numCache>
                <c:formatCode>General</c:formatCode>
                <c:ptCount val="2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pt idx="16">
                  <c:v>2041</c:v>
                </c:pt>
                <c:pt idx="17">
                  <c:v>2042</c:v>
                </c:pt>
                <c:pt idx="18">
                  <c:v>2043</c:v>
                </c:pt>
                <c:pt idx="19">
                  <c:v>2044</c:v>
                </c:pt>
                <c:pt idx="20">
                  <c:v>2045</c:v>
                </c:pt>
                <c:pt idx="21">
                  <c:v>2046</c:v>
                </c:pt>
                <c:pt idx="22">
                  <c:v>2047</c:v>
                </c:pt>
                <c:pt idx="23">
                  <c:v>2048</c:v>
                </c:pt>
                <c:pt idx="24">
                  <c:v>2049</c:v>
                </c:pt>
                <c:pt idx="25">
                  <c:v>2050</c:v>
                </c:pt>
              </c:numCache>
            </c:numRef>
          </c:xVal>
          <c:yVal>
            <c:numRef>
              <c:f>'Grid GHG'!$G$9:$G$34</c:f>
              <c:numCache>
                <c:formatCode>General</c:formatCode>
                <c:ptCount val="26"/>
                <c:pt idx="0">
                  <c:v>0.58896272607499345</c:v>
                </c:pt>
                <c:pt idx="1">
                  <c:v>0.56817733925508906</c:v>
                </c:pt>
                <c:pt idx="2">
                  <c:v>0.52661379732793534</c:v>
                </c:pt>
                <c:pt idx="3">
                  <c:v>0.50250034582219472</c:v>
                </c:pt>
                <c:pt idx="4">
                  <c:v>0.48063647662531722</c:v>
                </c:pt>
                <c:pt idx="5">
                  <c:v>0.44752127446787082</c:v>
                </c:pt>
                <c:pt idx="6">
                  <c:v>0.42479639539705555</c:v>
                </c:pt>
                <c:pt idx="7">
                  <c:v>0.42300749118649544</c:v>
                </c:pt>
                <c:pt idx="8">
                  <c:v>0.39380729741450005</c:v>
                </c:pt>
                <c:pt idx="9">
                  <c:v>0.36821538187053665</c:v>
                </c:pt>
                <c:pt idx="10">
                  <c:v>0.36018497099725405</c:v>
                </c:pt>
                <c:pt idx="11">
                  <c:v>0.35917239418386754</c:v>
                </c:pt>
                <c:pt idx="12">
                  <c:v>0.35917495849300068</c:v>
                </c:pt>
                <c:pt idx="13">
                  <c:v>0.37479031539051166</c:v>
                </c:pt>
                <c:pt idx="14">
                  <c:v>0.37406089724776437</c:v>
                </c:pt>
                <c:pt idx="15">
                  <c:v>0.3745038386276951</c:v>
                </c:pt>
                <c:pt idx="16">
                  <c:v>0.3743195273205171</c:v>
                </c:pt>
                <c:pt idx="17">
                  <c:v>0.37287515682832334</c:v>
                </c:pt>
                <c:pt idx="18">
                  <c:v>0.37251304989491146</c:v>
                </c:pt>
                <c:pt idx="19">
                  <c:v>0.37325868673108814</c:v>
                </c:pt>
                <c:pt idx="20">
                  <c:v>0.37247754199996191</c:v>
                </c:pt>
                <c:pt idx="21">
                  <c:v>0.36667503408300778</c:v>
                </c:pt>
                <c:pt idx="22">
                  <c:v>0.36338053022300915</c:v>
                </c:pt>
                <c:pt idx="23">
                  <c:v>0.35463113410962716</c:v>
                </c:pt>
                <c:pt idx="24">
                  <c:v>0.35553647211707562</c:v>
                </c:pt>
                <c:pt idx="25">
                  <c:v>0.34826596074410954</c:v>
                </c:pt>
              </c:numCache>
            </c:numRef>
          </c:yVal>
          <c:smooth val="1"/>
          <c:extLst>
            <c:ext xmlns:c16="http://schemas.microsoft.com/office/drawing/2014/chart" uri="{C3380CC4-5D6E-409C-BE32-E72D297353CC}">
              <c16:uniqueId val="{00000000-F072-48B3-8743-AE0A2EA9746A}"/>
            </c:ext>
          </c:extLst>
        </c:ser>
        <c:dLbls>
          <c:showLegendKey val="0"/>
          <c:showVal val="0"/>
          <c:showCatName val="0"/>
          <c:showSerName val="0"/>
          <c:showPercent val="0"/>
          <c:showBubbleSize val="0"/>
        </c:dLbls>
        <c:axId val="2077586735"/>
        <c:axId val="1967168895"/>
      </c:scatterChart>
      <c:valAx>
        <c:axId val="2077586735"/>
        <c:scaling>
          <c:orientation val="minMax"/>
          <c:max val="2051"/>
          <c:min val="2015"/>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67168895"/>
        <c:crosses val="autoZero"/>
        <c:crossBetween val="midCat"/>
      </c:valAx>
      <c:valAx>
        <c:axId val="196716889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Emissions Rate (mtCO2/MWh)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7586735"/>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t" anchorCtr="1"/>
          <a:lstStyle/>
          <a:p>
            <a:pPr>
              <a:defRPr sz="1400" b="0" i="0" u="none" strike="noStrike" kern="1200" spc="0" baseline="0">
                <a:solidFill>
                  <a:schemeClr val="tx1">
                    <a:lumMod val="65000"/>
                    <a:lumOff val="35000"/>
                  </a:schemeClr>
                </a:solidFill>
                <a:latin typeface="+mn-lt"/>
                <a:ea typeface="+mn-ea"/>
                <a:cs typeface="+mn-cs"/>
              </a:defRPr>
            </a:pPr>
            <a:r>
              <a:rPr lang="en-US"/>
              <a:t>PJM Carbon Dioxide Emission Rates (mtCO2/MWh)</a:t>
            </a:r>
          </a:p>
        </c:rich>
      </c:tx>
      <c:layout>
        <c:manualLayout>
          <c:xMode val="edge"/>
          <c:yMode val="edge"/>
          <c:x val="0.22292155819896484"/>
          <c:y val="2.7777777777777776E-2"/>
        </c:manualLayout>
      </c:layout>
      <c:overlay val="0"/>
      <c:spPr>
        <a:noFill/>
        <a:ln>
          <a:noFill/>
        </a:ln>
        <a:effectLst/>
      </c:spPr>
      <c:txPr>
        <a:bodyPr rot="0" spcFirstLastPara="1" vertOverflow="ellipsis" vert="horz" wrap="square" anchor="t"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'Grid GHG'!$A$6:$A$34</c:f>
              <c:numCache>
                <c:formatCode>General</c:formatCode>
                <c:ptCount val="29"/>
                <c:pt idx="0">
                  <c:v>2022</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pt idx="21">
                  <c:v>2043</c:v>
                </c:pt>
                <c:pt idx="22">
                  <c:v>2044</c:v>
                </c:pt>
                <c:pt idx="23">
                  <c:v>2045</c:v>
                </c:pt>
                <c:pt idx="24">
                  <c:v>2046</c:v>
                </c:pt>
                <c:pt idx="25">
                  <c:v>2047</c:v>
                </c:pt>
                <c:pt idx="26">
                  <c:v>2048</c:v>
                </c:pt>
                <c:pt idx="27">
                  <c:v>2049</c:v>
                </c:pt>
                <c:pt idx="28">
                  <c:v>2050</c:v>
                </c:pt>
              </c:numCache>
            </c:numRef>
          </c:xVal>
          <c:yVal>
            <c:numRef>
              <c:f>'Grid GHG'!$F$6:$F$34</c:f>
              <c:numCache>
                <c:formatCode>General</c:formatCode>
                <c:ptCount val="29"/>
                <c:pt idx="0">
                  <c:v>0.42419094636412252</c:v>
                </c:pt>
                <c:pt idx="1">
                  <c:v>0.40745374006984286</c:v>
                </c:pt>
                <c:pt idx="2">
                  <c:v>0.4048559272829767</c:v>
                </c:pt>
                <c:pt idx="3">
                  <c:v>0.38296767586598895</c:v>
                </c:pt>
                <c:pt idx="4">
                  <c:v>0.36945216642884204</c:v>
                </c:pt>
                <c:pt idx="5">
                  <c:v>0.3424258499101735</c:v>
                </c:pt>
                <c:pt idx="6">
                  <c:v>0.32674629656763332</c:v>
                </c:pt>
                <c:pt idx="7">
                  <c:v>0.31252951373730531</c:v>
                </c:pt>
                <c:pt idx="8">
                  <c:v>0.29099665360100052</c:v>
                </c:pt>
                <c:pt idx="9">
                  <c:v>0.27622000690200782</c:v>
                </c:pt>
                <c:pt idx="10">
                  <c:v>0.27505678814887768</c:v>
                </c:pt>
                <c:pt idx="11">
                  <c:v>0.25606962674017136</c:v>
                </c:pt>
                <c:pt idx="12">
                  <c:v>0.23942871555357381</c:v>
                </c:pt>
                <c:pt idx="13">
                  <c:v>0.23420701364913374</c:v>
                </c:pt>
                <c:pt idx="14">
                  <c:v>0.23354859475148512</c:v>
                </c:pt>
                <c:pt idx="15">
                  <c:v>0.23355026217026298</c:v>
                </c:pt>
                <c:pt idx="16">
                  <c:v>0.24370400649753346</c:v>
                </c:pt>
                <c:pt idx="17">
                  <c:v>0.2432297089596841</c:v>
                </c:pt>
                <c:pt idx="18">
                  <c:v>0.2435177275783621</c:v>
                </c:pt>
                <c:pt idx="19">
                  <c:v>0.2433978808209685</c:v>
                </c:pt>
                <c:pt idx="20">
                  <c:v>0.24245869199628484</c:v>
                </c:pt>
                <c:pt idx="21">
                  <c:v>0.24222323524399106</c:v>
                </c:pt>
                <c:pt idx="22">
                  <c:v>0.24270807884028053</c:v>
                </c:pt>
                <c:pt idx="23">
                  <c:v>0.24220014655704755</c:v>
                </c:pt>
                <c:pt idx="24">
                  <c:v>0.23842711836227692</c:v>
                </c:pt>
                <c:pt idx="25">
                  <c:v>0.23628489707978009</c:v>
                </c:pt>
                <c:pt idx="26">
                  <c:v>0.23059568153790189</c:v>
                </c:pt>
                <c:pt idx="27">
                  <c:v>0.23118436937371162</c:v>
                </c:pt>
                <c:pt idx="28">
                  <c:v>0.22645678523367976</c:v>
                </c:pt>
              </c:numCache>
            </c:numRef>
          </c:yVal>
          <c:smooth val="0"/>
          <c:extLst>
            <c:ext xmlns:c16="http://schemas.microsoft.com/office/drawing/2014/chart" uri="{C3380CC4-5D6E-409C-BE32-E72D297353CC}">
              <c16:uniqueId val="{00000004-DA87-4296-B460-334350E130B2}"/>
            </c:ext>
          </c:extLst>
        </c:ser>
        <c:dLbls>
          <c:showLegendKey val="0"/>
          <c:showVal val="0"/>
          <c:showCatName val="0"/>
          <c:showSerName val="0"/>
          <c:showPercent val="0"/>
          <c:showBubbleSize val="0"/>
        </c:dLbls>
        <c:axId val="1316793231"/>
        <c:axId val="1316793711"/>
      </c:scatterChart>
      <c:valAx>
        <c:axId val="1316793231"/>
        <c:scaling>
          <c:orientation val="minMax"/>
          <c:max val="2051"/>
          <c:min val="20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6793711"/>
        <c:crosses val="autoZero"/>
        <c:crossBetween val="midCat"/>
      </c:valAx>
      <c:valAx>
        <c:axId val="131679371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6793231"/>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AVERT!$W$9</c:f>
              <c:strCache>
                <c:ptCount val="1"/>
                <c:pt idx="0">
                  <c:v>Cambium SRMER2</c:v>
                </c:pt>
              </c:strCache>
            </c:strRef>
          </c:tx>
          <c:spPr>
            <a:ln w="19050" cap="rnd">
              <a:noFill/>
              <a:round/>
            </a:ln>
            <a:effectLst/>
          </c:spPr>
          <c:marker>
            <c:symbol val="circle"/>
            <c:size val="5"/>
            <c:spPr>
              <a:solidFill>
                <a:schemeClr val="accent1"/>
              </a:solidFill>
              <a:ln w="9525">
                <a:solidFill>
                  <a:schemeClr val="accent1"/>
                </a:solidFill>
              </a:ln>
              <a:effectLst/>
            </c:spPr>
          </c:marker>
          <c:xVal>
            <c:numRef>
              <c:f>AVERT!$Q$10:$Q$21</c:f>
              <c:numCache>
                <c:formatCode>General</c:formatCode>
                <c:ptCount val="12"/>
                <c:pt idx="0">
                  <c:v>2017</c:v>
                </c:pt>
                <c:pt idx="1">
                  <c:v>2018</c:v>
                </c:pt>
                <c:pt idx="2">
                  <c:v>2019</c:v>
                </c:pt>
                <c:pt idx="3">
                  <c:v>2020</c:v>
                </c:pt>
                <c:pt idx="4">
                  <c:v>2021</c:v>
                </c:pt>
                <c:pt idx="5">
                  <c:v>2022</c:v>
                </c:pt>
                <c:pt idx="6">
                  <c:v>2024</c:v>
                </c:pt>
                <c:pt idx="7">
                  <c:v>2026</c:v>
                </c:pt>
                <c:pt idx="8">
                  <c:v>2028</c:v>
                </c:pt>
                <c:pt idx="9">
                  <c:v>2030</c:v>
                </c:pt>
                <c:pt idx="10">
                  <c:v>2035</c:v>
                </c:pt>
                <c:pt idx="11">
                  <c:v>2040</c:v>
                </c:pt>
              </c:numCache>
            </c:numRef>
          </c:xVal>
          <c:yVal>
            <c:numRef>
              <c:f>AVERT!$W$10:$W$21</c:f>
              <c:numCache>
                <c:formatCode>General</c:formatCode>
                <c:ptCount val="12"/>
                <c:pt idx="0">
                  <c:v>0.72280066162394951</c:v>
                </c:pt>
                <c:pt idx="1">
                  <c:v>0.70588188213298142</c:v>
                </c:pt>
                <c:pt idx="2">
                  <c:v>0.67879623714182757</c:v>
                </c:pt>
                <c:pt idx="3">
                  <c:v>0.66684791367222696</c:v>
                </c:pt>
                <c:pt idx="4">
                  <c:v>0.70469856805982889</c:v>
                </c:pt>
                <c:pt idx="5">
                  <c:v>0.65235964257821155</c:v>
                </c:pt>
                <c:pt idx="6">
                  <c:v>0.76854285822261137</c:v>
                </c:pt>
                <c:pt idx="7">
                  <c:v>0.72228417457225969</c:v>
                </c:pt>
                <c:pt idx="8">
                  <c:v>0.63435211700883809</c:v>
                </c:pt>
                <c:pt idx="9">
                  <c:v>0.58691045662366759</c:v>
                </c:pt>
                <c:pt idx="10">
                  <c:v>0.54031406802557569</c:v>
                </c:pt>
                <c:pt idx="11">
                  <c:v>0.48263211022861291</c:v>
                </c:pt>
              </c:numCache>
            </c:numRef>
          </c:yVal>
          <c:smooth val="0"/>
          <c:extLst>
            <c:ext xmlns:c16="http://schemas.microsoft.com/office/drawing/2014/chart" uri="{C3380CC4-5D6E-409C-BE32-E72D297353CC}">
              <c16:uniqueId val="{00000000-6665-4784-8187-CCA4020ED438}"/>
            </c:ext>
          </c:extLst>
        </c:ser>
        <c:ser>
          <c:idx val="1"/>
          <c:order val="1"/>
          <c:tx>
            <c:strRef>
              <c:f>AVERT!$X$9</c:f>
              <c:strCache>
                <c:ptCount val="1"/>
                <c:pt idx="0">
                  <c:v>Cambium LRMER3</c:v>
                </c:pt>
              </c:strCache>
            </c:strRef>
          </c:tx>
          <c:spPr>
            <a:ln w="25400" cap="rnd">
              <a:noFill/>
              <a:round/>
            </a:ln>
            <a:effectLst/>
          </c:spPr>
          <c:marker>
            <c:symbol val="circle"/>
            <c:size val="5"/>
            <c:spPr>
              <a:solidFill>
                <a:schemeClr val="accent2"/>
              </a:solidFill>
              <a:ln w="9525">
                <a:solidFill>
                  <a:schemeClr val="accent2"/>
                </a:solidFill>
              </a:ln>
              <a:effectLst/>
            </c:spPr>
          </c:marker>
          <c:xVal>
            <c:numRef>
              <c:f>AVERT!$Q$10:$Q$21</c:f>
              <c:numCache>
                <c:formatCode>General</c:formatCode>
                <c:ptCount val="12"/>
                <c:pt idx="0">
                  <c:v>2017</c:v>
                </c:pt>
                <c:pt idx="1">
                  <c:v>2018</c:v>
                </c:pt>
                <c:pt idx="2">
                  <c:v>2019</c:v>
                </c:pt>
                <c:pt idx="3">
                  <c:v>2020</c:v>
                </c:pt>
                <c:pt idx="4">
                  <c:v>2021</c:v>
                </c:pt>
                <c:pt idx="5">
                  <c:v>2022</c:v>
                </c:pt>
                <c:pt idx="6">
                  <c:v>2024</c:v>
                </c:pt>
                <c:pt idx="7">
                  <c:v>2026</c:v>
                </c:pt>
                <c:pt idx="8">
                  <c:v>2028</c:v>
                </c:pt>
                <c:pt idx="9">
                  <c:v>2030</c:v>
                </c:pt>
                <c:pt idx="10">
                  <c:v>2035</c:v>
                </c:pt>
                <c:pt idx="11">
                  <c:v>2040</c:v>
                </c:pt>
              </c:numCache>
            </c:numRef>
          </c:xVal>
          <c:yVal>
            <c:numRef>
              <c:f>AVERT!$X$10:$X$21</c:f>
              <c:numCache>
                <c:formatCode>General</c:formatCode>
                <c:ptCount val="12"/>
                <c:pt idx="0">
                  <c:v>0.72280066162394951</c:v>
                </c:pt>
                <c:pt idx="1">
                  <c:v>0.70588188213298142</c:v>
                </c:pt>
                <c:pt idx="2">
                  <c:v>0.67879623714182757</c:v>
                </c:pt>
                <c:pt idx="3">
                  <c:v>0.66684791367222696</c:v>
                </c:pt>
                <c:pt idx="4">
                  <c:v>0.70469856805982889</c:v>
                </c:pt>
                <c:pt idx="5">
                  <c:v>0.65235964257821155</c:v>
                </c:pt>
                <c:pt idx="6">
                  <c:v>0.37139177251978611</c:v>
                </c:pt>
                <c:pt idx="7">
                  <c:v>0.33844889663036043</c:v>
                </c:pt>
                <c:pt idx="8">
                  <c:v>0.28332049298937284</c:v>
                </c:pt>
                <c:pt idx="9">
                  <c:v>0.29016020241247831</c:v>
                </c:pt>
                <c:pt idx="10">
                  <c:v>0.31063384094626106</c:v>
                </c:pt>
                <c:pt idx="11">
                  <c:v>0.32612707685705461</c:v>
                </c:pt>
              </c:numCache>
            </c:numRef>
          </c:yVal>
          <c:smooth val="0"/>
          <c:extLst>
            <c:ext xmlns:c16="http://schemas.microsoft.com/office/drawing/2014/chart" uri="{C3380CC4-5D6E-409C-BE32-E72D297353CC}">
              <c16:uniqueId val="{00000002-6665-4784-8187-CCA4020ED438}"/>
            </c:ext>
          </c:extLst>
        </c:ser>
        <c:ser>
          <c:idx val="2"/>
          <c:order val="2"/>
          <c:tx>
            <c:strRef>
              <c:f>AVERT!$Y$9</c:f>
              <c:strCache>
                <c:ptCount val="1"/>
                <c:pt idx="0">
                  <c:v>Average</c:v>
                </c:pt>
              </c:strCache>
            </c:strRef>
          </c:tx>
          <c:spPr>
            <a:ln w="25400" cap="rnd">
              <a:noFill/>
              <a:round/>
            </a:ln>
            <a:effectLst/>
          </c:spPr>
          <c:marker>
            <c:symbol val="circle"/>
            <c:size val="5"/>
            <c:spPr>
              <a:solidFill>
                <a:schemeClr val="accent3"/>
              </a:solidFill>
              <a:ln w="9525">
                <a:solidFill>
                  <a:schemeClr val="accent3"/>
                </a:solidFill>
              </a:ln>
              <a:effectLst/>
            </c:spPr>
          </c:marker>
          <c:xVal>
            <c:numRef>
              <c:f>AVERT!$Q$10:$Q$21</c:f>
              <c:numCache>
                <c:formatCode>General</c:formatCode>
                <c:ptCount val="12"/>
                <c:pt idx="0">
                  <c:v>2017</c:v>
                </c:pt>
                <c:pt idx="1">
                  <c:v>2018</c:v>
                </c:pt>
                <c:pt idx="2">
                  <c:v>2019</c:v>
                </c:pt>
                <c:pt idx="3">
                  <c:v>2020</c:v>
                </c:pt>
                <c:pt idx="4">
                  <c:v>2021</c:v>
                </c:pt>
                <c:pt idx="5">
                  <c:v>2022</c:v>
                </c:pt>
                <c:pt idx="6">
                  <c:v>2024</c:v>
                </c:pt>
                <c:pt idx="7">
                  <c:v>2026</c:v>
                </c:pt>
                <c:pt idx="8">
                  <c:v>2028</c:v>
                </c:pt>
                <c:pt idx="9">
                  <c:v>2030</c:v>
                </c:pt>
                <c:pt idx="10">
                  <c:v>2035</c:v>
                </c:pt>
                <c:pt idx="11">
                  <c:v>2040</c:v>
                </c:pt>
              </c:numCache>
            </c:numRef>
          </c:xVal>
          <c:yVal>
            <c:numRef>
              <c:f>AVERT!$Y$10:$Y$21</c:f>
              <c:numCache>
                <c:formatCode>General</c:formatCode>
                <c:ptCount val="12"/>
                <c:pt idx="0">
                  <c:v>0.72280066162394951</c:v>
                </c:pt>
                <c:pt idx="1">
                  <c:v>0.70588188213298142</c:v>
                </c:pt>
                <c:pt idx="2">
                  <c:v>0.67879623714182757</c:v>
                </c:pt>
                <c:pt idx="3">
                  <c:v>0.66684791367222696</c:v>
                </c:pt>
                <c:pt idx="4">
                  <c:v>0.70469856805982889</c:v>
                </c:pt>
                <c:pt idx="5">
                  <c:v>0.65235964257821155</c:v>
                </c:pt>
                <c:pt idx="6">
                  <c:v>0.5699673153711986</c:v>
                </c:pt>
                <c:pt idx="7">
                  <c:v>0.5303665356013102</c:v>
                </c:pt>
                <c:pt idx="8">
                  <c:v>0.45883630499910544</c:v>
                </c:pt>
                <c:pt idx="9">
                  <c:v>0.43853532951807295</c:v>
                </c:pt>
                <c:pt idx="10">
                  <c:v>0.4254739544859184</c:v>
                </c:pt>
                <c:pt idx="11">
                  <c:v>0.40437959354283382</c:v>
                </c:pt>
              </c:numCache>
            </c:numRef>
          </c:yVal>
          <c:smooth val="0"/>
          <c:extLst>
            <c:ext xmlns:c16="http://schemas.microsoft.com/office/drawing/2014/chart" uri="{C3380CC4-5D6E-409C-BE32-E72D297353CC}">
              <c16:uniqueId val="{00000003-6665-4784-8187-CCA4020ED438}"/>
            </c:ext>
          </c:extLst>
        </c:ser>
        <c:dLbls>
          <c:showLegendKey val="0"/>
          <c:showVal val="0"/>
          <c:showCatName val="0"/>
          <c:showSerName val="0"/>
          <c:showPercent val="0"/>
          <c:showBubbleSize val="0"/>
        </c:dLbls>
        <c:axId val="1637488607"/>
        <c:axId val="1307257663"/>
      </c:scatterChart>
      <c:valAx>
        <c:axId val="1637488607"/>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07257663"/>
        <c:crosses val="autoZero"/>
        <c:crossBetween val="midCat"/>
      </c:valAx>
      <c:valAx>
        <c:axId val="130725766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3748860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2021-2030 Average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2"/>
          <c:order val="2"/>
          <c:tx>
            <c:strRef>
              <c:f>AVERT!$Y$9</c:f>
              <c:strCache>
                <c:ptCount val="1"/>
                <c:pt idx="0">
                  <c:v>Average</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0"/>
          </c:trendline>
          <c:xVal>
            <c:numRef>
              <c:f>AVERT!$Q$14:$Q$18</c:f>
              <c:numCache>
                <c:formatCode>General</c:formatCode>
                <c:ptCount val="5"/>
                <c:pt idx="0">
                  <c:v>2021</c:v>
                </c:pt>
                <c:pt idx="1">
                  <c:v>2022</c:v>
                </c:pt>
                <c:pt idx="2">
                  <c:v>2024</c:v>
                </c:pt>
                <c:pt idx="3">
                  <c:v>2026</c:v>
                </c:pt>
                <c:pt idx="4">
                  <c:v>2028</c:v>
                </c:pt>
              </c:numCache>
            </c:numRef>
          </c:xVal>
          <c:yVal>
            <c:numRef>
              <c:f>AVERT!$Y$14:$Y$18</c:f>
              <c:numCache>
                <c:formatCode>General</c:formatCode>
                <c:ptCount val="5"/>
                <c:pt idx="0">
                  <c:v>0.70469856805982889</c:v>
                </c:pt>
                <c:pt idx="1">
                  <c:v>0.65235964257821155</c:v>
                </c:pt>
                <c:pt idx="2">
                  <c:v>0.5699673153711986</c:v>
                </c:pt>
                <c:pt idx="3">
                  <c:v>0.5303665356013102</c:v>
                </c:pt>
                <c:pt idx="4">
                  <c:v>0.45883630499910544</c:v>
                </c:pt>
              </c:numCache>
            </c:numRef>
          </c:yVal>
          <c:smooth val="0"/>
          <c:extLst>
            <c:ext xmlns:c16="http://schemas.microsoft.com/office/drawing/2014/chart" uri="{C3380CC4-5D6E-409C-BE32-E72D297353CC}">
              <c16:uniqueId val="{00000002-50A8-4427-903F-AAAA7D0503BC}"/>
            </c:ext>
          </c:extLst>
        </c:ser>
        <c:dLbls>
          <c:showLegendKey val="0"/>
          <c:showVal val="0"/>
          <c:showCatName val="0"/>
          <c:showSerName val="0"/>
          <c:showPercent val="0"/>
          <c:showBubbleSize val="0"/>
        </c:dLbls>
        <c:axId val="1637488607"/>
        <c:axId val="1307257663"/>
        <c:extLst>
          <c:ext xmlns:c15="http://schemas.microsoft.com/office/drawing/2012/chart" uri="{02D57815-91ED-43cb-92C2-25804820EDAC}">
            <c15:filteredScatterSeries>
              <c15:ser>
                <c:idx val="0"/>
                <c:order val="0"/>
                <c:tx>
                  <c:strRef>
                    <c:extLst>
                      <c:ext uri="{02D57815-91ED-43cb-92C2-25804820EDAC}">
                        <c15:formulaRef>
                          <c15:sqref>AVERT!$W$9</c15:sqref>
                        </c15:formulaRef>
                      </c:ext>
                    </c:extLst>
                    <c:strCache>
                      <c:ptCount val="1"/>
                      <c:pt idx="0">
                        <c:v>Cambium SRMER2</c:v>
                      </c:pt>
                    </c:strCache>
                  </c:strRef>
                </c:tx>
                <c:spPr>
                  <a:ln w="19050" cap="rnd">
                    <a:noFill/>
                    <a:round/>
                  </a:ln>
                  <a:effectLst/>
                </c:spPr>
                <c:marker>
                  <c:symbol val="circle"/>
                  <c:size val="5"/>
                  <c:spPr>
                    <a:solidFill>
                      <a:schemeClr val="accent1"/>
                    </a:solidFill>
                    <a:ln w="9525">
                      <a:solidFill>
                        <a:schemeClr val="accent1"/>
                      </a:solidFill>
                    </a:ln>
                    <a:effectLst/>
                  </c:spPr>
                </c:marker>
                <c:xVal>
                  <c:numRef>
                    <c:extLst>
                      <c:ext uri="{02D57815-91ED-43cb-92C2-25804820EDAC}">
                        <c15:formulaRef>
                          <c15:sqref>AVERT!$Q$14:$Q$19</c15:sqref>
                        </c15:formulaRef>
                      </c:ext>
                    </c:extLst>
                    <c:numCache>
                      <c:formatCode>General</c:formatCode>
                      <c:ptCount val="6"/>
                      <c:pt idx="0">
                        <c:v>2021</c:v>
                      </c:pt>
                      <c:pt idx="1">
                        <c:v>2022</c:v>
                      </c:pt>
                      <c:pt idx="2">
                        <c:v>2024</c:v>
                      </c:pt>
                      <c:pt idx="3">
                        <c:v>2026</c:v>
                      </c:pt>
                      <c:pt idx="4">
                        <c:v>2028</c:v>
                      </c:pt>
                      <c:pt idx="5">
                        <c:v>2030</c:v>
                      </c:pt>
                    </c:numCache>
                  </c:numRef>
                </c:xVal>
                <c:yVal>
                  <c:numRef>
                    <c:extLst>
                      <c:ext uri="{02D57815-91ED-43cb-92C2-25804820EDAC}">
                        <c15:formulaRef>
                          <c15:sqref>AVERT!$W$14:$W$19</c15:sqref>
                        </c15:formulaRef>
                      </c:ext>
                    </c:extLst>
                    <c:numCache>
                      <c:formatCode>General</c:formatCode>
                      <c:ptCount val="6"/>
                      <c:pt idx="0">
                        <c:v>0.70469856805982889</c:v>
                      </c:pt>
                      <c:pt idx="1">
                        <c:v>0.65235964257821155</c:v>
                      </c:pt>
                      <c:pt idx="2">
                        <c:v>0.76854285822261137</c:v>
                      </c:pt>
                      <c:pt idx="3">
                        <c:v>0.72228417457225969</c:v>
                      </c:pt>
                      <c:pt idx="4">
                        <c:v>0.63435211700883809</c:v>
                      </c:pt>
                      <c:pt idx="5">
                        <c:v>0.58691045662366759</c:v>
                      </c:pt>
                    </c:numCache>
                  </c:numRef>
                </c:yVal>
                <c:smooth val="0"/>
                <c:extLst>
                  <c:ext xmlns:c16="http://schemas.microsoft.com/office/drawing/2014/chart" uri="{C3380CC4-5D6E-409C-BE32-E72D297353CC}">
                    <c16:uniqueId val="{00000000-50A8-4427-903F-AAAA7D0503BC}"/>
                  </c:ext>
                </c:extLst>
              </c15:ser>
            </c15:filteredScatterSeries>
            <c15:filteredScatterSeries>
              <c15:ser>
                <c:idx val="1"/>
                <c:order val="1"/>
                <c:tx>
                  <c:strRef>
                    <c:extLst xmlns:c15="http://schemas.microsoft.com/office/drawing/2012/chart">
                      <c:ext xmlns:c15="http://schemas.microsoft.com/office/drawing/2012/chart" uri="{02D57815-91ED-43cb-92C2-25804820EDAC}">
                        <c15:formulaRef>
                          <c15:sqref>AVERT!$X$9</c15:sqref>
                        </c15:formulaRef>
                      </c:ext>
                    </c:extLst>
                    <c:strCache>
                      <c:ptCount val="1"/>
                      <c:pt idx="0">
                        <c:v>Cambium LRMER3</c:v>
                      </c:pt>
                    </c:strCache>
                  </c:strRef>
                </c:tx>
                <c:spPr>
                  <a:ln w="25400" cap="rnd">
                    <a:noFill/>
                    <a:round/>
                  </a:ln>
                  <a:effectLst/>
                </c:spPr>
                <c:marker>
                  <c:symbol val="circle"/>
                  <c:size val="5"/>
                  <c:spPr>
                    <a:solidFill>
                      <a:schemeClr val="accent2"/>
                    </a:solidFill>
                    <a:ln w="9525">
                      <a:solidFill>
                        <a:schemeClr val="accent2"/>
                      </a:solidFill>
                    </a:ln>
                    <a:effectLst/>
                  </c:spPr>
                </c:marker>
                <c:xVal>
                  <c:numRef>
                    <c:extLst xmlns:c15="http://schemas.microsoft.com/office/drawing/2012/chart">
                      <c:ext xmlns:c15="http://schemas.microsoft.com/office/drawing/2012/chart" uri="{02D57815-91ED-43cb-92C2-25804820EDAC}">
                        <c15:formulaRef>
                          <c15:sqref>AVERT!$Q$14:$Q$19</c15:sqref>
                        </c15:formulaRef>
                      </c:ext>
                    </c:extLst>
                    <c:numCache>
                      <c:formatCode>General</c:formatCode>
                      <c:ptCount val="6"/>
                      <c:pt idx="0">
                        <c:v>2021</c:v>
                      </c:pt>
                      <c:pt idx="1">
                        <c:v>2022</c:v>
                      </c:pt>
                      <c:pt idx="2">
                        <c:v>2024</c:v>
                      </c:pt>
                      <c:pt idx="3">
                        <c:v>2026</c:v>
                      </c:pt>
                      <c:pt idx="4">
                        <c:v>2028</c:v>
                      </c:pt>
                      <c:pt idx="5">
                        <c:v>2030</c:v>
                      </c:pt>
                    </c:numCache>
                  </c:numRef>
                </c:xVal>
                <c:yVal>
                  <c:numRef>
                    <c:extLst xmlns:c15="http://schemas.microsoft.com/office/drawing/2012/chart">
                      <c:ext xmlns:c15="http://schemas.microsoft.com/office/drawing/2012/chart" uri="{02D57815-91ED-43cb-92C2-25804820EDAC}">
                        <c15:formulaRef>
                          <c15:sqref>AVERT!$X$14:$X$19</c15:sqref>
                        </c15:formulaRef>
                      </c:ext>
                    </c:extLst>
                    <c:numCache>
                      <c:formatCode>General</c:formatCode>
                      <c:ptCount val="6"/>
                      <c:pt idx="0">
                        <c:v>0.70469856805982889</c:v>
                      </c:pt>
                      <c:pt idx="1">
                        <c:v>0.65235964257821155</c:v>
                      </c:pt>
                      <c:pt idx="2">
                        <c:v>0.37139177251978611</c:v>
                      </c:pt>
                      <c:pt idx="3">
                        <c:v>0.33844889663036043</c:v>
                      </c:pt>
                      <c:pt idx="4">
                        <c:v>0.28332049298937284</c:v>
                      </c:pt>
                      <c:pt idx="5">
                        <c:v>0.29016020241247831</c:v>
                      </c:pt>
                    </c:numCache>
                  </c:numRef>
                </c:yVal>
                <c:smooth val="0"/>
                <c:extLst xmlns:c15="http://schemas.microsoft.com/office/drawing/2012/chart">
                  <c:ext xmlns:c16="http://schemas.microsoft.com/office/drawing/2014/chart" uri="{C3380CC4-5D6E-409C-BE32-E72D297353CC}">
                    <c16:uniqueId val="{00000001-50A8-4427-903F-AAAA7D0503BC}"/>
                  </c:ext>
                </c:extLst>
              </c15:ser>
            </c15:filteredScatterSeries>
          </c:ext>
        </c:extLst>
      </c:scatterChart>
      <c:valAx>
        <c:axId val="1637488607"/>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07257663"/>
        <c:crosses val="autoZero"/>
        <c:crossBetween val="midCat"/>
      </c:valAx>
      <c:valAx>
        <c:axId val="130725766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37488607"/>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2030-2040 Average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2"/>
          <c:order val="2"/>
          <c:tx>
            <c:strRef>
              <c:f>AVERT!$Y$9</c:f>
              <c:strCache>
                <c:ptCount val="1"/>
                <c:pt idx="0">
                  <c:v>Average</c:v>
                </c:pt>
              </c:strCache>
            </c:strRef>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0"/>
          </c:trendline>
          <c:xVal>
            <c:numRef>
              <c:f>AVERT!$Q$19:$Q$21</c:f>
              <c:numCache>
                <c:formatCode>General</c:formatCode>
                <c:ptCount val="3"/>
                <c:pt idx="0">
                  <c:v>2030</c:v>
                </c:pt>
                <c:pt idx="1">
                  <c:v>2035</c:v>
                </c:pt>
                <c:pt idx="2">
                  <c:v>2040</c:v>
                </c:pt>
              </c:numCache>
            </c:numRef>
          </c:xVal>
          <c:yVal>
            <c:numRef>
              <c:f>AVERT!$Y$19:$Y$21</c:f>
              <c:numCache>
                <c:formatCode>General</c:formatCode>
                <c:ptCount val="3"/>
                <c:pt idx="0">
                  <c:v>0.43853532951807295</c:v>
                </c:pt>
                <c:pt idx="1">
                  <c:v>0.4254739544859184</c:v>
                </c:pt>
                <c:pt idx="2">
                  <c:v>0.40437959354283382</c:v>
                </c:pt>
              </c:numCache>
            </c:numRef>
          </c:yVal>
          <c:smooth val="0"/>
          <c:extLst>
            <c:ext xmlns:c16="http://schemas.microsoft.com/office/drawing/2014/chart" uri="{C3380CC4-5D6E-409C-BE32-E72D297353CC}">
              <c16:uniqueId val="{00000001-7F09-4C1C-8E7B-D1B30849B104}"/>
            </c:ext>
          </c:extLst>
        </c:ser>
        <c:dLbls>
          <c:showLegendKey val="0"/>
          <c:showVal val="0"/>
          <c:showCatName val="0"/>
          <c:showSerName val="0"/>
          <c:showPercent val="0"/>
          <c:showBubbleSize val="0"/>
        </c:dLbls>
        <c:axId val="1637488607"/>
        <c:axId val="1307257663"/>
        <c:extLst>
          <c:ext xmlns:c15="http://schemas.microsoft.com/office/drawing/2012/chart" uri="{02D57815-91ED-43cb-92C2-25804820EDAC}">
            <c15:filteredScatterSeries>
              <c15:ser>
                <c:idx val="0"/>
                <c:order val="0"/>
                <c:tx>
                  <c:strRef>
                    <c:extLst>
                      <c:ext uri="{02D57815-91ED-43cb-92C2-25804820EDAC}">
                        <c15:formulaRef>
                          <c15:sqref>AVERT!$W$9</c15:sqref>
                        </c15:formulaRef>
                      </c:ext>
                    </c:extLst>
                    <c:strCache>
                      <c:ptCount val="1"/>
                      <c:pt idx="0">
                        <c:v>Cambium SRMER2</c:v>
                      </c:pt>
                    </c:strCache>
                  </c:strRef>
                </c:tx>
                <c:spPr>
                  <a:ln w="19050" cap="rnd">
                    <a:noFill/>
                    <a:round/>
                  </a:ln>
                  <a:effectLst/>
                </c:spPr>
                <c:marker>
                  <c:symbol val="circle"/>
                  <c:size val="5"/>
                  <c:spPr>
                    <a:solidFill>
                      <a:schemeClr val="accent1"/>
                    </a:solidFill>
                    <a:ln w="9525">
                      <a:solidFill>
                        <a:schemeClr val="accent1"/>
                      </a:solidFill>
                    </a:ln>
                    <a:effectLst/>
                  </c:spPr>
                </c:marker>
                <c:xVal>
                  <c:numRef>
                    <c:extLst>
                      <c:ext uri="{02D57815-91ED-43cb-92C2-25804820EDAC}">
                        <c15:formulaRef>
                          <c15:sqref>AVERT!$Q$19:$Q$21</c15:sqref>
                        </c15:formulaRef>
                      </c:ext>
                    </c:extLst>
                    <c:numCache>
                      <c:formatCode>General</c:formatCode>
                      <c:ptCount val="3"/>
                      <c:pt idx="0">
                        <c:v>2030</c:v>
                      </c:pt>
                      <c:pt idx="1">
                        <c:v>2035</c:v>
                      </c:pt>
                      <c:pt idx="2">
                        <c:v>2040</c:v>
                      </c:pt>
                    </c:numCache>
                  </c:numRef>
                </c:xVal>
                <c:yVal>
                  <c:numRef>
                    <c:extLst>
                      <c:ext uri="{02D57815-91ED-43cb-92C2-25804820EDAC}">
                        <c15:formulaRef>
                          <c15:sqref>AVERT!$W$19:$W$21</c15:sqref>
                        </c15:formulaRef>
                      </c:ext>
                    </c:extLst>
                    <c:numCache>
                      <c:formatCode>General</c:formatCode>
                      <c:ptCount val="3"/>
                      <c:pt idx="0">
                        <c:v>0.58691045662366759</c:v>
                      </c:pt>
                      <c:pt idx="1">
                        <c:v>0.54031406802557569</c:v>
                      </c:pt>
                      <c:pt idx="2">
                        <c:v>0.48263211022861291</c:v>
                      </c:pt>
                    </c:numCache>
                  </c:numRef>
                </c:yVal>
                <c:smooth val="0"/>
                <c:extLst>
                  <c:ext xmlns:c16="http://schemas.microsoft.com/office/drawing/2014/chart" uri="{C3380CC4-5D6E-409C-BE32-E72D297353CC}">
                    <c16:uniqueId val="{00000002-7F09-4C1C-8E7B-D1B30849B104}"/>
                  </c:ext>
                </c:extLst>
              </c15:ser>
            </c15:filteredScatterSeries>
            <c15:filteredScatterSeries>
              <c15:ser>
                <c:idx val="1"/>
                <c:order val="1"/>
                <c:tx>
                  <c:strRef>
                    <c:extLst xmlns:c15="http://schemas.microsoft.com/office/drawing/2012/chart">
                      <c:ext xmlns:c15="http://schemas.microsoft.com/office/drawing/2012/chart" uri="{02D57815-91ED-43cb-92C2-25804820EDAC}">
                        <c15:formulaRef>
                          <c15:sqref>AVERT!$X$9</c15:sqref>
                        </c15:formulaRef>
                      </c:ext>
                    </c:extLst>
                    <c:strCache>
                      <c:ptCount val="1"/>
                      <c:pt idx="0">
                        <c:v>Cambium LRMER3</c:v>
                      </c:pt>
                    </c:strCache>
                  </c:strRef>
                </c:tx>
                <c:spPr>
                  <a:ln w="25400" cap="rnd">
                    <a:noFill/>
                    <a:round/>
                  </a:ln>
                  <a:effectLst/>
                </c:spPr>
                <c:marker>
                  <c:symbol val="circle"/>
                  <c:size val="5"/>
                  <c:spPr>
                    <a:solidFill>
                      <a:schemeClr val="accent2"/>
                    </a:solidFill>
                    <a:ln w="9525">
                      <a:solidFill>
                        <a:schemeClr val="accent2"/>
                      </a:solidFill>
                    </a:ln>
                    <a:effectLst/>
                  </c:spPr>
                </c:marker>
                <c:xVal>
                  <c:numRef>
                    <c:extLst xmlns:c15="http://schemas.microsoft.com/office/drawing/2012/chart">
                      <c:ext xmlns:c15="http://schemas.microsoft.com/office/drawing/2012/chart" uri="{02D57815-91ED-43cb-92C2-25804820EDAC}">
                        <c15:formulaRef>
                          <c15:sqref>AVERT!$Q$19:$Q$21</c15:sqref>
                        </c15:formulaRef>
                      </c:ext>
                    </c:extLst>
                    <c:numCache>
                      <c:formatCode>General</c:formatCode>
                      <c:ptCount val="3"/>
                      <c:pt idx="0">
                        <c:v>2030</c:v>
                      </c:pt>
                      <c:pt idx="1">
                        <c:v>2035</c:v>
                      </c:pt>
                      <c:pt idx="2">
                        <c:v>2040</c:v>
                      </c:pt>
                    </c:numCache>
                  </c:numRef>
                </c:xVal>
                <c:yVal>
                  <c:numRef>
                    <c:extLst xmlns:c15="http://schemas.microsoft.com/office/drawing/2012/chart">
                      <c:ext xmlns:c15="http://schemas.microsoft.com/office/drawing/2012/chart" uri="{02D57815-91ED-43cb-92C2-25804820EDAC}">
                        <c15:formulaRef>
                          <c15:sqref>AVERT!$X$19:$X$21</c15:sqref>
                        </c15:formulaRef>
                      </c:ext>
                    </c:extLst>
                    <c:numCache>
                      <c:formatCode>General</c:formatCode>
                      <c:ptCount val="3"/>
                      <c:pt idx="0">
                        <c:v>0.29016020241247831</c:v>
                      </c:pt>
                      <c:pt idx="1">
                        <c:v>0.31063384094626106</c:v>
                      </c:pt>
                      <c:pt idx="2">
                        <c:v>0.32612707685705461</c:v>
                      </c:pt>
                    </c:numCache>
                  </c:numRef>
                </c:yVal>
                <c:smooth val="0"/>
                <c:extLst xmlns:c15="http://schemas.microsoft.com/office/drawing/2012/chart">
                  <c:ext xmlns:c16="http://schemas.microsoft.com/office/drawing/2014/chart" uri="{C3380CC4-5D6E-409C-BE32-E72D297353CC}">
                    <c16:uniqueId val="{00000003-7F09-4C1C-8E7B-D1B30849B104}"/>
                  </c:ext>
                </c:extLst>
              </c15:ser>
            </c15:filteredScatterSeries>
          </c:ext>
        </c:extLst>
      </c:scatterChart>
      <c:valAx>
        <c:axId val="1637488607"/>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07257663"/>
        <c:crosses val="autoZero"/>
        <c:crossBetween val="midCat"/>
      </c:valAx>
      <c:valAx>
        <c:axId val="130725766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37488607"/>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t" anchorCtr="1"/>
          <a:lstStyle/>
          <a:p>
            <a:pPr>
              <a:defRPr sz="1400" b="0" i="0" u="none" strike="noStrike" kern="1200" spc="0" baseline="0">
                <a:solidFill>
                  <a:schemeClr val="tx1">
                    <a:lumMod val="65000"/>
                    <a:lumOff val="35000"/>
                  </a:schemeClr>
                </a:solidFill>
                <a:latin typeface="+mn-lt"/>
                <a:ea typeface="+mn-ea"/>
                <a:cs typeface="+mn-cs"/>
              </a:defRPr>
            </a:pPr>
            <a:r>
              <a:rPr lang="en-US"/>
              <a:t>Carbon Dioxide Emission Rates (mtCO2/MWh)</a:t>
            </a:r>
          </a:p>
        </c:rich>
      </c:tx>
      <c:layout>
        <c:manualLayout>
          <c:xMode val="edge"/>
          <c:yMode val="edge"/>
          <c:x val="0.22292155819896484"/>
          <c:y val="2.7777777777777776E-2"/>
        </c:manualLayout>
      </c:layout>
      <c:overlay val="0"/>
      <c:spPr>
        <a:noFill/>
        <a:ln>
          <a:noFill/>
        </a:ln>
        <a:effectLst/>
      </c:spPr>
      <c:txPr>
        <a:bodyPr rot="0" spcFirstLastPara="1" vertOverflow="ellipsis" vert="horz" wrap="square" anchor="t"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2"/>
          <c:order val="0"/>
          <c:tx>
            <c:v>Cambium SRMER</c:v>
          </c:tx>
          <c:spPr>
            <a:ln w="25400" cap="rnd">
              <a:solidFill>
                <a:schemeClr val="lt1">
                  <a:shade val="50000"/>
                </a:schemeClr>
              </a:solidFill>
              <a:round/>
            </a:ln>
            <a:effectLst/>
          </c:spPr>
          <c:marker>
            <c:symbol val="none"/>
          </c:marker>
          <c:xVal>
            <c:numRef>
              <c:f>AVERT!$AH$38:$AH$43</c:f>
              <c:numCache>
                <c:formatCode>General</c:formatCode>
                <c:ptCount val="6"/>
                <c:pt idx="0">
                  <c:v>2025</c:v>
                </c:pt>
                <c:pt idx="1">
                  <c:v>2030</c:v>
                </c:pt>
                <c:pt idx="2">
                  <c:v>2035</c:v>
                </c:pt>
                <c:pt idx="3">
                  <c:v>2040</c:v>
                </c:pt>
                <c:pt idx="4">
                  <c:v>2045</c:v>
                </c:pt>
                <c:pt idx="5">
                  <c:v>2050</c:v>
                </c:pt>
              </c:numCache>
            </c:numRef>
          </c:xVal>
          <c:yVal>
            <c:numRef>
              <c:f>AVERT!$AI$38:$AI$43</c:f>
              <c:numCache>
                <c:formatCode>General</c:formatCode>
                <c:ptCount val="6"/>
                <c:pt idx="0">
                  <c:v>0.72250000000000003</c:v>
                </c:pt>
                <c:pt idx="1">
                  <c:v>0.46339999999999998</c:v>
                </c:pt>
                <c:pt idx="2">
                  <c:v>0.42199999999999999</c:v>
                </c:pt>
                <c:pt idx="3">
                  <c:v>0.43099999999999999</c:v>
                </c:pt>
                <c:pt idx="4">
                  <c:v>0.42520000000000002</c:v>
                </c:pt>
                <c:pt idx="5">
                  <c:v>0.41349999999999998</c:v>
                </c:pt>
              </c:numCache>
            </c:numRef>
          </c:yVal>
          <c:smooth val="0"/>
          <c:extLst>
            <c:ext xmlns:c16="http://schemas.microsoft.com/office/drawing/2014/chart" uri="{C3380CC4-5D6E-409C-BE32-E72D297353CC}">
              <c16:uniqueId val="{00000006-C78A-49C2-A5F3-9472FDE4AA40}"/>
            </c:ext>
          </c:extLst>
        </c:ser>
        <c:ser>
          <c:idx val="1"/>
          <c:order val="1"/>
          <c:tx>
            <c:strRef>
              <c:f>AVERT!$AI$9</c:f>
              <c:strCache>
                <c:ptCount val="1"/>
                <c:pt idx="0">
                  <c:v>AVERT-Cambium Avg.</c:v>
                </c:pt>
              </c:strCache>
            </c:strRef>
          </c:tx>
          <c:spPr>
            <a:ln w="19050" cap="rnd">
              <a:noFill/>
              <a:round/>
            </a:ln>
            <a:effectLst/>
          </c:spPr>
          <c:marker>
            <c:symbol val="circle"/>
            <c:size val="5"/>
            <c:spPr>
              <a:solidFill>
                <a:schemeClr val="accent2"/>
              </a:solidFill>
              <a:ln w="9525">
                <a:solidFill>
                  <a:schemeClr val="accent2"/>
                </a:solidFill>
              </a:ln>
              <a:effectLst/>
            </c:spPr>
          </c:marker>
          <c:xVal>
            <c:numRef>
              <c:f>AVERT!$AF$10:$AF$35</c:f>
              <c:numCache>
                <c:formatCode>General</c:formatCode>
                <c:ptCount val="2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pt idx="16">
                  <c:v>2041</c:v>
                </c:pt>
                <c:pt idx="17">
                  <c:v>2042</c:v>
                </c:pt>
                <c:pt idx="18">
                  <c:v>2043</c:v>
                </c:pt>
                <c:pt idx="19">
                  <c:v>2044</c:v>
                </c:pt>
                <c:pt idx="20">
                  <c:v>2045</c:v>
                </c:pt>
                <c:pt idx="21">
                  <c:v>2046</c:v>
                </c:pt>
                <c:pt idx="22">
                  <c:v>2047</c:v>
                </c:pt>
                <c:pt idx="23">
                  <c:v>2048</c:v>
                </c:pt>
                <c:pt idx="24">
                  <c:v>2049</c:v>
                </c:pt>
                <c:pt idx="25">
                  <c:v>2050</c:v>
                </c:pt>
              </c:numCache>
            </c:numRef>
          </c:xVal>
          <c:yVal>
            <c:numRef>
              <c:f>AVERT!$AI$10:$AI$35</c:f>
              <c:numCache>
                <c:formatCode>General</c:formatCode>
                <c:ptCount val="26"/>
                <c:pt idx="0">
                  <c:v>0.5640736270710891</c:v>
                </c:pt>
                <c:pt idx="1">
                  <c:v>0.53439556077228167</c:v>
                </c:pt>
                <c:pt idx="2">
                  <c:v>0.50471749447347447</c:v>
                </c:pt>
                <c:pt idx="3">
                  <c:v>0.47503942817466704</c:v>
                </c:pt>
                <c:pt idx="4">
                  <c:v>0.44536136187585973</c:v>
                </c:pt>
                <c:pt idx="5">
                  <c:v>0.43987416050322797</c:v>
                </c:pt>
                <c:pt idx="6">
                  <c:v>0.43645858690570405</c:v>
                </c:pt>
                <c:pt idx="7">
                  <c:v>0.43304301330818012</c:v>
                </c:pt>
                <c:pt idx="8">
                  <c:v>0.4296274397106562</c:v>
                </c:pt>
                <c:pt idx="9">
                  <c:v>0.42621186611313233</c:v>
                </c:pt>
                <c:pt idx="10">
                  <c:v>0.42279629251560841</c:v>
                </c:pt>
                <c:pt idx="11">
                  <c:v>0.41938071891808448</c:v>
                </c:pt>
                <c:pt idx="12">
                  <c:v>0.41596514532056056</c:v>
                </c:pt>
                <c:pt idx="13">
                  <c:v>0.41254957172303663</c:v>
                </c:pt>
                <c:pt idx="14">
                  <c:v>0.40913399812551277</c:v>
                </c:pt>
                <c:pt idx="15">
                  <c:v>0.40571842452798884</c:v>
                </c:pt>
                <c:pt idx="16">
                  <c:v>0.40230285093046492</c:v>
                </c:pt>
                <c:pt idx="17">
                  <c:v>0.39888727733294099</c:v>
                </c:pt>
                <c:pt idx="18">
                  <c:v>0.39547170373541707</c:v>
                </c:pt>
                <c:pt idx="19">
                  <c:v>0.3920561301378932</c:v>
                </c:pt>
                <c:pt idx="20">
                  <c:v>0.38864055654036928</c:v>
                </c:pt>
                <c:pt idx="21">
                  <c:v>0.38522498294284535</c:v>
                </c:pt>
                <c:pt idx="22">
                  <c:v>0.38180940934532143</c:v>
                </c:pt>
                <c:pt idx="23">
                  <c:v>0.3783938357477975</c:v>
                </c:pt>
                <c:pt idx="24">
                  <c:v>0.37497826215027363</c:v>
                </c:pt>
                <c:pt idx="25">
                  <c:v>0.37156268855274971</c:v>
                </c:pt>
              </c:numCache>
            </c:numRef>
          </c:yVal>
          <c:smooth val="0"/>
          <c:extLst>
            <c:ext xmlns:c16="http://schemas.microsoft.com/office/drawing/2014/chart" uri="{C3380CC4-5D6E-409C-BE32-E72D297353CC}">
              <c16:uniqueId val="{00000001-C78A-49C2-A5F3-9472FDE4AA40}"/>
            </c:ext>
          </c:extLst>
        </c:ser>
        <c:ser>
          <c:idx val="4"/>
          <c:order val="2"/>
          <c:tx>
            <c:strRef>
              <c:f>AVERT!$AJ$9</c:f>
              <c:strCache>
                <c:ptCount val="1"/>
                <c:pt idx="0">
                  <c:v>AVERT 2022 at EIA rate of change</c:v>
                </c:pt>
              </c:strCache>
            </c:strRef>
          </c:tx>
          <c:spPr>
            <a:ln w="25400" cap="rnd">
              <a:noFill/>
              <a:round/>
            </a:ln>
            <a:effectLst/>
          </c:spPr>
          <c:marker>
            <c:symbol val="circle"/>
            <c:size val="5"/>
            <c:spPr>
              <a:solidFill>
                <a:schemeClr val="accent5"/>
              </a:solidFill>
              <a:ln w="9525">
                <a:solidFill>
                  <a:schemeClr val="accent5"/>
                </a:solidFill>
              </a:ln>
              <a:effectLst/>
            </c:spPr>
          </c:marker>
          <c:xVal>
            <c:numRef>
              <c:f>AVERT!$AF$10:$AF$35</c:f>
              <c:numCache>
                <c:formatCode>General</c:formatCode>
                <c:ptCount val="2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pt idx="16">
                  <c:v>2041</c:v>
                </c:pt>
                <c:pt idx="17">
                  <c:v>2042</c:v>
                </c:pt>
                <c:pt idx="18">
                  <c:v>2043</c:v>
                </c:pt>
                <c:pt idx="19">
                  <c:v>2044</c:v>
                </c:pt>
                <c:pt idx="20">
                  <c:v>2045</c:v>
                </c:pt>
                <c:pt idx="21">
                  <c:v>2046</c:v>
                </c:pt>
                <c:pt idx="22">
                  <c:v>2047</c:v>
                </c:pt>
                <c:pt idx="23">
                  <c:v>2048</c:v>
                </c:pt>
                <c:pt idx="24">
                  <c:v>2049</c:v>
                </c:pt>
                <c:pt idx="25">
                  <c:v>2050</c:v>
                </c:pt>
              </c:numCache>
            </c:numRef>
          </c:xVal>
          <c:yVal>
            <c:numRef>
              <c:f>AVERT!$AJ$10:$AJ$35</c:f>
              <c:numCache>
                <c:formatCode>General</c:formatCode>
                <c:ptCount val="26"/>
                <c:pt idx="0">
                  <c:v>0.58896272607499345</c:v>
                </c:pt>
                <c:pt idx="1">
                  <c:v>0.56817733925508906</c:v>
                </c:pt>
                <c:pt idx="2">
                  <c:v>0.52661379732793534</c:v>
                </c:pt>
                <c:pt idx="3">
                  <c:v>0.50250034582219472</c:v>
                </c:pt>
                <c:pt idx="4">
                  <c:v>0.48063647662531722</c:v>
                </c:pt>
                <c:pt idx="5">
                  <c:v>0.44752127446787082</c:v>
                </c:pt>
                <c:pt idx="6">
                  <c:v>0.42479639539705555</c:v>
                </c:pt>
                <c:pt idx="7">
                  <c:v>0.42300749118649544</c:v>
                </c:pt>
                <c:pt idx="8">
                  <c:v>0.39380729741450005</c:v>
                </c:pt>
                <c:pt idx="9">
                  <c:v>0.36821538187053665</c:v>
                </c:pt>
                <c:pt idx="10">
                  <c:v>0.36018497099725405</c:v>
                </c:pt>
                <c:pt idx="11">
                  <c:v>0.35917239418386754</c:v>
                </c:pt>
                <c:pt idx="12">
                  <c:v>0.35917495849300068</c:v>
                </c:pt>
                <c:pt idx="13">
                  <c:v>0.37479031539051166</c:v>
                </c:pt>
                <c:pt idx="14">
                  <c:v>0.37406089724776437</c:v>
                </c:pt>
                <c:pt idx="15">
                  <c:v>0.3745038386276951</c:v>
                </c:pt>
                <c:pt idx="16">
                  <c:v>0.3743195273205171</c:v>
                </c:pt>
                <c:pt idx="17">
                  <c:v>0.37287515682832334</c:v>
                </c:pt>
                <c:pt idx="18">
                  <c:v>0.37251304989491146</c:v>
                </c:pt>
                <c:pt idx="19">
                  <c:v>0.37325868673108814</c:v>
                </c:pt>
                <c:pt idx="20">
                  <c:v>0.37247754199996191</c:v>
                </c:pt>
                <c:pt idx="21">
                  <c:v>0.36667503408300778</c:v>
                </c:pt>
                <c:pt idx="22">
                  <c:v>0.36338053022300915</c:v>
                </c:pt>
                <c:pt idx="23">
                  <c:v>0.35463113410962716</c:v>
                </c:pt>
                <c:pt idx="24">
                  <c:v>0.35553647211707562</c:v>
                </c:pt>
                <c:pt idx="25">
                  <c:v>0.34826596074410954</c:v>
                </c:pt>
              </c:numCache>
            </c:numRef>
          </c:yVal>
          <c:smooth val="0"/>
          <c:extLst>
            <c:ext xmlns:c16="http://schemas.microsoft.com/office/drawing/2014/chart" uri="{C3380CC4-5D6E-409C-BE32-E72D297353CC}">
              <c16:uniqueId val="{00000004-C78A-49C2-A5F3-9472FDE4AA40}"/>
            </c:ext>
          </c:extLst>
        </c:ser>
        <c:ser>
          <c:idx val="0"/>
          <c:order val="3"/>
          <c:tx>
            <c:strRef>
              <c:f>AVERT!$AH$9</c:f>
              <c:strCache>
                <c:ptCount val="1"/>
                <c:pt idx="0">
                  <c:v>EIA</c:v>
                </c:pt>
              </c:strCache>
            </c:strRef>
          </c:tx>
          <c:spPr>
            <a:ln w="19050" cap="rnd">
              <a:noFill/>
              <a:round/>
            </a:ln>
            <a:effectLst/>
          </c:spPr>
          <c:marker>
            <c:symbol val="circle"/>
            <c:size val="5"/>
            <c:spPr>
              <a:solidFill>
                <a:schemeClr val="accent1"/>
              </a:solidFill>
              <a:ln w="9525">
                <a:solidFill>
                  <a:schemeClr val="accent1"/>
                </a:solidFill>
              </a:ln>
              <a:effectLst/>
            </c:spPr>
          </c:marker>
          <c:xVal>
            <c:numRef>
              <c:f>AVERT!$AF$10:$AF$35</c:f>
              <c:numCache>
                <c:formatCode>General</c:formatCode>
                <c:ptCount val="2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pt idx="16">
                  <c:v>2041</c:v>
                </c:pt>
                <c:pt idx="17">
                  <c:v>2042</c:v>
                </c:pt>
                <c:pt idx="18">
                  <c:v>2043</c:v>
                </c:pt>
                <c:pt idx="19">
                  <c:v>2044</c:v>
                </c:pt>
                <c:pt idx="20">
                  <c:v>2045</c:v>
                </c:pt>
                <c:pt idx="21">
                  <c:v>2046</c:v>
                </c:pt>
                <c:pt idx="22">
                  <c:v>2047</c:v>
                </c:pt>
                <c:pt idx="23">
                  <c:v>2048</c:v>
                </c:pt>
                <c:pt idx="24">
                  <c:v>2049</c:v>
                </c:pt>
                <c:pt idx="25">
                  <c:v>2050</c:v>
                </c:pt>
              </c:numCache>
            </c:numRef>
          </c:xVal>
          <c:yVal>
            <c:numRef>
              <c:f>AVERT!$AH$10:$AH$35</c:f>
              <c:numCache>
                <c:formatCode>General</c:formatCode>
                <c:ptCount val="26"/>
                <c:pt idx="0">
                  <c:v>0.38296767586598895</c:v>
                </c:pt>
                <c:pt idx="1">
                  <c:v>0.36945216642884204</c:v>
                </c:pt>
                <c:pt idx="2">
                  <c:v>0.3424258499101735</c:v>
                </c:pt>
                <c:pt idx="3">
                  <c:v>0.32674629656763332</c:v>
                </c:pt>
                <c:pt idx="4">
                  <c:v>0.31252951373730531</c:v>
                </c:pt>
                <c:pt idx="5">
                  <c:v>0.29099665360100052</c:v>
                </c:pt>
                <c:pt idx="6">
                  <c:v>0.27622000690200782</c:v>
                </c:pt>
                <c:pt idx="7">
                  <c:v>0.27505678814887768</c:v>
                </c:pt>
                <c:pt idx="8">
                  <c:v>0.25606962674017136</c:v>
                </c:pt>
                <c:pt idx="9">
                  <c:v>0.23942871555357381</c:v>
                </c:pt>
                <c:pt idx="10">
                  <c:v>0.23420701364913374</c:v>
                </c:pt>
                <c:pt idx="11">
                  <c:v>0.23354859475148512</c:v>
                </c:pt>
                <c:pt idx="12">
                  <c:v>0.23355026217026298</c:v>
                </c:pt>
                <c:pt idx="13">
                  <c:v>0.24370400649753346</c:v>
                </c:pt>
                <c:pt idx="14">
                  <c:v>0.2432297089596841</c:v>
                </c:pt>
                <c:pt idx="15">
                  <c:v>0.2435177275783621</c:v>
                </c:pt>
                <c:pt idx="16">
                  <c:v>0.2433978808209685</c:v>
                </c:pt>
                <c:pt idx="17">
                  <c:v>0.24245869199628484</c:v>
                </c:pt>
                <c:pt idx="18">
                  <c:v>0.24222323524399106</c:v>
                </c:pt>
                <c:pt idx="19">
                  <c:v>0.24270807884028053</c:v>
                </c:pt>
                <c:pt idx="20">
                  <c:v>0.24220014655704755</c:v>
                </c:pt>
                <c:pt idx="21">
                  <c:v>0.23842711836227692</c:v>
                </c:pt>
                <c:pt idx="22">
                  <c:v>0.23628489707978009</c:v>
                </c:pt>
                <c:pt idx="23">
                  <c:v>0.23059568153790189</c:v>
                </c:pt>
                <c:pt idx="24">
                  <c:v>0.23118436937371162</c:v>
                </c:pt>
                <c:pt idx="25">
                  <c:v>0.22645678523367976</c:v>
                </c:pt>
              </c:numCache>
            </c:numRef>
          </c:yVal>
          <c:smooth val="0"/>
          <c:extLst>
            <c:ext xmlns:c16="http://schemas.microsoft.com/office/drawing/2014/chart" uri="{C3380CC4-5D6E-409C-BE32-E72D297353CC}">
              <c16:uniqueId val="{00000000-C78A-49C2-A5F3-9472FDE4AA40}"/>
            </c:ext>
          </c:extLst>
        </c:ser>
        <c:dLbls>
          <c:showLegendKey val="0"/>
          <c:showVal val="0"/>
          <c:showCatName val="0"/>
          <c:showSerName val="0"/>
          <c:showPercent val="0"/>
          <c:showBubbleSize val="0"/>
        </c:dLbls>
        <c:axId val="1316793231"/>
        <c:axId val="1316793711"/>
      </c:scatterChart>
      <c:valAx>
        <c:axId val="131679323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6793711"/>
        <c:crosses val="autoZero"/>
        <c:crossBetween val="midCat"/>
      </c:valAx>
      <c:valAx>
        <c:axId val="131679371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6793231"/>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1.xml"/><Relationship Id="rId1" Type="http://schemas.openxmlformats.org/officeDocument/2006/relationships/image" Target="../media/image1.png"/><Relationship Id="rId4" Type="http://schemas.openxmlformats.org/officeDocument/2006/relationships/chart" Target="../charts/chart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image" Target="../media/image4.png"/><Relationship Id="rId5" Type="http://schemas.openxmlformats.org/officeDocument/2006/relationships/image" Target="../media/image3.emf"/><Relationship Id="rId4" Type="http://schemas.openxmlformats.org/officeDocument/2006/relationships/chart" Target="../charts/chart6.xml"/></Relationships>
</file>

<file path=xl/drawings/_rels/drawing3.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62</xdr:row>
      <xdr:rowOff>0</xdr:rowOff>
    </xdr:from>
    <xdr:to>
      <xdr:col>8</xdr:col>
      <xdr:colOff>53762</xdr:colOff>
      <xdr:row>98</xdr:row>
      <xdr:rowOff>38100</xdr:rowOff>
    </xdr:to>
    <xdr:pic>
      <xdr:nvPicPr>
        <xdr:cNvPr id="3" name="Picture 2">
          <a:extLst>
            <a:ext uri="{FF2B5EF4-FFF2-40B4-BE49-F238E27FC236}">
              <a16:creationId xmlns:a16="http://schemas.microsoft.com/office/drawing/2014/main" id="{2979283C-224A-C28D-1358-527DCD8DF211}"/>
            </a:ext>
          </a:extLst>
        </xdr:cNvPr>
        <xdr:cNvPicPr>
          <a:picLocks noChangeAspect="1"/>
        </xdr:cNvPicPr>
      </xdr:nvPicPr>
      <xdr:blipFill>
        <a:blip xmlns:r="http://schemas.openxmlformats.org/officeDocument/2006/relationships" r:embed="rId1"/>
        <a:stretch>
          <a:fillRect/>
        </a:stretch>
      </xdr:blipFill>
      <xdr:spPr>
        <a:xfrm>
          <a:off x="0" y="11591925"/>
          <a:ext cx="9052982" cy="6553200"/>
        </a:xfrm>
        <a:prstGeom prst="rect">
          <a:avLst/>
        </a:prstGeom>
      </xdr:spPr>
    </xdr:pic>
    <xdr:clientData/>
  </xdr:twoCellAnchor>
  <xdr:twoCellAnchor>
    <xdr:from>
      <xdr:col>7</xdr:col>
      <xdr:colOff>400050</xdr:colOff>
      <xdr:row>4</xdr:row>
      <xdr:rowOff>130492</xdr:rowOff>
    </xdr:from>
    <xdr:to>
      <xdr:col>16</xdr:col>
      <xdr:colOff>443865</xdr:colOff>
      <xdr:row>19</xdr:row>
      <xdr:rowOff>16192</xdr:rowOff>
    </xdr:to>
    <xdr:graphicFrame macro="">
      <xdr:nvGraphicFramePr>
        <xdr:cNvPr id="15" name="Chart 4">
          <a:extLst>
            <a:ext uri="{FF2B5EF4-FFF2-40B4-BE49-F238E27FC236}">
              <a16:creationId xmlns:a16="http://schemas.microsoft.com/office/drawing/2014/main" id="{ED936857-FE24-A95E-FC1F-E888307D9DB1}"/>
            </a:ext>
            <a:ext uri="{147F2762-F138-4A5C-976F-8EAC2B608ADB}">
              <a16:predDERef xmlns:a16="http://schemas.microsoft.com/office/drawing/2014/main" pred="{2979283C-224A-C28D-1358-527DCD8DF21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10</xdr:col>
      <xdr:colOff>0</xdr:colOff>
      <xdr:row>62</xdr:row>
      <xdr:rowOff>0</xdr:rowOff>
    </xdr:from>
    <xdr:to>
      <xdr:col>20</xdr:col>
      <xdr:colOff>77061</xdr:colOff>
      <xdr:row>104</xdr:row>
      <xdr:rowOff>96323</xdr:rowOff>
    </xdr:to>
    <xdr:pic>
      <xdr:nvPicPr>
        <xdr:cNvPr id="4" name="Picture 3">
          <a:extLst>
            <a:ext uri="{FF2B5EF4-FFF2-40B4-BE49-F238E27FC236}">
              <a16:creationId xmlns:a16="http://schemas.microsoft.com/office/drawing/2014/main" id="{E4171DE3-90D7-B1E2-4A2B-AB4ECE8AD027}"/>
            </a:ext>
          </a:extLst>
        </xdr:cNvPr>
        <xdr:cNvPicPr>
          <a:picLocks noChangeAspect="1"/>
        </xdr:cNvPicPr>
      </xdr:nvPicPr>
      <xdr:blipFill>
        <a:blip xmlns:r="http://schemas.openxmlformats.org/officeDocument/2006/relationships" r:embed="rId3"/>
        <a:stretch>
          <a:fillRect/>
        </a:stretch>
      </xdr:blipFill>
      <xdr:spPr>
        <a:xfrm>
          <a:off x="10229850" y="11591925"/>
          <a:ext cx="6173061" cy="7687748"/>
        </a:xfrm>
        <a:prstGeom prst="rect">
          <a:avLst/>
        </a:prstGeom>
      </xdr:spPr>
    </xdr:pic>
    <xdr:clientData/>
  </xdr:twoCellAnchor>
  <xdr:twoCellAnchor>
    <xdr:from>
      <xdr:col>8</xdr:col>
      <xdr:colOff>0</xdr:colOff>
      <xdr:row>20</xdr:row>
      <xdr:rowOff>0</xdr:rowOff>
    </xdr:from>
    <xdr:to>
      <xdr:col>17</xdr:col>
      <xdr:colOff>295275</xdr:colOff>
      <xdr:row>35</xdr:row>
      <xdr:rowOff>28575</xdr:rowOff>
    </xdr:to>
    <xdr:graphicFrame macro="">
      <xdr:nvGraphicFramePr>
        <xdr:cNvPr id="5" name="Chart 4">
          <a:extLst>
            <a:ext uri="{FF2B5EF4-FFF2-40B4-BE49-F238E27FC236}">
              <a16:creationId xmlns:a16="http://schemas.microsoft.com/office/drawing/2014/main" id="{F515EE04-6F14-4D6C-ABE7-DF2C425023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21</xdr:col>
      <xdr:colOff>594359</xdr:colOff>
      <xdr:row>21</xdr:row>
      <xdr:rowOff>134302</xdr:rowOff>
    </xdr:from>
    <xdr:to>
      <xdr:col>25</xdr:col>
      <xdr:colOff>342900</xdr:colOff>
      <xdr:row>36</xdr:row>
      <xdr:rowOff>164782</xdr:rowOff>
    </xdr:to>
    <xdr:graphicFrame macro="">
      <xdr:nvGraphicFramePr>
        <xdr:cNvPr id="2" name="Chart 1">
          <a:extLst>
            <a:ext uri="{FF2B5EF4-FFF2-40B4-BE49-F238E27FC236}">
              <a16:creationId xmlns:a16="http://schemas.microsoft.com/office/drawing/2014/main" id="{AAFBFAD8-1A4A-49CE-792F-56112054C38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25</xdr:col>
      <xdr:colOff>554354</xdr:colOff>
      <xdr:row>12</xdr:row>
      <xdr:rowOff>78105</xdr:rowOff>
    </xdr:from>
    <xdr:to>
      <xdr:col>30</xdr:col>
      <xdr:colOff>72770</xdr:colOff>
      <xdr:row>27</xdr:row>
      <xdr:rowOff>66675</xdr:rowOff>
    </xdr:to>
    <xdr:graphicFrame macro="">
      <xdr:nvGraphicFramePr>
        <xdr:cNvPr id="3" name="Chart 2">
          <a:extLst>
            <a:ext uri="{FF2B5EF4-FFF2-40B4-BE49-F238E27FC236}">
              <a16:creationId xmlns:a16="http://schemas.microsoft.com/office/drawing/2014/main" id="{AB79C8C0-D173-4B59-938C-3BC9423870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25</xdr:col>
      <xdr:colOff>542925</xdr:colOff>
      <xdr:row>27</xdr:row>
      <xdr:rowOff>102870</xdr:rowOff>
    </xdr:from>
    <xdr:to>
      <xdr:col>30</xdr:col>
      <xdr:colOff>86487</xdr:colOff>
      <xdr:row>42</xdr:row>
      <xdr:rowOff>123825</xdr:rowOff>
    </xdr:to>
    <xdr:graphicFrame macro="">
      <xdr:nvGraphicFramePr>
        <xdr:cNvPr id="5" name="Chart 4">
          <a:extLst>
            <a:ext uri="{FF2B5EF4-FFF2-40B4-BE49-F238E27FC236}">
              <a16:creationId xmlns:a16="http://schemas.microsoft.com/office/drawing/2014/main" id="{9E63BFBE-11BE-44AB-B2EC-84BC9343F4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239077</xdr:colOff>
      <xdr:row>45</xdr:row>
      <xdr:rowOff>27622</xdr:rowOff>
    </xdr:from>
    <xdr:to>
      <xdr:col>36</xdr:col>
      <xdr:colOff>193357</xdr:colOff>
      <xdr:row>60</xdr:row>
      <xdr:rowOff>50482</xdr:rowOff>
    </xdr:to>
    <xdr:graphicFrame macro="">
      <xdr:nvGraphicFramePr>
        <xdr:cNvPr id="7" name="Chart 6">
          <a:extLst>
            <a:ext uri="{FF2B5EF4-FFF2-40B4-BE49-F238E27FC236}">
              <a16:creationId xmlns:a16="http://schemas.microsoft.com/office/drawing/2014/main" id="{F2E690F4-ADD0-EB36-E2F8-26EC2816A35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36</xdr:col>
      <xdr:colOff>588645</xdr:colOff>
      <xdr:row>36</xdr:row>
      <xdr:rowOff>135255</xdr:rowOff>
    </xdr:from>
    <xdr:to>
      <xdr:col>41</xdr:col>
      <xdr:colOff>788670</xdr:colOff>
      <xdr:row>65</xdr:row>
      <xdr:rowOff>57150</xdr:rowOff>
    </xdr:to>
    <xdr:sp macro="" textlink="">
      <xdr:nvSpPr>
        <xdr:cNvPr id="9" name="TextBox 8">
          <a:extLst>
            <a:ext uri="{FF2B5EF4-FFF2-40B4-BE49-F238E27FC236}">
              <a16:creationId xmlns:a16="http://schemas.microsoft.com/office/drawing/2014/main" id="{861E3B1F-B3B3-3847-F840-D6D0104286D3}"/>
            </a:ext>
          </a:extLst>
        </xdr:cNvPr>
        <xdr:cNvSpPr txBox="1"/>
      </xdr:nvSpPr>
      <xdr:spPr>
        <a:xfrm>
          <a:off x="29363670" y="6717030"/>
          <a:ext cx="4695825" cy="51701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We</a:t>
          </a:r>
          <a:r>
            <a:rPr lang="en-US" sz="1100" baseline="0"/>
            <a:t> want to account for the effects of the VPP production displacing power production from high carbon-intensity peaker plants. However, the AVERT data is not intended forecasting past a 5-year period. The AVERT Main Module v4.2 excel tool was used to calculate the CO2 emissiion rate for AVERT's Mid-Atlantic Region, which appears to overlap the entire PJM territory. </a:t>
          </a:r>
        </a:p>
        <a:p>
          <a:endParaRPr lang="en-US" sz="1100" baseline="0"/>
        </a:p>
        <a:p>
          <a:r>
            <a:rPr lang="en-US" sz="1100" baseline="0"/>
            <a:t>This tool presented avoided emissions rates for utility-scale solar PV for different time periods and from different sources. Historic AVERT rates were provided for the years 2017 - 2022. Projected future rates were taken from Cambium, a data visualization tool provided by NREL. The AVERT tool provided short- and long-run marginal emission rates from Cambium at 2-yr increments for the period 2024-2040. These 3 data sets were averaged to obtain linear trends for the time periods 2021-2030 and 2030-2040, which was then extrapolated through 2050. These trends were then compared with the EIA projected rates for the PJM grid.</a:t>
          </a:r>
        </a:p>
        <a:p>
          <a:endParaRPr lang="en-US" sz="1100" baseline="0"/>
        </a:p>
        <a:p>
          <a:r>
            <a:rPr lang="en-US" sz="1100" baseline="0"/>
            <a:t>Noticeable Trends:</a:t>
          </a:r>
        </a:p>
        <a:p>
          <a:r>
            <a:rPr lang="en-US" sz="1100" baseline="0"/>
            <a:t>  1. The historic AVERT data trends similarly to the EIA data for the same years.</a:t>
          </a:r>
        </a:p>
        <a:p>
          <a:r>
            <a:rPr lang="en-US" sz="1100" baseline="0"/>
            <a:t>  2.  The 2030-2050 trend diverges significantly from the EAI trend starting in 2033, but again aligns with the trend for the last several years of the time period.</a:t>
          </a:r>
        </a:p>
        <a:p>
          <a:endParaRPr lang="en-US" sz="1100" baseline="0"/>
        </a:p>
        <a:p>
          <a:r>
            <a:rPr lang="en-US" sz="1100"/>
            <a:t>Conclusion: TO be able to account for peak</a:t>
          </a:r>
          <a:r>
            <a:rPr lang="en-US" sz="1100" baseline="0"/>
            <a:t> conditions emission rates, We assume the 2022 AVERT rate for the year 2022. Then, each subsequent year, this rate tracks at the same rate of change as the EIA rate. For most of the time period, this results in a lower emission rate than the average generated using the AVERT and Cadmbien data points.</a:t>
          </a:r>
          <a:endParaRPr lang="en-US" sz="1100"/>
        </a:p>
      </xdr:txBody>
    </xdr:sp>
    <xdr:clientData/>
  </xdr:twoCellAnchor>
  <xdr:twoCellAnchor editAs="oneCell">
    <xdr:from>
      <xdr:col>1</xdr:col>
      <xdr:colOff>0</xdr:colOff>
      <xdr:row>22</xdr:row>
      <xdr:rowOff>0</xdr:rowOff>
    </xdr:from>
    <xdr:to>
      <xdr:col>9</xdr:col>
      <xdr:colOff>438150</xdr:colOff>
      <xdr:row>37</xdr:row>
      <xdr:rowOff>57150</xdr:rowOff>
    </xdr:to>
    <xdr:pic>
      <xdr:nvPicPr>
        <xdr:cNvPr id="16" name="Picture 15">
          <a:extLst>
            <a:ext uri="{FF2B5EF4-FFF2-40B4-BE49-F238E27FC236}">
              <a16:creationId xmlns:a16="http://schemas.microsoft.com/office/drawing/2014/main" id="{5E5D7920-5642-EFC7-EFD5-B2A78C3EC875}"/>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09600" y="4069080"/>
          <a:ext cx="5669280" cy="2796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31</xdr:col>
      <xdr:colOff>0</xdr:colOff>
      <xdr:row>62</xdr:row>
      <xdr:rowOff>0</xdr:rowOff>
    </xdr:from>
    <xdr:to>
      <xdr:col>40</xdr:col>
      <xdr:colOff>677519</xdr:colOff>
      <xdr:row>109</xdr:row>
      <xdr:rowOff>115503</xdr:rowOff>
    </xdr:to>
    <xdr:pic>
      <xdr:nvPicPr>
        <xdr:cNvPr id="17" name="Picture 16">
          <a:extLst>
            <a:ext uri="{FF2B5EF4-FFF2-40B4-BE49-F238E27FC236}">
              <a16:creationId xmlns:a16="http://schemas.microsoft.com/office/drawing/2014/main" id="{240C55C2-63C0-46D8-0210-8BB0FBA234C7}"/>
            </a:ext>
          </a:extLst>
        </xdr:cNvPr>
        <xdr:cNvPicPr>
          <a:picLocks noChangeAspect="1"/>
        </xdr:cNvPicPr>
      </xdr:nvPicPr>
      <xdr:blipFill>
        <a:blip xmlns:r="http://schemas.openxmlformats.org/officeDocument/2006/relationships" r:embed="rId6"/>
        <a:stretch>
          <a:fillRect/>
        </a:stretch>
      </xdr:blipFill>
      <xdr:spPr>
        <a:xfrm>
          <a:off x="23555325" y="11649075"/>
          <a:ext cx="8916644" cy="86213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16</xdr:col>
      <xdr:colOff>95250</xdr:colOff>
      <xdr:row>0</xdr:row>
      <xdr:rowOff>68648</xdr:rowOff>
    </xdr:from>
    <xdr:to>
      <xdr:col>22</xdr:col>
      <xdr:colOff>453596</xdr:colOff>
      <xdr:row>5</xdr:row>
      <xdr:rowOff>118036</xdr:rowOff>
    </xdr:to>
    <xdr:pic>
      <xdr:nvPicPr>
        <xdr:cNvPr id="2" name="Picture 1">
          <a:extLst>
            <a:ext uri="{FF2B5EF4-FFF2-40B4-BE49-F238E27FC236}">
              <a16:creationId xmlns:a16="http://schemas.microsoft.com/office/drawing/2014/main" id="{667F0077-C477-4B5A-D89B-756AE47CA79E}"/>
            </a:ext>
          </a:extLst>
        </xdr:cNvPr>
        <xdr:cNvPicPr>
          <a:picLocks noChangeAspect="1"/>
        </xdr:cNvPicPr>
      </xdr:nvPicPr>
      <xdr:blipFill>
        <a:blip xmlns:r="http://schemas.openxmlformats.org/officeDocument/2006/relationships" r:embed="rId1"/>
        <a:stretch>
          <a:fillRect/>
        </a:stretch>
      </xdr:blipFill>
      <xdr:spPr>
        <a:xfrm>
          <a:off x="9705975" y="68648"/>
          <a:ext cx="4001976" cy="1009508"/>
        </a:xfrm>
        <a:prstGeom prst="rect">
          <a:avLst/>
        </a:prstGeom>
      </xdr:spPr>
    </xdr:pic>
    <xdr:clientData/>
  </xdr:twoCellAnchor>
  <xdr:twoCellAnchor editAs="oneCell">
    <xdr:from>
      <xdr:col>16</xdr:col>
      <xdr:colOff>0</xdr:colOff>
      <xdr:row>7</xdr:row>
      <xdr:rowOff>0</xdr:rowOff>
    </xdr:from>
    <xdr:to>
      <xdr:col>23</xdr:col>
      <xdr:colOff>304800</xdr:colOff>
      <xdr:row>9</xdr:row>
      <xdr:rowOff>76200</xdr:rowOff>
    </xdr:to>
    <xdr:pic>
      <xdr:nvPicPr>
        <xdr:cNvPr id="9" name="Picture 8">
          <a:extLst>
            <a:ext uri="{FF2B5EF4-FFF2-40B4-BE49-F238E27FC236}">
              <a16:creationId xmlns:a16="http://schemas.microsoft.com/office/drawing/2014/main" id="{1CE6F842-36AC-17B9-AB24-8EC2EC1EA39D}"/>
            </a:ext>
            <a:ext uri="{147F2762-F138-4A5C-976F-8EAC2B608ADB}">
              <a16:predDERef xmlns:a16="http://schemas.microsoft.com/office/drawing/2014/main" pred="{913F190C-E72A-5DDA-51D7-D7E2CAE8C4E1}"/>
            </a:ext>
          </a:extLst>
        </xdr:cNvPr>
        <xdr:cNvPicPr>
          <a:picLocks noChangeAspect="1"/>
        </xdr:cNvPicPr>
      </xdr:nvPicPr>
      <xdr:blipFill>
        <a:blip xmlns:r="http://schemas.openxmlformats.org/officeDocument/2006/relationships" r:embed="rId2"/>
        <a:stretch>
          <a:fillRect/>
        </a:stretch>
      </xdr:blipFill>
      <xdr:spPr>
        <a:xfrm>
          <a:off x="17916525" y="1333500"/>
          <a:ext cx="4572000" cy="4572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sopecgov-my.sharepoint.com/personal/stephenieritchey_sopecgov_onmicrosoft_com/Documents/Grants/CPRG/Technical%20Appendix/AVERT/avert-main-module-v4.2.xlsb" TargetMode="External"/><Relationship Id="rId1" Type="http://schemas.openxmlformats.org/officeDocument/2006/relationships/externalLinkPath" Target="https://sopecgov-my.sharepoint.com/personal/stephenieritchey_sopecgov_onmicrosoft_com/Documents/Grants/CPRG/Technical%20Appendix/AVERT/avert-main-module-v4.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plash"/>
      <sheetName val="EnterRegionalData"/>
      <sheetName val="EnterEEREData"/>
      <sheetName val="ManualEEREEntry"/>
      <sheetName val="ManualRECFEntry"/>
      <sheetName val="EV_Detail"/>
      <sheetName val="RunDisplacement"/>
      <sheetName val="DisplayOutput"/>
      <sheetName val="1_Annual"/>
      <sheetName val="2_TopTen"/>
      <sheetName val="3_CtySummary"/>
      <sheetName val="4_CtyMonthly"/>
      <sheetName val="5_Map"/>
      <sheetName val="6_Monthly"/>
      <sheetName val="7_Hourly"/>
      <sheetName val="8_Diagnostic"/>
      <sheetName val="9_OzoneChanges"/>
      <sheetName val="10_Vehicle"/>
      <sheetName val="11_VehicleCty"/>
      <sheetName val="12_VehicleCharts"/>
      <sheetName val="13_VehicleChartsMonth"/>
      <sheetName val="14_LongRange"/>
      <sheetName val="Generation"/>
      <sheetName val="HeatInput"/>
      <sheetName val="SO2"/>
      <sheetName val="NOx"/>
      <sheetName val="CO2"/>
      <sheetName val="PM25"/>
      <sheetName val="VOCs"/>
      <sheetName val="NH3"/>
      <sheetName val="Summary"/>
      <sheetName val="ChartData"/>
      <sheetName val="EERE_Default"/>
      <sheetName val="Data"/>
      <sheetName val="CalculateEERE"/>
      <sheetName val="Library"/>
      <sheetName val="CountyFIPS"/>
      <sheetName val="NEI_EmissionRates"/>
      <sheetName val="RegionStateAllocate"/>
      <sheetName val="MOVESEmissionRa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20">
          <cell r="N20">
            <v>2022</v>
          </cell>
        </row>
      </sheetData>
      <sheetData sheetId="35">
        <row r="60">
          <cell r="C60" t="str">
            <v>Mid-Atlantic</v>
          </cell>
        </row>
      </sheetData>
      <sheetData sheetId="36"/>
      <sheetData sheetId="37"/>
      <sheetData sheetId="38"/>
      <sheetData sheetId="39"/>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42D6B053-8A88-461B-AC5F-BAEEAD23221F}" name="Assumptions" displayName="Assumptions" ref="C16:H21" totalsRowShown="0">
  <autoFilter ref="C16:H21" xr:uid="{42D6B053-8A88-461B-AC5F-BAEEAD23221F}"/>
  <tableColumns count="6">
    <tableColumn id="1" xr3:uid="{FA24AF6D-D50A-40CA-BDD8-068DE4E179B7}" name="Category" dataDxfId="121"/>
    <tableColumn id="2" xr3:uid="{593E7FF6-B96F-4BC0-9201-71CF5FE73162}" name="Original Value"/>
    <tableColumn id="3" xr3:uid="{70F53140-D66C-4D45-9647-98BB114A28F0}" name="Original Units"/>
    <tableColumn id="4" xr3:uid="{C7FDAEE0-D28D-43C4-9D06-83ED4344D6F0}" name="Metric value"/>
    <tableColumn id="5" xr3:uid="{20FE2634-4009-4F10-80A8-B8EC8ABFEA3C}" name="Metric units"/>
    <tableColumn id="6" xr3:uid="{2BFEF4A7-3CC1-438D-AC99-AB9BBE489B13}" name="Source"/>
  </tableColumns>
  <tableStyleInfo name="TableStyleLight1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96712FD-52FA-4CD7-B5BF-410CFB537EE8}" name="M1_MWh" displayName="M1_MWh" ref="D5:H32" totalsRowCount="1" headerRowDxfId="68">
  <autoFilter ref="D5:H31" xr:uid="{D96712FD-52FA-4CD7-B5BF-410CFB537EE8}"/>
  <sortState xmlns:xlrd2="http://schemas.microsoft.com/office/spreadsheetml/2017/richdata2" ref="D6:H31">
    <sortCondition ref="D5:D31"/>
  </sortState>
  <tableColumns count="5">
    <tableColumn id="1" xr3:uid="{D420CAC2-0954-4291-9C65-AA4CB9A1A237}" name="Year" totalsRowLabel="Total"/>
    <tableColumn id="2" xr3:uid="{1A88A1B5-674E-4F00-A27F-7572E0A09DEA}" name="Valleycrest Landfill" totalsRowFunction="sum" dataDxfId="67" totalsRowDxfId="66">
      <calculatedColumnFormula>$E$6*(1-0.005*($D6-$D$6))</calculatedColumnFormula>
    </tableColumn>
    <tableColumn id="5" xr3:uid="{29AFEC97-5846-464B-9D79-FB7F7E259835}" name="Liberty" totalsRowFunction="sum" dataDxfId="65" totalsRowDxfId="64"/>
    <tableColumn id="3" xr3:uid="{639666E2-693B-42FE-A200-20BB8B8E8F1B}" name="Dayton Steel" totalsRowFunction="sum" dataDxfId="63" totalsRowDxfId="62"/>
    <tableColumn id="7" xr3:uid="{A1A79E42-8019-4024-8E2C-5F964C65C323}" name="Annual Total" totalsRowFunction="sum" dataDxfId="61" totalsRowDxfId="60">
      <calculatedColumnFormula>SUM(E6:G6)</calculatedColumnFormula>
    </tableColumn>
  </tableColumns>
  <tableStyleInfo name="TableStyleLight1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562C273-8BF5-444B-BA86-68EDA6A97D12}" name="M1_CO2" displayName="M1_CO2" ref="I5:J32" totalsRowCount="1" headerRowDxfId="59">
  <autoFilter ref="I5:J31" xr:uid="{8562C273-8BF5-444B-BA86-68EDA6A97D12}"/>
  <tableColumns count="2">
    <tableColumn id="2" xr3:uid="{B2CDF42E-757E-4225-A4FC-34F0ABA3130B}" name="Emissions rate (mtCO2/MWh)" dataDxfId="58">
      <calculatedColumnFormula>'Grid GHG'!F9</calculatedColumnFormula>
    </tableColumn>
    <tableColumn id="3" xr3:uid="{24B921FF-FA36-47D0-A183-F02CD140C089}" name="Avoided Emissions (mtCO2)" totalsRowFunction="sum" dataDxfId="57" totalsRowDxfId="56">
      <calculatedColumnFormula>H6*I6</calculatedColumnFormula>
    </tableColumn>
  </tableColumns>
  <tableStyleInfo name="TableStyleLight1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DEF2231-51BA-4CC5-B6CC-0417097D3946}" name="Table5" displayName="Table5" ref="O4:Q8" totalsRowShown="0">
  <autoFilter ref="O4:Q8" xr:uid="{7DEF2231-51BA-4CC5-B6CC-0417097D3946}"/>
  <tableColumns count="3">
    <tableColumn id="1" xr3:uid="{69C824DB-9BDD-4FE7-AE53-4EAC6A4C2187}" name="Period"/>
    <tableColumn id="2" xr3:uid="{CF4C8688-C396-4AB4-8679-68853100F403}" name="Generation (MWh)" dataDxfId="55"/>
    <tableColumn id="3" xr3:uid="{EE60F0EF-8ABF-4741-9A86-A1F79C12AFA0}" name="Emissions (mtCO2e)" dataDxfId="54"/>
  </tableColumns>
  <tableStyleInfo name="TableStyleMedium4" showFirstColumn="0"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8E9E321D-B1CB-4606-BEB9-174CB03590F5}" name="M1_Summary" displayName="M1_Summary" ref="O12:S16" totalsRowCount="1">
  <autoFilter ref="O12:S15" xr:uid="{8E9E321D-B1CB-4606-BEB9-174CB03590F5}"/>
  <tableColumns count="5">
    <tableColumn id="1" xr3:uid="{5766CAF9-9F97-43E2-B8E6-23EF27E4CB22}" name="VPP Site" totalsRowLabel="Total"/>
    <tableColumn id="2" xr3:uid="{9215A228-C4A9-4CD2-AFC6-D28A5E4B5A15}" name="Electrical Output - 5 year" totalsRowFunction="sum" dataDxfId="53" totalsRowDxfId="52">
      <calculatedColumnFormula>SUM(E6:E11)</calculatedColumnFormula>
    </tableColumn>
    <tableColumn id="3" xr3:uid="{241B4D7E-58B1-4BFB-921F-1800600B1F75}" name="Electrical Output - 25 year" totalsRowFunction="sum" dataDxfId="51" totalsRowDxfId="50"/>
    <tableColumn id="4" xr3:uid="{19F81267-1F24-4299-A2D7-D824C3747AC4}" name="GHG Reductions - 6 year" totalsRowFunction="sum" dataDxfId="49" totalsRowDxfId="48">
      <calculatedColumnFormula>SUMPRODUCT(E6:E11,$I$6:$I$11)</calculatedColumnFormula>
    </tableColumn>
    <tableColumn id="5" xr3:uid="{056ED37F-3123-41C7-8968-5D842C3B695F}" name="GHG Reductions - 25 year" totalsRowFunction="sum" dataDxfId="47" totalsRowDxfId="46"/>
  </tableColumns>
  <tableStyleInfo name="TableStyleLight1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B6747429-142C-498E-92D8-1ED625A2B661}" name="M1_CO219" displayName="M1_CO219" ref="K5:L32" totalsRowCount="1" headerRowDxfId="45">
  <autoFilter ref="K5:L31" xr:uid="{B6747429-142C-498E-92D8-1ED625A2B661}"/>
  <tableColumns count="2">
    <tableColumn id="2" xr3:uid="{B321EDDD-09D7-4437-B1C4-D87A13410206}" name="Emissions rate (mtCO2/MWh)" dataDxfId="44">
      <calculatedColumnFormula>'Grid GHG'!G9</calculatedColumnFormula>
    </tableColumn>
    <tableColumn id="3" xr3:uid="{1AE92E27-6D1D-4F00-AE44-E06D7851BB40}" name="Avoided Emissions (mtCO2)" totalsRowFunction="sum" dataDxfId="43" totalsRowDxfId="42">
      <calculatedColumnFormula>H6*K6</calculatedColumnFormula>
    </tableColumn>
  </tableColumns>
  <tableStyleInfo name="TableStyleLight1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5B3FC30E-924A-4ABF-8064-55C01253611C}" name="M2_ResStockSavings" displayName="M2_ResStockSavings" ref="C13:S15" totalsRowShown="0" headerRowDxfId="41">
  <autoFilter ref="C13:S15" xr:uid="{5B3FC30E-924A-4ABF-8064-55C01253611C}"/>
  <tableColumns count="17">
    <tableColumn id="1" xr3:uid="{2B322068-254D-4D8B-B1FA-B4B219C66473}" name="Energy Efficiency and Electrification Upgrade"/>
    <tableColumn id="2" xr3:uid="{69B4C03A-E69F-4633-BCBD-137FE114BFF8}" name="Certainty of Results"/>
    <tableColumn id="3" xr3:uid="{397E3219-41AA-4B40-8A58-7A8F38EA8291}" name="Bill Saving Average [USD]"/>
    <tableColumn id="4" xr3:uid="{E9D99F40-0B33-4199-AF7F-5819A45F4040}" name="Bill Savings Average from Electricity [USD]"/>
    <tableColumn id="5" xr3:uid="{516C6FDD-3ADA-40D0-9FC8-D5E953F43485}" name="Bill Savings Average from Fuel Oil [USD]"/>
    <tableColumn id="6" xr3:uid="{0926CFE4-F9C9-4A2D-B5B1-8F395440ABC6}" name="Bill Savings Average from Natural Gas [USD]"/>
    <tableColumn id="7" xr3:uid="{7B2D4D04-3A3C-459D-86E2-3625F8EFA21D}" name="Bill Savings Average from Propane [USD]"/>
    <tableColumn id="8" xr3:uid="{5665C495-9860-4724-8F3B-1CBA2BC275D1}" name="Emission Saving Average [kgCO2e]" dataDxfId="40"/>
    <tableColumn id="9" xr3:uid="{7280B3BC-90D8-46FD-9FDB-E9ADE86E23CE}" name="Emission Savings Average from Electricity [kgCO2e]"/>
    <tableColumn id="10" xr3:uid="{A6CA9C4E-F34D-4FE2-8D8F-7539D7FDD6CE}" name="Emission Savings Average from Fuel Oil [kgCO2e]"/>
    <tableColumn id="11" xr3:uid="{0B2380DD-B155-4EC5-BD75-6BB6FB9E49FD}" name="Emission Savings Average from Natural Gas [kgCO2e]" dataDxfId="39"/>
    <tableColumn id="12" xr3:uid="{5814812C-AC58-4DB2-986D-03E4DEED2F80}" name="Emission Savings Average from Propane [kgCO2e]"/>
    <tableColumn id="13" xr3:uid="{8A6F292F-34C3-4031-A0BA-127F7174856C}" name="Energy Saving Average [MMBtu]"/>
    <tableColumn id="14" xr3:uid="{736C931D-4434-4E13-80A6-AC15BFBE0774}" name="Energy Savings Average from Electricity [kWh]" dataDxfId="38"/>
    <tableColumn id="15" xr3:uid="{79D8756E-11BF-45D9-96A5-6E0C63F85DB1}" name="Energy Savings Average from Fuel Oil [MMBtu]"/>
    <tableColumn id="16" xr3:uid="{F1C627CB-F463-42D7-B1B0-9F936E302CAA}" name="Energy Savings Average from Natural Gas [therm]" dataDxfId="37"/>
    <tableColumn id="17" xr3:uid="{1A3A13A5-19F4-442B-B4FA-35AA6E9E1A1D}" name="Energy Savings Average from Propane [MMBtu]"/>
  </tableColumns>
  <tableStyleInfo name="TableStyleLight1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86A13350-9575-4363-9591-A809DC121904}" name="M2_BaselineUse" displayName="M2_BaselineUse" ref="C4:D9" totalsRowShown="0">
  <autoFilter ref="C4:D9" xr:uid="{86A13350-9575-4363-9591-A809DC121904}"/>
  <tableColumns count="2">
    <tableColumn id="1" xr3:uid="{C2C5F631-6841-404E-B940-BD0BD25691D7}" name="Measure Names"/>
    <tableColumn id="2" xr3:uid="{327D3685-CE72-4629-A68D-0D90A6981C5B}" name="Measure Values per Home"/>
  </tableColumns>
  <tableStyleInfo name="TableStyleLight1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368BBBF8-E957-407F-86FB-FE06A8C59904}" name="M2_Summary" displayName="M2_Summary" ref="C14:D45" totalsRowShown="0">
  <autoFilter ref="C14:D45" xr:uid="{368BBBF8-E957-407F-86FB-FE06A8C59904}"/>
  <tableColumns count="2">
    <tableColumn id="1" xr3:uid="{1706E688-6A32-4FDC-A318-C95D8B3E5B74}" name="Impact summary"/>
    <tableColumn id="2" xr3:uid="{5FC8F083-C9E5-4BEA-B2C6-11FCE7D2058F}" name="Column1" dataDxfId="36" dataCellStyle="Comma"/>
  </tableColumns>
  <tableStyleInfo name="TableStyleLight1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52848AD9-EDDA-4A81-B874-1FA194018EA9}" name="Table11" displayName="Table11" ref="C3:H5" totalsRowShown="0" headerRowDxfId="35">
  <autoFilter ref="C3:H5" xr:uid="{52848AD9-EDDA-4A81-B874-1FA194018EA9}"/>
  <tableColumns count="6">
    <tableColumn id="1" xr3:uid="{562A62BA-5FC3-4815-A677-0A9FC875CBC9}" name="Column1"/>
    <tableColumn id="2" xr3:uid="{CD964A74-2D1C-4693-9684-3729E0CB8C79}" name="Baseline consumption"/>
    <tableColumn id="3" xr3:uid="{6D80887D-8BD7-4A0B-8FBC-E5ADA86DD755}" name="Savings: Package 1 - Basic Enclosure Upgrade"/>
    <tableColumn id="4" xr3:uid="{862C9798-5C74-461B-B678-552EDD42A988}" name="Savings: Package 10 - Enhanced enclosure upgrade + high efficiency whole home electrification"/>
    <tableColumn id="5" xr3:uid="{51420A44-AC6A-4314-9ED7-18F696995737}" name="Package 1 - Basic enclosure">
      <calculatedColumnFormula>D4-E4</calculatedColumnFormula>
    </tableColumn>
    <tableColumn id="6" xr3:uid="{D0146B48-D1A3-44C2-8100-537FE7C1DFBB}" name="Package 10 - Enhanced enclosure upgrade + high efficiency whole home electrification">
      <calculatedColumnFormula>D4-F4</calculatedColumnFormula>
    </tableColumn>
  </tableColumns>
  <tableStyleInfo name="TableStyleLight1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DF8A59A8-1C6C-4E58-8B75-7F91C8D88809}" name="M2_GHG" displayName="M2_GHG" ref="K10:V36" totalsRowShown="0" headerRowDxfId="34" tableBorderDxfId="33">
  <autoFilter ref="K10:V36" xr:uid="{DF8A59A8-1C6C-4E58-8B75-7F91C8D88809}"/>
  <tableColumns count="12">
    <tableColumn id="1" xr3:uid="{B6C0416C-95CF-4E10-B5ED-09D8CA6BCE79}" name="Year" dataDxfId="32"/>
    <tableColumn id="2" xr3:uid="{E8EACCAE-6B23-4B13-BD61-1AC9009B92F0}" name="Electric grid emissions rate (mtCO2e/MWh)" dataDxfId="31">
      <calculatedColumnFormula>'Grid GHG'!F9</calculatedColumnFormula>
    </tableColumn>
    <tableColumn id="3" xr3:uid="{79C68BFF-699E-4048-A339-C97D806F74B0}" name="SOPEC region equivalent emissions rate (mtCO2e/MWh)" dataDxfId="30">
      <calculatedColumnFormula>L11*(1-'Contents'!$D$19)</calculatedColumnFormula>
    </tableColumn>
    <tableColumn id="4" xr3:uid="{7266C73B-F772-4CAA-AAE0-688F5CA228D6}" name="Natural gas combusion emissions rate (mtCO2e/MMBtu)" dataDxfId="29">
      <calculatedColumnFormula>'Contents'!$F$18</calculatedColumnFormula>
    </tableColumn>
    <tableColumn id="5" xr3:uid="{81F66B4F-3C70-464F-A235-3F4B32D9A34A}" name="Baseline emissions (mtCO2e/house)" dataDxfId="28">
      <calculatedColumnFormula>M11*$D$5/1000+N11*$D$4*0.1</calculatedColumnFormula>
    </tableColumn>
    <tableColumn id="6" xr3:uid="{3C67AEDE-1E9F-453D-A901-EDE2A6860790}" name="Emissions post-basic enclosure (mtCO2e/house)" dataDxfId="27">
      <calculatedColumnFormula>M11*$G$5/1000+N11*$G$4*0.1</calculatedColumnFormula>
    </tableColumn>
    <tableColumn id="7" xr3:uid="{D1F9E5B4-E50A-4A9F-997A-C4BE561D7CC5}" name="Emissions post-Package 10 (mtCO2e/house)" dataDxfId="26">
      <calculatedColumnFormula>M11*$H$5/1000+N11*$H$4*0.1</calculatedColumnFormula>
    </tableColumn>
    <tableColumn id="8" xr3:uid="{A57FEF6C-A8AB-4346-B2A9-F0F0C1EEC02A}" name="Houses completed (performance year)" dataDxfId="25"/>
    <tableColumn id="9" xr3:uid="{D5106387-5247-4B54-A77E-2D311FEFCC56}" name="Houses completed (cumulative)" dataDxfId="24">
      <calculatedColumnFormula>S10+R11</calculatedColumnFormula>
    </tableColumn>
    <tableColumn id="10" xr3:uid="{32B78D93-BB3C-419F-B49B-2019BE6F2033}" name="Avoided emissions (existing basic weatherization efforts) mtCO2e" dataDxfId="23" dataCellStyle="Comma">
      <calculatedColumnFormula>(O11-P11)*S11</calculatedColumnFormula>
    </tableColumn>
    <tableColumn id="11" xr3:uid="{7665F6AD-3FD8-4DC4-83F2-33840F18A105}" name="Avoided emissions (proposed program - Package 10) mtCO2e" dataDxfId="22" dataCellStyle="Comma">
      <calculatedColumnFormula>(O11-Q11)*S11</calculatedColumnFormula>
    </tableColumn>
    <tableColumn id="12" xr3:uid="{7DBB73AE-F7F4-4AA7-B07E-D26299EE4270}" name="Avoided emissions from proposed program (mtCO2e)" dataDxfId="21" dataCellStyle="Comma">
      <calculatedColumnFormula>U11-T11</calculatedColumnFormula>
    </tableColumn>
  </tableColumns>
  <tableStyleInfo name="TableStyleLight1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A897B53-FC4D-41FD-ABB7-7FE5BD02E6A8}" name="Contents" displayName="Contents" ref="B2:C10" totalsRowShown="0">
  <autoFilter ref="B2:C10" xr:uid="{0A897B53-FC4D-41FD-ABB7-7FE5BD02E6A8}"/>
  <tableColumns count="2">
    <tableColumn id="1" xr3:uid="{4705D6B0-DE50-42CE-B608-09BC6CF8B358}" name="Worksheet " dataDxfId="120"/>
    <tableColumn id="2" xr3:uid="{B7877758-19EF-4105-A9B6-1809DFB72803}" name="Description" dataDxfId="119"/>
  </tableColumns>
  <tableStyleInfo name="TableStyleLight1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6F6FFDDD-F573-405B-BFFE-7BE99EB214CF}" name="CPRG_Annual" displayName="CPRG_Annual" ref="D10:J37" totalsRowCount="1" dataDxfId="20" dataCellStyle="Comma">
  <autoFilter ref="D10:J36" xr:uid="{6F6FFDDD-F573-405B-BFFE-7BE99EB214CF}"/>
  <tableColumns count="7">
    <tableColumn id="1" xr3:uid="{3E4A1973-06F9-44DA-94B8-9788371E57B8}" name="Year" totalsRowLabel="Total"/>
    <tableColumn id="2" xr3:uid="{CF548A07-C8FC-4497-90B1-FE751C5D466F}" name="Solar" totalsRowFunction="custom" dataDxfId="19" totalsRowDxfId="18" dataCellStyle="Comma">
      <calculatedColumnFormula>Measure1!L6</calculatedColumnFormula>
      <totalsRowFormula>SUM(CPRG_Annual[Solar])/CPRG_Annual[[#Totals],[Total]]</totalsRowFormula>
    </tableColumn>
    <tableColumn id="3" xr3:uid="{07B125A5-8D67-4F5A-860F-11F3BAE97BC6}" name="Revolving Green Fund" totalsRowFunction="custom" dataDxfId="17" totalsRowDxfId="16" dataCellStyle="Comma">
      <calculatedColumnFormula>Measure2!V11</calculatedColumnFormula>
      <totalsRowFormula>SUM(CPRG_Annual[Revolving Green Fund])/CPRG_Annual[[#Totals],[Total]]</totalsRowFormula>
    </tableColumn>
    <tableColumn id="4" xr3:uid="{4C6CAB1C-B8F4-4BDF-9749-09F1F9E82F3E}" name="Total" totalsRowFunction="sum" dataDxfId="15" totalsRowDxfId="14" dataCellStyle="Comma">
      <calculatedColumnFormula>SUM(E11:F11)</calculatedColumnFormula>
    </tableColumn>
    <tableColumn id="5" xr3:uid="{0416C437-110B-4591-916C-8833DB5680CF}" name="Measure 1: VPP" totalsRowFunction="custom" dataDxfId="13" totalsRowDxfId="12" dataCellStyle="Comma" totalsRowCellStyle="Percent">
      <calculatedColumnFormula>CPRG_Annual[[#This Row],[Solar]]*$M$5</calculatedColumnFormula>
      <totalsRowFormula>SUM(CPRG_Annual[Measure 1: VPP])/CPRG_Annual[[#Totals],[All measures]]</totalsRowFormula>
    </tableColumn>
    <tableColumn id="6" xr3:uid="{7BC484B2-299F-42E7-88B1-CF1407DC7833}" name="Measure 2: Green Fund" totalsRowFunction="custom" dataDxfId="11" totalsRowDxfId="10" dataCellStyle="Comma" totalsRowCellStyle="Percent">
      <calculatedColumnFormula>CPRG_Annual[[#This Row],[Revolving Green Fund]]*$N$5</calculatedColumnFormula>
      <totalsRowFormula>SUM(CPRG_Annual[Measure 2: Green Fund])/CPRG_Annual[[#Totals],[All measures]]</totalsRowFormula>
    </tableColumn>
    <tableColumn id="7" xr3:uid="{04BF54F4-0821-4743-8DA8-A337D3533474}" name="All measures" totalsRowFunction="sum" dataDxfId="9" totalsRowDxfId="8" dataCellStyle="Comma">
      <calculatedColumnFormula>SUM(CPRG_Annual[[#This Row],[Measure 1: VPP]:[Measure 2: Green Fund]])</calculatedColumnFormula>
    </tableColumn>
  </tableColumns>
  <tableStyleInfo name="TableStyleLight11"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7B8A136D-7368-44D2-9985-F82EE0A0CA94}" name="CPRG_GHG" displayName="CPRG_GHG" ref="L2:O8" totalsRowShown="0">
  <autoFilter ref="L2:O8" xr:uid="{7B8A136D-7368-44D2-9985-F82EE0A0CA94}"/>
  <tableColumns count="4">
    <tableColumn id="1" xr3:uid="{6F16C9B3-3E9C-4222-A3DB-155A24E06FA8}" name="Column1"/>
    <tableColumn id="2" xr3:uid="{D6172A77-EDCB-43BC-8A41-EED44E21C66A}" name="VPP"/>
    <tableColumn id="3" xr3:uid="{E8340731-B408-4D23-8B40-64C41FC31D92}" name="Green Fund"/>
    <tableColumn id="4" xr3:uid="{C211B2F1-7420-465D-A10E-B3A001376547}" name="Total"/>
  </tableColumns>
  <tableStyleInfo name="TableStyleLight11" showFirstColumn="1" showLastColumn="1"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AF8B429-BBBE-4C50-A62A-44D30A7EEEA1}" name="Table14" displayName="Table14" ref="D39:J41" totalsRowShown="0" headerRowDxfId="7">
  <autoFilter ref="D39:J41" xr:uid="{0AF8B429-BBBE-4C50-A62A-44D30A7EEEA1}"/>
  <tableColumns count="7">
    <tableColumn id="1" xr3:uid="{2E20E82F-038F-40E1-81ED-9B9F22CF07EB}" name="Column1"/>
    <tableColumn id="2" xr3:uid="{04E84FA4-314A-40AA-ABB0-3B112513EBBF}" name="Column2" dataDxfId="6">
      <calculatedColumnFormula>SUM(E11:E16)</calculatedColumnFormula>
    </tableColumn>
    <tableColumn id="3" xr3:uid="{8B887B5A-3177-4B4A-973F-2743575A4328}" name="Column3" dataDxfId="5">
      <calculatedColumnFormula>SUM(F11:F16)</calculatedColumnFormula>
    </tableColumn>
    <tableColumn id="4" xr3:uid="{5834AA43-EB66-4D7D-8DD2-F118676F27D8}" name="Column4" dataDxfId="4">
      <calculatedColumnFormula>SUM(G11:G16)</calculatedColumnFormula>
    </tableColumn>
    <tableColumn id="5" xr3:uid="{9AB4F88B-B743-465E-AF55-7DD77C73D586}" name="Measure 1 - VPP" dataDxfId="3">
      <calculatedColumnFormula>SUM(CPRG_Annual[Measure 1: VPP])</calculatedColumnFormula>
    </tableColumn>
    <tableColumn id="6" xr3:uid="{23B05F1B-D169-48A7-ABF6-04654348417F}" name="Measure 2: Green Fund" dataDxfId="2">
      <calculatedColumnFormula>SUM(CPRG_Annual[Measure 2: Green Fund])</calculatedColumnFormula>
    </tableColumn>
    <tableColumn id="7" xr3:uid="{44099C17-977C-4A79-B29F-8E6B9FD1EB8E}" name="All Measures" dataDxfId="1">
      <calculatedColumnFormula>SUM(CPRG_Annual[All measures])</calculatedColumnFormula>
    </tableColumn>
  </tableColumns>
  <tableStyleInfo name="TableStyleLight1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E64F5EA8-5DF6-4317-A771-2F6D99808FC2}" name="PJM" displayName="PJM" ref="B3:L32" totalsRowShown="0" headerRowDxfId="118">
  <autoFilter ref="B3:L32" xr:uid="{AC9C049D-EA5F-4CDD-A0CC-627771C9349C}"/>
  <sortState xmlns:xlrd2="http://schemas.microsoft.com/office/spreadsheetml/2017/richdata2" ref="B4:D32">
    <sortCondition ref="B5:B35"/>
  </sortState>
  <tableColumns count="11">
    <tableColumn id="1" xr3:uid="{D441FA9B-31A1-45C4-92A6-860E0926CEEE}" name="Year"/>
    <tableColumn id="2" xr3:uid="{7B1EB79C-C652-4552-BD90-92C96A1B8049}" name="Emissions: Carbon Dioxide (MMst) MMst"/>
    <tableColumn id="3" xr3:uid="{D640E790-FA1B-4039-9A1D-46B3BDFEDAC0}" name="Total Electricity Generation (BkWh) BkWh"/>
    <tableColumn id="4" xr3:uid="{BDEE9964-6FD6-4495-BC5E-17E03C315E4B}" name="Emissions: Carbon Dioxide (MMst) MMst2"/>
    <tableColumn id="5" xr3:uid="{D925DCD5-41B2-4CE1-90B3-35B4972C977E}" name="Total Electricity Generation (BkWh) BkWh3"/>
    <tableColumn id="6" xr3:uid="{1E09AA50-35E9-4A45-83CF-FD070C7D9942}" name="Emissions: Carbon Dioxide (MMst) MMst3"/>
    <tableColumn id="7" xr3:uid="{4AFBDA1D-3C05-4185-8EED-A86BA66111C9}" name="Total Electricity Generation (BkWh) BkWh4"/>
    <tableColumn id="8" xr3:uid="{5C253594-9976-4EFC-8287-F2891BCFAE6E}" name="Emissions: Carbon Dioxide (MMst) MMst4"/>
    <tableColumn id="9" xr3:uid="{ADE8737D-95DF-4F5D-8B53-94BB375A4EFA}" name="Total Electricity Generation (BkWh) BkWh5"/>
    <tableColumn id="10" xr3:uid="{71FE8E27-1660-4A1A-85DA-A7B079992A0E}" name="Emissions: Carbon Dioxide (MMst) MMst42" dataDxfId="117">
      <calculatedColumnFormula>SUM(C4,E4,G4,I4)</calculatedColumnFormula>
    </tableColumn>
    <tableColumn id="11" xr3:uid="{80FA40F6-82D0-4F2E-B21F-4AE40AD9460F}" name="Total Electricity Generation (BkWh) BkWh53" dataDxfId="116">
      <calculatedColumnFormula>SUM(D4,F4,H4,J4)</calculatedColumnFormula>
    </tableColumn>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6DC93A7-FD87-4B1A-B446-61A0268DD9B0}" name="GridCO2" displayName="GridCO2" ref="A5:G35" totalsRowCount="1" headerRowDxfId="115">
  <autoFilter ref="A5:G34" xr:uid="{86DC93A7-FD87-4B1A-B446-61A0268DD9B0}"/>
  <sortState xmlns:xlrd2="http://schemas.microsoft.com/office/spreadsheetml/2017/richdata2" ref="A6:F34">
    <sortCondition ref="A5:A34"/>
  </sortState>
  <tableColumns count="7">
    <tableColumn id="1" xr3:uid="{98BDB7F4-DDC4-47A3-8665-FFA2698FA6A0}" name="Year"/>
    <tableColumn id="2" xr3:uid="{42A673BF-7A15-4EFC-92C3-B69A1FA60EC3}" name="Emissions: Carbon Dioxide (MMst) MMst">
      <calculatedColumnFormula>'EIA PJM Total'!K4</calculatedColumnFormula>
    </tableColumn>
    <tableColumn id="3" xr3:uid="{E0F3718B-17DF-4001-BF76-6C58CBB2FC7C}" name="Total Electricity Generation (BkWh) BkWh" totalsRowDxfId="114">
      <calculatedColumnFormula>'EIA PJM Total'!L4</calculatedColumnFormula>
    </tableColumn>
    <tableColumn id="4" xr3:uid="{37160A61-1F0D-4399-B3BB-D5A2E01D1CB5}" name="CO2 emissions (metric tons)" dataDxfId="113" totalsRowDxfId="112">
      <calculatedColumnFormula>B6*1000000*0.9071847</calculatedColumnFormula>
    </tableColumn>
    <tableColumn id="5" xr3:uid="{8C6F71FB-DCC3-4B38-A05F-0031F582257B}" name="Electricity Generation (MWh)" dataDxfId="111" totalsRowDxfId="110">
      <calculatedColumnFormula>C6*1000000</calculatedColumnFormula>
    </tableColumn>
    <tableColumn id="6" xr3:uid="{54D1EE4D-72BD-4D2F-9221-8D39FB966B05}" name="EIA Emissions Rate (mtCO2/MWh)">
      <calculatedColumnFormula>D6/E6</calculatedColumnFormula>
    </tableColumn>
    <tableColumn id="7" xr3:uid="{5D11922F-09D1-4EC0-92D0-0EE6E1437AB0}" name="EIA + AVERT Emissions Rate (mtCO2/MWh)2" dataDxfId="109">
      <calculatedColumnFormula>CONVERT(1391,"lbm","kg")/1000</calculatedColumnFormula>
    </tableColumn>
  </tableColumns>
  <tableStyleInfo name="TableStyleLight1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913A4221-224E-47DC-834D-92B60A9E390D}" name="Table15" displayName="Table15" ref="Q9:Y21" totalsRowShown="0" headerRowDxfId="108">
  <autoFilter ref="Q9:Y21" xr:uid="{913A4221-224E-47DC-834D-92B60A9E390D}"/>
  <tableColumns count="9">
    <tableColumn id="1" xr3:uid="{1DB6993E-1EF9-46C7-9F6F-52F1E23CD1E4}" name="Year" dataDxfId="107"/>
    <tableColumn id="9" xr3:uid="{057055C0-691A-4AB1-8265-15212C7B6523}" name="Year No." dataDxfId="106"/>
    <tableColumn id="2" xr3:uid="{27CAC66F-A37F-41F9-BD69-0790936C2672}" name="AVERT"/>
    <tableColumn id="3" xr3:uid="{F167CA61-4A41-434D-B38B-14EC2F5665E8}" name="Cambium SRMER" dataDxfId="105"/>
    <tableColumn id="4" xr3:uid="{4EAA69CF-95F3-4806-A117-FB3D143D0885}" name="Cambium LRMER" dataDxfId="104"/>
    <tableColumn id="5" xr3:uid="{029A2E08-7067-4969-B444-C6EDBF141B7C}" name="Avg (lbCO2/MWh)" dataDxfId="103">
      <calculatedColumnFormula>AVERAGE(T10:U10)</calculatedColumnFormula>
    </tableColumn>
    <tableColumn id="6" xr3:uid="{F42A31A6-0EF9-4EB6-A4D4-6D88BB51E3CB}" name="Cambium SRMER2">
      <calculatedColumnFormula>CONVERT(T10,"lbm","kg")/1000</calculatedColumnFormula>
    </tableColumn>
    <tableColumn id="7" xr3:uid="{C0991242-709F-4A99-A88E-40FAAAD99BA1}" name="Cambium LRMER3">
      <calculatedColumnFormula>CONVERT(U10,"lbm","kg")/1000</calculatedColumnFormula>
    </tableColumn>
    <tableColumn id="8" xr3:uid="{8487E819-E3E2-4E8B-A8E1-D687D7603724}" name="Average">
      <calculatedColumnFormula>CONVERT(V10,"lbm","kg")/1000</calculatedColumnFormula>
    </tableColumn>
  </tableColumns>
  <tableStyleInfo name="TableStyleLight1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293F15DE-27AB-417B-9199-5F8F2E93F655}" name="Table16" displayName="Table16" ref="AA9:AD12" totalsRowCount="1" headerRowDxfId="102">
  <autoFilter ref="AA9:AD11" xr:uid="{293F15DE-27AB-417B-9199-5F8F2E93F655}"/>
  <tableColumns count="4">
    <tableColumn id="1" xr3:uid="{90AD815C-859E-4BF9-9DB5-1CEC339734D1}" name="Scenario"/>
    <tableColumn id="4" xr3:uid="{8DA4638A-6BAB-4CA5-A5B7-657EABE5D895}" name="Years Range"/>
    <tableColumn id="2" xr3:uid="{F24E8265-06AB-4202-AF14-83CC3DACE45B}" name="Slope">
      <calculatedColumnFormula>INTERCEPT($Y$14:$Y$19,$R$14:$R$19)</calculatedColumnFormula>
    </tableColumn>
    <tableColumn id="3" xr3:uid="{6B405A76-9D59-4C8E-AB2B-6955F9B05ACF}" name="Y-Intercept" dataDxfId="101">
      <calculatedColumnFormula>INTERCEPT($Y$14:$Y$19,$R$14:$R$19)</calculatedColumnFormula>
    </tableColumn>
  </tableColumns>
  <tableStyleInfo name="TableStyleLight1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20F873D4-4871-409E-9330-54293614280C}" name="Table19" displayName="Table19" ref="AF9:AJ35" totalsRowShown="0" headerRowDxfId="100">
  <autoFilter ref="AF9:AJ35" xr:uid="{20F873D4-4871-409E-9330-54293614280C}"/>
  <tableColumns count="5">
    <tableColumn id="1" xr3:uid="{F9F8BA8A-5BFA-4E90-AFAD-1980CCEA7417}" name="Year" dataDxfId="99"/>
    <tableColumn id="2" xr3:uid="{F423881A-EBD0-44C8-8C07-4166EDF8BC78}" name="Year No."/>
    <tableColumn id="3" xr3:uid="{DE7C06C8-ECE5-44EB-BB1F-F50E7738D044}" name="EIA">
      <calculatedColumnFormula>'Grid GHG'!F9</calculatedColumnFormula>
    </tableColumn>
    <tableColumn id="4" xr3:uid="{BA6FA76A-A308-46B2-BCF8-A2960202B732}" name="AVERT-Cambium Avg." dataDxfId="98">
      <calculatedColumnFormula>slope_long*AG10+Y0_long</calculatedColumnFormula>
    </tableColumn>
    <tableColumn id="5" xr3:uid="{2EE1ED24-AA93-4DA4-A566-3080BF3A0302}" name="AVERT 2022 at EIA rate of change">
      <calculatedColumnFormula>'Grid GHG'!G9</calculatedColumnFormula>
    </tableColumn>
  </tableColumns>
  <tableStyleInfo name="TableStyleLight1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AF309BE8-42E5-4F96-BA19-A66094D6B227}" name="Table20" displayName="Table20" ref="AL9:AP36" totalsRowCount="1" headerRowDxfId="97" tableBorderDxfId="96">
  <autoFilter ref="AL9:AP35" xr:uid="{AF309BE8-42E5-4F96-BA19-A66094D6B227}"/>
  <tableColumns count="5">
    <tableColumn id="1" xr3:uid="{7DCCD65E-8121-438A-8E47-C08A178D5E4B}" name="Year" totalsRowLabel="Total" dataDxfId="95" totalsRowDxfId="94"/>
    <tableColumn id="5" xr3:uid="{7061EF77-DF98-4C46-A1CF-5F3816CA3CF3}" name="VPP Output" totalsRowFunction="sum" dataDxfId="93" totalsRowDxfId="92">
      <calculatedColumnFormula>Measure1!H6</calculatedColumnFormula>
    </tableColumn>
    <tableColumn id="2" xr3:uid="{CEC241C7-5D26-4A92-8178-B8943F9DF150}" name="EIA" totalsRowFunction="sum" dataDxfId="91" totalsRowDxfId="90">
      <calculatedColumnFormula>Table20[[#This Row],[VPP Output]]*Table19[[#This Row],[EIA]]</calculatedColumnFormula>
    </tableColumn>
    <tableColumn id="3" xr3:uid="{E7AB5BAC-F8AB-49DC-A270-CFBF41E184FC}" name="AVERT-Cambium Avg." totalsRowFunction="sum" dataDxfId="89" totalsRowDxfId="88">
      <calculatedColumnFormula>Table20[[#This Row],[VPP Output]]*Table19[[#This Row],[AVERT-Cambium Avg.]]</calculatedColumnFormula>
    </tableColumn>
    <tableColumn id="4" xr3:uid="{74882A56-3628-4BEC-950D-C322AAA6630E}" name="AVERT 2022 at EIA rate of change" totalsRowFunction="sum" dataDxfId="87" totalsRowDxfId="86">
      <calculatedColumnFormula>Table20[[#This Row],[VPP Output]]*Table19[[#This Row],[AVERT 2022 at EIA rate of change]]</calculatedColumnFormula>
    </tableColumn>
  </tableColumns>
  <tableStyleInfo name="TableStyleLight1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34436820-285C-44E1-8874-4F2D723E7042}" name="AVERT_module_outpu" displayName="AVERT_module_outpu" ref="B8:O21" totalsRowShown="0" headerRowDxfId="85" dataDxfId="84" tableBorderDxfId="83">
  <autoFilter ref="B8:O21" xr:uid="{34436820-285C-44E1-8874-4F2D723E7042}"/>
  <tableColumns count="14">
    <tableColumn id="1" xr3:uid="{4241B07C-90E3-4AA4-B854-6703ECA85847}" name="Column1" dataDxfId="82"/>
    <tableColumn id="2" xr3:uid="{B4F1F79B-BB2E-44D5-ADA9-19BF2B1EF5CC}" name="Column2" dataDxfId="81"/>
    <tableColumn id="3" xr3:uid="{7FEF380E-A908-4AD9-8641-4F74CAA26134}" name="2017" dataDxfId="80"/>
    <tableColumn id="4" xr3:uid="{95625966-F301-4309-8DED-466F477EFEF6}" name="2018" dataDxfId="79"/>
    <tableColumn id="5" xr3:uid="{81686A9B-D726-4A44-A78B-E2E750084FA6}" name="2019" dataDxfId="78"/>
    <tableColumn id="6" xr3:uid="{472AED79-55B8-463B-9ACD-C3FAEF26EA81}" name="2020" dataDxfId="77"/>
    <tableColumn id="7" xr3:uid="{119235E3-0328-44E3-9FC9-D51F33E0F6A1}" name="2021" dataDxfId="76"/>
    <tableColumn id="8" xr3:uid="{E69967ED-CDB1-44DB-A283-25E661657E94}" name="2022" dataDxfId="75"/>
    <tableColumn id="9" xr3:uid="{24C60D7E-A987-4341-BC73-DA3241FD6955}" name="2024" dataDxfId="74"/>
    <tableColumn id="10" xr3:uid="{539D7ACD-F902-412D-99B5-BD5B48559B78}" name="2026" dataDxfId="73"/>
    <tableColumn id="11" xr3:uid="{699B529C-3AB4-436D-8945-C562D983C2C5}" name="2028" dataDxfId="72"/>
    <tableColumn id="12" xr3:uid="{F0F0F7F4-08DC-484E-9803-A49E8C9A8FE7}" name="2030" dataDxfId="71"/>
    <tableColumn id="13" xr3:uid="{0DE98D6F-8F91-4A7C-9412-EA7D8FF655BB}" name="2035" dataDxfId="70"/>
    <tableColumn id="14" xr3:uid="{580F4D36-9DD3-4B7F-96CB-C5B64D20BFDD}" name="2040" dataDxfId="69"/>
  </tableColumns>
  <tableStyleInfo name="TableStyleLight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3.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ia.gov/outlooks/aeo/pdf/nerc_map.pdf" TargetMode="External"/><Relationship Id="rId1" Type="http://schemas.openxmlformats.org/officeDocument/2006/relationships/hyperlink" Target="https://www.eia.gov/tools/faqs/faq.php?id=7&amp;t=2" TargetMode="External"/><Relationship Id="rId5" Type="http://schemas.openxmlformats.org/officeDocument/2006/relationships/table" Target="../tables/table4.xm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drawing" Target="../drawings/drawing2.xml"/><Relationship Id="rId6" Type="http://schemas.openxmlformats.org/officeDocument/2006/relationships/table" Target="../tables/table9.xml"/><Relationship Id="rId5" Type="http://schemas.openxmlformats.org/officeDocument/2006/relationships/table" Target="../tables/table8.xml"/><Relationship Id="rId4" Type="http://schemas.openxmlformats.org/officeDocument/2006/relationships/table" Target="../tables/table7.xml"/></Relationships>
</file>

<file path=xl/worksheets/_rels/sheet5.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table" Target="../tables/table11.xml"/><Relationship Id="rId1" Type="http://schemas.openxmlformats.org/officeDocument/2006/relationships/table" Target="../tables/table10.xml"/><Relationship Id="rId5" Type="http://schemas.openxmlformats.org/officeDocument/2006/relationships/table" Target="../tables/table14.xml"/><Relationship Id="rId4" Type="http://schemas.openxmlformats.org/officeDocument/2006/relationships/table" Target="../tables/table13.xml"/></Relationships>
</file>

<file path=xl/worksheets/_rels/sheet6.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table" Target="../tables/table1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table" Target="../tables/table18.xml"/><Relationship Id="rId1" Type="http://schemas.openxmlformats.org/officeDocument/2006/relationships/table" Target="../tables/table17.xml"/></Relationships>
</file>

<file path=xl/worksheets/_rels/sheet8.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table" Target="../tables/table20.xml"/><Relationship Id="rId1" Type="http://schemas.openxmlformats.org/officeDocument/2006/relationships/drawing" Target="../drawings/drawing3.xml"/><Relationship Id="rId4" Type="http://schemas.openxmlformats.org/officeDocument/2006/relationships/table" Target="../tables/table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F8D09-FF3F-4F6A-B6A9-3703CE4B65D6}">
  <sheetPr>
    <tabColor rgb="FFFFFF00"/>
  </sheetPr>
  <dimension ref="B2:H21"/>
  <sheetViews>
    <sheetView showGridLines="0" workbookViewId="0">
      <selection activeCell="B3" sqref="B3:C10"/>
    </sheetView>
  </sheetViews>
  <sheetFormatPr baseColWidth="10" defaultColWidth="8.83203125" defaultRowHeight="15" x14ac:dyDescent="0.2"/>
  <cols>
    <col min="2" max="2" width="17.33203125" style="48" bestFit="1" customWidth="1"/>
    <col min="3" max="3" width="73.83203125" style="49" bestFit="1" customWidth="1"/>
    <col min="4" max="4" width="15.5" bestFit="1" customWidth="1"/>
    <col min="5" max="5" width="15.1640625" bestFit="1" customWidth="1"/>
    <col min="6" max="6" width="14" bestFit="1" customWidth="1"/>
    <col min="7" max="7" width="22.33203125" bestFit="1" customWidth="1"/>
    <col min="8" max="8" width="58.6640625" bestFit="1" customWidth="1"/>
  </cols>
  <sheetData>
    <row r="2" spans="2:8" ht="16" x14ac:dyDescent="0.2">
      <c r="B2" s="48" t="s">
        <v>0</v>
      </c>
      <c r="C2" s="49" t="s">
        <v>1</v>
      </c>
    </row>
    <row r="3" spans="2:8" x14ac:dyDescent="0.2">
      <c r="B3" s="50" t="s">
        <v>2</v>
      </c>
      <c r="C3" t="s">
        <v>3</v>
      </c>
    </row>
    <row r="4" spans="2:8" ht="16" x14ac:dyDescent="0.2">
      <c r="B4" s="90" t="s">
        <v>4</v>
      </c>
      <c r="C4" s="49" t="s">
        <v>5</v>
      </c>
    </row>
    <row r="5" spans="2:8" ht="16" x14ac:dyDescent="0.2">
      <c r="B5" s="50" t="s">
        <v>6</v>
      </c>
      <c r="C5" s="49" t="s">
        <v>7</v>
      </c>
    </row>
    <row r="6" spans="2:8" ht="16" x14ac:dyDescent="0.2">
      <c r="B6" s="50" t="s">
        <v>8</v>
      </c>
      <c r="C6" s="49" t="s">
        <v>9</v>
      </c>
    </row>
    <row r="7" spans="2:8" ht="16" x14ac:dyDescent="0.2">
      <c r="B7" s="50" t="s">
        <v>10</v>
      </c>
      <c r="C7" s="49" t="s">
        <v>11</v>
      </c>
    </row>
    <row r="8" spans="2:8" ht="16" x14ac:dyDescent="0.2">
      <c r="B8" s="50" t="s">
        <v>12</v>
      </c>
      <c r="C8" s="49" t="s">
        <v>13</v>
      </c>
    </row>
    <row r="9" spans="2:8" ht="16" x14ac:dyDescent="0.2">
      <c r="B9" s="50" t="s">
        <v>14</v>
      </c>
      <c r="C9" s="49" t="s">
        <v>15</v>
      </c>
    </row>
    <row r="10" spans="2:8" ht="16" x14ac:dyDescent="0.2">
      <c r="B10" s="50" t="s">
        <v>16</v>
      </c>
      <c r="C10" s="49" t="s">
        <v>17</v>
      </c>
    </row>
    <row r="16" spans="2:8" ht="16" x14ac:dyDescent="0.2">
      <c r="C16" s="49" t="s">
        <v>18</v>
      </c>
      <c r="D16" t="s">
        <v>19</v>
      </c>
      <c r="E16" t="s">
        <v>20</v>
      </c>
      <c r="F16" t="s">
        <v>21</v>
      </c>
      <c r="G16" t="s">
        <v>22</v>
      </c>
      <c r="H16" t="s">
        <v>23</v>
      </c>
    </row>
    <row r="17" spans="3:8" ht="16" x14ac:dyDescent="0.2">
      <c r="C17" s="49" t="s">
        <v>24</v>
      </c>
      <c r="D17" s="3" t="s">
        <v>25</v>
      </c>
      <c r="E17" s="3" t="s">
        <v>25</v>
      </c>
      <c r="F17" s="3" t="s">
        <v>25</v>
      </c>
      <c r="G17" s="3" t="s">
        <v>25</v>
      </c>
      <c r="H17" t="s">
        <v>26</v>
      </c>
    </row>
    <row r="18" spans="3:8" ht="16" x14ac:dyDescent="0.2">
      <c r="C18" s="49" t="s">
        <v>27</v>
      </c>
      <c r="D18">
        <v>52.91</v>
      </c>
      <c r="E18" t="s">
        <v>28</v>
      </c>
      <c r="F18">
        <f>D18/1000</f>
        <v>5.2909999999999999E-2</v>
      </c>
      <c r="G18" t="s">
        <v>29</v>
      </c>
      <c r="H18" t="s">
        <v>30</v>
      </c>
    </row>
    <row r="19" spans="3:8" ht="16" x14ac:dyDescent="0.2">
      <c r="C19" s="49" t="s">
        <v>31</v>
      </c>
      <c r="D19" s="10">
        <v>0.6</v>
      </c>
      <c r="E19" t="s">
        <v>32</v>
      </c>
      <c r="F19" t="s">
        <v>32</v>
      </c>
      <c r="G19" t="s">
        <v>32</v>
      </c>
      <c r="H19" t="s">
        <v>33</v>
      </c>
    </row>
    <row r="20" spans="3:8" ht="16" x14ac:dyDescent="0.2">
      <c r="C20" s="49" t="s">
        <v>34</v>
      </c>
      <c r="D20" s="3" t="s">
        <v>25</v>
      </c>
      <c r="E20" s="3" t="s">
        <v>25</v>
      </c>
      <c r="F20" s="3" t="s">
        <v>25</v>
      </c>
      <c r="G20" s="3" t="s">
        <v>25</v>
      </c>
      <c r="H20" t="s">
        <v>35</v>
      </c>
    </row>
    <row r="21" spans="3:8" ht="16" x14ac:dyDescent="0.2">
      <c r="C21" s="49" t="s">
        <v>36</v>
      </c>
      <c r="D21" s="3" t="s">
        <v>25</v>
      </c>
      <c r="E21" s="3" t="s">
        <v>25</v>
      </c>
      <c r="F21" s="3" t="s">
        <v>25</v>
      </c>
      <c r="G21" s="3" t="s">
        <v>25</v>
      </c>
      <c r="H21" t="s">
        <v>37</v>
      </c>
    </row>
  </sheetData>
  <hyperlinks>
    <hyperlink ref="B3" location="Contents!A1" display="Contents" xr:uid="{574E44BA-79D2-429E-B513-132BC6F93DF3}"/>
    <hyperlink ref="B5" location="'Grid GHG'!A1" display="Grid GHG " xr:uid="{1FF4E3C5-0F2A-4E3B-9FDE-A042A9304520}"/>
    <hyperlink ref="B7" location="Measure1!A1" display="Measure1" xr:uid="{9549F321-02BE-43B6-87ED-9BEC35E241F6}"/>
    <hyperlink ref="B8" location="ResStock!A1" display="ResStock™" xr:uid="{A852D448-B537-440A-AA26-5462C975B150}"/>
    <hyperlink ref="B9" location="Measure2!A1" display="Measure2" xr:uid="{ABB9E98A-F649-4242-8743-BE586B33DC3D}"/>
    <hyperlink ref="B10" location="Summary!A1" display="Summary" xr:uid="{478E3E3B-B4F1-4715-A783-40C5AD91A332}"/>
    <hyperlink ref="B4" location="'EIA PJM Total'!A1" display="EIA PJM Total" xr:uid="{163384FC-FEC7-4EFE-A5AD-869456992BEF}"/>
  </hyperlinks>
  <pageMargins left="0.7" right="0.7" top="0.75" bottom="0.75" header="0.3" footer="0.3"/>
  <tableParts count="2">
    <tablePart r:id="rId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1D524-C9B8-48B9-A98E-952EE39E741D}">
  <sheetPr>
    <tabColor theme="6" tint="-0.249977111117893"/>
  </sheetPr>
  <dimension ref="B1:L32"/>
  <sheetViews>
    <sheetView workbookViewId="0">
      <selection activeCell="C17" sqref="C17"/>
    </sheetView>
  </sheetViews>
  <sheetFormatPr baseColWidth="10" defaultColWidth="8.83203125" defaultRowHeight="15" x14ac:dyDescent="0.2"/>
  <cols>
    <col min="2" max="2" width="7.1640625" bestFit="1" customWidth="1"/>
    <col min="3" max="10" width="14.6640625" customWidth="1"/>
    <col min="11" max="11" width="16.83203125" bestFit="1" customWidth="1"/>
    <col min="12" max="12" width="17.1640625" bestFit="1" customWidth="1"/>
  </cols>
  <sheetData>
    <row r="1" spans="2:12" ht="16" thickBot="1" x14ac:dyDescent="0.25"/>
    <row r="2" spans="2:12" x14ac:dyDescent="0.2">
      <c r="C2" s="97" t="s">
        <v>38</v>
      </c>
      <c r="D2" s="98"/>
      <c r="E2" s="97" t="s">
        <v>39</v>
      </c>
      <c r="F2" s="98"/>
      <c r="G2" s="97" t="s">
        <v>40</v>
      </c>
      <c r="H2" s="98"/>
      <c r="I2" s="97" t="s">
        <v>41</v>
      </c>
      <c r="J2" s="98"/>
      <c r="K2" s="97" t="s">
        <v>42</v>
      </c>
      <c r="L2" s="98"/>
    </row>
    <row r="3" spans="2:12" s="47" customFormat="1" ht="53" customHeight="1" x14ac:dyDescent="0.2">
      <c r="B3" s="47" t="s">
        <v>43</v>
      </c>
      <c r="C3" s="47" t="s">
        <v>44</v>
      </c>
      <c r="D3" s="47" t="s">
        <v>45</v>
      </c>
      <c r="E3" s="47" t="s">
        <v>46</v>
      </c>
      <c r="F3" s="47" t="s">
        <v>47</v>
      </c>
      <c r="G3" s="47" t="s">
        <v>48</v>
      </c>
      <c r="H3" s="47" t="s">
        <v>49</v>
      </c>
      <c r="I3" s="47" t="s">
        <v>50</v>
      </c>
      <c r="J3" s="47" t="s">
        <v>51</v>
      </c>
      <c r="K3" s="84" t="s">
        <v>52</v>
      </c>
      <c r="L3" s="85" t="s">
        <v>53</v>
      </c>
    </row>
    <row r="4" spans="2:12" x14ac:dyDescent="0.2">
      <c r="B4">
        <v>2022</v>
      </c>
      <c r="C4">
        <v>124.365494</v>
      </c>
      <c r="D4">
        <v>351.419037</v>
      </c>
      <c r="E4">
        <v>177.348175</v>
      </c>
      <c r="F4">
        <v>318.30783100000002</v>
      </c>
      <c r="G4">
        <v>177.348175</v>
      </c>
      <c r="H4">
        <v>318.30783100000002</v>
      </c>
      <c r="I4">
        <v>32.130794999999999</v>
      </c>
      <c r="J4">
        <v>105.21386</v>
      </c>
      <c r="K4" s="86">
        <f t="shared" ref="K4:L32" si="0">SUM(C4,E4,G4,I4)</f>
        <v>511.19263899999993</v>
      </c>
      <c r="L4" s="86">
        <f t="shared" si="0"/>
        <v>1093.2485590000001</v>
      </c>
    </row>
    <row r="5" spans="2:12" x14ac:dyDescent="0.2">
      <c r="B5">
        <v>2023</v>
      </c>
      <c r="C5">
        <v>110.714096</v>
      </c>
      <c r="D5">
        <v>331.53103599999997</v>
      </c>
      <c r="E5">
        <v>166.47967499999999</v>
      </c>
      <c r="F5">
        <v>311.56545999999997</v>
      </c>
      <c r="G5">
        <v>166.47967499999999</v>
      </c>
      <c r="H5">
        <v>311.56545999999997</v>
      </c>
      <c r="I5">
        <v>36.083660000000002</v>
      </c>
      <c r="J5">
        <v>113.504227</v>
      </c>
      <c r="K5" s="86">
        <f t="shared" si="0"/>
        <v>479.75710599999996</v>
      </c>
      <c r="L5" s="87">
        <f t="shared" si="0"/>
        <v>1068.1661829999998</v>
      </c>
    </row>
    <row r="6" spans="2:12" x14ac:dyDescent="0.2">
      <c r="B6">
        <v>2024</v>
      </c>
      <c r="C6">
        <v>107.347511</v>
      </c>
      <c r="D6">
        <v>335.45214800000002</v>
      </c>
      <c r="E6">
        <v>172.329498</v>
      </c>
      <c r="F6">
        <v>320.71948200000003</v>
      </c>
      <c r="G6">
        <v>172.329498</v>
      </c>
      <c r="H6">
        <v>320.71948200000003</v>
      </c>
      <c r="I6">
        <v>32.537616999999997</v>
      </c>
      <c r="J6">
        <v>108.855659</v>
      </c>
      <c r="K6" s="86">
        <f t="shared" si="0"/>
        <v>484.54412400000001</v>
      </c>
      <c r="L6" s="87">
        <f t="shared" si="0"/>
        <v>1085.7467710000001</v>
      </c>
    </row>
    <row r="7" spans="2:12" x14ac:dyDescent="0.2">
      <c r="B7">
        <v>2025</v>
      </c>
      <c r="C7">
        <v>101.19240600000001</v>
      </c>
      <c r="D7">
        <v>334.06100500000002</v>
      </c>
      <c r="E7">
        <v>168.614182</v>
      </c>
      <c r="F7">
        <v>335.70306399999998</v>
      </c>
      <c r="G7">
        <v>168.614182</v>
      </c>
      <c r="H7">
        <v>335.70306399999998</v>
      </c>
      <c r="I7">
        <v>29.113396000000002</v>
      </c>
      <c r="J7">
        <v>102.04106899999999</v>
      </c>
      <c r="K7" s="86">
        <f t="shared" si="0"/>
        <v>467.53416600000008</v>
      </c>
      <c r="L7" s="87">
        <f t="shared" si="0"/>
        <v>1107.508202</v>
      </c>
    </row>
    <row r="8" spans="2:12" x14ac:dyDescent="0.2">
      <c r="B8">
        <v>2026</v>
      </c>
      <c r="C8">
        <v>97.224716000000001</v>
      </c>
      <c r="D8">
        <v>326.95315599999998</v>
      </c>
      <c r="E8">
        <v>165.582977</v>
      </c>
      <c r="F8">
        <v>345.96194500000001</v>
      </c>
      <c r="G8">
        <v>165.582977</v>
      </c>
      <c r="H8">
        <v>345.96194500000001</v>
      </c>
      <c r="I8">
        <v>28.945350999999999</v>
      </c>
      <c r="J8">
        <v>104.10524700000001</v>
      </c>
      <c r="K8" s="86">
        <f t="shared" si="0"/>
        <v>457.33602100000002</v>
      </c>
      <c r="L8" s="87">
        <f t="shared" si="0"/>
        <v>1122.982293</v>
      </c>
    </row>
    <row r="9" spans="2:12" x14ac:dyDescent="0.2">
      <c r="B9">
        <v>2027</v>
      </c>
      <c r="C9">
        <v>95.170692000000003</v>
      </c>
      <c r="D9">
        <v>331.14889499999998</v>
      </c>
      <c r="E9">
        <v>159.132126</v>
      </c>
      <c r="F9">
        <v>363.62396200000001</v>
      </c>
      <c r="G9">
        <v>159.132126</v>
      </c>
      <c r="H9">
        <v>363.62396200000001</v>
      </c>
      <c r="I9">
        <v>24.111357000000002</v>
      </c>
      <c r="J9">
        <v>100.78935199999999</v>
      </c>
      <c r="K9" s="86">
        <f t="shared" si="0"/>
        <v>437.54630099999997</v>
      </c>
      <c r="L9" s="87">
        <f t="shared" si="0"/>
        <v>1159.1861710000001</v>
      </c>
    </row>
    <row r="10" spans="2:12" x14ac:dyDescent="0.2">
      <c r="B10">
        <v>2028</v>
      </c>
      <c r="C10">
        <v>89.810524000000001</v>
      </c>
      <c r="D10">
        <v>334.715485</v>
      </c>
      <c r="E10">
        <v>152.499619</v>
      </c>
      <c r="F10">
        <v>363.862549</v>
      </c>
      <c r="G10">
        <v>152.499619</v>
      </c>
      <c r="H10">
        <v>363.862549</v>
      </c>
      <c r="I10">
        <v>24.485764</v>
      </c>
      <c r="J10">
        <v>101.69957700000001</v>
      </c>
      <c r="K10" s="86">
        <f t="shared" si="0"/>
        <v>419.295526</v>
      </c>
      <c r="L10" s="87">
        <f t="shared" si="0"/>
        <v>1164.1401600000002</v>
      </c>
    </row>
    <row r="11" spans="2:12" x14ac:dyDescent="0.2">
      <c r="B11">
        <v>2029</v>
      </c>
      <c r="C11">
        <v>83.372787000000002</v>
      </c>
      <c r="D11">
        <v>334.85415599999999</v>
      </c>
      <c r="E11">
        <v>147.43789699999999</v>
      </c>
      <c r="F11">
        <v>358.74597199999999</v>
      </c>
      <c r="G11">
        <v>147.43789699999999</v>
      </c>
      <c r="H11">
        <v>358.74597199999999</v>
      </c>
      <c r="I11">
        <v>17.771851999999999</v>
      </c>
      <c r="J11">
        <v>97.189102000000005</v>
      </c>
      <c r="K11" s="86">
        <f t="shared" si="0"/>
        <v>396.02043299999997</v>
      </c>
      <c r="L11" s="87">
        <f t="shared" si="0"/>
        <v>1149.535202</v>
      </c>
    </row>
    <row r="12" spans="2:12" x14ac:dyDescent="0.2">
      <c r="B12">
        <v>2030</v>
      </c>
      <c r="C12">
        <v>78.579384000000005</v>
      </c>
      <c r="D12">
        <v>344.60855099999998</v>
      </c>
      <c r="E12">
        <v>133.69252</v>
      </c>
      <c r="F12">
        <v>345.23464999999999</v>
      </c>
      <c r="G12">
        <v>133.69252</v>
      </c>
      <c r="H12">
        <v>345.23464999999999</v>
      </c>
      <c r="I12">
        <v>16.991156</v>
      </c>
      <c r="J12">
        <v>96.439453</v>
      </c>
      <c r="K12" s="86">
        <f t="shared" si="0"/>
        <v>362.95558</v>
      </c>
      <c r="L12" s="87">
        <f t="shared" si="0"/>
        <v>1131.517304</v>
      </c>
    </row>
    <row r="13" spans="2:12" x14ac:dyDescent="0.2">
      <c r="B13">
        <v>2031</v>
      </c>
      <c r="C13">
        <v>76.263382000000007</v>
      </c>
      <c r="D13">
        <v>342.87738000000002</v>
      </c>
      <c r="E13">
        <v>128.93588299999999</v>
      </c>
      <c r="F13">
        <v>352.73974600000003</v>
      </c>
      <c r="G13">
        <v>128.93588299999999</v>
      </c>
      <c r="H13">
        <v>352.73974600000003</v>
      </c>
      <c r="I13">
        <v>15.746381</v>
      </c>
      <c r="J13">
        <v>100.75312</v>
      </c>
      <c r="K13" s="86">
        <f t="shared" si="0"/>
        <v>349.88152899999994</v>
      </c>
      <c r="L13" s="87">
        <f t="shared" si="0"/>
        <v>1149.1099920000001</v>
      </c>
    </row>
    <row r="14" spans="2:12" x14ac:dyDescent="0.2">
      <c r="B14">
        <v>2032</v>
      </c>
      <c r="C14">
        <v>75.611900000000006</v>
      </c>
      <c r="D14">
        <v>341.69799799999998</v>
      </c>
      <c r="E14">
        <v>129.96745300000001</v>
      </c>
      <c r="F14">
        <v>357.419128</v>
      </c>
      <c r="G14">
        <v>129.96745300000001</v>
      </c>
      <c r="H14">
        <v>357.419128</v>
      </c>
      <c r="I14">
        <v>16.306668999999999</v>
      </c>
      <c r="J14">
        <v>103.937157</v>
      </c>
      <c r="K14" s="86">
        <f t="shared" si="0"/>
        <v>351.85347500000006</v>
      </c>
      <c r="L14" s="87">
        <f t="shared" si="0"/>
        <v>1160.4734110000002</v>
      </c>
    </row>
    <row r="15" spans="2:12" x14ac:dyDescent="0.2">
      <c r="B15">
        <v>2033</v>
      </c>
      <c r="C15">
        <v>76.063064999999995</v>
      </c>
      <c r="D15">
        <v>343.336029</v>
      </c>
      <c r="E15">
        <v>123.70998400000001</v>
      </c>
      <c r="F15">
        <v>377.43753099999998</v>
      </c>
      <c r="G15">
        <v>123.70998400000001</v>
      </c>
      <c r="H15">
        <v>377.43753099999998</v>
      </c>
      <c r="I15">
        <v>15.559132999999999</v>
      </c>
      <c r="J15">
        <v>102.92263800000001</v>
      </c>
      <c r="K15" s="86">
        <f t="shared" si="0"/>
        <v>339.04216600000001</v>
      </c>
      <c r="L15" s="87">
        <f t="shared" si="0"/>
        <v>1201.1337289999999</v>
      </c>
    </row>
    <row r="16" spans="2:12" x14ac:dyDescent="0.2">
      <c r="B16">
        <v>2034</v>
      </c>
      <c r="C16">
        <v>72.266869</v>
      </c>
      <c r="D16">
        <v>334.92721599999999</v>
      </c>
      <c r="E16">
        <v>117.283463</v>
      </c>
      <c r="F16">
        <v>379.06842</v>
      </c>
      <c r="G16">
        <v>117.283463</v>
      </c>
      <c r="H16">
        <v>379.06842</v>
      </c>
      <c r="I16">
        <v>12.435952</v>
      </c>
      <c r="J16">
        <v>116.634743</v>
      </c>
      <c r="K16" s="86">
        <f t="shared" si="0"/>
        <v>319.269747</v>
      </c>
      <c r="L16" s="87">
        <f t="shared" si="0"/>
        <v>1209.698799</v>
      </c>
    </row>
    <row r="17" spans="2:12" x14ac:dyDescent="0.2">
      <c r="B17">
        <v>2035</v>
      </c>
      <c r="C17">
        <v>67.638992000000002</v>
      </c>
      <c r="D17">
        <v>329.65747099999999</v>
      </c>
      <c r="E17">
        <v>116.433891</v>
      </c>
      <c r="F17">
        <v>378.62960800000002</v>
      </c>
      <c r="G17">
        <v>116.433891</v>
      </c>
      <c r="H17">
        <v>378.62960800000002</v>
      </c>
      <c r="I17">
        <v>11.673551</v>
      </c>
      <c r="J17">
        <v>122.292252</v>
      </c>
      <c r="K17" s="86">
        <f t="shared" si="0"/>
        <v>312.18032499999998</v>
      </c>
      <c r="L17" s="87">
        <f t="shared" si="0"/>
        <v>1209.2089389999999</v>
      </c>
    </row>
    <row r="18" spans="2:12" x14ac:dyDescent="0.2">
      <c r="B18">
        <v>2036</v>
      </c>
      <c r="C18">
        <v>68.639602999999994</v>
      </c>
      <c r="D18">
        <v>333.47546399999999</v>
      </c>
      <c r="E18">
        <v>117.473907</v>
      </c>
      <c r="F18">
        <v>381.725189</v>
      </c>
      <c r="G18">
        <v>117.473907</v>
      </c>
      <c r="H18">
        <v>381.725189</v>
      </c>
      <c r="I18">
        <v>11.649613</v>
      </c>
      <c r="J18">
        <v>127.56540699999999</v>
      </c>
      <c r="K18" s="86">
        <f t="shared" si="0"/>
        <v>315.23702999999995</v>
      </c>
      <c r="L18" s="87">
        <f t="shared" si="0"/>
        <v>1224.4912490000002</v>
      </c>
    </row>
    <row r="19" spans="2:12" x14ac:dyDescent="0.2">
      <c r="B19">
        <v>2037</v>
      </c>
      <c r="C19">
        <v>71.701003999999998</v>
      </c>
      <c r="D19">
        <v>342.91626000000002</v>
      </c>
      <c r="E19">
        <v>113.458839</v>
      </c>
      <c r="F19">
        <v>365.27209499999998</v>
      </c>
      <c r="G19">
        <v>113.458839</v>
      </c>
      <c r="H19">
        <v>365.27209499999998</v>
      </c>
      <c r="I19">
        <v>11.47831</v>
      </c>
      <c r="J19">
        <v>131.056488</v>
      </c>
      <c r="K19" s="86">
        <f t="shared" si="0"/>
        <v>310.096992</v>
      </c>
      <c r="L19" s="87">
        <f t="shared" si="0"/>
        <v>1204.516938</v>
      </c>
    </row>
    <row r="20" spans="2:12" x14ac:dyDescent="0.2">
      <c r="B20">
        <v>2038</v>
      </c>
      <c r="C20">
        <v>73.409073000000006</v>
      </c>
      <c r="D20">
        <v>338.76919600000002</v>
      </c>
      <c r="E20">
        <v>120.23722100000001</v>
      </c>
      <c r="F20">
        <v>367.88891599999999</v>
      </c>
      <c r="G20">
        <v>120.23722100000001</v>
      </c>
      <c r="H20">
        <v>367.88891599999999</v>
      </c>
      <c r="I20">
        <v>11.673632</v>
      </c>
      <c r="J20">
        <v>137.334824</v>
      </c>
      <c r="K20" s="86">
        <f t="shared" si="0"/>
        <v>325.55714699999999</v>
      </c>
      <c r="L20" s="87">
        <f t="shared" si="0"/>
        <v>1211.881852</v>
      </c>
    </row>
    <row r="21" spans="2:12" x14ac:dyDescent="0.2">
      <c r="B21">
        <v>2039</v>
      </c>
      <c r="C21">
        <v>73.478370999999996</v>
      </c>
      <c r="D21">
        <v>339.569275</v>
      </c>
      <c r="E21">
        <v>121.257233</v>
      </c>
      <c r="F21">
        <v>370.100525</v>
      </c>
      <c r="G21">
        <v>121.257233</v>
      </c>
      <c r="H21">
        <v>370.100525</v>
      </c>
      <c r="I21">
        <v>11.048627</v>
      </c>
      <c r="J21">
        <v>140.010818</v>
      </c>
      <c r="K21" s="86">
        <f t="shared" si="0"/>
        <v>327.04146400000002</v>
      </c>
      <c r="L21" s="87">
        <f t="shared" si="0"/>
        <v>1219.7811429999999</v>
      </c>
    </row>
    <row r="22" spans="2:12" x14ac:dyDescent="0.2">
      <c r="B22">
        <v>2040</v>
      </c>
      <c r="C22">
        <v>73.900299000000004</v>
      </c>
      <c r="D22">
        <v>342.83343500000001</v>
      </c>
      <c r="E22">
        <v>124.048973</v>
      </c>
      <c r="F22">
        <v>376.54562399999998</v>
      </c>
      <c r="G22">
        <v>124.048973</v>
      </c>
      <c r="H22">
        <v>376.54562399999998</v>
      </c>
      <c r="I22">
        <v>11.042704000000001</v>
      </c>
      <c r="J22">
        <v>144.76385500000001</v>
      </c>
      <c r="K22" s="86">
        <f t="shared" si="0"/>
        <v>333.04094900000001</v>
      </c>
      <c r="L22" s="87">
        <f t="shared" si="0"/>
        <v>1240.6885379999999</v>
      </c>
    </row>
    <row r="23" spans="2:12" x14ac:dyDescent="0.2">
      <c r="B23">
        <v>2041</v>
      </c>
      <c r="C23">
        <v>75.996819000000002</v>
      </c>
      <c r="D23">
        <v>348.35470600000002</v>
      </c>
      <c r="E23">
        <v>123.911079</v>
      </c>
      <c r="F23">
        <v>376.823578</v>
      </c>
      <c r="G23">
        <v>123.911079</v>
      </c>
      <c r="H23">
        <v>376.823578</v>
      </c>
      <c r="I23">
        <v>11.620474</v>
      </c>
      <c r="J23">
        <v>148.23719800000001</v>
      </c>
      <c r="K23" s="86">
        <f t="shared" si="0"/>
        <v>335.43945100000002</v>
      </c>
      <c r="L23" s="87">
        <f t="shared" si="0"/>
        <v>1250.2390600000001</v>
      </c>
    </row>
    <row r="24" spans="2:12" x14ac:dyDescent="0.2">
      <c r="B24">
        <v>2042</v>
      </c>
      <c r="C24">
        <v>76.955544000000003</v>
      </c>
      <c r="D24">
        <v>352.87814300000002</v>
      </c>
      <c r="E24">
        <v>123.852676</v>
      </c>
      <c r="F24">
        <v>377.80764799999997</v>
      </c>
      <c r="G24">
        <v>123.852676</v>
      </c>
      <c r="H24">
        <v>377.80764799999997</v>
      </c>
      <c r="I24">
        <v>11.418573</v>
      </c>
      <c r="J24">
        <v>148.98324600000001</v>
      </c>
      <c r="K24" s="86">
        <f t="shared" si="0"/>
        <v>336.07946899999996</v>
      </c>
      <c r="L24" s="87">
        <f t="shared" si="0"/>
        <v>1257.4766849999999</v>
      </c>
    </row>
    <row r="25" spans="2:12" x14ac:dyDescent="0.2">
      <c r="B25">
        <v>2043</v>
      </c>
      <c r="C25">
        <v>76.861098999999996</v>
      </c>
      <c r="D25">
        <v>354.46646099999998</v>
      </c>
      <c r="E25">
        <v>124.969284</v>
      </c>
      <c r="F25">
        <v>380.42620799999997</v>
      </c>
      <c r="G25">
        <v>124.969284</v>
      </c>
      <c r="H25">
        <v>380.42620799999997</v>
      </c>
      <c r="I25">
        <v>11.325252000000001</v>
      </c>
      <c r="J25">
        <v>151.040863</v>
      </c>
      <c r="K25" s="86">
        <f t="shared" si="0"/>
        <v>338.12491899999998</v>
      </c>
      <c r="L25" s="87">
        <f t="shared" si="0"/>
        <v>1266.3597399999999</v>
      </c>
    </row>
    <row r="26" spans="2:12" x14ac:dyDescent="0.2">
      <c r="B26">
        <v>2044</v>
      </c>
      <c r="C26">
        <v>77.232924999999994</v>
      </c>
      <c r="D26">
        <v>356.20477299999999</v>
      </c>
      <c r="E26">
        <v>126.67955000000001</v>
      </c>
      <c r="F26">
        <v>384.33990499999999</v>
      </c>
      <c r="G26">
        <v>126.67955000000001</v>
      </c>
      <c r="H26">
        <v>384.33990499999999</v>
      </c>
      <c r="I26">
        <v>11.002345999999999</v>
      </c>
      <c r="J26">
        <v>151.91340600000001</v>
      </c>
      <c r="K26" s="86">
        <f t="shared" si="0"/>
        <v>341.59437100000002</v>
      </c>
      <c r="L26" s="87">
        <f t="shared" si="0"/>
        <v>1276.7979890000001</v>
      </c>
    </row>
    <row r="27" spans="2:12" x14ac:dyDescent="0.2">
      <c r="B27">
        <v>2045</v>
      </c>
      <c r="C27">
        <v>77.720459000000005</v>
      </c>
      <c r="D27">
        <v>357.91574100000003</v>
      </c>
      <c r="E27">
        <v>126.532944</v>
      </c>
      <c r="F27">
        <v>385.09188799999998</v>
      </c>
      <c r="G27">
        <v>126.532944</v>
      </c>
      <c r="H27">
        <v>385.09188799999998</v>
      </c>
      <c r="I27">
        <v>11.209095</v>
      </c>
      <c r="J27">
        <v>152.87837200000001</v>
      </c>
      <c r="K27" s="86">
        <f t="shared" si="0"/>
        <v>341.99544199999997</v>
      </c>
      <c r="L27" s="87">
        <f t="shared" si="0"/>
        <v>1280.9778889999998</v>
      </c>
    </row>
    <row r="28" spans="2:12" x14ac:dyDescent="0.2">
      <c r="B28">
        <v>2046</v>
      </c>
      <c r="C28">
        <v>77.981209000000007</v>
      </c>
      <c r="D28">
        <v>365.946777</v>
      </c>
      <c r="E28">
        <v>124.77130099999999</v>
      </c>
      <c r="F28">
        <v>384.18023699999998</v>
      </c>
      <c r="G28">
        <v>124.77130099999999</v>
      </c>
      <c r="H28">
        <v>384.18023699999998</v>
      </c>
      <c r="I28">
        <v>11.114469</v>
      </c>
      <c r="J28">
        <v>154.16810599999999</v>
      </c>
      <c r="K28" s="86">
        <f t="shared" si="0"/>
        <v>338.63828000000001</v>
      </c>
      <c r="L28" s="87">
        <f t="shared" si="0"/>
        <v>1288.475357</v>
      </c>
    </row>
    <row r="29" spans="2:12" x14ac:dyDescent="0.2">
      <c r="B29">
        <v>2047</v>
      </c>
      <c r="C29">
        <v>75.108695999999995</v>
      </c>
      <c r="D29">
        <v>370.75595099999998</v>
      </c>
      <c r="E29">
        <v>126.374985</v>
      </c>
      <c r="F29">
        <v>387.036224</v>
      </c>
      <c r="G29">
        <v>126.374985</v>
      </c>
      <c r="H29">
        <v>387.036224</v>
      </c>
      <c r="I29">
        <v>11.039294</v>
      </c>
      <c r="J29">
        <v>156.32562300000001</v>
      </c>
      <c r="K29" s="86">
        <f t="shared" si="0"/>
        <v>338.89795999999996</v>
      </c>
      <c r="L29" s="87">
        <f t="shared" si="0"/>
        <v>1301.1540219999999</v>
      </c>
    </row>
    <row r="30" spans="2:12" x14ac:dyDescent="0.2">
      <c r="B30">
        <v>2048</v>
      </c>
      <c r="C30">
        <v>70.461806999999993</v>
      </c>
      <c r="D30">
        <v>376.64450099999999</v>
      </c>
      <c r="E30">
        <v>124.925606</v>
      </c>
      <c r="F30">
        <v>385.24700899999999</v>
      </c>
      <c r="G30">
        <v>124.925606</v>
      </c>
      <c r="H30">
        <v>385.24700899999999</v>
      </c>
      <c r="I30">
        <v>11.507557</v>
      </c>
      <c r="J30">
        <v>158.274261</v>
      </c>
      <c r="K30" s="86">
        <f t="shared" si="0"/>
        <v>331.82057600000002</v>
      </c>
      <c r="L30" s="87">
        <f t="shared" si="0"/>
        <v>1305.4127799999999</v>
      </c>
    </row>
    <row r="31" spans="2:12" x14ac:dyDescent="0.2">
      <c r="B31">
        <v>2049</v>
      </c>
      <c r="C31">
        <v>72.218269000000006</v>
      </c>
      <c r="D31">
        <v>379.87091099999998</v>
      </c>
      <c r="E31">
        <v>125.85328699999999</v>
      </c>
      <c r="F31">
        <v>387.401794</v>
      </c>
      <c r="G31">
        <v>125.85328699999999</v>
      </c>
      <c r="H31">
        <v>387.401794</v>
      </c>
      <c r="I31">
        <v>11.336149000000001</v>
      </c>
      <c r="J31">
        <v>160.914627</v>
      </c>
      <c r="K31" s="86">
        <f t="shared" si="0"/>
        <v>335.26099199999999</v>
      </c>
      <c r="L31" s="87">
        <f t="shared" si="0"/>
        <v>1315.5891259999999</v>
      </c>
    </row>
    <row r="32" spans="2:12" ht="16" thickBot="1" x14ac:dyDescent="0.25">
      <c r="B32">
        <v>2050</v>
      </c>
      <c r="C32">
        <v>68.879622999999995</v>
      </c>
      <c r="D32">
        <v>380.08981299999999</v>
      </c>
      <c r="E32">
        <v>124.79536400000001</v>
      </c>
      <c r="F32">
        <v>388.70513899999997</v>
      </c>
      <c r="G32">
        <v>124.79536400000001</v>
      </c>
      <c r="H32">
        <v>388.70513899999997</v>
      </c>
      <c r="I32">
        <v>10.832031000000001</v>
      </c>
      <c r="J32">
        <v>161.68353300000001</v>
      </c>
      <c r="K32" s="88">
        <f t="shared" si="0"/>
        <v>329.30238199999997</v>
      </c>
      <c r="L32" s="89">
        <f t="shared" si="0"/>
        <v>1319.1836239999998</v>
      </c>
    </row>
  </sheetData>
  <mergeCells count="5">
    <mergeCell ref="C2:D2"/>
    <mergeCell ref="E2:F2"/>
    <mergeCell ref="G2:H2"/>
    <mergeCell ref="I2:J2"/>
    <mergeCell ref="K2:L2"/>
  </mergeCell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8CF968-BAB6-43B7-933D-74DF1C054DDA}">
  <sheetPr>
    <tabColor theme="6" tint="-0.249977111117893"/>
  </sheetPr>
  <dimension ref="A1:L61"/>
  <sheetViews>
    <sheetView showGridLines="0" tabSelected="1" workbookViewId="0">
      <selection activeCell="H1" sqref="H1:H1048576"/>
    </sheetView>
  </sheetViews>
  <sheetFormatPr baseColWidth="10" defaultColWidth="8.83203125" defaultRowHeight="15" x14ac:dyDescent="0.2"/>
  <cols>
    <col min="1" max="2" width="17.5" customWidth="1"/>
    <col min="3" max="3" width="17.5" style="4" customWidth="1"/>
    <col min="4" max="7" width="17.5" customWidth="1"/>
  </cols>
  <sheetData>
    <row r="1" spans="1:7" x14ac:dyDescent="0.2">
      <c r="A1" t="s">
        <v>54</v>
      </c>
    </row>
    <row r="2" spans="1:7" x14ac:dyDescent="0.2">
      <c r="A2" t="s">
        <v>55</v>
      </c>
    </row>
    <row r="3" spans="1:7" x14ac:dyDescent="0.2">
      <c r="A3" t="s">
        <v>56</v>
      </c>
    </row>
    <row r="4" spans="1:7" x14ac:dyDescent="0.2">
      <c r="A4" t="s">
        <v>57</v>
      </c>
      <c r="D4" s="29" t="s">
        <v>58</v>
      </c>
      <c r="E4" t="s">
        <v>59</v>
      </c>
      <c r="F4" s="35" t="s">
        <v>60</v>
      </c>
    </row>
    <row r="5" spans="1:7" s="47" customFormat="1" ht="48" x14ac:dyDescent="0.2">
      <c r="A5" s="47" t="s">
        <v>43</v>
      </c>
      <c r="B5" s="47" t="s">
        <v>44</v>
      </c>
      <c r="C5" s="51" t="s">
        <v>45</v>
      </c>
      <c r="D5" s="47" t="s">
        <v>61</v>
      </c>
      <c r="E5" s="47" t="s">
        <v>62</v>
      </c>
      <c r="F5" s="47" t="s">
        <v>63</v>
      </c>
      <c r="G5" s="47" t="s">
        <v>64</v>
      </c>
    </row>
    <row r="6" spans="1:7" x14ac:dyDescent="0.2">
      <c r="A6">
        <v>2022</v>
      </c>
      <c r="B6">
        <f>'EIA PJM Total'!K4</f>
        <v>511.19263899999993</v>
      </c>
      <c r="C6" s="4">
        <f>'EIA PJM Total'!L4</f>
        <v>1093.2485590000001</v>
      </c>
      <c r="D6" s="9">
        <f t="shared" ref="D6:D34" si="0">B6*1000000*0.9071847</f>
        <v>463746140.85342324</v>
      </c>
      <c r="E6" s="9">
        <f t="shared" ref="E6:E34" si="1">C6*1000000</f>
        <v>1093248559</v>
      </c>
      <c r="F6">
        <f t="shared" ref="F6:F8" si="2">D6/E6</f>
        <v>0.42419094636412252</v>
      </c>
      <c r="G6">
        <f>CONVERT(AVERT_2022,"lbm","kg")/1000</f>
        <v>0.65235964257821155</v>
      </c>
    </row>
    <row r="7" spans="1:7" x14ac:dyDescent="0.2">
      <c r="A7">
        <v>2023</v>
      </c>
      <c r="B7">
        <f>'EIA PJM Total'!K5</f>
        <v>479.75710599999996</v>
      </c>
      <c r="C7" s="4">
        <f>'EIA PJM Total'!L5</f>
        <v>1068.1661829999998</v>
      </c>
      <c r="D7" s="9">
        <f t="shared" si="0"/>
        <v>435228306.27947813</v>
      </c>
      <c r="E7" s="9">
        <f t="shared" si="1"/>
        <v>1068166182.9999998</v>
      </c>
      <c r="F7">
        <f t="shared" si="2"/>
        <v>0.40745374006984286</v>
      </c>
      <c r="G7">
        <f>G6*GridCO2[[#This Row],[EIA Emissions Rate (mtCO2/MWh)]]/F6</f>
        <v>0.62661963560851641</v>
      </c>
    </row>
    <row r="8" spans="1:7" x14ac:dyDescent="0.2">
      <c r="A8">
        <v>2024</v>
      </c>
      <c r="B8">
        <f>'EIA PJM Total'!K6</f>
        <v>484.54412400000001</v>
      </c>
      <c r="C8" s="4">
        <f>'EIA PJM Total'!L6</f>
        <v>1085.7467710000001</v>
      </c>
      <c r="D8" s="9">
        <f t="shared" si="0"/>
        <v>439571015.76770276</v>
      </c>
      <c r="E8" s="9">
        <f t="shared" si="1"/>
        <v>1085746771</v>
      </c>
      <c r="F8">
        <f t="shared" si="2"/>
        <v>0.4048559272829767</v>
      </c>
      <c r="G8">
        <f>G7*GridCO2[[#This Row],[EIA Emissions Rate (mtCO2/MWh)]]/F7</f>
        <v>0.62262448145529603</v>
      </c>
    </row>
    <row r="9" spans="1:7" x14ac:dyDescent="0.2">
      <c r="A9">
        <v>2025</v>
      </c>
      <c r="B9">
        <f>'EIA PJM Total'!K7</f>
        <v>467.53416600000008</v>
      </c>
      <c r="C9" s="4">
        <f>'EIA PJM Total'!L7</f>
        <v>1107.508202</v>
      </c>
      <c r="D9" s="9">
        <f t="shared" si="0"/>
        <v>424139842.12246025</v>
      </c>
      <c r="E9" s="9">
        <f t="shared" si="1"/>
        <v>1107508202</v>
      </c>
      <c r="F9">
        <f t="shared" ref="F9:F34" si="3">D9/E9</f>
        <v>0.38296767586598895</v>
      </c>
      <c r="G9">
        <f>G8*GridCO2[[#This Row],[EIA Emissions Rate (mtCO2/MWh)]]/F8</f>
        <v>0.58896272607499345</v>
      </c>
    </row>
    <row r="10" spans="1:7" x14ac:dyDescent="0.2">
      <c r="A10">
        <v>2026</v>
      </c>
      <c r="B10">
        <f>'EIA PJM Total'!K8</f>
        <v>457.33602100000002</v>
      </c>
      <c r="C10" s="4">
        <f>'EIA PJM Total'!L8</f>
        <v>1122.982293</v>
      </c>
      <c r="D10" s="9">
        <f t="shared" si="0"/>
        <v>414888241.01007867</v>
      </c>
      <c r="E10" s="9">
        <f t="shared" si="1"/>
        <v>1122982293</v>
      </c>
      <c r="F10">
        <f t="shared" si="3"/>
        <v>0.36945216642884204</v>
      </c>
      <c r="G10">
        <f>G9*GridCO2[[#This Row],[EIA Emissions Rate (mtCO2/MWh)]]/F9</f>
        <v>0.56817733925508906</v>
      </c>
    </row>
    <row r="11" spans="1:7" x14ac:dyDescent="0.2">
      <c r="A11">
        <v>2027</v>
      </c>
      <c r="B11">
        <f>'EIA PJM Total'!K9</f>
        <v>437.54630099999997</v>
      </c>
      <c r="C11" s="4">
        <f>'EIA PJM Total'!L9</f>
        <v>1159.1861710000001</v>
      </c>
      <c r="D11" s="9">
        <f t="shared" si="0"/>
        <v>396935309.80879468</v>
      </c>
      <c r="E11" s="9">
        <f t="shared" si="1"/>
        <v>1159186171</v>
      </c>
      <c r="F11">
        <f t="shared" si="3"/>
        <v>0.3424258499101735</v>
      </c>
      <c r="G11">
        <f>G10*GridCO2[[#This Row],[EIA Emissions Rate (mtCO2/MWh)]]/F10</f>
        <v>0.52661379732793534</v>
      </c>
    </row>
    <row r="12" spans="1:7" x14ac:dyDescent="0.2">
      <c r="A12">
        <v>2028</v>
      </c>
      <c r="B12">
        <f>'EIA PJM Total'!K10</f>
        <v>419.295526</v>
      </c>
      <c r="C12" s="4">
        <f>'EIA PJM Total'!L10</f>
        <v>1164.1401600000002</v>
      </c>
      <c r="D12" s="9">
        <f t="shared" si="0"/>
        <v>380378485.96565217</v>
      </c>
      <c r="E12" s="9">
        <f t="shared" si="1"/>
        <v>1164140160.0000002</v>
      </c>
      <c r="F12">
        <f t="shared" si="3"/>
        <v>0.32674629656763332</v>
      </c>
      <c r="G12">
        <f>G11*GridCO2[[#This Row],[EIA Emissions Rate (mtCO2/MWh)]]/F11</f>
        <v>0.50250034582219472</v>
      </c>
    </row>
    <row r="13" spans="1:7" x14ac:dyDescent="0.2">
      <c r="A13">
        <v>2029</v>
      </c>
      <c r="B13">
        <f>'EIA PJM Total'!K11</f>
        <v>396.02043299999997</v>
      </c>
      <c r="C13" s="4">
        <f>'EIA PJM Total'!L11</f>
        <v>1149.535202</v>
      </c>
      <c r="D13" s="9">
        <f t="shared" si="0"/>
        <v>359263677.70497501</v>
      </c>
      <c r="E13" s="9">
        <f t="shared" si="1"/>
        <v>1149535202</v>
      </c>
      <c r="F13">
        <f t="shared" si="3"/>
        <v>0.31252951373730531</v>
      </c>
      <c r="G13">
        <f>G12*GridCO2[[#This Row],[EIA Emissions Rate (mtCO2/MWh)]]/F12</f>
        <v>0.48063647662531722</v>
      </c>
    </row>
    <row r="14" spans="1:7" x14ac:dyDescent="0.2">
      <c r="A14">
        <v>2030</v>
      </c>
      <c r="B14">
        <f>'EIA PJM Total'!K12</f>
        <v>362.95558</v>
      </c>
      <c r="C14" s="4">
        <f>'EIA PJM Total'!L12</f>
        <v>1131.517304</v>
      </c>
      <c r="D14" s="9">
        <f t="shared" si="0"/>
        <v>329267748.95562601</v>
      </c>
      <c r="E14" s="9">
        <f t="shared" si="1"/>
        <v>1131517304</v>
      </c>
      <c r="F14">
        <f t="shared" si="3"/>
        <v>0.29099665360100052</v>
      </c>
      <c r="G14">
        <f>G13*GridCO2[[#This Row],[EIA Emissions Rate (mtCO2/MWh)]]/F13</f>
        <v>0.44752127446787082</v>
      </c>
    </row>
    <row r="15" spans="1:7" x14ac:dyDescent="0.2">
      <c r="A15">
        <v>2031</v>
      </c>
      <c r="B15">
        <f>'EIA PJM Total'!K13</f>
        <v>349.88152899999994</v>
      </c>
      <c r="C15" s="4">
        <f>'EIA PJM Total'!L13</f>
        <v>1149.1099920000001</v>
      </c>
      <c r="D15" s="9">
        <f t="shared" si="0"/>
        <v>317407169.92140621</v>
      </c>
      <c r="E15" s="9">
        <f t="shared" si="1"/>
        <v>1149109992.0000002</v>
      </c>
      <c r="F15">
        <f t="shared" si="3"/>
        <v>0.27622000690200782</v>
      </c>
      <c r="G15">
        <f>G14*GridCO2[[#This Row],[EIA Emissions Rate (mtCO2/MWh)]]/F14</f>
        <v>0.42479639539705555</v>
      </c>
    </row>
    <row r="16" spans="1:7" x14ac:dyDescent="0.2">
      <c r="A16">
        <v>2032</v>
      </c>
      <c r="B16">
        <f>'EIA PJM Total'!K14</f>
        <v>351.85347500000006</v>
      </c>
      <c r="C16" s="4">
        <f>'EIA PJM Total'!L14</f>
        <v>1160.4734110000002</v>
      </c>
      <c r="D16" s="9">
        <f t="shared" si="0"/>
        <v>319196089.16183251</v>
      </c>
      <c r="E16" s="9">
        <f t="shared" si="1"/>
        <v>1160473411.0000002</v>
      </c>
      <c r="F16">
        <f t="shared" si="3"/>
        <v>0.27505678814887768</v>
      </c>
      <c r="G16">
        <f>G15*GridCO2[[#This Row],[EIA Emissions Rate (mtCO2/MWh)]]/F15</f>
        <v>0.42300749118649544</v>
      </c>
    </row>
    <row r="17" spans="1:12" x14ac:dyDescent="0.2">
      <c r="A17">
        <v>2033</v>
      </c>
      <c r="B17">
        <f>'EIA PJM Total'!K15</f>
        <v>339.04216600000001</v>
      </c>
      <c r="C17" s="4">
        <f>'EIA PJM Total'!L15</f>
        <v>1201.1337289999999</v>
      </c>
      <c r="D17" s="9">
        <f t="shared" si="0"/>
        <v>307573865.65006018</v>
      </c>
      <c r="E17" s="9">
        <f t="shared" si="1"/>
        <v>1201133729</v>
      </c>
      <c r="F17">
        <f t="shared" si="3"/>
        <v>0.25606962674017136</v>
      </c>
      <c r="G17">
        <f>G16*GridCO2[[#This Row],[EIA Emissions Rate (mtCO2/MWh)]]/F16</f>
        <v>0.39380729741450005</v>
      </c>
    </row>
    <row r="18" spans="1:12" x14ac:dyDescent="0.2">
      <c r="A18">
        <v>2034</v>
      </c>
      <c r="B18">
        <f>'EIA PJM Total'!K16</f>
        <v>319.269747</v>
      </c>
      <c r="C18" s="4">
        <f>'EIA PJM Total'!L16</f>
        <v>1209.698799</v>
      </c>
      <c r="D18" s="9">
        <f t="shared" si="0"/>
        <v>289636629.65127087</v>
      </c>
      <c r="E18" s="9">
        <f t="shared" si="1"/>
        <v>1209698799</v>
      </c>
      <c r="F18">
        <f t="shared" si="3"/>
        <v>0.23942871555357381</v>
      </c>
      <c r="G18">
        <f>G17*GridCO2[[#This Row],[EIA Emissions Rate (mtCO2/MWh)]]/F17</f>
        <v>0.36821538187053665</v>
      </c>
    </row>
    <row r="19" spans="1:12" x14ac:dyDescent="0.2">
      <c r="A19">
        <v>2035</v>
      </c>
      <c r="B19">
        <f>'EIA PJM Total'!K17</f>
        <v>312.18032499999998</v>
      </c>
      <c r="C19" s="4">
        <f>'EIA PJM Total'!L17</f>
        <v>1209.2089389999999</v>
      </c>
      <c r="D19" s="9">
        <f t="shared" si="0"/>
        <v>283205214.48102748</v>
      </c>
      <c r="E19" s="9">
        <f t="shared" si="1"/>
        <v>1209208938.9999998</v>
      </c>
      <c r="F19">
        <f t="shared" si="3"/>
        <v>0.23420701364913374</v>
      </c>
      <c r="G19">
        <f>G18*GridCO2[[#This Row],[EIA Emissions Rate (mtCO2/MWh)]]/F18</f>
        <v>0.36018497099725405</v>
      </c>
    </row>
    <row r="20" spans="1:12" x14ac:dyDescent="0.2">
      <c r="A20">
        <v>2036</v>
      </c>
      <c r="B20">
        <f>'EIA PJM Total'!K18</f>
        <v>315.23702999999995</v>
      </c>
      <c r="C20" s="4">
        <f>'EIA PJM Total'!L18</f>
        <v>1224.4912490000002</v>
      </c>
      <c r="D20" s="9">
        <f t="shared" si="0"/>
        <v>285978210.48944092</v>
      </c>
      <c r="E20" s="9">
        <f t="shared" si="1"/>
        <v>1224491249.0000002</v>
      </c>
      <c r="F20">
        <f t="shared" si="3"/>
        <v>0.23354859475148512</v>
      </c>
      <c r="G20">
        <f>G19*GridCO2[[#This Row],[EIA Emissions Rate (mtCO2/MWh)]]/F19</f>
        <v>0.35917239418386754</v>
      </c>
    </row>
    <row r="21" spans="1:12" x14ac:dyDescent="0.2">
      <c r="A21">
        <v>2037</v>
      </c>
      <c r="B21">
        <f>'EIA PJM Total'!K19</f>
        <v>310.096992</v>
      </c>
      <c r="C21" s="4">
        <f>'EIA PJM Total'!L19</f>
        <v>1204.516938</v>
      </c>
      <c r="D21" s="9">
        <f t="shared" si="0"/>
        <v>281315246.65842241</v>
      </c>
      <c r="E21" s="9">
        <f t="shared" si="1"/>
        <v>1204516938</v>
      </c>
      <c r="F21">
        <f t="shared" si="3"/>
        <v>0.23355026217026298</v>
      </c>
      <c r="G21">
        <f>G20*GridCO2[[#This Row],[EIA Emissions Rate (mtCO2/MWh)]]/F20</f>
        <v>0.35917495849300068</v>
      </c>
    </row>
    <row r="22" spans="1:12" x14ac:dyDescent="0.2">
      <c r="A22">
        <v>2038</v>
      </c>
      <c r="B22">
        <f>'EIA PJM Total'!K20</f>
        <v>325.55714699999999</v>
      </c>
      <c r="C22" s="4">
        <f>'EIA PJM Total'!L20</f>
        <v>1211.881852</v>
      </c>
      <c r="D22" s="9">
        <f t="shared" si="0"/>
        <v>295340462.73405087</v>
      </c>
      <c r="E22" s="9">
        <f t="shared" si="1"/>
        <v>1211881852</v>
      </c>
      <c r="F22">
        <f t="shared" si="3"/>
        <v>0.24370400649753346</v>
      </c>
      <c r="G22">
        <f>G21*GridCO2[[#This Row],[EIA Emissions Rate (mtCO2/MWh)]]/F21</f>
        <v>0.37479031539051166</v>
      </c>
    </row>
    <row r="23" spans="1:12" x14ac:dyDescent="0.2">
      <c r="A23">
        <v>2039</v>
      </c>
      <c r="B23">
        <f>'EIA PJM Total'!K21</f>
        <v>327.04146400000002</v>
      </c>
      <c r="C23" s="4">
        <f>'EIA PJM Total'!L21</f>
        <v>1219.7811429999999</v>
      </c>
      <c r="D23" s="9">
        <f t="shared" si="0"/>
        <v>296687012.4064008</v>
      </c>
      <c r="E23" s="9">
        <f t="shared" si="1"/>
        <v>1219781143</v>
      </c>
      <c r="F23">
        <f t="shared" si="3"/>
        <v>0.2432297089596841</v>
      </c>
      <c r="G23">
        <f>G22*GridCO2[[#This Row],[EIA Emissions Rate (mtCO2/MWh)]]/F22</f>
        <v>0.37406089724776437</v>
      </c>
    </row>
    <row r="24" spans="1:12" x14ac:dyDescent="0.2">
      <c r="A24">
        <v>2040</v>
      </c>
      <c r="B24">
        <f>'EIA PJM Total'!K22</f>
        <v>333.04094900000001</v>
      </c>
      <c r="C24" s="4">
        <f>'EIA PJM Total'!L22</f>
        <v>1240.6885379999999</v>
      </c>
      <c r="D24" s="9">
        <f t="shared" si="0"/>
        <v>302129653.40628028</v>
      </c>
      <c r="E24" s="9">
        <f t="shared" si="1"/>
        <v>1240688537.9999998</v>
      </c>
      <c r="F24">
        <f t="shared" si="3"/>
        <v>0.2435177275783621</v>
      </c>
      <c r="G24">
        <f>G23*GridCO2[[#This Row],[EIA Emissions Rate (mtCO2/MWh)]]/F23</f>
        <v>0.3745038386276951</v>
      </c>
    </row>
    <row r="25" spans="1:12" x14ac:dyDescent="0.2">
      <c r="A25">
        <v>2041</v>
      </c>
      <c r="B25">
        <f>'EIA PJM Total'!K23</f>
        <v>335.43945100000002</v>
      </c>
      <c r="C25" s="4">
        <f>'EIA PJM Total'!L23</f>
        <v>1250.2390600000001</v>
      </c>
      <c r="D25" s="9">
        <f t="shared" si="0"/>
        <v>304305537.72359967</v>
      </c>
      <c r="E25" s="9">
        <f t="shared" si="1"/>
        <v>1250239060</v>
      </c>
      <c r="F25">
        <f t="shared" si="3"/>
        <v>0.2433978808209685</v>
      </c>
      <c r="G25">
        <f>G24*GridCO2[[#This Row],[EIA Emissions Rate (mtCO2/MWh)]]/F24</f>
        <v>0.3743195273205171</v>
      </c>
    </row>
    <row r="26" spans="1:12" x14ac:dyDescent="0.2">
      <c r="A26">
        <v>2042</v>
      </c>
      <c r="B26">
        <f>'EIA PJM Total'!K24</f>
        <v>336.07946899999996</v>
      </c>
      <c r="C26" s="4">
        <f>'EIA PJM Total'!L24</f>
        <v>1257.4766849999999</v>
      </c>
      <c r="D26" s="9">
        <f t="shared" si="0"/>
        <v>304886152.26092422</v>
      </c>
      <c r="E26" s="9">
        <f t="shared" si="1"/>
        <v>1257476684.9999998</v>
      </c>
      <c r="F26">
        <f t="shared" si="3"/>
        <v>0.24245869199628484</v>
      </c>
      <c r="G26">
        <f>G25*GridCO2[[#This Row],[EIA Emissions Rate (mtCO2/MWh)]]/F25</f>
        <v>0.37287515682832334</v>
      </c>
    </row>
    <row r="27" spans="1:12" x14ac:dyDescent="0.2">
      <c r="A27">
        <v>2043</v>
      </c>
      <c r="B27">
        <f>'EIA PJM Total'!K25</f>
        <v>338.12491899999998</v>
      </c>
      <c r="C27" s="4">
        <f>'EIA PJM Total'!L25</f>
        <v>1266.3597399999999</v>
      </c>
      <c r="D27" s="9">
        <f t="shared" si="0"/>
        <v>306741753.20553929</v>
      </c>
      <c r="E27" s="9">
        <f t="shared" si="1"/>
        <v>1266359739.9999998</v>
      </c>
      <c r="F27">
        <f t="shared" si="3"/>
        <v>0.24222323524399106</v>
      </c>
      <c r="G27">
        <f>G26*GridCO2[[#This Row],[EIA Emissions Rate (mtCO2/MWh)]]/F26</f>
        <v>0.37251304989491146</v>
      </c>
    </row>
    <row r="28" spans="1:12" x14ac:dyDescent="0.2">
      <c r="A28">
        <v>2044</v>
      </c>
      <c r="B28">
        <f>'EIA PJM Total'!K26</f>
        <v>341.59437100000002</v>
      </c>
      <c r="C28" s="4">
        <f>'EIA PJM Total'!L26</f>
        <v>1276.7979890000001</v>
      </c>
      <c r="D28" s="9">
        <f t="shared" si="0"/>
        <v>309889186.97732371</v>
      </c>
      <c r="E28" s="9">
        <f t="shared" si="1"/>
        <v>1276797989.0000002</v>
      </c>
      <c r="F28">
        <f t="shared" si="3"/>
        <v>0.24270807884028053</v>
      </c>
      <c r="G28">
        <f>G27*GridCO2[[#This Row],[EIA Emissions Rate (mtCO2/MWh)]]/F27</f>
        <v>0.37325868673108814</v>
      </c>
    </row>
    <row r="29" spans="1:12" x14ac:dyDescent="0.2">
      <c r="A29">
        <v>2045</v>
      </c>
      <c r="B29">
        <f>'EIA PJM Total'!K27</f>
        <v>341.99544199999997</v>
      </c>
      <c r="C29" s="4">
        <f>'EIA PJM Total'!L27</f>
        <v>1280.9778889999998</v>
      </c>
      <c r="D29" s="9">
        <f t="shared" si="0"/>
        <v>310253032.45213735</v>
      </c>
      <c r="E29" s="9">
        <f t="shared" si="1"/>
        <v>1280977888.9999998</v>
      </c>
      <c r="F29">
        <f t="shared" si="3"/>
        <v>0.24220014655704755</v>
      </c>
      <c r="G29">
        <f>G28*GridCO2[[#This Row],[EIA Emissions Rate (mtCO2/MWh)]]/F28</f>
        <v>0.37247754199996191</v>
      </c>
      <c r="L29" t="s">
        <v>65</v>
      </c>
    </row>
    <row r="30" spans="1:12" x14ac:dyDescent="0.2">
      <c r="A30">
        <v>2046</v>
      </c>
      <c r="B30">
        <f>'EIA PJM Total'!K28</f>
        <v>338.63828000000001</v>
      </c>
      <c r="C30" s="4">
        <f>'EIA PJM Total'!L28</f>
        <v>1288.475357</v>
      </c>
      <c r="D30" s="9">
        <f t="shared" si="0"/>
        <v>307207466.45031601</v>
      </c>
      <c r="E30" s="9">
        <f t="shared" si="1"/>
        <v>1288475357</v>
      </c>
      <c r="F30">
        <f t="shared" si="3"/>
        <v>0.23842711836227692</v>
      </c>
      <c r="G30">
        <f>G29*GridCO2[[#This Row],[EIA Emissions Rate (mtCO2/MWh)]]/F29</f>
        <v>0.36667503408300778</v>
      </c>
      <c r="L30" t="s">
        <v>66</v>
      </c>
    </row>
    <row r="31" spans="1:12" x14ac:dyDescent="0.2">
      <c r="A31">
        <v>2047</v>
      </c>
      <c r="B31">
        <f>'EIA PJM Total'!K29</f>
        <v>338.89795999999996</v>
      </c>
      <c r="C31" s="4">
        <f>'EIA PJM Total'!L29</f>
        <v>1301.1540219999999</v>
      </c>
      <c r="D31" s="9">
        <f t="shared" si="0"/>
        <v>307443044.17321193</v>
      </c>
      <c r="E31" s="9">
        <f t="shared" si="1"/>
        <v>1301154022</v>
      </c>
      <c r="F31">
        <f t="shared" si="3"/>
        <v>0.23628489707978009</v>
      </c>
      <c r="G31">
        <f>G30*GridCO2[[#This Row],[EIA Emissions Rate (mtCO2/MWh)]]/F30</f>
        <v>0.36338053022300915</v>
      </c>
      <c r="L31" t="s">
        <v>56</v>
      </c>
    </row>
    <row r="32" spans="1:12" x14ac:dyDescent="0.2">
      <c r="A32">
        <v>2048</v>
      </c>
      <c r="B32">
        <f>'EIA PJM Total'!K30</f>
        <v>331.82057600000002</v>
      </c>
      <c r="C32" s="4">
        <f>'EIA PJM Total'!L30</f>
        <v>1305.4127799999999</v>
      </c>
      <c r="D32" s="9">
        <f t="shared" si="0"/>
        <v>301022549.69238716</v>
      </c>
      <c r="E32" s="9">
        <f t="shared" si="1"/>
        <v>1305412780</v>
      </c>
      <c r="F32">
        <f t="shared" si="3"/>
        <v>0.23059568153790189</v>
      </c>
      <c r="G32">
        <f>G31*GridCO2[[#This Row],[EIA Emissions Rate (mtCO2/MWh)]]/F31</f>
        <v>0.35463113410962716</v>
      </c>
      <c r="L32" t="s">
        <v>57</v>
      </c>
    </row>
    <row r="33" spans="1:7" x14ac:dyDescent="0.2">
      <c r="A33">
        <v>2049</v>
      </c>
      <c r="B33">
        <f>'EIA PJM Total'!K31</f>
        <v>335.26099199999999</v>
      </c>
      <c r="C33" s="4">
        <f>'EIA PJM Total'!L31</f>
        <v>1315.5891259999999</v>
      </c>
      <c r="D33" s="9">
        <f t="shared" si="0"/>
        <v>304143642.44922239</v>
      </c>
      <c r="E33" s="9">
        <f t="shared" si="1"/>
        <v>1315589125.9999998</v>
      </c>
      <c r="F33">
        <f t="shared" si="3"/>
        <v>0.23118436937371162</v>
      </c>
      <c r="G33">
        <f>G32*GridCO2[[#This Row],[EIA Emissions Rate (mtCO2/MWh)]]/F32</f>
        <v>0.35553647211707562</v>
      </c>
    </row>
    <row r="34" spans="1:7" x14ac:dyDescent="0.2">
      <c r="A34">
        <v>2050</v>
      </c>
      <c r="B34">
        <f>'EIA PJM Total'!K32</f>
        <v>329.30238199999997</v>
      </c>
      <c r="C34" s="4">
        <f>'EIA PJM Total'!L32</f>
        <v>1319.1836239999998</v>
      </c>
      <c r="D34" s="9">
        <f t="shared" si="0"/>
        <v>298738082.62395531</v>
      </c>
      <c r="E34" s="9">
        <f t="shared" si="1"/>
        <v>1319183623.9999998</v>
      </c>
      <c r="F34">
        <f t="shared" si="3"/>
        <v>0.22645678523367976</v>
      </c>
      <c r="G34">
        <f>G33*GridCO2[[#This Row],[EIA Emissions Rate (mtCO2/MWh)]]/F33</f>
        <v>0.34826596074410954</v>
      </c>
    </row>
    <row r="35" spans="1:7" x14ac:dyDescent="0.2">
      <c r="D35" s="9"/>
      <c r="E35" s="9"/>
    </row>
    <row r="60" spans="1:11" x14ac:dyDescent="0.2">
      <c r="A60" s="29" t="s">
        <v>67</v>
      </c>
    </row>
    <row r="61" spans="1:11" x14ac:dyDescent="0.2">
      <c r="K61" t="s">
        <v>68</v>
      </c>
    </row>
  </sheetData>
  <phoneticPr fontId="4" type="noConversion"/>
  <hyperlinks>
    <hyperlink ref="D4" r:id="rId1" xr:uid="{AEACBCE7-E157-4040-B813-7918F5F375B0}"/>
    <hyperlink ref="A60" r:id="rId2" xr:uid="{70B64375-C025-419F-AFCD-46BAE1AC0BBF}"/>
  </hyperlinks>
  <pageMargins left="0.7" right="0.7" top="0.75" bottom="0.75" header="0.3" footer="0.3"/>
  <pageSetup orientation="portrait" r:id="rId3"/>
  <drawing r:id="rId4"/>
  <tableParts count="1">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86D4C-EE3A-4CAA-BA78-A496DE8CAB13}">
  <sheetPr>
    <tabColor theme="7"/>
  </sheetPr>
  <dimension ref="B6:AP46"/>
  <sheetViews>
    <sheetView showGridLines="0" topLeftCell="W1" workbookViewId="0">
      <selection activeCell="AJ10" sqref="AJ10"/>
    </sheetView>
  </sheetViews>
  <sheetFormatPr baseColWidth="10" defaultColWidth="8.83203125" defaultRowHeight="15" x14ac:dyDescent="0.2"/>
  <cols>
    <col min="2" max="3" width="11.5" customWidth="1"/>
    <col min="17" max="18" width="10.5" customWidth="1"/>
    <col min="20" max="21" width="17.33203125" customWidth="1"/>
    <col min="22" max="22" width="18.5" customWidth="1"/>
    <col min="23" max="24" width="18.33203125" customWidth="1"/>
    <col min="25" max="25" width="12" bestFit="1" customWidth="1"/>
    <col min="27" max="27" width="10.5" bestFit="1" customWidth="1"/>
    <col min="28" max="28" width="10.5" customWidth="1"/>
    <col min="29" max="29" width="12.6640625" bestFit="1" customWidth="1"/>
    <col min="30" max="30" width="12.83203125" bestFit="1" customWidth="1"/>
    <col min="33" max="33" width="10.5" bestFit="1" customWidth="1"/>
    <col min="34" max="34" width="18.5" customWidth="1"/>
    <col min="35" max="35" width="21.5" customWidth="1"/>
    <col min="36" max="36" width="16.5" customWidth="1"/>
    <col min="39" max="39" width="13.33203125" bestFit="1" customWidth="1"/>
    <col min="40" max="40" width="13" customWidth="1"/>
    <col min="41" max="41" width="21.5" customWidth="1"/>
    <col min="42" max="42" width="12" customWidth="1"/>
  </cols>
  <sheetData>
    <row r="6" spans="2:42" x14ac:dyDescent="0.2">
      <c r="B6" t="s">
        <v>69</v>
      </c>
    </row>
    <row r="7" spans="2:42" x14ac:dyDescent="0.2">
      <c r="B7" s="52" t="s">
        <v>70</v>
      </c>
      <c r="C7" s="52"/>
      <c r="D7" s="52"/>
      <c r="E7" s="52"/>
      <c r="F7" s="52"/>
      <c r="G7" s="52"/>
      <c r="S7" s="100" t="s">
        <v>71</v>
      </c>
      <c r="T7" s="100"/>
      <c r="U7" s="100"/>
    </row>
    <row r="8" spans="2:42" x14ac:dyDescent="0.2">
      <c r="B8" s="72" t="s">
        <v>72</v>
      </c>
      <c r="C8" s="72" t="s">
        <v>73</v>
      </c>
      <c r="D8" s="72" t="s">
        <v>74</v>
      </c>
      <c r="E8" s="72" t="s">
        <v>75</v>
      </c>
      <c r="F8" s="72" t="s">
        <v>76</v>
      </c>
      <c r="G8" s="72" t="s">
        <v>77</v>
      </c>
      <c r="H8" s="72" t="s">
        <v>78</v>
      </c>
      <c r="I8" s="72" t="s">
        <v>79</v>
      </c>
      <c r="J8" s="72" t="s">
        <v>80</v>
      </c>
      <c r="K8" s="72" t="s">
        <v>81</v>
      </c>
      <c r="L8" s="72" t="s">
        <v>82</v>
      </c>
      <c r="M8" s="72" t="s">
        <v>83</v>
      </c>
      <c r="N8" s="72" t="s">
        <v>84</v>
      </c>
      <c r="O8" s="72" t="s">
        <v>85</v>
      </c>
      <c r="S8" s="100" t="s">
        <v>86</v>
      </c>
      <c r="T8" s="100"/>
      <c r="U8" s="100"/>
      <c r="W8" s="101" t="s">
        <v>87</v>
      </c>
      <c r="X8" s="101"/>
      <c r="Y8" s="101"/>
      <c r="AH8" s="99" t="s">
        <v>88</v>
      </c>
      <c r="AI8" s="99"/>
      <c r="AJ8" s="99"/>
      <c r="AN8" s="99" t="s">
        <v>89</v>
      </c>
      <c r="AO8" s="99"/>
      <c r="AP8" s="99"/>
    </row>
    <row r="9" spans="2:42" s="47" customFormat="1" ht="49" thickBot="1" x14ac:dyDescent="0.25">
      <c r="B9" s="93" t="s">
        <v>8</v>
      </c>
      <c r="C9" s="93"/>
      <c r="D9" s="94"/>
      <c r="E9" s="94"/>
      <c r="F9" s="94"/>
      <c r="G9" s="94"/>
      <c r="H9" s="94"/>
      <c r="I9" s="94"/>
      <c r="J9" s="94"/>
      <c r="K9" s="94"/>
      <c r="L9" s="94"/>
      <c r="M9" s="94"/>
      <c r="N9" s="94"/>
      <c r="O9" s="94"/>
      <c r="Q9" s="47" t="s">
        <v>43</v>
      </c>
      <c r="R9" s="47" t="s">
        <v>90</v>
      </c>
      <c r="S9" s="47" t="s">
        <v>8</v>
      </c>
      <c r="T9" s="47" t="s">
        <v>91</v>
      </c>
      <c r="U9" s="47" t="s">
        <v>92</v>
      </c>
      <c r="V9" s="47" t="s">
        <v>93</v>
      </c>
      <c r="W9" s="47" t="s">
        <v>94</v>
      </c>
      <c r="X9" s="47" t="s">
        <v>95</v>
      </c>
      <c r="Y9" s="47" t="s">
        <v>96</v>
      </c>
      <c r="AA9" s="47" t="s">
        <v>97</v>
      </c>
      <c r="AB9" s="47" t="s">
        <v>98</v>
      </c>
      <c r="AC9" s="47" t="s">
        <v>99</v>
      </c>
      <c r="AD9" s="47" t="s">
        <v>100</v>
      </c>
      <c r="AF9" s="47" t="s">
        <v>43</v>
      </c>
      <c r="AG9" s="47" t="s">
        <v>90</v>
      </c>
      <c r="AH9" s="47" t="s">
        <v>101</v>
      </c>
      <c r="AI9" s="47" t="s">
        <v>102</v>
      </c>
      <c r="AJ9" s="47" t="s">
        <v>103</v>
      </c>
      <c r="AL9" s="95" t="s">
        <v>43</v>
      </c>
      <c r="AM9" s="96" t="s">
        <v>104</v>
      </c>
      <c r="AN9" s="96" t="s">
        <v>101</v>
      </c>
      <c r="AO9" s="96" t="s">
        <v>102</v>
      </c>
      <c r="AP9" s="47" t="s">
        <v>103</v>
      </c>
    </row>
    <row r="10" spans="2:42" x14ac:dyDescent="0.2">
      <c r="B10" s="57"/>
      <c r="C10" s="57" t="s">
        <v>105</v>
      </c>
      <c r="D10" s="58">
        <v>1391.4954501915709</v>
      </c>
      <c r="E10" s="58">
        <v>1391.4954501915709</v>
      </c>
      <c r="F10" s="58">
        <v>1391.4954501915709</v>
      </c>
      <c r="G10" s="58">
        <v>1391.4954501915709</v>
      </c>
      <c r="H10" s="58">
        <v>1391.4954501915709</v>
      </c>
      <c r="I10" s="58">
        <v>1391.4954501915709</v>
      </c>
      <c r="J10" s="59"/>
      <c r="K10" s="59"/>
      <c r="L10" s="59"/>
      <c r="M10" s="59"/>
      <c r="N10" s="59"/>
      <c r="O10" s="59"/>
      <c r="Q10" s="53">
        <v>2017</v>
      </c>
      <c r="R10" s="72"/>
      <c r="S10" s="58">
        <v>1593.5026897034213</v>
      </c>
      <c r="V10" s="9">
        <f>S10</f>
        <v>1593.5026897034213</v>
      </c>
      <c r="W10">
        <f t="shared" ref="W10:W15" si="0">CONVERT(V10,"lbm","kg")/1000</f>
        <v>0.72280066162394951</v>
      </c>
      <c r="X10">
        <f>W10</f>
        <v>0.72280066162394951</v>
      </c>
      <c r="Y10">
        <f>X10</f>
        <v>0.72280066162394951</v>
      </c>
      <c r="AA10" t="s">
        <v>106</v>
      </c>
      <c r="AB10" t="s">
        <v>107</v>
      </c>
      <c r="AC10">
        <f>SLOPE($Y$14:$Y$19,$R$14:$R$19)</f>
        <v>-2.9678066298807326E-2</v>
      </c>
      <c r="AD10">
        <f>INTERCEPT($Y$14:$Y$19,$R$14:$R$19)</f>
        <v>0.68278589226631836</v>
      </c>
      <c r="AF10" s="73">
        <v>2025</v>
      </c>
      <c r="AG10">
        <v>4</v>
      </c>
      <c r="AH10">
        <f>'Grid GHG'!F9</f>
        <v>0.38296767586598895</v>
      </c>
      <c r="AI10" s="73">
        <f>slope_near*AG10+Y0_near</f>
        <v>0.5640736270710891</v>
      </c>
      <c r="AJ10">
        <f>'Grid GHG'!G9</f>
        <v>0.58896272607499345</v>
      </c>
      <c r="AL10" s="73">
        <v>2025</v>
      </c>
      <c r="AM10" s="9">
        <f>Measure1!H6</f>
        <v>0</v>
      </c>
      <c r="AN10" s="9">
        <f>Table20[[#This Row],[VPP Output]]*Table19[[#This Row],[EIA]]</f>
        <v>0</v>
      </c>
      <c r="AO10" s="9">
        <f>Table20[[#This Row],[VPP Output]]*Table19[[#This Row],[AVERT-Cambium Avg.]]</f>
        <v>0</v>
      </c>
      <c r="AP10" s="9">
        <f>Table20[[#This Row],[VPP Output]]*Table19[[#This Row],[AVERT 2022 at EIA rate of change]]</f>
        <v>0</v>
      </c>
    </row>
    <row r="11" spans="2:42" x14ac:dyDescent="0.2">
      <c r="B11" s="57"/>
      <c r="C11" s="57" t="s">
        <v>96</v>
      </c>
      <c r="D11" s="58">
        <v>1593.5026897034213</v>
      </c>
      <c r="E11" s="58">
        <v>1556.203165703562</v>
      </c>
      <c r="F11" s="58">
        <v>1496.4895400286989</v>
      </c>
      <c r="G11" s="58">
        <v>1470.147995814451</v>
      </c>
      <c r="H11" s="58">
        <v>1553.5944047291378</v>
      </c>
      <c r="I11" s="58">
        <v>1438.206825609107</v>
      </c>
      <c r="J11" s="59"/>
      <c r="K11" s="59"/>
      <c r="L11" s="59"/>
      <c r="M11" s="59"/>
      <c r="N11" s="59"/>
      <c r="O11" s="59"/>
      <c r="Q11" s="53">
        <v>2018</v>
      </c>
      <c r="R11" s="72"/>
      <c r="S11" s="58">
        <v>1556.203165703562</v>
      </c>
      <c r="V11" s="9">
        <f t="shared" ref="V11:V15" si="1">S11</f>
        <v>1556.203165703562</v>
      </c>
      <c r="W11">
        <f t="shared" si="0"/>
        <v>0.70588188213298142</v>
      </c>
      <c r="X11">
        <f t="shared" ref="X11:Y11" si="2">W11</f>
        <v>0.70588188213298142</v>
      </c>
      <c r="Y11">
        <f t="shared" si="2"/>
        <v>0.70588188213298142</v>
      </c>
      <c r="AA11" t="s">
        <v>108</v>
      </c>
      <c r="AB11" t="s">
        <v>109</v>
      </c>
      <c r="AC11">
        <f>SLOPE($Y$19:$Y$21,$R$19:$R$21)</f>
        <v>-3.415573597523913E-3</v>
      </c>
      <c r="AD11">
        <f>INTERCEPT($Y$19:$Y$21,$R$19:$R$21)</f>
        <v>0.47061432288094318</v>
      </c>
      <c r="AF11" s="74">
        <v>2026</v>
      </c>
      <c r="AG11">
        <v>5</v>
      </c>
      <c r="AH11">
        <f>'Grid GHG'!F10</f>
        <v>0.36945216642884204</v>
      </c>
      <c r="AI11" s="74">
        <f>slope_near*AG11+Y0_near</f>
        <v>0.53439556077228167</v>
      </c>
      <c r="AJ11">
        <f>'Grid GHG'!G10</f>
        <v>0.56817733925508906</v>
      </c>
      <c r="AL11" s="78">
        <v>2026</v>
      </c>
      <c r="AM11" s="9">
        <f>Measure1!H7</f>
        <v>0</v>
      </c>
      <c r="AN11" s="9">
        <f>Table20[[#This Row],[VPP Output]]*Table19[[#This Row],[EIA]]</f>
        <v>0</v>
      </c>
      <c r="AO11" s="9">
        <f>Table20[[#This Row],[VPP Output]]*Table19[[#This Row],[AVERT-Cambium Avg.]]</f>
        <v>0</v>
      </c>
      <c r="AP11" s="9">
        <f>Table20[[#This Row],[VPP Output]]*Table19[[#This Row],[AVERT 2022 at EIA rate of change]]</f>
        <v>0</v>
      </c>
    </row>
    <row r="12" spans="2:42" x14ac:dyDescent="0.2">
      <c r="B12" s="57"/>
      <c r="C12" s="57" t="s">
        <v>110</v>
      </c>
      <c r="D12" s="58">
        <v>1525.5820851253152</v>
      </c>
      <c r="E12" s="58">
        <v>1487.7511965437063</v>
      </c>
      <c r="F12" s="58">
        <v>1414.7980945738277</v>
      </c>
      <c r="G12" s="58">
        <v>1381.7052424578214</v>
      </c>
      <c r="H12" s="58">
        <v>1470.5015910138638</v>
      </c>
      <c r="I12" s="58">
        <v>1369.0299166385332</v>
      </c>
      <c r="J12" s="59"/>
      <c r="K12" s="59"/>
      <c r="L12" s="59"/>
      <c r="M12" s="59"/>
      <c r="N12" s="59"/>
      <c r="O12" s="59"/>
      <c r="Q12" s="53">
        <v>2019</v>
      </c>
      <c r="R12" s="72"/>
      <c r="S12" s="58">
        <v>1496.4895400286989</v>
      </c>
      <c r="V12" s="9">
        <f t="shared" si="1"/>
        <v>1496.4895400286989</v>
      </c>
      <c r="W12">
        <f t="shared" si="0"/>
        <v>0.67879623714182757</v>
      </c>
      <c r="X12">
        <f t="shared" ref="X12:Y12" si="3">W12</f>
        <v>0.67879623714182757</v>
      </c>
      <c r="Y12">
        <f t="shared" si="3"/>
        <v>0.67879623714182757</v>
      </c>
      <c r="AF12" s="74">
        <v>2027</v>
      </c>
      <c r="AG12">
        <v>6</v>
      </c>
      <c r="AH12">
        <f>'Grid GHG'!F11</f>
        <v>0.3424258499101735</v>
      </c>
      <c r="AI12" s="74">
        <f>slope_near*AG12+Y0_near</f>
        <v>0.50471749447347447</v>
      </c>
      <c r="AJ12">
        <f>'Grid GHG'!G11</f>
        <v>0.52661379732793534</v>
      </c>
      <c r="AL12" s="78">
        <v>2027</v>
      </c>
      <c r="AM12" s="9">
        <f>Measure1!H8</f>
        <v>28314</v>
      </c>
      <c r="AN12" s="9">
        <f>Table20[[#This Row],[VPP Output]]*Table19[[#This Row],[EIA]]</f>
        <v>9695.445514356652</v>
      </c>
      <c r="AO12" s="9">
        <f>Table20[[#This Row],[VPP Output]]*Table19[[#This Row],[AVERT-Cambium Avg.]]</f>
        <v>14290.571138521957</v>
      </c>
      <c r="AP12" s="9">
        <f>Table20[[#This Row],[VPP Output]]*Table19[[#This Row],[AVERT 2022 at EIA rate of change]]</f>
        <v>14910.543057543162</v>
      </c>
    </row>
    <row r="13" spans="2:42" ht="16" thickBot="1" x14ac:dyDescent="0.25">
      <c r="B13" s="60"/>
      <c r="C13" s="60" t="s">
        <v>111</v>
      </c>
      <c r="D13" s="61">
        <v>1661.2679479111907</v>
      </c>
      <c r="E13" s="61">
        <v>1619.9528846997734</v>
      </c>
      <c r="F13" s="61">
        <v>1575.6839664778518</v>
      </c>
      <c r="G13" s="61">
        <v>1554.1512933547672</v>
      </c>
      <c r="H13" s="61">
        <v>1632.8697035739626</v>
      </c>
      <c r="I13" s="61">
        <v>1512.2896769397339</v>
      </c>
      <c r="J13" s="62"/>
      <c r="K13" s="62"/>
      <c r="L13" s="62"/>
      <c r="M13" s="62"/>
      <c r="N13" s="62"/>
      <c r="O13" s="62"/>
      <c r="Q13" s="53">
        <v>2020</v>
      </c>
      <c r="R13" s="72"/>
      <c r="S13" s="58">
        <v>1470.147995814451</v>
      </c>
      <c r="V13" s="9">
        <f t="shared" si="1"/>
        <v>1470.147995814451</v>
      </c>
      <c r="W13">
        <f t="shared" si="0"/>
        <v>0.66684791367222696</v>
      </c>
      <c r="X13">
        <f t="shared" ref="X13:Y13" si="4">W13</f>
        <v>0.66684791367222696</v>
      </c>
      <c r="Y13">
        <f t="shared" si="4"/>
        <v>0.66684791367222696</v>
      </c>
      <c r="AF13" s="74">
        <v>2028</v>
      </c>
      <c r="AG13">
        <v>7</v>
      </c>
      <c r="AH13">
        <f>'Grid GHG'!F12</f>
        <v>0.32674629656763332</v>
      </c>
      <c r="AI13" s="74">
        <f>slope_near*AG13+Y0_near</f>
        <v>0.47503942817466704</v>
      </c>
      <c r="AJ13">
        <f>'Grid GHG'!G12</f>
        <v>0.50250034582219472</v>
      </c>
      <c r="AL13" s="78">
        <v>2028</v>
      </c>
      <c r="AM13" s="9">
        <f>Measure1!H9</f>
        <v>39762.088000000003</v>
      </c>
      <c r="AN13" s="9">
        <f>Table20[[#This Row],[VPP Output]]*Table19[[#This Row],[EIA]]</f>
        <v>12992.114997796336</v>
      </c>
      <c r="AO13" s="9">
        <f>Table20[[#This Row],[VPP Output]]*Table19[[#This Row],[AVERT-Cambium Avg.]]</f>
        <v>18888.55954655079</v>
      </c>
      <c r="AP13" s="9">
        <f>Table20[[#This Row],[VPP Output]]*Table19[[#This Row],[AVERT 2022 at EIA rate of change]]</f>
        <v>19980.462970612542</v>
      </c>
    </row>
    <row r="14" spans="2:42" ht="16" thickBot="1" x14ac:dyDescent="0.25">
      <c r="B14" s="55" t="s">
        <v>91</v>
      </c>
      <c r="C14" s="55"/>
      <c r="D14" s="56"/>
      <c r="E14" s="56"/>
      <c r="F14" s="56"/>
      <c r="G14" s="56"/>
      <c r="H14" s="63" t="s">
        <v>112</v>
      </c>
      <c r="I14" s="63" t="s">
        <v>112</v>
      </c>
      <c r="J14" s="63" t="s">
        <v>112</v>
      </c>
      <c r="K14" s="63"/>
      <c r="L14" s="63"/>
      <c r="M14" s="63"/>
      <c r="N14" s="63"/>
      <c r="O14" s="63"/>
      <c r="Q14" s="53">
        <v>2021</v>
      </c>
      <c r="R14" s="72">
        <v>0</v>
      </c>
      <c r="S14" s="58">
        <v>1553.5944047291378</v>
      </c>
      <c r="V14" s="9">
        <f t="shared" si="1"/>
        <v>1553.5944047291378</v>
      </c>
      <c r="W14">
        <f t="shared" si="0"/>
        <v>0.70469856805982889</v>
      </c>
      <c r="X14">
        <f t="shared" ref="X14:Y14" si="5">W14</f>
        <v>0.70469856805982889</v>
      </c>
      <c r="Y14" s="73">
        <f t="shared" si="5"/>
        <v>0.70469856805982889</v>
      </c>
      <c r="AF14" s="46">
        <v>2029</v>
      </c>
      <c r="AG14">
        <v>8</v>
      </c>
      <c r="AH14">
        <f>'Grid GHG'!F13</f>
        <v>0.31252951373730531</v>
      </c>
      <c r="AI14" s="46">
        <f>slope_near*AG14+Y0_near</f>
        <v>0.44536136187585973</v>
      </c>
      <c r="AJ14">
        <f>'Grid GHG'!G13</f>
        <v>0.48063647662531722</v>
      </c>
      <c r="AL14" s="79">
        <v>2029</v>
      </c>
      <c r="AM14" s="9">
        <f>Measure1!H10</f>
        <v>39563.277560000002</v>
      </c>
      <c r="AN14" s="9">
        <f>Table20[[#This Row],[VPP Output]]*Table19[[#This Row],[EIA]]</f>
        <v>12364.691897680843</v>
      </c>
      <c r="AO14" s="9">
        <f>Table20[[#This Row],[VPP Output]]*Table19[[#This Row],[AVERT-Cambium Avg.]]</f>
        <v>17619.955174394243</v>
      </c>
      <c r="AP14" s="9">
        <f>Table20[[#This Row],[VPP Output]]*Table19[[#This Row],[AVERT 2022 at EIA rate of change]]</f>
        <v>19015.554330187879</v>
      </c>
    </row>
    <row r="15" spans="2:42" x14ac:dyDescent="0.2">
      <c r="B15" s="64"/>
      <c r="C15" s="64" t="s">
        <v>113</v>
      </c>
      <c r="D15" s="65"/>
      <c r="E15" s="65"/>
      <c r="F15" s="65"/>
      <c r="G15" s="65"/>
      <c r="H15" s="65"/>
      <c r="I15" s="65"/>
      <c r="J15" s="58">
        <v>1694.3469710978854</v>
      </c>
      <c r="K15" s="58">
        <v>1592.364030665374</v>
      </c>
      <c r="L15" s="58">
        <v>1398.5070273753458</v>
      </c>
      <c r="M15" s="58">
        <v>1293.9160696721322</v>
      </c>
      <c r="N15" s="58">
        <v>1191.1886172723225</v>
      </c>
      <c r="O15" s="58">
        <v>1064.0216682406119</v>
      </c>
      <c r="Q15" s="92">
        <v>2022</v>
      </c>
      <c r="R15" s="72">
        <v>1</v>
      </c>
      <c r="S15" s="91">
        <v>1438.206825609107</v>
      </c>
      <c r="V15" s="9">
        <f t="shared" si="1"/>
        <v>1438.206825609107</v>
      </c>
      <c r="W15">
        <f t="shared" si="0"/>
        <v>0.65235964257821155</v>
      </c>
      <c r="X15">
        <f t="shared" ref="X15" si="6">CONVERT(V15,"lbm","kg")/1000</f>
        <v>0.65235964257821155</v>
      </c>
      <c r="Y15" s="74">
        <f>CONVERT(V15,"lbm","kg")/1000</f>
        <v>0.65235964257821155</v>
      </c>
      <c r="AF15" s="73">
        <v>2030</v>
      </c>
      <c r="AG15">
        <v>9</v>
      </c>
      <c r="AH15">
        <f>'Grid GHG'!F14</f>
        <v>0.29099665360100052</v>
      </c>
      <c r="AI15" s="73">
        <f t="shared" ref="AI15:AI35" si="7">slope_long*AG15+Y0_long</f>
        <v>0.43987416050322797</v>
      </c>
      <c r="AJ15">
        <f>'Grid GHG'!G14</f>
        <v>0.44752127446787082</v>
      </c>
      <c r="AL15" s="73">
        <v>2030</v>
      </c>
      <c r="AM15" s="9">
        <f>Measure1!H11</f>
        <v>39365.461172200005</v>
      </c>
      <c r="AN15" s="9">
        <f>Table20[[#This Row],[VPP Output]]*Table19[[#This Row],[EIA]]</f>
        <v>11455.217468570321</v>
      </c>
      <c r="AO15" s="9">
        <f>Table20[[#This Row],[VPP Output]]*Table19[[#This Row],[AVERT-Cambium Avg.]]</f>
        <v>17315.849185943895</v>
      </c>
      <c r="AP15" s="9">
        <f>Table20[[#This Row],[VPP Output]]*Table19[[#This Row],[AVERT 2022 at EIA rate of change]]</f>
        <v>17616.881353798432</v>
      </c>
    </row>
    <row r="16" spans="2:42" x14ac:dyDescent="0.2">
      <c r="B16" s="57"/>
      <c r="C16" s="57" t="s">
        <v>114</v>
      </c>
      <c r="D16" s="59"/>
      <c r="E16" s="59"/>
      <c r="F16" s="59"/>
      <c r="G16" s="59"/>
      <c r="H16" s="67"/>
      <c r="I16" s="67"/>
      <c r="J16" s="68">
        <v>1643.9236710873754</v>
      </c>
      <c r="K16" s="68">
        <v>1536.4318360056996</v>
      </c>
      <c r="L16" s="68">
        <v>1236.3498185351359</v>
      </c>
      <c r="M16" s="68">
        <v>1056.6923090098305</v>
      </c>
      <c r="N16" s="68">
        <v>888.27630335250115</v>
      </c>
      <c r="O16" s="68">
        <v>779.31865430260575</v>
      </c>
      <c r="Q16" s="53">
        <v>2024</v>
      </c>
      <c r="R16" s="72">
        <f>R15+(Q16-Q15)</f>
        <v>3</v>
      </c>
      <c r="T16" s="58">
        <v>1694.3469710978854</v>
      </c>
      <c r="U16" s="68">
        <v>818.77870326563493</v>
      </c>
      <c r="V16" s="9">
        <f>AVERAGE(T16:U16)</f>
        <v>1256.5628371817602</v>
      </c>
      <c r="W16">
        <f>CONVERT(T16,"lbm","kg")/1000</f>
        <v>0.76854285822261137</v>
      </c>
      <c r="X16">
        <f>CONVERT(U16,"lbm","kg")/1000</f>
        <v>0.37139177251978611</v>
      </c>
      <c r="Y16" s="74">
        <f t="shared" ref="Y16:Y21" si="8">CONVERT(V16,"lbm","kg")/1000</f>
        <v>0.5699673153711986</v>
      </c>
      <c r="AF16" s="74">
        <v>2031</v>
      </c>
      <c r="AG16">
        <v>10</v>
      </c>
      <c r="AH16">
        <f>'Grid GHG'!F15</f>
        <v>0.27622000690200782</v>
      </c>
      <c r="AI16" s="74">
        <f t="shared" si="7"/>
        <v>0.43645858690570405</v>
      </c>
      <c r="AJ16">
        <f>'Grid GHG'!G15</f>
        <v>0.42479639539705555</v>
      </c>
      <c r="AL16" s="78">
        <v>2031</v>
      </c>
      <c r="AM16" s="9">
        <f>Measure1!H12</f>
        <v>39168.633866338998</v>
      </c>
      <c r="AN16" s="9">
        <f>Table20[[#This Row],[VPP Output]]*Table19[[#This Row],[EIA]]</f>
        <v>10819.160316902375</v>
      </c>
      <c r="AO16" s="9">
        <f>Table20[[#This Row],[VPP Output]]*Table19[[#This Row],[AVERT-Cambium Avg.]]</f>
        <v>17095.486588329222</v>
      </c>
      <c r="AP16" s="9">
        <f>Table20[[#This Row],[VPP Output]]*Table19[[#This Row],[AVERT 2022 at EIA rate of change]]</f>
        <v>16638.694479047841</v>
      </c>
    </row>
    <row r="17" spans="2:42" x14ac:dyDescent="0.2">
      <c r="B17" s="60"/>
      <c r="C17" s="60" t="s">
        <v>115</v>
      </c>
      <c r="D17" s="62"/>
      <c r="E17" s="62"/>
      <c r="F17" s="62"/>
      <c r="G17" s="62"/>
      <c r="H17" s="70"/>
      <c r="I17" s="70"/>
      <c r="J17" s="71">
        <v>1693.2515720202612</v>
      </c>
      <c r="K17" s="71">
        <v>1590.5083058708508</v>
      </c>
      <c r="L17" s="71">
        <v>1469.5425428817671</v>
      </c>
      <c r="M17" s="71">
        <v>1356.5474983397746</v>
      </c>
      <c r="N17" s="71">
        <v>1296.8001017265535</v>
      </c>
      <c r="O17" s="71">
        <v>1155.1047434546765</v>
      </c>
      <c r="Q17" s="53">
        <v>2026</v>
      </c>
      <c r="R17" s="72">
        <f t="shared" ref="R17:R21" si="9">R16+(Q17-Q16)</f>
        <v>5</v>
      </c>
      <c r="T17" s="58">
        <v>1592.364030665374</v>
      </c>
      <c r="U17" s="68">
        <v>746.15209385105038</v>
      </c>
      <c r="V17" s="9">
        <f t="shared" ref="V17:V21" si="10">AVERAGE(T17:U17)</f>
        <v>1169.2580622582122</v>
      </c>
      <c r="W17">
        <f t="shared" ref="W17:X21" si="11">CONVERT(T17,"lbm","kg")/1000</f>
        <v>0.72228417457225969</v>
      </c>
      <c r="X17">
        <f t="shared" si="11"/>
        <v>0.33844889663036043</v>
      </c>
      <c r="Y17" s="74">
        <f t="shared" si="8"/>
        <v>0.5303665356013102</v>
      </c>
      <c r="AF17" s="74">
        <v>2032</v>
      </c>
      <c r="AG17">
        <v>11</v>
      </c>
      <c r="AH17">
        <f>'Grid GHG'!F16</f>
        <v>0.27505678814887768</v>
      </c>
      <c r="AI17" s="74">
        <f t="shared" si="7"/>
        <v>0.43304301330818012</v>
      </c>
      <c r="AJ17">
        <f>'Grid GHG'!G16</f>
        <v>0.42300749118649544</v>
      </c>
      <c r="AL17" s="78">
        <v>2032</v>
      </c>
      <c r="AM17" s="9">
        <f>Measure1!H13</f>
        <v>38972.790697007309</v>
      </c>
      <c r="AN17" s="9">
        <f>Table20[[#This Row],[VPP Output]]*Table19[[#This Row],[EIA]]</f>
        <v>10719.730634317291</v>
      </c>
      <c r="AO17" s="9">
        <f>Table20[[#This Row],[VPP Output]]*Table19[[#This Row],[AVERT-Cambium Avg.]]</f>
        <v>16876.894720461056</v>
      </c>
      <c r="AP17" s="9">
        <f>Table20[[#This Row],[VPP Output]]*Table19[[#This Row],[AVERT 2022 at EIA rate of change]]</f>
        <v>16485.782417277453</v>
      </c>
    </row>
    <row r="18" spans="2:42" ht="16" thickBot="1" x14ac:dyDescent="0.25">
      <c r="B18" s="55" t="s">
        <v>92</v>
      </c>
      <c r="C18" s="55"/>
      <c r="D18" s="56"/>
      <c r="E18" s="56"/>
      <c r="F18" s="56"/>
      <c r="G18" s="56"/>
      <c r="H18" s="63" t="s">
        <v>112</v>
      </c>
      <c r="I18" s="63" t="s">
        <v>112</v>
      </c>
      <c r="J18" s="63"/>
      <c r="K18" s="63"/>
      <c r="L18" s="63"/>
      <c r="M18" s="63"/>
      <c r="N18" s="63"/>
      <c r="O18" s="63"/>
      <c r="Q18" s="53">
        <v>2028</v>
      </c>
      <c r="R18" s="72">
        <f t="shared" si="9"/>
        <v>7</v>
      </c>
      <c r="T18" s="58">
        <v>1398.5070273753458</v>
      </c>
      <c r="U18" s="68">
        <v>624.61476807771874</v>
      </c>
      <c r="V18" s="9">
        <f t="shared" si="10"/>
        <v>1011.5608977265323</v>
      </c>
      <c r="W18">
        <f t="shared" si="11"/>
        <v>0.63435211700883809</v>
      </c>
      <c r="X18">
        <f t="shared" si="11"/>
        <v>0.28332049298937284</v>
      </c>
      <c r="Y18" s="74">
        <f t="shared" si="8"/>
        <v>0.45883630499910544</v>
      </c>
      <c r="AF18" s="74">
        <v>2033</v>
      </c>
      <c r="AG18">
        <v>12</v>
      </c>
      <c r="AH18">
        <f>'Grid GHG'!F17</f>
        <v>0.25606962674017136</v>
      </c>
      <c r="AI18" s="74">
        <f t="shared" si="7"/>
        <v>0.4296274397106562</v>
      </c>
      <c r="AJ18">
        <f>'Grid GHG'!G17</f>
        <v>0.39380729741450005</v>
      </c>
      <c r="AL18" s="78">
        <v>2033</v>
      </c>
      <c r="AM18" s="9">
        <f>Measure1!H14</f>
        <v>38777.926743522272</v>
      </c>
      <c r="AN18" s="9">
        <f>Table20[[#This Row],[VPP Output]]*Table19[[#This Row],[EIA]]</f>
        <v>9929.849226971457</v>
      </c>
      <c r="AO18" s="9">
        <f>Table20[[#This Row],[VPP Output]]*Table19[[#This Row],[AVERT-Cambium Avg.]]</f>
        <v>16660.061384106859</v>
      </c>
      <c r="AP18" s="9">
        <f>Table20[[#This Row],[VPP Output]]*Table19[[#This Row],[AVERT 2022 at EIA rate of change]]</f>
        <v>15271.030530203971</v>
      </c>
    </row>
    <row r="19" spans="2:42" ht="16" thickBot="1" x14ac:dyDescent="0.25">
      <c r="B19" s="57"/>
      <c r="C19" s="64" t="s">
        <v>113</v>
      </c>
      <c r="D19" s="59"/>
      <c r="E19" s="59"/>
      <c r="F19" s="59"/>
      <c r="G19" s="59"/>
      <c r="H19" s="67"/>
      <c r="I19" s="67"/>
      <c r="J19" s="68">
        <v>818.77870326563493</v>
      </c>
      <c r="K19" s="68">
        <v>746.15209385105038</v>
      </c>
      <c r="L19" s="68">
        <v>624.61476807771874</v>
      </c>
      <c r="M19" s="68">
        <v>639.69374619876942</v>
      </c>
      <c r="N19" s="68">
        <v>684.83039286190149</v>
      </c>
      <c r="O19" s="68">
        <v>718.9871312364769</v>
      </c>
      <c r="Q19" s="53">
        <v>2030</v>
      </c>
      <c r="R19" s="72">
        <f t="shared" si="9"/>
        <v>9</v>
      </c>
      <c r="T19" s="58">
        <v>1293.9160696721322</v>
      </c>
      <c r="U19" s="68">
        <v>639.69374619876942</v>
      </c>
      <c r="V19" s="9">
        <f t="shared" si="10"/>
        <v>966.80490793545073</v>
      </c>
      <c r="W19">
        <f t="shared" si="11"/>
        <v>0.58691045662366759</v>
      </c>
      <c r="X19">
        <f t="shared" si="11"/>
        <v>0.29016020241247831</v>
      </c>
      <c r="Y19" s="75">
        <f t="shared" si="8"/>
        <v>0.43853532951807295</v>
      </c>
      <c r="AF19" s="74">
        <v>2034</v>
      </c>
      <c r="AG19">
        <v>13</v>
      </c>
      <c r="AH19">
        <f>'Grid GHG'!F18</f>
        <v>0.23942871555357381</v>
      </c>
      <c r="AI19" s="74">
        <f t="shared" si="7"/>
        <v>0.42621186611313233</v>
      </c>
      <c r="AJ19">
        <f>'Grid GHG'!G18</f>
        <v>0.36821538187053665</v>
      </c>
      <c r="AL19" s="78">
        <v>2034</v>
      </c>
      <c r="AM19" s="9">
        <f>Measure1!H15</f>
        <v>38584.03710980466</v>
      </c>
      <c r="AN19" s="9">
        <f>Table20[[#This Row],[VPP Output]]*Table19[[#This Row],[EIA]]</f>
        <v>9238.1264460719558</v>
      </c>
      <c r="AO19" s="9">
        <f>Table20[[#This Row],[VPP Output]]*Table19[[#This Row],[AVERT-Cambium Avg.]]</f>
        <v>16444.974458748195</v>
      </c>
      <c r="AP19" s="9">
        <f>Table20[[#This Row],[VPP Output]]*Table19[[#This Row],[AVERT 2022 at EIA rate of change]]</f>
        <v>14207.23595849368</v>
      </c>
    </row>
    <row r="20" spans="2:42" x14ac:dyDescent="0.2">
      <c r="B20" s="57"/>
      <c r="C20" s="57" t="s">
        <v>114</v>
      </c>
      <c r="D20" s="59"/>
      <c r="E20" s="59"/>
      <c r="F20" s="59"/>
      <c r="G20" s="59"/>
      <c r="H20" s="67"/>
      <c r="I20" s="67"/>
      <c r="J20" s="68">
        <v>848.7630145676917</v>
      </c>
      <c r="K20" s="68">
        <v>705.38067876813477</v>
      </c>
      <c r="L20" s="68">
        <v>462.86228221889758</v>
      </c>
      <c r="M20" s="68">
        <v>399.03488282851578</v>
      </c>
      <c r="N20" s="68">
        <v>433.57824084302325</v>
      </c>
      <c r="O20" s="68">
        <v>520.47532406277139</v>
      </c>
      <c r="Q20" s="53">
        <v>2035</v>
      </c>
      <c r="R20" s="72">
        <f t="shared" si="9"/>
        <v>14</v>
      </c>
      <c r="T20" s="58">
        <v>1191.1886172723225</v>
      </c>
      <c r="U20" s="68">
        <v>684.83039286190149</v>
      </c>
      <c r="V20" s="9">
        <f t="shared" si="10"/>
        <v>938.00950506711206</v>
      </c>
      <c r="W20">
        <f t="shared" si="11"/>
        <v>0.54031406802557569</v>
      </c>
      <c r="X20">
        <f t="shared" si="11"/>
        <v>0.31063384094626106</v>
      </c>
      <c r="Y20" s="76">
        <f t="shared" si="8"/>
        <v>0.4254739544859184</v>
      </c>
      <c r="AF20" s="74">
        <v>2035</v>
      </c>
      <c r="AG20">
        <v>14</v>
      </c>
      <c r="AH20">
        <f>'Grid GHG'!F19</f>
        <v>0.23420701364913374</v>
      </c>
      <c r="AI20" s="74">
        <f t="shared" si="7"/>
        <v>0.42279629251560841</v>
      </c>
      <c r="AJ20">
        <f>'Grid GHG'!G19</f>
        <v>0.36018497099725405</v>
      </c>
      <c r="AL20" s="78">
        <v>2035</v>
      </c>
      <c r="AM20" s="9">
        <f>Measure1!H16</f>
        <v>38391.116924255643</v>
      </c>
      <c r="AN20" s="9">
        <f>Table20[[#This Row],[VPP Output]]*Table19[[#This Row],[EIA]]</f>
        <v>8991.4688454846309</v>
      </c>
      <c r="AO20" s="9">
        <f>Table20[[#This Row],[VPP Output]]*Table19[[#This Row],[AVERT-Cambium Avg.]]</f>
        <v>16231.621901108514</v>
      </c>
      <c r="AP20" s="9">
        <f>Table20[[#This Row],[VPP Output]]*Table19[[#This Row],[AVERT 2022 at EIA rate of change]]</f>
        <v>13827.903335915207</v>
      </c>
    </row>
    <row r="21" spans="2:42" ht="16" thickBot="1" x14ac:dyDescent="0.25">
      <c r="B21" s="80"/>
      <c r="C21" s="81" t="s">
        <v>115</v>
      </c>
      <c r="D21" s="82"/>
      <c r="E21" s="82"/>
      <c r="F21" s="82"/>
      <c r="G21" s="82"/>
      <c r="H21" s="82"/>
      <c r="I21" s="82"/>
      <c r="J21" s="83">
        <v>702.91062335032586</v>
      </c>
      <c r="K21" s="83">
        <v>668.07350434306193</v>
      </c>
      <c r="L21" s="83">
        <v>599.617110515984</v>
      </c>
      <c r="M21" s="83">
        <v>514.20225403503969</v>
      </c>
      <c r="N21" s="83">
        <v>402.98935469449617</v>
      </c>
      <c r="O21" s="83">
        <v>270.83191867718159</v>
      </c>
      <c r="Q21" s="54">
        <v>2040</v>
      </c>
      <c r="R21" s="72">
        <f t="shared" si="9"/>
        <v>19</v>
      </c>
      <c r="T21" s="66">
        <v>1064.0216682406119</v>
      </c>
      <c r="U21" s="69">
        <v>718.9871312364769</v>
      </c>
      <c r="V21" s="9">
        <f t="shared" si="10"/>
        <v>891.50439973854441</v>
      </c>
      <c r="W21">
        <f t="shared" si="11"/>
        <v>0.48263211022861291</v>
      </c>
      <c r="X21">
        <f t="shared" si="11"/>
        <v>0.32612707685705461</v>
      </c>
      <c r="Y21" s="77">
        <f t="shared" si="8"/>
        <v>0.40437959354283382</v>
      </c>
      <c r="AF21" s="74">
        <v>2036</v>
      </c>
      <c r="AG21">
        <v>15</v>
      </c>
      <c r="AH21">
        <f>'Grid GHG'!F20</f>
        <v>0.23354859475148512</v>
      </c>
      <c r="AI21" s="74">
        <f t="shared" si="7"/>
        <v>0.41938071891808448</v>
      </c>
      <c r="AJ21">
        <f>'Grid GHG'!G20</f>
        <v>0.35917239418386754</v>
      </c>
      <c r="AL21" s="78">
        <v>2036</v>
      </c>
      <c r="AM21" s="9">
        <f>Measure1!H17</f>
        <v>38199.16133963436</v>
      </c>
      <c r="AN21" s="9">
        <f>Table20[[#This Row],[VPP Output]]*Table19[[#This Row],[EIA]]</f>
        <v>8921.3604515568622</v>
      </c>
      <c r="AO21" s="9">
        <f>Table20[[#This Row],[VPP Output]]*Table19[[#This Row],[AVERT-Cambium Avg.]]</f>
        <v>16019.991744683757</v>
      </c>
      <c r="AP21" s="9">
        <f>Table20[[#This Row],[VPP Output]]*Table19[[#This Row],[AVERT 2022 at EIA rate of change]]</f>
        <v>13720.084234172306</v>
      </c>
    </row>
    <row r="22" spans="2:42" x14ac:dyDescent="0.2">
      <c r="AF22" s="74">
        <v>2037</v>
      </c>
      <c r="AG22">
        <v>16</v>
      </c>
      <c r="AH22">
        <f>'Grid GHG'!F21</f>
        <v>0.23355026217026298</v>
      </c>
      <c r="AI22" s="74">
        <f t="shared" si="7"/>
        <v>0.41596514532056056</v>
      </c>
      <c r="AJ22">
        <f>'Grid GHG'!G21</f>
        <v>0.35917495849300068</v>
      </c>
      <c r="AL22" s="78">
        <v>2037</v>
      </c>
      <c r="AM22" s="9">
        <f>Measure1!H18</f>
        <v>38008.165532936189</v>
      </c>
      <c r="AN22" s="9">
        <f>Table20[[#This Row],[VPP Output]]*Table19[[#This Row],[EIA]]</f>
        <v>8876.8170248280003</v>
      </c>
      <c r="AO22" s="9">
        <f>Table20[[#This Row],[VPP Output]]*Table19[[#This Row],[AVERT-Cambium Avg.]]</f>
        <v>15810.072099275723</v>
      </c>
      <c r="AP22" s="9">
        <f>Table20[[#This Row],[VPP Output]]*Table19[[#This Row],[AVERT 2022 at EIA rate of change]]</f>
        <v>13651.581277687455</v>
      </c>
    </row>
    <row r="23" spans="2:42" ht="14.5" customHeight="1" x14ac:dyDescent="0.2">
      <c r="K23" s="103" t="s">
        <v>116</v>
      </c>
      <c r="L23" s="103"/>
      <c r="M23" s="103"/>
      <c r="N23" s="103"/>
      <c r="O23" s="103"/>
      <c r="P23" s="103"/>
      <c r="Q23" s="103"/>
      <c r="AF23" s="74">
        <v>2038</v>
      </c>
      <c r="AG23">
        <v>17</v>
      </c>
      <c r="AH23">
        <f>'Grid GHG'!F22</f>
        <v>0.24370400649753346</v>
      </c>
      <c r="AI23" s="74">
        <f t="shared" si="7"/>
        <v>0.41254957172303663</v>
      </c>
      <c r="AJ23">
        <f>'Grid GHG'!G22</f>
        <v>0.37479031539051166</v>
      </c>
      <c r="AL23" s="78">
        <v>2038</v>
      </c>
      <c r="AM23" s="9">
        <f>Measure1!H19</f>
        <v>37818.124705271497</v>
      </c>
      <c r="AN23" s="9">
        <f>Table20[[#This Row],[VPP Output]]*Table19[[#This Row],[EIA]]</f>
        <v>9216.4285088980159</v>
      </c>
      <c r="AO23" s="9">
        <f>Table20[[#This Row],[VPP Output]]*Table19[[#This Row],[AVERT-Cambium Avg.]]</f>
        <v>15601.851150528148</v>
      </c>
      <c r="AP23" s="9">
        <f>Table20[[#This Row],[VPP Output]]*Table19[[#This Row],[AVERT 2022 at EIA rate of change]]</f>
        <v>14173.866885766405</v>
      </c>
    </row>
    <row r="24" spans="2:42" x14ac:dyDescent="0.2">
      <c r="K24" s="108"/>
      <c r="L24" s="108"/>
      <c r="M24" s="108"/>
      <c r="N24" s="108"/>
      <c r="O24" s="108"/>
      <c r="P24" s="108"/>
      <c r="Q24" s="108"/>
      <c r="AF24" s="74">
        <v>2039</v>
      </c>
      <c r="AG24">
        <v>18</v>
      </c>
      <c r="AH24">
        <f>'Grid GHG'!F23</f>
        <v>0.2432297089596841</v>
      </c>
      <c r="AI24" s="74">
        <f t="shared" si="7"/>
        <v>0.40913399812551277</v>
      </c>
      <c r="AJ24">
        <f>'Grid GHG'!G23</f>
        <v>0.37406089724776437</v>
      </c>
      <c r="AL24" s="78">
        <v>2039</v>
      </c>
      <c r="AM24" s="9">
        <f>Measure1!H20</f>
        <v>37629.034081745151</v>
      </c>
      <c r="AN24" s="9">
        <f>Table20[[#This Row],[VPP Output]]*Table19[[#This Row],[EIA]]</f>
        <v>9152.4990081369069</v>
      </c>
      <c r="AO24" s="9">
        <f>Table20[[#This Row],[VPP Output]]*Table19[[#This Row],[AVERT-Cambium Avg.]]</f>
        <v>15395.317159465576</v>
      </c>
      <c r="AP24" s="9">
        <f>Table20[[#This Row],[VPP Output]]*Table19[[#This Row],[AVERT 2022 at EIA rate of change]]</f>
        <v>14075.550251184297</v>
      </c>
    </row>
    <row r="25" spans="2:42" x14ac:dyDescent="0.2">
      <c r="K25" s="108"/>
      <c r="L25" s="108"/>
      <c r="M25" s="108"/>
      <c r="N25" s="108"/>
      <c r="O25" s="108"/>
      <c r="P25" s="108"/>
      <c r="Q25" s="108"/>
      <c r="AF25" s="74">
        <v>2040</v>
      </c>
      <c r="AG25">
        <v>19</v>
      </c>
      <c r="AH25">
        <f>'Grid GHG'!F24</f>
        <v>0.2435177275783621</v>
      </c>
      <c r="AI25" s="74">
        <f t="shared" si="7"/>
        <v>0.40571842452798884</v>
      </c>
      <c r="AJ25">
        <f>'Grid GHG'!G24</f>
        <v>0.3745038386276951</v>
      </c>
      <c r="AL25" s="78">
        <v>2040</v>
      </c>
      <c r="AM25" s="9">
        <f>Measure1!H21</f>
        <v>37440.88891133642</v>
      </c>
      <c r="AN25" s="9">
        <f>Table20[[#This Row],[VPP Output]]*Table19[[#This Row],[EIA]]</f>
        <v>9117.5201862025406</v>
      </c>
      <c r="AO25" s="9">
        <f>Table20[[#This Row],[VPP Output]]*Table19[[#This Row],[AVERT-Cambium Avg.]]</f>
        <v>15190.45846203486</v>
      </c>
      <c r="AP25" s="9">
        <f>Table20[[#This Row],[VPP Output]]*Table19[[#This Row],[AVERT 2022 at EIA rate of change]]</f>
        <v>14021.756618928594</v>
      </c>
    </row>
    <row r="26" spans="2:42" x14ac:dyDescent="0.2">
      <c r="K26" s="108"/>
      <c r="L26" s="108"/>
      <c r="M26" s="108"/>
      <c r="N26" s="108"/>
      <c r="O26" s="108"/>
      <c r="P26" s="108"/>
      <c r="Q26" s="108"/>
      <c r="AF26" s="74">
        <v>2041</v>
      </c>
      <c r="AG26">
        <v>20</v>
      </c>
      <c r="AH26">
        <f>'Grid GHG'!F25</f>
        <v>0.2433978808209685</v>
      </c>
      <c r="AI26" s="74">
        <f t="shared" si="7"/>
        <v>0.40230285093046492</v>
      </c>
      <c r="AJ26">
        <f>'Grid GHG'!G25</f>
        <v>0.3743195273205171</v>
      </c>
      <c r="AL26" s="78">
        <v>2041</v>
      </c>
      <c r="AM26" s="9">
        <f>Measure1!H22</f>
        <v>37253.684466779749</v>
      </c>
      <c r="AN26" s="9">
        <f>Table20[[#This Row],[VPP Output]]*Table19[[#This Row],[EIA]]</f>
        <v>9067.4678519872232</v>
      </c>
      <c r="AO26" s="9">
        <f>Table20[[#This Row],[VPP Output]]*Table19[[#This Row],[AVERT-Cambium Avg.]]</f>
        <v>14987.263468649469</v>
      </c>
      <c r="AP26" s="9">
        <f>Table20[[#This Row],[VPP Output]]*Table19[[#This Row],[AVERT 2022 at EIA rate of change]]</f>
        <v>13944.781560552685</v>
      </c>
    </row>
    <row r="27" spans="2:42" x14ac:dyDescent="0.2">
      <c r="K27" s="108"/>
      <c r="L27" s="108"/>
      <c r="M27" s="108"/>
      <c r="N27" s="108"/>
      <c r="O27" s="108"/>
      <c r="P27" s="108"/>
      <c r="Q27" s="108"/>
      <c r="AF27" s="74">
        <v>2042</v>
      </c>
      <c r="AG27">
        <v>21</v>
      </c>
      <c r="AH27">
        <f>'Grid GHG'!F26</f>
        <v>0.24245869199628484</v>
      </c>
      <c r="AI27" s="74">
        <f t="shared" si="7"/>
        <v>0.39888727733294099</v>
      </c>
      <c r="AJ27">
        <f>'Grid GHG'!G26</f>
        <v>0.37287515682832334</v>
      </c>
      <c r="AL27" s="78">
        <v>2042</v>
      </c>
      <c r="AM27" s="9">
        <f>Measure1!H23</f>
        <v>37067.416044445839</v>
      </c>
      <c r="AN27" s="9">
        <f>Table20[[#This Row],[VPP Output]]*Table19[[#This Row],[EIA]]</f>
        <v>8987.3172098184405</v>
      </c>
      <c r="AO27" s="9">
        <f>Table20[[#This Row],[VPP Output]]*Table19[[#This Row],[AVERT-Cambium Avg.]]</f>
        <v>14785.720663736374</v>
      </c>
      <c r="AP27" s="9">
        <f>Table20[[#This Row],[VPP Output]]*Table19[[#This Row],[AVERT 2022 at EIA rate of change]]</f>
        <v>13821.518570793451</v>
      </c>
    </row>
    <row r="28" spans="2:42" x14ac:dyDescent="0.2">
      <c r="K28" s="108"/>
      <c r="L28" s="108"/>
      <c r="M28" s="108"/>
      <c r="N28" s="108"/>
      <c r="O28" s="108"/>
      <c r="P28" s="108"/>
      <c r="Q28" s="108"/>
      <c r="AF28" s="74">
        <v>2043</v>
      </c>
      <c r="AG28">
        <v>22</v>
      </c>
      <c r="AH28">
        <f>'Grid GHG'!F27</f>
        <v>0.24222323524399106</v>
      </c>
      <c r="AI28" s="74">
        <f t="shared" si="7"/>
        <v>0.39547170373541707</v>
      </c>
      <c r="AJ28">
        <f>'Grid GHG'!G27</f>
        <v>0.37251304989491146</v>
      </c>
      <c r="AL28" s="78">
        <v>2043</v>
      </c>
      <c r="AM28" s="9">
        <f>Measure1!H24</f>
        <v>36882.078964223612</v>
      </c>
      <c r="AN28" s="9">
        <f>Table20[[#This Row],[VPP Output]]*Table19[[#This Row],[EIA]]</f>
        <v>8933.6964892385895</v>
      </c>
      <c r="AO28" s="9">
        <f>Table20[[#This Row],[VPP Output]]*Table19[[#This Row],[AVERT-Cambium Avg.]]</f>
        <v>14585.818605285698</v>
      </c>
      <c r="AP28" s="9">
        <f>Table20[[#This Row],[VPP Output]]*Table19[[#This Row],[AVERT 2022 at EIA rate of change]]</f>
        <v>13739.055721427894</v>
      </c>
    </row>
    <row r="29" spans="2:42" ht="14.5" customHeight="1" x14ac:dyDescent="0.2">
      <c r="K29" s="108"/>
      <c r="L29" s="108"/>
      <c r="M29" s="108"/>
      <c r="N29" s="108"/>
      <c r="O29" s="108"/>
      <c r="P29" s="108"/>
      <c r="Q29" s="108"/>
      <c r="AF29" s="74">
        <v>2044</v>
      </c>
      <c r="AG29">
        <v>23</v>
      </c>
      <c r="AH29">
        <f>'Grid GHG'!F28</f>
        <v>0.24270807884028053</v>
      </c>
      <c r="AI29" s="74">
        <f t="shared" si="7"/>
        <v>0.3920561301378932</v>
      </c>
      <c r="AJ29">
        <f>'Grid GHG'!G28</f>
        <v>0.37325868673108814</v>
      </c>
      <c r="AL29" s="78">
        <v>2044</v>
      </c>
      <c r="AM29" s="9">
        <f>Measure1!H25</f>
        <v>36697.668569402493</v>
      </c>
      <c r="AN29" s="9">
        <f>Table20[[#This Row],[VPP Output]]*Table19[[#This Row],[EIA]]</f>
        <v>8906.8206363970257</v>
      </c>
      <c r="AO29" s="9">
        <f>Table20[[#This Row],[VPP Output]]*Table19[[#This Row],[AVERT-Cambium Avg.]]</f>
        <v>14387.545924402937</v>
      </c>
      <c r="AP29" s="9">
        <f>Table20[[#This Row],[VPP Output]]*Table19[[#This Row],[AVERT 2022 at EIA rate of change]]</f>
        <v>13697.723576307904</v>
      </c>
    </row>
    <row r="30" spans="2:42" x14ac:dyDescent="0.2">
      <c r="K30" s="108"/>
      <c r="L30" s="108"/>
      <c r="M30" s="108"/>
      <c r="N30" s="108"/>
      <c r="O30" s="108"/>
      <c r="P30" s="108"/>
      <c r="Q30" s="108"/>
      <c r="AF30" s="74">
        <v>2045</v>
      </c>
      <c r="AG30">
        <v>24</v>
      </c>
      <c r="AH30">
        <f>'Grid GHG'!F29</f>
        <v>0.24220014655704755</v>
      </c>
      <c r="AI30" s="74">
        <f t="shared" si="7"/>
        <v>0.38864055654036928</v>
      </c>
      <c r="AJ30">
        <f>'Grid GHG'!G29</f>
        <v>0.37247754199996191</v>
      </c>
      <c r="AL30" s="78">
        <v>2045</v>
      </c>
      <c r="AM30" s="9">
        <f>Measure1!H26</f>
        <v>36514.180226555487</v>
      </c>
      <c r="AN30" s="9">
        <f>Table20[[#This Row],[VPP Output]]*Table19[[#This Row],[EIA]]</f>
        <v>8843.7398022821872</v>
      </c>
      <c r="AO30" s="9">
        <f>Table20[[#This Row],[VPP Output]]*Table19[[#This Row],[AVERT-Cambium Avg.]]</f>
        <v>14190.891324863871</v>
      </c>
      <c r="AP30" s="9">
        <f>Table20[[#This Row],[VPP Output]]*Table19[[#This Row],[AVERT 2022 at EIA rate of change]]</f>
        <v>13600.712098931001</v>
      </c>
    </row>
    <row r="31" spans="2:42" x14ac:dyDescent="0.2">
      <c r="AF31" s="74">
        <v>2046</v>
      </c>
      <c r="AG31">
        <v>25</v>
      </c>
      <c r="AH31">
        <f>'Grid GHG'!F30</f>
        <v>0.23842711836227692</v>
      </c>
      <c r="AI31" s="74">
        <f t="shared" si="7"/>
        <v>0.38522498294284535</v>
      </c>
      <c r="AJ31">
        <f>'Grid GHG'!G30</f>
        <v>0.36667503408300778</v>
      </c>
      <c r="AL31" s="78">
        <v>2046</v>
      </c>
      <c r="AM31" s="9">
        <f>Measure1!H27</f>
        <v>36331.609325422709</v>
      </c>
      <c r="AN31" s="9">
        <f>Table20[[#This Row],[VPP Output]]*Table19[[#This Row],[EIA]]</f>
        <v>8662.4409169245646</v>
      </c>
      <c r="AO31" s="9">
        <f>Table20[[#This Row],[VPP Output]]*Table19[[#This Row],[AVERT-Cambium Avg.]]</f>
        <v>13995.843582672083</v>
      </c>
      <c r="AP31" s="9">
        <f>Table20[[#This Row],[VPP Output]]*Table19[[#This Row],[AVERT 2022 at EIA rate of change]]</f>
        <v>13321.894087689894</v>
      </c>
    </row>
    <row r="32" spans="2:42" ht="14.5" customHeight="1" x14ac:dyDescent="0.2">
      <c r="K32" s="108" t="s">
        <v>117</v>
      </c>
      <c r="L32" s="108"/>
      <c r="M32" s="108"/>
      <c r="N32" s="108"/>
      <c r="O32" s="108"/>
      <c r="P32" s="108"/>
      <c r="Q32" s="108"/>
      <c r="AF32" s="74">
        <v>2047</v>
      </c>
      <c r="AG32">
        <v>26</v>
      </c>
      <c r="AH32">
        <f>'Grid GHG'!F31</f>
        <v>0.23628489707978009</v>
      </c>
      <c r="AI32" s="74">
        <f t="shared" si="7"/>
        <v>0.38180940934532143</v>
      </c>
      <c r="AJ32">
        <f>'Grid GHG'!G31</f>
        <v>0.36338053022300915</v>
      </c>
      <c r="AL32" s="78">
        <v>2047</v>
      </c>
      <c r="AM32" s="9">
        <f>Measure1!H28</f>
        <v>36149.95127879559</v>
      </c>
      <c r="AN32" s="9">
        <f>Table20[[#This Row],[VPP Output]]*Table19[[#This Row],[EIA]]</f>
        <v>8541.6875173492808</v>
      </c>
      <c r="AO32" s="9">
        <f>Table20[[#This Row],[VPP Output]]*Table19[[#This Row],[AVERT-Cambium Avg.]]</f>
        <v>13802.391545619092</v>
      </c>
      <c r="AP32" s="9">
        <f>Table20[[#This Row],[VPP Output]]*Table19[[#This Row],[AVERT 2022 at EIA rate of change]]</f>
        <v>13136.188463224689</v>
      </c>
    </row>
    <row r="33" spans="11:42" x14ac:dyDescent="0.2">
      <c r="K33" s="108"/>
      <c r="L33" s="108"/>
      <c r="M33" s="108"/>
      <c r="N33" s="108"/>
      <c r="O33" s="108"/>
      <c r="P33" s="108"/>
      <c r="Q33" s="108"/>
      <c r="AF33" s="74">
        <v>2048</v>
      </c>
      <c r="AG33">
        <v>27</v>
      </c>
      <c r="AH33">
        <f>'Grid GHG'!F32</f>
        <v>0.23059568153790189</v>
      </c>
      <c r="AI33" s="74">
        <f t="shared" si="7"/>
        <v>0.3783938357477975</v>
      </c>
      <c r="AJ33">
        <f>'Grid GHG'!G32</f>
        <v>0.35463113410962716</v>
      </c>
      <c r="AL33" s="78">
        <v>2048</v>
      </c>
      <c r="AM33" s="9">
        <f>Measure1!H29</f>
        <v>35969.201522401614</v>
      </c>
      <c r="AN33" s="9">
        <f>Table20[[#This Row],[VPP Output]]*Table19[[#This Row],[EIA]]</f>
        <v>8294.3425394323385</v>
      </c>
      <c r="AO33" s="9">
        <f>Table20[[#This Row],[VPP Output]]*Table19[[#This Row],[AVERT-Cambium Avg.]]</f>
        <v>13610.524132847064</v>
      </c>
      <c r="AP33" s="9">
        <f>Table20[[#This Row],[VPP Output]]*Table19[[#This Row],[AVERT 2022 at EIA rate of change]]</f>
        <v>12755.798728907012</v>
      </c>
    </row>
    <row r="34" spans="11:42" x14ac:dyDescent="0.2">
      <c r="K34" s="108"/>
      <c r="L34" s="108"/>
      <c r="M34" s="108"/>
      <c r="N34" s="108"/>
      <c r="O34" s="108"/>
      <c r="P34" s="108"/>
      <c r="Q34" s="108"/>
      <c r="AF34" s="74">
        <v>2049</v>
      </c>
      <c r="AG34">
        <v>28</v>
      </c>
      <c r="AH34">
        <f>'Grid GHG'!F33</f>
        <v>0.23118436937371162</v>
      </c>
      <c r="AI34" s="74">
        <f t="shared" si="7"/>
        <v>0.37497826215027363</v>
      </c>
      <c r="AJ34">
        <f>'Grid GHG'!G33</f>
        <v>0.35553647211707562</v>
      </c>
      <c r="AL34" s="78">
        <v>2049</v>
      </c>
      <c r="AM34" s="9">
        <f>Measure1!H30</f>
        <v>35789.355514789611</v>
      </c>
      <c r="AN34" s="9">
        <f>Table20[[#This Row],[VPP Output]]*Table19[[#This Row],[EIA]]</f>
        <v>8273.9395849782049</v>
      </c>
      <c r="AO34" s="9">
        <f>Table20[[#This Row],[VPP Output]]*Table19[[#This Row],[AVERT-Cambium Avg.]]</f>
        <v>13420.23033441412</v>
      </c>
      <c r="AP34" s="9">
        <f>Table20[[#This Row],[VPP Output]]*Table19[[#This Row],[AVERT 2022 at EIA rate of change]]</f>
        <v>12724.421199072103</v>
      </c>
    </row>
    <row r="35" spans="11:42" ht="16" thickBot="1" x14ac:dyDescent="0.25">
      <c r="K35" s="108"/>
      <c r="L35" s="108"/>
      <c r="M35" s="108"/>
      <c r="N35" s="108"/>
      <c r="O35" s="108"/>
      <c r="P35" s="108"/>
      <c r="Q35" s="108"/>
      <c r="AF35" s="46">
        <v>2050</v>
      </c>
      <c r="AG35">
        <v>29</v>
      </c>
      <c r="AH35">
        <f>'Grid GHG'!F34</f>
        <v>0.22645678523367976</v>
      </c>
      <c r="AI35" s="46">
        <f t="shared" si="7"/>
        <v>0.37156268855274971</v>
      </c>
      <c r="AJ35">
        <f>'Grid GHG'!G34</f>
        <v>0.34826596074410954</v>
      </c>
      <c r="AL35" s="79">
        <v>2050</v>
      </c>
      <c r="AM35" s="9">
        <f>Measure1!H31</f>
        <v>35610.408737215657</v>
      </c>
      <c r="AN35" s="9">
        <f>Table20[[#This Row],[VPP Output]]*Table19[[#This Row],[EIA]]</f>
        <v>8064.2186834871991</v>
      </c>
      <c r="AO35" s="9">
        <f>Table20[[#This Row],[VPP Output]]*Table19[[#This Row],[AVERT-Cambium Avg.]]</f>
        <v>13231.499210862179</v>
      </c>
      <c r="AP35" s="9">
        <f>Table20[[#This Row],[VPP Output]]*Table19[[#This Row],[AVERT 2022 at EIA rate of change]]</f>
        <v>12401.893211356843</v>
      </c>
    </row>
    <row r="36" spans="11:42" x14ac:dyDescent="0.2">
      <c r="K36" s="108"/>
      <c r="L36" s="108"/>
      <c r="M36" s="108"/>
      <c r="N36" s="108"/>
      <c r="O36" s="108"/>
      <c r="P36" s="108"/>
      <c r="Q36" s="108"/>
      <c r="AL36" s="9" t="s">
        <v>118</v>
      </c>
      <c r="AM36" s="9">
        <f>SUBTOTAL(109,Table20[VPP Output])</f>
        <v>894260.26129408472</v>
      </c>
      <c r="AN36" s="9">
        <f>SUBTOTAL(109,Table20[EIA])</f>
        <v>228066.10175966928</v>
      </c>
      <c r="AO36" s="9">
        <f>SUBTOTAL(109,Table20[AVERT-Cambium Avg.])</f>
        <v>370439.39350750565</v>
      </c>
      <c r="AP36" s="9">
        <f>SUBTOTAL(109,Table20[AVERT 2022 at EIA rate of change])</f>
        <v>350740.91491908266</v>
      </c>
    </row>
    <row r="37" spans="11:42" x14ac:dyDescent="0.2">
      <c r="K37" s="108"/>
      <c r="L37" s="108"/>
      <c r="M37" s="108"/>
      <c r="N37" s="108"/>
      <c r="O37" s="108"/>
      <c r="P37" s="108"/>
      <c r="Q37" s="108"/>
      <c r="AH37" t="s">
        <v>43</v>
      </c>
      <c r="AI37" t="s">
        <v>119</v>
      </c>
      <c r="AO37" s="10">
        <f>Table20[[#Totals],[AVERT-Cambium Avg.]]/Table20[[#Totals],[EIA]]-1</f>
        <v>0.62426327564394479</v>
      </c>
      <c r="AP37" s="10">
        <f>Table20[[#Totals],[AVERT 2022 at EIA rate of change]]/Table20[[#Totals],[EIA]]-1</f>
        <v>0.53789148064049086</v>
      </c>
    </row>
    <row r="38" spans="11:42" x14ac:dyDescent="0.2">
      <c r="K38" s="108"/>
      <c r="L38" s="108"/>
      <c r="M38" s="108"/>
      <c r="N38" s="108"/>
      <c r="O38" s="108"/>
      <c r="P38" s="108"/>
      <c r="Q38" s="108"/>
      <c r="AH38">
        <v>2025</v>
      </c>
      <c r="AI38">
        <v>0.72250000000000003</v>
      </c>
    </row>
    <row r="39" spans="11:42" x14ac:dyDescent="0.2">
      <c r="K39" s="108"/>
      <c r="L39" s="108"/>
      <c r="M39" s="108"/>
      <c r="N39" s="108"/>
      <c r="O39" s="108"/>
      <c r="P39" s="108"/>
      <c r="Q39" s="108"/>
      <c r="AH39">
        <v>2030</v>
      </c>
      <c r="AI39">
        <v>0.46339999999999998</v>
      </c>
    </row>
    <row r="40" spans="11:42" x14ac:dyDescent="0.2">
      <c r="K40" s="108"/>
      <c r="L40" s="108"/>
      <c r="M40" s="108"/>
      <c r="N40" s="108"/>
      <c r="O40" s="108"/>
      <c r="P40" s="108"/>
      <c r="Q40" s="108"/>
      <c r="AH40">
        <v>2035</v>
      </c>
      <c r="AI40">
        <v>0.42199999999999999</v>
      </c>
    </row>
    <row r="41" spans="11:42" x14ac:dyDescent="0.2">
      <c r="K41" s="108"/>
      <c r="L41" s="108"/>
      <c r="M41" s="108"/>
      <c r="N41" s="108"/>
      <c r="O41" s="108"/>
      <c r="P41" s="108"/>
      <c r="Q41" s="108"/>
      <c r="AH41">
        <v>2040</v>
      </c>
      <c r="AI41">
        <v>0.43099999999999999</v>
      </c>
    </row>
    <row r="42" spans="11:42" x14ac:dyDescent="0.2">
      <c r="K42" s="108"/>
      <c r="L42" s="108"/>
      <c r="M42" s="108"/>
      <c r="N42" s="108"/>
      <c r="O42" s="108"/>
      <c r="P42" s="108"/>
      <c r="Q42" s="108"/>
      <c r="AH42">
        <v>2045</v>
      </c>
      <c r="AI42">
        <v>0.42520000000000002</v>
      </c>
    </row>
    <row r="43" spans="11:42" x14ac:dyDescent="0.2">
      <c r="AH43">
        <v>2050</v>
      </c>
      <c r="AI43">
        <v>0.41349999999999998</v>
      </c>
    </row>
    <row r="45" spans="11:42" x14ac:dyDescent="0.2">
      <c r="K45" s="102" t="s">
        <v>120</v>
      </c>
      <c r="L45" s="103"/>
      <c r="M45" s="103"/>
      <c r="N45" s="103"/>
      <c r="O45" s="103"/>
      <c r="P45" s="103"/>
      <c r="Q45" s="104"/>
    </row>
    <row r="46" spans="11:42" x14ac:dyDescent="0.2">
      <c r="K46" s="105"/>
      <c r="L46" s="106"/>
      <c r="M46" s="106"/>
      <c r="N46" s="106"/>
      <c r="O46" s="106"/>
      <c r="P46" s="106"/>
      <c r="Q46" s="107"/>
    </row>
  </sheetData>
  <mergeCells count="8">
    <mergeCell ref="K45:Q46"/>
    <mergeCell ref="K23:Q30"/>
    <mergeCell ref="K32:Q42"/>
    <mergeCell ref="AH8:AJ8"/>
    <mergeCell ref="AN8:AP8"/>
    <mergeCell ref="S8:U8"/>
    <mergeCell ref="S7:U7"/>
    <mergeCell ref="W8:Y8"/>
  </mergeCells>
  <conditionalFormatting sqref="D10:I10">
    <cfRule type="expression" dxfId="0" priority="1">
      <formula>D$50&lt;&gt;yearRange</formula>
    </cfRule>
  </conditionalFormatting>
  <pageMargins left="0.7" right="0.7" top="0.75" bottom="0.75" header="0.3" footer="0.3"/>
  <drawing r:id="rId1"/>
  <tableParts count="5">
    <tablePart r:id="rId2"/>
    <tablePart r:id="rId3"/>
    <tablePart r:id="rId4"/>
    <tablePart r:id="rId5"/>
    <tablePart r:id="rId6"/>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sheetPr>
  <dimension ref="A3:S33"/>
  <sheetViews>
    <sheetView showGridLines="0" topLeftCell="I1" workbookViewId="0">
      <selection activeCell="L6" sqref="L6:L11"/>
    </sheetView>
  </sheetViews>
  <sheetFormatPr baseColWidth="10" defaultColWidth="8.83203125" defaultRowHeight="15" x14ac:dyDescent="0.2"/>
  <cols>
    <col min="1" max="1" width="11.5" bestFit="1" customWidth="1"/>
    <col min="2" max="3" width="10.5" bestFit="1" customWidth="1"/>
    <col min="5" max="5" width="21.1640625" bestFit="1" customWidth="1"/>
    <col min="6" max="7" width="19" customWidth="1"/>
    <col min="8" max="8" width="15.6640625" customWidth="1"/>
    <col min="9" max="9" width="30.6640625" bestFit="1" customWidth="1"/>
    <col min="10" max="10" width="29" bestFit="1" customWidth="1"/>
    <col min="11" max="12" width="29" customWidth="1"/>
    <col min="15" max="15" width="25.1640625" bestFit="1" customWidth="1"/>
    <col min="16" max="16" width="19" customWidth="1"/>
    <col min="17" max="17" width="19.83203125" customWidth="1"/>
    <col min="18" max="18" width="25.5" customWidth="1"/>
    <col min="19" max="19" width="26" bestFit="1" customWidth="1"/>
  </cols>
  <sheetData>
    <row r="3" spans="1:19" x14ac:dyDescent="0.2">
      <c r="D3" s="109" t="s">
        <v>121</v>
      </c>
      <c r="E3" s="109"/>
      <c r="F3" s="109"/>
      <c r="G3" s="109"/>
      <c r="H3" s="109"/>
      <c r="O3" s="100" t="s">
        <v>122</v>
      </c>
      <c r="P3" s="100"/>
      <c r="Q3" s="100"/>
    </row>
    <row r="4" spans="1:19" x14ac:dyDescent="0.2">
      <c r="D4" s="22"/>
      <c r="E4" s="109" t="s">
        <v>123</v>
      </c>
      <c r="F4" s="109"/>
      <c r="G4" s="109"/>
      <c r="H4" s="110"/>
      <c r="I4" s="109" t="s">
        <v>124</v>
      </c>
      <c r="J4" s="109"/>
      <c r="K4" s="109" t="s">
        <v>125</v>
      </c>
      <c r="L4" s="109"/>
      <c r="O4" t="s">
        <v>126</v>
      </c>
      <c r="P4" t="s">
        <v>123</v>
      </c>
      <c r="Q4" t="s">
        <v>127</v>
      </c>
    </row>
    <row r="5" spans="1:19" x14ac:dyDescent="0.2">
      <c r="D5" s="23" t="s">
        <v>43</v>
      </c>
      <c r="E5" s="23" t="s">
        <v>128</v>
      </c>
      <c r="F5" s="23" t="s">
        <v>129</v>
      </c>
      <c r="G5" s="23" t="s">
        <v>130</v>
      </c>
      <c r="H5" s="23" t="s">
        <v>131</v>
      </c>
      <c r="I5" s="23" t="s">
        <v>132</v>
      </c>
      <c r="J5" s="23" t="s">
        <v>133</v>
      </c>
      <c r="K5" s="23" t="s">
        <v>132</v>
      </c>
      <c r="L5" s="23" t="s">
        <v>133</v>
      </c>
      <c r="O5" t="s">
        <v>134</v>
      </c>
      <c r="P5" s="2">
        <f>AVERAGE(H6:H11)</f>
        <v>24500.80445536667</v>
      </c>
      <c r="Q5" s="2">
        <f>AVERAGE(J6:J11)</f>
        <v>7751.2449797340259</v>
      </c>
    </row>
    <row r="6" spans="1:19" x14ac:dyDescent="0.2">
      <c r="D6">
        <v>2025</v>
      </c>
      <c r="E6" s="1">
        <v>0</v>
      </c>
      <c r="F6" s="1">
        <v>0</v>
      </c>
      <c r="G6" s="1">
        <v>0</v>
      </c>
      <c r="H6" s="2">
        <f t="shared" ref="H6:H31" si="0">SUM(E6:G6)</f>
        <v>0</v>
      </c>
      <c r="I6" s="7">
        <f>'Grid GHG'!F9</f>
        <v>0.38296767586598895</v>
      </c>
      <c r="J6" s="2">
        <f t="shared" ref="J6:J31" si="1">H6*I6</f>
        <v>0</v>
      </c>
      <c r="K6" s="7">
        <f>'Grid GHG'!G9</f>
        <v>0.58896272607499345</v>
      </c>
      <c r="L6" s="2">
        <f t="shared" ref="L6:L31" si="2">H6*K6</f>
        <v>0</v>
      </c>
      <c r="O6" t="s">
        <v>135</v>
      </c>
      <c r="P6" s="2">
        <f>SUM(H6:H11)</f>
        <v>147004.82673220002</v>
      </c>
      <c r="Q6" s="2">
        <f>SUM(J6:J11)</f>
        <v>46507.469878404154</v>
      </c>
    </row>
    <row r="7" spans="1:19" x14ac:dyDescent="0.2">
      <c r="A7" s="20"/>
      <c r="B7" s="20"/>
      <c r="D7">
        <v>2026</v>
      </c>
      <c r="E7" s="2">
        <v>0</v>
      </c>
      <c r="F7" s="2">
        <v>0</v>
      </c>
      <c r="G7" s="2">
        <v>0</v>
      </c>
      <c r="H7" s="2">
        <f t="shared" si="0"/>
        <v>0</v>
      </c>
      <c r="I7" s="7">
        <f>'Grid GHG'!F10</f>
        <v>0.36945216642884204</v>
      </c>
      <c r="J7" s="2">
        <f t="shared" si="1"/>
        <v>0</v>
      </c>
      <c r="K7" s="7">
        <f>'Grid GHG'!G10</f>
        <v>0.56817733925508906</v>
      </c>
      <c r="L7" s="2">
        <f t="shared" si="2"/>
        <v>0</v>
      </c>
      <c r="O7" t="s">
        <v>136</v>
      </c>
      <c r="P7" s="2">
        <f>AVERAGE(H6:H31)</f>
        <v>34394.625434387875</v>
      </c>
      <c r="Q7" s="2">
        <f>AVERAGE(J6:J31)</f>
        <v>8771.7731446026646</v>
      </c>
    </row>
    <row r="8" spans="1:19" x14ac:dyDescent="0.2">
      <c r="B8" s="7"/>
      <c r="D8">
        <v>2027</v>
      </c>
      <c r="E8" s="31">
        <v>28314</v>
      </c>
      <c r="F8" s="2">
        <v>0</v>
      </c>
      <c r="G8" s="2">
        <v>0</v>
      </c>
      <c r="H8" s="2">
        <f t="shared" si="0"/>
        <v>28314</v>
      </c>
      <c r="I8" s="7">
        <f>'Grid GHG'!F11</f>
        <v>0.3424258499101735</v>
      </c>
      <c r="J8" s="2">
        <f>H8*I8</f>
        <v>9695.445514356652</v>
      </c>
      <c r="K8" s="7">
        <f>'Grid GHG'!G11</f>
        <v>0.52661379732793534</v>
      </c>
      <c r="L8" s="2">
        <f t="shared" si="2"/>
        <v>14910.543057543162</v>
      </c>
      <c r="O8" t="s">
        <v>137</v>
      </c>
      <c r="P8" s="2">
        <f>SUM(H6:H31)</f>
        <v>894260.26129408472</v>
      </c>
      <c r="Q8" s="2">
        <f>SUM(J6:J31)</f>
        <v>228066.10175966928</v>
      </c>
    </row>
    <row r="9" spans="1:19" x14ac:dyDescent="0.2">
      <c r="A9" s="32"/>
      <c r="B9" s="20"/>
      <c r="C9" s="20"/>
      <c r="D9">
        <v>2028</v>
      </c>
      <c r="E9" s="2">
        <f t="shared" ref="E9:E31" si="3">$E$8*(1-0.005)^($D9-$D$8)</f>
        <v>28172.43</v>
      </c>
      <c r="F9" s="31">
        <v>10301.888999999999</v>
      </c>
      <c r="G9" s="30">
        <v>1287.769</v>
      </c>
      <c r="H9" s="2">
        <f t="shared" si="0"/>
        <v>39762.088000000003</v>
      </c>
      <c r="I9" s="7">
        <f>'Grid GHG'!F12</f>
        <v>0.32674629656763332</v>
      </c>
      <c r="J9" s="2">
        <f t="shared" si="1"/>
        <v>12992.114997796336</v>
      </c>
      <c r="K9" s="7">
        <f>'Grid GHG'!G12</f>
        <v>0.50250034582219472</v>
      </c>
      <c r="L9" s="2">
        <f t="shared" si="2"/>
        <v>19980.462970612542</v>
      </c>
      <c r="Q9" t="s">
        <v>138</v>
      </c>
    </row>
    <row r="10" spans="1:19" ht="15.75" customHeight="1" x14ac:dyDescent="0.2">
      <c r="A10" s="32"/>
      <c r="B10" s="20"/>
      <c r="C10" s="20"/>
      <c r="D10">
        <v>2029</v>
      </c>
      <c r="E10" s="2">
        <f t="shared" si="3"/>
        <v>28031.567849999999</v>
      </c>
      <c r="F10" s="2">
        <f t="shared" ref="F10:F31" si="4">$F$9*(1-0.005)^($D10-$D$9)</f>
        <v>10250.379555</v>
      </c>
      <c r="G10" s="2">
        <f t="shared" ref="G10:G31" si="5">$G$9*(1-0.005)^($D10-$D$9)</f>
        <v>1281.3301550000001</v>
      </c>
      <c r="H10" s="2">
        <f t="shared" si="0"/>
        <v>39563.277560000002</v>
      </c>
      <c r="I10" s="7">
        <f>'Grid GHG'!F13</f>
        <v>0.31252951373730531</v>
      </c>
      <c r="J10" s="2">
        <f t="shared" si="1"/>
        <v>12364.691897680843</v>
      </c>
      <c r="K10" s="7">
        <f>'Grid GHG'!G13</f>
        <v>0.48063647662531722</v>
      </c>
      <c r="L10" s="2">
        <f t="shared" si="2"/>
        <v>19015.554330187879</v>
      </c>
    </row>
    <row r="11" spans="1:19" x14ac:dyDescent="0.2">
      <c r="A11" s="32"/>
      <c r="B11" s="20"/>
      <c r="C11" s="20"/>
      <c r="D11">
        <v>2030</v>
      </c>
      <c r="E11" s="2">
        <f t="shared" si="3"/>
        <v>27891.410010750002</v>
      </c>
      <c r="F11" s="2">
        <f t="shared" si="4"/>
        <v>10199.127657224999</v>
      </c>
      <c r="G11" s="2">
        <f t="shared" si="5"/>
        <v>1274.923504225</v>
      </c>
      <c r="H11" s="2">
        <f t="shared" si="0"/>
        <v>39365.461172200005</v>
      </c>
      <c r="I11" s="7">
        <f>'Grid GHG'!F14</f>
        <v>0.29099665360100052</v>
      </c>
      <c r="J11" s="2">
        <f t="shared" si="1"/>
        <v>11455.217468570321</v>
      </c>
      <c r="K11" s="7">
        <f>'Grid GHG'!G14</f>
        <v>0.44752127446787082</v>
      </c>
      <c r="L11" s="2">
        <f t="shared" si="2"/>
        <v>17616.881353798432</v>
      </c>
    </row>
    <row r="12" spans="1:19" x14ac:dyDescent="0.2">
      <c r="A12" s="32"/>
      <c r="B12" s="20"/>
      <c r="C12" s="20"/>
      <c r="D12">
        <v>2031</v>
      </c>
      <c r="E12" s="2">
        <f t="shared" si="3"/>
        <v>27751.952960696253</v>
      </c>
      <c r="F12" s="2">
        <f t="shared" si="4"/>
        <v>10148.132018938875</v>
      </c>
      <c r="G12" s="2">
        <f t="shared" si="5"/>
        <v>1268.548886703875</v>
      </c>
      <c r="H12" s="2">
        <f t="shared" si="0"/>
        <v>39168.633866338998</v>
      </c>
      <c r="I12" s="7">
        <f>'Grid GHG'!F15</f>
        <v>0.27622000690200782</v>
      </c>
      <c r="J12" s="2">
        <f t="shared" si="1"/>
        <v>10819.160316902375</v>
      </c>
      <c r="K12" s="7">
        <f>'Grid GHG'!G15</f>
        <v>0.42479639539705555</v>
      </c>
      <c r="L12" s="2">
        <f t="shared" si="2"/>
        <v>16638.694479047841</v>
      </c>
      <c r="O12" t="s">
        <v>139</v>
      </c>
      <c r="P12" t="s">
        <v>140</v>
      </c>
      <c r="Q12" t="s">
        <v>141</v>
      </c>
      <c r="R12" t="s">
        <v>142</v>
      </c>
      <c r="S12" t="s">
        <v>143</v>
      </c>
    </row>
    <row r="13" spans="1:19" x14ac:dyDescent="0.2">
      <c r="A13" s="32"/>
      <c r="B13" s="20"/>
      <c r="C13" s="20"/>
      <c r="D13">
        <v>2032</v>
      </c>
      <c r="E13" s="2">
        <f t="shared" si="3"/>
        <v>27613.193195892771</v>
      </c>
      <c r="F13" s="2">
        <f t="shared" si="4"/>
        <v>10097.391358844181</v>
      </c>
      <c r="G13" s="2">
        <f t="shared" si="5"/>
        <v>1262.2061422703557</v>
      </c>
      <c r="H13" s="2">
        <f t="shared" si="0"/>
        <v>38972.790697007309</v>
      </c>
      <c r="I13" s="7">
        <f>'Grid GHG'!F16</f>
        <v>0.27505678814887768</v>
      </c>
      <c r="J13" s="2">
        <f t="shared" si="1"/>
        <v>10719.730634317291</v>
      </c>
      <c r="K13" s="7">
        <f>'Grid GHG'!G16</f>
        <v>0.42300749118649544</v>
      </c>
      <c r="L13" s="2">
        <f t="shared" si="2"/>
        <v>16485.782417277453</v>
      </c>
      <c r="O13" t="s">
        <v>128</v>
      </c>
      <c r="P13" s="2">
        <f t="shared" ref="P13" si="6">SUM(E6:E11)</f>
        <v>112409.40786075</v>
      </c>
      <c r="Q13" s="2">
        <f>M1_MWh[[#Totals],[Valleycrest Landfill]]</f>
        <v>641858.50073319371</v>
      </c>
      <c r="R13" s="2">
        <f>SUMPRODUCT(E6:E11,$I$6:$I$11)</f>
        <v>35777.681928964019</v>
      </c>
      <c r="S13" s="2">
        <f>SUMPRODUCT(E6:E31,$I$6:$I$31)</f>
        <v>164416.4960569019</v>
      </c>
    </row>
    <row r="14" spans="1:19" x14ac:dyDescent="0.2">
      <c r="A14" s="32"/>
      <c r="B14" s="20"/>
      <c r="C14" s="20"/>
      <c r="D14">
        <v>2033</v>
      </c>
      <c r="E14" s="2">
        <f t="shared" si="3"/>
        <v>27475.127229913309</v>
      </c>
      <c r="F14" s="2">
        <f t="shared" si="4"/>
        <v>10046.90440204996</v>
      </c>
      <c r="G14" s="2">
        <f t="shared" si="5"/>
        <v>1255.8951115590039</v>
      </c>
      <c r="H14" s="2">
        <f t="shared" si="0"/>
        <v>38777.926743522272</v>
      </c>
      <c r="I14" s="7">
        <f>'Grid GHG'!F17</f>
        <v>0.25606962674017136</v>
      </c>
      <c r="J14" s="2">
        <f t="shared" si="1"/>
        <v>9929.849226971457</v>
      </c>
      <c r="K14" s="7">
        <f>'Grid GHG'!G17</f>
        <v>0.39380729741450005</v>
      </c>
      <c r="L14" s="2">
        <f t="shared" si="2"/>
        <v>15271.030530203971</v>
      </c>
      <c r="O14" t="s">
        <v>144</v>
      </c>
      <c r="P14" s="2">
        <f>SUM(F6:F11)</f>
        <v>30751.396212224998</v>
      </c>
      <c r="Q14" s="2">
        <f>M1_MWh[[#Totals],[Liberty]]</f>
        <v>224356.48409149583</v>
      </c>
      <c r="R14" s="2">
        <f>SUMPRODUCT(F6:F11,$I$6:$I$11)</f>
        <v>9537.5622342496918</v>
      </c>
      <c r="S14" s="2">
        <f>SUMPRODUCT(F6:F31,$I$6:$I$31)</f>
        <v>56577.266804911422</v>
      </c>
    </row>
    <row r="15" spans="1:19" x14ac:dyDescent="0.2">
      <c r="A15" s="32"/>
      <c r="B15" s="20"/>
      <c r="C15" s="20"/>
      <c r="D15">
        <v>2034</v>
      </c>
      <c r="E15" s="2">
        <f t="shared" si="3"/>
        <v>27337.75159376374</v>
      </c>
      <c r="F15" s="2">
        <f t="shared" si="4"/>
        <v>9996.6698800397098</v>
      </c>
      <c r="G15" s="2">
        <f t="shared" si="5"/>
        <v>1249.6156360012089</v>
      </c>
      <c r="H15" s="2">
        <f t="shared" si="0"/>
        <v>38584.03710980466</v>
      </c>
      <c r="I15" s="7">
        <f>'Grid GHG'!F18</f>
        <v>0.23942871555357381</v>
      </c>
      <c r="J15" s="2">
        <f t="shared" si="1"/>
        <v>9238.1264460719558</v>
      </c>
      <c r="K15" s="7">
        <f>'Grid GHG'!G18</f>
        <v>0.36821538187053665</v>
      </c>
      <c r="L15" s="2">
        <f t="shared" si="2"/>
        <v>14207.23595849368</v>
      </c>
      <c r="O15" t="s">
        <v>130</v>
      </c>
      <c r="P15" s="2">
        <f>SUM(G6:G11)</f>
        <v>3844.0226592250001</v>
      </c>
      <c r="Q15" s="2">
        <f>M1_MWh[[#Totals],[Dayton Steel]]</f>
        <v>28045.276469395219</v>
      </c>
      <c r="R15" s="2">
        <f>SUMPRODUCT(G6:G11,$I$6:$I$11)</f>
        <v>1192.2257151904366</v>
      </c>
      <c r="S15" s="2">
        <f>SUMPRODUCT(G6:G31,$I$6:$I$31)</f>
        <v>7072.3388978559169</v>
      </c>
    </row>
    <row r="16" spans="1:19" x14ac:dyDescent="0.2">
      <c r="A16" s="32"/>
      <c r="B16" s="20"/>
      <c r="C16" s="20"/>
      <c r="D16">
        <v>2035</v>
      </c>
      <c r="E16" s="2">
        <f t="shared" si="3"/>
        <v>27201.062835794921</v>
      </c>
      <c r="F16" s="2">
        <f t="shared" si="4"/>
        <v>9946.6865306395121</v>
      </c>
      <c r="G16" s="2">
        <f t="shared" si="5"/>
        <v>1243.3675578212028</v>
      </c>
      <c r="H16" s="2">
        <f t="shared" si="0"/>
        <v>38391.116924255643</v>
      </c>
      <c r="I16" s="7">
        <f>'Grid GHG'!F19</f>
        <v>0.23420701364913374</v>
      </c>
      <c r="J16" s="2">
        <f t="shared" si="1"/>
        <v>8991.4688454846309</v>
      </c>
      <c r="K16" s="7">
        <f>'Grid GHG'!G19</f>
        <v>0.36018497099725405</v>
      </c>
      <c r="L16" s="2">
        <f t="shared" si="2"/>
        <v>13827.903335915207</v>
      </c>
      <c r="O16" t="s">
        <v>118</v>
      </c>
      <c r="P16" s="2">
        <f>SUBTOTAL(109,M1_Summary[Electrical Output - 5 year])</f>
        <v>147004.82673220002</v>
      </c>
      <c r="Q16" s="2">
        <f>SUBTOTAL(109,M1_Summary[Electrical Output - 25 year])</f>
        <v>894260.26129408483</v>
      </c>
      <c r="R16" s="2">
        <f>SUBTOTAL(109,M1_Summary[GHG Reductions - 6 year])</f>
        <v>46507.469878404147</v>
      </c>
      <c r="S16" s="2">
        <f>SUBTOTAL(109,M1_Summary[GHG Reductions - 25 year])</f>
        <v>228066.10175966925</v>
      </c>
    </row>
    <row r="17" spans="1:18" x14ac:dyDescent="0.2">
      <c r="A17" s="32"/>
      <c r="B17" s="20"/>
      <c r="C17" s="20"/>
      <c r="D17">
        <v>2036</v>
      </c>
      <c r="E17" s="2">
        <f t="shared" si="3"/>
        <v>27065.057521615945</v>
      </c>
      <c r="F17" s="2">
        <f t="shared" si="4"/>
        <v>9896.9530979863139</v>
      </c>
      <c r="G17" s="2">
        <f t="shared" si="5"/>
        <v>1237.1507200320968</v>
      </c>
      <c r="H17" s="2">
        <f t="shared" si="0"/>
        <v>38199.16133963436</v>
      </c>
      <c r="I17" s="7">
        <f>'Grid GHG'!F20</f>
        <v>0.23354859475148512</v>
      </c>
      <c r="J17" s="2">
        <f t="shared" si="1"/>
        <v>8921.3604515568622</v>
      </c>
      <c r="K17" s="7">
        <f>'Grid GHG'!G20</f>
        <v>0.35917239418386754</v>
      </c>
      <c r="L17" s="2">
        <f t="shared" si="2"/>
        <v>13720.084234172306</v>
      </c>
      <c r="R17" t="s">
        <v>138</v>
      </c>
    </row>
    <row r="18" spans="1:18" x14ac:dyDescent="0.2">
      <c r="A18" s="32"/>
      <c r="B18" s="20"/>
      <c r="C18" s="20"/>
      <c r="D18">
        <v>2037</v>
      </c>
      <c r="E18" s="2">
        <f t="shared" si="3"/>
        <v>26929.732234007868</v>
      </c>
      <c r="F18" s="2">
        <f t="shared" si="4"/>
        <v>9847.4683324963826</v>
      </c>
      <c r="G18" s="2">
        <f t="shared" si="5"/>
        <v>1230.9649664319363</v>
      </c>
      <c r="H18" s="2">
        <f t="shared" si="0"/>
        <v>38008.165532936189</v>
      </c>
      <c r="I18" s="7">
        <f>'Grid GHG'!F21</f>
        <v>0.23355026217026298</v>
      </c>
      <c r="J18" s="2">
        <f t="shared" si="1"/>
        <v>8876.8170248280003</v>
      </c>
      <c r="K18" s="7">
        <f>'Grid GHG'!G21</f>
        <v>0.35917495849300068</v>
      </c>
      <c r="L18" s="2">
        <f t="shared" si="2"/>
        <v>13651.581277687455</v>
      </c>
    </row>
    <row r="19" spans="1:18" x14ac:dyDescent="0.2">
      <c r="A19" s="32"/>
      <c r="B19" s="20"/>
      <c r="C19" s="20"/>
      <c r="D19">
        <v>2038</v>
      </c>
      <c r="E19" s="2">
        <f t="shared" si="3"/>
        <v>26795.083572837826</v>
      </c>
      <c r="F19" s="2">
        <f t="shared" si="4"/>
        <v>9798.2309908339012</v>
      </c>
      <c r="G19" s="2">
        <f t="shared" si="5"/>
        <v>1224.8101415997767</v>
      </c>
      <c r="H19" s="2">
        <f t="shared" si="0"/>
        <v>37818.124705271497</v>
      </c>
      <c r="I19" s="7">
        <f>'Grid GHG'!F22</f>
        <v>0.24370400649753346</v>
      </c>
      <c r="J19" s="2">
        <f t="shared" si="1"/>
        <v>9216.4285088980159</v>
      </c>
      <c r="K19" s="7">
        <f>'Grid GHG'!G22</f>
        <v>0.37479031539051166</v>
      </c>
      <c r="L19" s="2">
        <f t="shared" si="2"/>
        <v>14173.866885766405</v>
      </c>
    </row>
    <row r="20" spans="1:18" x14ac:dyDescent="0.2">
      <c r="A20" s="32"/>
      <c r="B20" s="20"/>
      <c r="C20" s="20"/>
      <c r="D20">
        <v>2039</v>
      </c>
      <c r="E20" s="2">
        <f t="shared" si="3"/>
        <v>26661.108154973641</v>
      </c>
      <c r="F20" s="2">
        <f t="shared" si="4"/>
        <v>9749.2398358797309</v>
      </c>
      <c r="G20" s="2">
        <f t="shared" si="5"/>
        <v>1218.6860908917777</v>
      </c>
      <c r="H20" s="2">
        <f t="shared" si="0"/>
        <v>37629.034081745151</v>
      </c>
      <c r="I20" s="7">
        <f>'Grid GHG'!F23</f>
        <v>0.2432297089596841</v>
      </c>
      <c r="J20" s="2">
        <f t="shared" si="1"/>
        <v>9152.4990081369069</v>
      </c>
      <c r="K20" s="7">
        <f>'Grid GHG'!G23</f>
        <v>0.37406089724776437</v>
      </c>
      <c r="L20" s="2">
        <f t="shared" si="2"/>
        <v>14075.550251184297</v>
      </c>
    </row>
    <row r="21" spans="1:18" x14ac:dyDescent="0.2">
      <c r="A21" s="32"/>
      <c r="B21" s="20"/>
      <c r="C21" s="20"/>
      <c r="D21">
        <v>2040</v>
      </c>
      <c r="E21" s="2">
        <f t="shared" si="3"/>
        <v>26527.802614198772</v>
      </c>
      <c r="F21" s="2">
        <f t="shared" si="4"/>
        <v>9700.493636700332</v>
      </c>
      <c r="G21" s="2">
        <f t="shared" si="5"/>
        <v>1212.592660437319</v>
      </c>
      <c r="H21" s="2">
        <f t="shared" si="0"/>
        <v>37440.88891133642</v>
      </c>
      <c r="I21" s="7">
        <f>'Grid GHG'!F24</f>
        <v>0.2435177275783621</v>
      </c>
      <c r="J21" s="2">
        <f t="shared" si="1"/>
        <v>9117.5201862025406</v>
      </c>
      <c r="K21" s="7">
        <f>'Grid GHG'!G24</f>
        <v>0.3745038386276951</v>
      </c>
      <c r="L21" s="2">
        <f t="shared" si="2"/>
        <v>14021.756618928594</v>
      </c>
    </row>
    <row r="22" spans="1:18" x14ac:dyDescent="0.2">
      <c r="A22" s="32"/>
      <c r="B22" s="20"/>
      <c r="C22" s="20"/>
      <c r="D22">
        <v>2041</v>
      </c>
      <c r="E22" s="2">
        <f t="shared" si="3"/>
        <v>26395.163601127781</v>
      </c>
      <c r="F22" s="2">
        <f t="shared" si="4"/>
        <v>9651.9911685168317</v>
      </c>
      <c r="G22" s="2">
        <f t="shared" si="5"/>
        <v>1206.5296971351324</v>
      </c>
      <c r="H22" s="2">
        <f t="shared" si="0"/>
        <v>37253.684466779749</v>
      </c>
      <c r="I22" s="7">
        <f>'Grid GHG'!F25</f>
        <v>0.2433978808209685</v>
      </c>
      <c r="J22" s="2">
        <f t="shared" si="1"/>
        <v>9067.4678519872232</v>
      </c>
      <c r="K22" s="7">
        <f>'Grid GHG'!G25</f>
        <v>0.3743195273205171</v>
      </c>
      <c r="L22" s="2">
        <f t="shared" si="2"/>
        <v>13944.781560552685</v>
      </c>
    </row>
    <row r="23" spans="1:18" x14ac:dyDescent="0.2">
      <c r="A23" s="32"/>
      <c r="B23" s="20"/>
      <c r="C23" s="20"/>
      <c r="D23">
        <v>2042</v>
      </c>
      <c r="E23" s="2">
        <f t="shared" si="3"/>
        <v>26263.187783122139</v>
      </c>
      <c r="F23" s="2">
        <f t="shared" si="4"/>
        <v>9603.7312126742472</v>
      </c>
      <c r="G23" s="2">
        <f t="shared" si="5"/>
        <v>1200.4970486494569</v>
      </c>
      <c r="H23" s="2">
        <f t="shared" si="0"/>
        <v>37067.416044445839</v>
      </c>
      <c r="I23" s="7">
        <f>'Grid GHG'!F26</f>
        <v>0.24245869199628484</v>
      </c>
      <c r="J23" s="2">
        <f t="shared" si="1"/>
        <v>8987.3172098184405</v>
      </c>
      <c r="K23" s="7">
        <f>'Grid GHG'!G26</f>
        <v>0.37287515682832334</v>
      </c>
      <c r="L23" s="2">
        <f t="shared" si="2"/>
        <v>13821.518570793451</v>
      </c>
    </row>
    <row r="24" spans="1:18" x14ac:dyDescent="0.2">
      <c r="A24" s="32"/>
      <c r="B24" s="20"/>
      <c r="C24" s="20"/>
      <c r="D24">
        <v>2043</v>
      </c>
      <c r="E24" s="2">
        <f t="shared" si="3"/>
        <v>26131.871844206529</v>
      </c>
      <c r="F24" s="2">
        <f t="shared" si="4"/>
        <v>9555.7125566108771</v>
      </c>
      <c r="G24" s="2">
        <f t="shared" si="5"/>
        <v>1194.4945634062094</v>
      </c>
      <c r="H24" s="2">
        <f t="shared" si="0"/>
        <v>36882.078964223612</v>
      </c>
      <c r="I24" s="7">
        <f>'Grid GHG'!F27</f>
        <v>0.24222323524399106</v>
      </c>
      <c r="J24" s="2">
        <f t="shared" si="1"/>
        <v>8933.6964892385895</v>
      </c>
      <c r="K24" s="7">
        <f>'Grid GHG'!G27</f>
        <v>0.37251304989491146</v>
      </c>
      <c r="L24" s="2">
        <f t="shared" si="2"/>
        <v>13739.055721427894</v>
      </c>
    </row>
    <row r="25" spans="1:18" x14ac:dyDescent="0.2">
      <c r="A25" s="32"/>
      <c r="B25" s="20"/>
      <c r="C25" s="20"/>
      <c r="D25">
        <v>2044</v>
      </c>
      <c r="E25" s="2">
        <f t="shared" si="3"/>
        <v>26001.212484985495</v>
      </c>
      <c r="F25" s="2">
        <f t="shared" si="4"/>
        <v>9507.9339938278208</v>
      </c>
      <c r="G25" s="2">
        <f t="shared" si="5"/>
        <v>1188.5220905891783</v>
      </c>
      <c r="H25" s="2">
        <f t="shared" si="0"/>
        <v>36697.668569402493</v>
      </c>
      <c r="I25" s="7">
        <f>'Grid GHG'!F28</f>
        <v>0.24270807884028053</v>
      </c>
      <c r="J25" s="2">
        <f t="shared" si="1"/>
        <v>8906.8206363970257</v>
      </c>
      <c r="K25" s="7">
        <f>'Grid GHG'!G28</f>
        <v>0.37325868673108814</v>
      </c>
      <c r="L25" s="2">
        <f t="shared" si="2"/>
        <v>13697.723576307904</v>
      </c>
    </row>
    <row r="26" spans="1:18" x14ac:dyDescent="0.2">
      <c r="A26" s="32"/>
      <c r="B26" s="20"/>
      <c r="C26" s="20"/>
      <c r="D26">
        <v>2045</v>
      </c>
      <c r="E26" s="2">
        <f t="shared" si="3"/>
        <v>25871.206422560568</v>
      </c>
      <c r="F26" s="2">
        <f t="shared" si="4"/>
        <v>9460.3943238586817</v>
      </c>
      <c r="G26" s="2">
        <f t="shared" si="5"/>
        <v>1182.5794801362326</v>
      </c>
      <c r="H26" s="2">
        <f t="shared" si="0"/>
        <v>36514.180226555487</v>
      </c>
      <c r="I26" s="7">
        <f>'Grid GHG'!F29</f>
        <v>0.24220014655704755</v>
      </c>
      <c r="J26" s="2">
        <f t="shared" si="1"/>
        <v>8843.7398022821872</v>
      </c>
      <c r="K26" s="7">
        <f>'Grid GHG'!G29</f>
        <v>0.37247754199996191</v>
      </c>
      <c r="L26" s="2">
        <f t="shared" si="2"/>
        <v>13600.712098931001</v>
      </c>
    </row>
    <row r="27" spans="1:18" x14ac:dyDescent="0.2">
      <c r="A27" s="32"/>
      <c r="B27" s="20"/>
      <c r="C27" s="20"/>
      <c r="D27">
        <v>2046</v>
      </c>
      <c r="E27" s="2">
        <f t="shared" si="3"/>
        <v>25741.850390447766</v>
      </c>
      <c r="F27" s="2">
        <f t="shared" si="4"/>
        <v>9413.0923522393896</v>
      </c>
      <c r="G27" s="2">
        <f t="shared" si="5"/>
        <v>1176.6665827355514</v>
      </c>
      <c r="H27" s="2">
        <f t="shared" si="0"/>
        <v>36331.609325422709</v>
      </c>
      <c r="I27" s="7">
        <f>'Grid GHG'!F30</f>
        <v>0.23842711836227692</v>
      </c>
      <c r="J27" s="2">
        <f t="shared" si="1"/>
        <v>8662.4409169245646</v>
      </c>
      <c r="K27" s="7">
        <f>'Grid GHG'!G30</f>
        <v>0.36667503408300778</v>
      </c>
      <c r="L27" s="2">
        <f t="shared" si="2"/>
        <v>13321.894087689894</v>
      </c>
    </row>
    <row r="28" spans="1:18" x14ac:dyDescent="0.2">
      <c r="A28" s="32"/>
      <c r="B28" s="20"/>
      <c r="C28" s="20"/>
      <c r="D28">
        <v>2047</v>
      </c>
      <c r="E28" s="2">
        <f t="shared" si="3"/>
        <v>25613.141138495528</v>
      </c>
      <c r="F28" s="2">
        <f t="shared" si="4"/>
        <v>9366.0268904781915</v>
      </c>
      <c r="G28" s="2">
        <f t="shared" si="5"/>
        <v>1170.7832498218736</v>
      </c>
      <c r="H28" s="2">
        <f t="shared" si="0"/>
        <v>36149.95127879559</v>
      </c>
      <c r="I28" s="7">
        <f>'Grid GHG'!F31</f>
        <v>0.23628489707978009</v>
      </c>
      <c r="J28" s="2">
        <f t="shared" si="1"/>
        <v>8541.6875173492808</v>
      </c>
      <c r="K28" s="7">
        <f>'Grid GHG'!G31</f>
        <v>0.36338053022300915</v>
      </c>
      <c r="L28" s="2">
        <f t="shared" si="2"/>
        <v>13136.188463224689</v>
      </c>
    </row>
    <row r="29" spans="1:18" x14ac:dyDescent="0.2">
      <c r="A29" s="32"/>
      <c r="B29" s="20"/>
      <c r="C29" s="20"/>
      <c r="D29">
        <v>2048</v>
      </c>
      <c r="E29" s="2">
        <f t="shared" si="3"/>
        <v>25485.075432803049</v>
      </c>
      <c r="F29" s="2">
        <f t="shared" si="4"/>
        <v>9319.1967560258017</v>
      </c>
      <c r="G29" s="2">
        <f t="shared" si="5"/>
        <v>1164.9293335727643</v>
      </c>
      <c r="H29" s="2">
        <f t="shared" si="0"/>
        <v>35969.201522401614</v>
      </c>
      <c r="I29" s="7">
        <f>'Grid GHG'!F32</f>
        <v>0.23059568153790189</v>
      </c>
      <c r="J29" s="2">
        <f t="shared" si="1"/>
        <v>8294.3425394323385</v>
      </c>
      <c r="K29" s="7">
        <f>'Grid GHG'!G32</f>
        <v>0.35463113410962716</v>
      </c>
      <c r="L29" s="2">
        <f t="shared" si="2"/>
        <v>12755.798728907012</v>
      </c>
    </row>
    <row r="30" spans="1:18" x14ac:dyDescent="0.2">
      <c r="A30" s="32"/>
      <c r="B30" s="20"/>
      <c r="C30" s="20"/>
      <c r="D30">
        <v>2049</v>
      </c>
      <c r="E30" s="2">
        <f t="shared" si="3"/>
        <v>25357.650055639035</v>
      </c>
      <c r="F30" s="2">
        <f t="shared" si="4"/>
        <v>9272.6007722456725</v>
      </c>
      <c r="G30" s="2">
        <f t="shared" si="5"/>
        <v>1159.1046869049005</v>
      </c>
      <c r="H30" s="2">
        <f t="shared" si="0"/>
        <v>35789.355514789611</v>
      </c>
      <c r="I30" s="7">
        <f>'Grid GHG'!F33</f>
        <v>0.23118436937371162</v>
      </c>
      <c r="J30" s="2">
        <f t="shared" si="1"/>
        <v>8273.9395849782049</v>
      </c>
      <c r="K30" s="7">
        <f>'Grid GHG'!G33</f>
        <v>0.35553647211707562</v>
      </c>
      <c r="L30" s="2">
        <f t="shared" si="2"/>
        <v>12724.421199072103</v>
      </c>
    </row>
    <row r="31" spans="1:18" x14ac:dyDescent="0.2">
      <c r="A31" s="32"/>
      <c r="B31" s="20"/>
      <c r="C31" s="20"/>
      <c r="D31">
        <v>2050</v>
      </c>
      <c r="E31" s="2">
        <f t="shared" si="3"/>
        <v>25230.861805360841</v>
      </c>
      <c r="F31" s="2">
        <f t="shared" si="4"/>
        <v>9226.2377683844443</v>
      </c>
      <c r="G31" s="2">
        <f t="shared" si="5"/>
        <v>1153.309163470376</v>
      </c>
      <c r="H31" s="2">
        <f t="shared" si="0"/>
        <v>35610.408737215657</v>
      </c>
      <c r="I31" s="7">
        <f>'Grid GHG'!F34</f>
        <v>0.22645678523367976</v>
      </c>
      <c r="J31" s="2">
        <f t="shared" si="1"/>
        <v>8064.2186834871991</v>
      </c>
      <c r="K31" s="7">
        <f>'Grid GHG'!G34</f>
        <v>0.34826596074410954</v>
      </c>
      <c r="L31" s="2">
        <f t="shared" si="2"/>
        <v>12401.893211356843</v>
      </c>
    </row>
    <row r="32" spans="1:18" x14ac:dyDescent="0.2">
      <c r="D32" t="s">
        <v>118</v>
      </c>
      <c r="E32" s="2">
        <f>SUBTOTAL(109,M1_MWh[Valleycrest Landfill])</f>
        <v>641858.50073319371</v>
      </c>
      <c r="F32" s="2">
        <f>SUBTOTAL(109,M1_MWh[Liberty])</f>
        <v>224356.48409149583</v>
      </c>
      <c r="G32" s="2">
        <f>SUBTOTAL(109,M1_MWh[Dayton Steel])</f>
        <v>28045.276469395219</v>
      </c>
      <c r="H32" s="2">
        <f>SUBTOTAL(109,M1_MWh[Annual Total])</f>
        <v>894260.26129408472</v>
      </c>
      <c r="J32" s="2">
        <f>SUBTOTAL(109,M1_CO2[Avoided Emissions (mtCO2)])</f>
        <v>228066.10175966928</v>
      </c>
      <c r="L32" s="2">
        <f>SUBTOTAL(109,M1_CO219[Avoided Emissions (mtCO2)])</f>
        <v>350740.91491908266</v>
      </c>
    </row>
    <row r="33" spans="10:10" x14ac:dyDescent="0.2">
      <c r="J33" t="s">
        <v>138</v>
      </c>
    </row>
  </sheetData>
  <mergeCells count="5">
    <mergeCell ref="E4:H4"/>
    <mergeCell ref="D3:H3"/>
    <mergeCell ref="O3:Q3"/>
    <mergeCell ref="I4:J4"/>
    <mergeCell ref="K4:L4"/>
  </mergeCells>
  <pageMargins left="0.7" right="0.7" top="0.75" bottom="0.75" header="0.3" footer="0.3"/>
  <tableParts count="5">
    <tablePart r:id="rId1"/>
    <tablePart r:id="rId2"/>
    <tablePart r:id="rId3"/>
    <tablePart r:id="rId4"/>
    <tablePart r:id="rId5"/>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D8151-87E8-406D-B389-EE54AF88B919}">
  <sheetPr>
    <tabColor theme="9"/>
  </sheetPr>
  <dimension ref="A1:S15"/>
  <sheetViews>
    <sheetView showGridLines="0" workbookViewId="0"/>
  </sheetViews>
  <sheetFormatPr baseColWidth="10" defaultColWidth="8.83203125" defaultRowHeight="15" x14ac:dyDescent="0.2"/>
  <cols>
    <col min="3" max="3" width="67.6640625" bestFit="1" customWidth="1"/>
    <col min="4" max="4" width="22" customWidth="1"/>
    <col min="5" max="19" width="6.1640625" customWidth="1"/>
  </cols>
  <sheetData>
    <row r="1" spans="1:19" x14ac:dyDescent="0.2">
      <c r="A1" t="s">
        <v>145</v>
      </c>
    </row>
    <row r="3" spans="1:19" x14ac:dyDescent="0.2">
      <c r="C3" s="111" t="s">
        <v>146</v>
      </c>
      <c r="D3" s="111"/>
    </row>
    <row r="4" spans="1:19" x14ac:dyDescent="0.2">
      <c r="C4" t="s">
        <v>147</v>
      </c>
      <c r="D4" t="s">
        <v>148</v>
      </c>
    </row>
    <row r="5" spans="1:19" x14ac:dyDescent="0.2">
      <c r="C5" t="s">
        <v>149</v>
      </c>
      <c r="D5">
        <v>5.51</v>
      </c>
    </row>
    <row r="6" spans="1:19" x14ac:dyDescent="0.2">
      <c r="C6" t="s">
        <v>150</v>
      </c>
      <c r="D6">
        <v>3.22</v>
      </c>
    </row>
    <row r="7" spans="1:19" x14ac:dyDescent="0.2">
      <c r="C7" s="42" t="s">
        <v>151</v>
      </c>
      <c r="D7" s="42">
        <v>889.89</v>
      </c>
    </row>
    <row r="8" spans="1:19" x14ac:dyDescent="0.2">
      <c r="C8" s="42" t="s">
        <v>152</v>
      </c>
      <c r="D8" s="43">
        <v>10061.32</v>
      </c>
    </row>
    <row r="9" spans="1:19" x14ac:dyDescent="0.2">
      <c r="C9" t="s">
        <v>153</v>
      </c>
      <c r="D9">
        <v>131.65</v>
      </c>
    </row>
    <row r="12" spans="1:19" x14ac:dyDescent="0.2">
      <c r="C12" s="109" t="s">
        <v>154</v>
      </c>
      <c r="D12" s="109"/>
      <c r="E12" s="21"/>
      <c r="F12" s="21"/>
      <c r="G12" s="21"/>
      <c r="H12" s="21"/>
      <c r="I12" s="21"/>
      <c r="J12" s="21"/>
      <c r="K12" s="21"/>
      <c r="L12" s="21"/>
      <c r="M12" s="21"/>
      <c r="N12" s="21"/>
      <c r="O12" s="21"/>
      <c r="P12" s="21"/>
      <c r="Q12" s="21"/>
      <c r="R12" s="21"/>
      <c r="S12" s="21"/>
    </row>
    <row r="13" spans="1:19" ht="217.25" customHeight="1" x14ac:dyDescent="0.2">
      <c r="C13" t="s">
        <v>155</v>
      </c>
      <c r="D13" t="s">
        <v>156</v>
      </c>
      <c r="E13" s="38" t="s">
        <v>157</v>
      </c>
      <c r="F13" s="36" t="s">
        <v>158</v>
      </c>
      <c r="G13" s="36" t="s">
        <v>159</v>
      </c>
      <c r="H13" s="36" t="s">
        <v>160</v>
      </c>
      <c r="I13" s="36" t="s">
        <v>161</v>
      </c>
      <c r="J13" s="36" t="s">
        <v>162</v>
      </c>
      <c r="K13" s="36" t="s">
        <v>163</v>
      </c>
      <c r="L13" s="36" t="s">
        <v>164</v>
      </c>
      <c r="M13" s="36" t="s">
        <v>165</v>
      </c>
      <c r="N13" s="36" t="s">
        <v>166</v>
      </c>
      <c r="O13" s="36" t="s">
        <v>167</v>
      </c>
      <c r="P13" s="41" t="s">
        <v>168</v>
      </c>
      <c r="Q13" s="36" t="s">
        <v>169</v>
      </c>
      <c r="R13" s="41" t="s">
        <v>170</v>
      </c>
      <c r="S13" s="37" t="s">
        <v>171</v>
      </c>
    </row>
    <row r="14" spans="1:19" x14ac:dyDescent="0.2">
      <c r="C14" t="s">
        <v>172</v>
      </c>
      <c r="D14" t="s">
        <v>173</v>
      </c>
      <c r="E14">
        <v>401</v>
      </c>
      <c r="F14">
        <v>125</v>
      </c>
      <c r="G14">
        <v>24</v>
      </c>
      <c r="H14">
        <v>205</v>
      </c>
      <c r="I14">
        <v>47</v>
      </c>
      <c r="J14" s="9">
        <v>2411</v>
      </c>
      <c r="K14">
        <v>400</v>
      </c>
      <c r="L14">
        <v>108</v>
      </c>
      <c r="M14" s="9">
        <v>1772</v>
      </c>
      <c r="N14">
        <v>130</v>
      </c>
      <c r="O14">
        <v>33</v>
      </c>
      <c r="P14" s="40">
        <v>1110</v>
      </c>
      <c r="Q14">
        <v>1</v>
      </c>
      <c r="R14" s="39">
        <v>265</v>
      </c>
      <c r="S14">
        <v>2</v>
      </c>
    </row>
    <row r="15" spans="1:19" x14ac:dyDescent="0.2">
      <c r="C15" t="s">
        <v>174</v>
      </c>
      <c r="D15" t="s">
        <v>173</v>
      </c>
      <c r="E15">
        <v>903</v>
      </c>
      <c r="F15">
        <v>-89</v>
      </c>
      <c r="G15">
        <v>65</v>
      </c>
      <c r="H15">
        <v>765</v>
      </c>
      <c r="I15">
        <v>162</v>
      </c>
      <c r="J15" s="9">
        <v>6134</v>
      </c>
      <c r="K15">
        <v>-390</v>
      </c>
      <c r="L15">
        <v>297</v>
      </c>
      <c r="M15" s="9">
        <v>5779</v>
      </c>
      <c r="N15">
        <v>447</v>
      </c>
      <c r="O15">
        <v>93</v>
      </c>
      <c r="P15" s="39">
        <v>-793</v>
      </c>
      <c r="Q15">
        <v>3</v>
      </c>
      <c r="R15" s="39">
        <v>865</v>
      </c>
      <c r="S15">
        <v>6</v>
      </c>
    </row>
  </sheetData>
  <mergeCells count="2">
    <mergeCell ref="C3:D3"/>
    <mergeCell ref="C12:D12"/>
  </mergeCells>
  <pageMargins left="0.7" right="0.7" top="0.75" bottom="0.75" header="0.3" footer="0.3"/>
  <tableParts count="2">
    <tablePart r:id="rId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059DC-F3B8-4F28-9191-B28500BE24CD}">
  <sheetPr>
    <tabColor theme="9"/>
  </sheetPr>
  <dimension ref="C2:W46"/>
  <sheetViews>
    <sheetView showGridLines="0" topLeftCell="Q10" workbookViewId="0">
      <selection activeCell="D20" sqref="D20:D45"/>
    </sheetView>
  </sheetViews>
  <sheetFormatPr baseColWidth="10" defaultColWidth="8.83203125" defaultRowHeight="15" x14ac:dyDescent="0.2"/>
  <cols>
    <col min="3" max="3" width="27.1640625" customWidth="1"/>
    <col min="4" max="4" width="21.1640625" customWidth="1"/>
    <col min="5" max="5" width="28.33203125" customWidth="1"/>
    <col min="6" max="6" width="32.6640625" customWidth="1"/>
    <col min="7" max="7" width="15.83203125" customWidth="1"/>
    <col min="8" max="8" width="32.5" customWidth="1"/>
    <col min="12" max="22" width="18.83203125" customWidth="1"/>
  </cols>
  <sheetData>
    <row r="2" spans="3:23" x14ac:dyDescent="0.2">
      <c r="D2" s="111" t="s">
        <v>175</v>
      </c>
      <c r="E2" s="111"/>
      <c r="F2" s="111"/>
      <c r="G2" s="111" t="s">
        <v>176</v>
      </c>
      <c r="H2" s="111"/>
    </row>
    <row r="3" spans="3:23" ht="234" customHeight="1" x14ac:dyDescent="0.2">
      <c r="C3" t="s">
        <v>72</v>
      </c>
      <c r="D3" s="11" t="s">
        <v>177</v>
      </c>
      <c r="E3" s="11" t="s">
        <v>178</v>
      </c>
      <c r="F3" s="11" t="s">
        <v>179</v>
      </c>
      <c r="G3" s="11" t="s">
        <v>180</v>
      </c>
      <c r="H3" s="11" t="s">
        <v>181</v>
      </c>
    </row>
    <row r="4" spans="3:23" x14ac:dyDescent="0.2">
      <c r="C4" t="s">
        <v>182</v>
      </c>
      <c r="D4">
        <v>889.89</v>
      </c>
      <c r="E4">
        <v>265</v>
      </c>
      <c r="F4">
        <v>865</v>
      </c>
      <c r="G4">
        <f>D4-E4</f>
        <v>624.89</v>
      </c>
      <c r="H4">
        <f>D4-F4</f>
        <v>24.889999999999986</v>
      </c>
    </row>
    <row r="5" spans="3:23" x14ac:dyDescent="0.2">
      <c r="C5" t="s">
        <v>183</v>
      </c>
      <c r="D5" s="8">
        <v>10061.32</v>
      </c>
      <c r="E5" s="9">
        <v>1110</v>
      </c>
      <c r="F5">
        <v>-793</v>
      </c>
      <c r="G5">
        <f>D5-E5</f>
        <v>8951.32</v>
      </c>
      <c r="H5">
        <f>D5-F5</f>
        <v>10854.32</v>
      </c>
    </row>
    <row r="6" spans="3:23" x14ac:dyDescent="0.2">
      <c r="E6" s="100"/>
      <c r="F6" s="100"/>
    </row>
    <row r="9" spans="3:23" x14ac:dyDescent="0.2">
      <c r="O9" t="s">
        <v>184</v>
      </c>
    </row>
    <row r="10" spans="3:23" ht="165" customHeight="1" x14ac:dyDescent="0.2">
      <c r="K10" s="26" t="s">
        <v>43</v>
      </c>
      <c r="L10" s="27" t="s">
        <v>185</v>
      </c>
      <c r="M10" s="28" t="s">
        <v>186</v>
      </c>
      <c r="N10" s="26" t="s">
        <v>187</v>
      </c>
      <c r="O10" s="27" t="s">
        <v>188</v>
      </c>
      <c r="P10" s="28" t="s">
        <v>189</v>
      </c>
      <c r="Q10" s="26" t="s">
        <v>190</v>
      </c>
      <c r="R10" s="45" t="s">
        <v>191</v>
      </c>
      <c r="S10" s="26" t="s">
        <v>192</v>
      </c>
      <c r="T10" s="27" t="s">
        <v>193</v>
      </c>
      <c r="U10" s="28" t="s">
        <v>194</v>
      </c>
      <c r="V10" s="28" t="s">
        <v>195</v>
      </c>
      <c r="W10" s="11"/>
    </row>
    <row r="11" spans="3:23" x14ac:dyDescent="0.2">
      <c r="K11" s="6">
        <v>2025</v>
      </c>
      <c r="L11" s="12">
        <f>'Grid GHG'!F9</f>
        <v>0.38296767586598895</v>
      </c>
      <c r="M11" s="13">
        <f>L11*(1-'Contents'!$D$19)</f>
        <v>0.15318707034639559</v>
      </c>
      <c r="N11" s="14">
        <f>'Contents'!$F$18</f>
        <v>5.2909999999999999E-2</v>
      </c>
      <c r="O11" s="15">
        <f>M11*$D$5/1000+N11*$D$4*0.1</f>
        <v>6.2496721246175975</v>
      </c>
      <c r="P11" s="16">
        <f>M11*$G$5/1000+N11*$G$4*0.1</f>
        <v>4.6775194765330976</v>
      </c>
      <c r="Q11" s="17">
        <f>M11*$H$5/1000+N11*$H$4*0.1</f>
        <v>1.7944344714022884</v>
      </c>
      <c r="R11" s="44">
        <v>75</v>
      </c>
      <c r="S11" s="6">
        <f>R11</f>
        <v>75</v>
      </c>
      <c r="T11" s="18">
        <f>(O11-P11)*S11</f>
        <v>117.91144860633749</v>
      </c>
      <c r="U11" s="19">
        <f>(O11-Q11)*S11</f>
        <v>334.14282399114819</v>
      </c>
      <c r="V11" s="19">
        <f>U11-T11</f>
        <v>216.23137538481069</v>
      </c>
    </row>
    <row r="12" spans="3:23" x14ac:dyDescent="0.2">
      <c r="K12" s="6">
        <v>2026</v>
      </c>
      <c r="L12" s="12">
        <f>'Grid GHG'!F10</f>
        <v>0.36945216642884204</v>
      </c>
      <c r="M12" s="13">
        <f>L12*(1-'Contents'!$D$19)</f>
        <v>0.14778086657153683</v>
      </c>
      <c r="N12" s="14">
        <f>'Contents'!$F$18</f>
        <v>5.2909999999999999E-2</v>
      </c>
      <c r="O12" s="15">
        <f t="shared" ref="O12:O36" si="0">M12*$D$5/1000+N12*$D$4*0.1</f>
        <v>6.1952785784535358</v>
      </c>
      <c r="P12" s="16">
        <f t="shared" ref="P12:P36" si="1">M12*$G$5/1000+N12*$G$4*0.1</f>
        <v>4.6291268165591291</v>
      </c>
      <c r="Q12" s="17">
        <f t="shared" ref="Q12:Q36" si="2">M12*$H$5/1000+N12*$H$4*0.1</f>
        <v>1.7357538056447634</v>
      </c>
      <c r="R12" s="44">
        <v>115</v>
      </c>
      <c r="S12" s="6">
        <f>S11+R12</f>
        <v>190</v>
      </c>
      <c r="T12" s="18">
        <f t="shared" ref="T12:T36" si="3">(O12-P12)*S12</f>
        <v>297.56883475993726</v>
      </c>
      <c r="U12" s="19">
        <f t="shared" ref="U12:U36" si="4">(O12-Q12)*S12</f>
        <v>847.30970683366684</v>
      </c>
      <c r="V12" s="19">
        <f t="shared" ref="V12:V36" si="5">U12-T12</f>
        <v>549.74087207372963</v>
      </c>
    </row>
    <row r="13" spans="3:23" x14ac:dyDescent="0.2">
      <c r="K13" s="6">
        <v>2027</v>
      </c>
      <c r="L13" s="12">
        <f>'Grid GHG'!F11</f>
        <v>0.3424258499101735</v>
      </c>
      <c r="M13" s="13">
        <f>L13*(1-'Contents'!$D$19)</f>
        <v>0.1369703399640694</v>
      </c>
      <c r="N13" s="14">
        <f>'Contents'!$F$18</f>
        <v>5.2909999999999999E-2</v>
      </c>
      <c r="O13" s="15">
        <f t="shared" si="0"/>
        <v>6.0865104108872909</v>
      </c>
      <c r="P13" s="16">
        <f t="shared" si="1"/>
        <v>4.5323583335271742</v>
      </c>
      <c r="Q13" s="17">
        <f t="shared" si="2"/>
        <v>1.6184128904787978</v>
      </c>
      <c r="R13" s="44">
        <v>135</v>
      </c>
      <c r="S13" s="6">
        <f t="shared" ref="S13:S36" si="6">S12+R13</f>
        <v>325</v>
      </c>
      <c r="T13" s="18">
        <f t="shared" si="3"/>
        <v>505.09942514203794</v>
      </c>
      <c r="U13" s="19">
        <f t="shared" si="4"/>
        <v>1452.1316941327605</v>
      </c>
      <c r="V13" s="19">
        <f t="shared" si="5"/>
        <v>947.03226899072251</v>
      </c>
    </row>
    <row r="14" spans="3:23" x14ac:dyDescent="0.2">
      <c r="C14" t="s">
        <v>196</v>
      </c>
      <c r="D14" t="s">
        <v>72</v>
      </c>
      <c r="K14" s="6">
        <v>2028</v>
      </c>
      <c r="L14" s="12">
        <f>'Grid GHG'!F12</f>
        <v>0.32674629656763332</v>
      </c>
      <c r="M14" s="13">
        <f>L14*(1-'Contents'!$D$19)</f>
        <v>0.13069851862705334</v>
      </c>
      <c r="N14" s="14">
        <f>'Contents'!$F$18</f>
        <v>5.2909999999999999E-2</v>
      </c>
      <c r="O14" s="15">
        <f t="shared" si="0"/>
        <v>6.0234076094327449</v>
      </c>
      <c r="P14" s="16">
        <f t="shared" si="1"/>
        <v>4.4762172537567153</v>
      </c>
      <c r="Q14" s="17">
        <f t="shared" si="2"/>
        <v>1.5503365347039975</v>
      </c>
      <c r="R14" s="44">
        <v>165</v>
      </c>
      <c r="S14" s="6">
        <f t="shared" si="6"/>
        <v>490</v>
      </c>
      <c r="T14" s="18">
        <f t="shared" si="3"/>
        <v>758.12327428125445</v>
      </c>
      <c r="U14" s="19">
        <f t="shared" si="4"/>
        <v>2191.8048266170863</v>
      </c>
      <c r="V14" s="19">
        <f t="shared" si="5"/>
        <v>1433.6815523358318</v>
      </c>
    </row>
    <row r="15" spans="3:23" x14ac:dyDescent="0.2">
      <c r="C15" t="s">
        <v>126</v>
      </c>
      <c r="D15" t="s">
        <v>127</v>
      </c>
      <c r="K15" s="6">
        <v>2029</v>
      </c>
      <c r="L15" s="12">
        <f>'Grid GHG'!F13</f>
        <v>0.31252951373730531</v>
      </c>
      <c r="M15" s="13">
        <f>L15*(1-'Contents'!$D$19)</f>
        <v>0.12501180549492213</v>
      </c>
      <c r="N15" s="14">
        <f>'Contents'!$F$18</f>
        <v>5.2909999999999999E-2</v>
      </c>
      <c r="O15" s="15">
        <f t="shared" si="0"/>
        <v>5.9661917688621706</v>
      </c>
      <c r="P15" s="16">
        <f t="shared" si="1"/>
        <v>4.4253136647628066</v>
      </c>
      <c r="Q15" s="17">
        <f t="shared" si="2"/>
        <v>1.4886111306196432</v>
      </c>
      <c r="R15" s="44">
        <v>195</v>
      </c>
      <c r="S15" s="6">
        <f t="shared" si="6"/>
        <v>685</v>
      </c>
      <c r="T15" s="18">
        <f t="shared" si="3"/>
        <v>1055.5015013080642</v>
      </c>
      <c r="U15" s="19">
        <f t="shared" si="4"/>
        <v>3067.1427371961308</v>
      </c>
      <c r="V15" s="19">
        <f t="shared" si="5"/>
        <v>2011.6412358880666</v>
      </c>
    </row>
    <row r="16" spans="3:23" x14ac:dyDescent="0.2">
      <c r="C16" t="s">
        <v>134</v>
      </c>
      <c r="D16" s="1">
        <f>AVERAGE(V11:V16)</f>
        <v>1196.8660412598701</v>
      </c>
      <c r="K16" s="6">
        <v>2030</v>
      </c>
      <c r="L16" s="12">
        <f>'Grid GHG'!F14</f>
        <v>0.29099665360100052</v>
      </c>
      <c r="M16" s="13">
        <f>L16*(1-'Contents'!$D$19)</f>
        <v>0.11639866144040022</v>
      </c>
      <c r="N16" s="14">
        <f>'Contents'!$F$18</f>
        <v>5.2909999999999999E-2</v>
      </c>
      <c r="O16" s="15">
        <f t="shared" si="0"/>
        <v>5.8795321703235279</v>
      </c>
      <c r="P16" s="16">
        <f t="shared" si="1"/>
        <v>4.3482146561246839</v>
      </c>
      <c r="Q16" s="17">
        <f t="shared" si="2"/>
        <v>1.3951213088457648</v>
      </c>
      <c r="R16" s="5"/>
      <c r="S16" s="6">
        <f t="shared" si="6"/>
        <v>685</v>
      </c>
      <c r="T16" s="18">
        <f t="shared" si="3"/>
        <v>1048.9524972262082</v>
      </c>
      <c r="U16" s="19">
        <f t="shared" si="4"/>
        <v>3071.8214401122677</v>
      </c>
      <c r="V16" s="19">
        <f t="shared" si="5"/>
        <v>2022.8689428860596</v>
      </c>
    </row>
    <row r="17" spans="3:22" x14ac:dyDescent="0.2">
      <c r="C17" t="s">
        <v>135</v>
      </c>
      <c r="D17" s="1">
        <f>SUM(V11:V16)</f>
        <v>7181.1962475592209</v>
      </c>
      <c r="K17" s="6">
        <v>2031</v>
      </c>
      <c r="L17" s="12">
        <f>'Grid GHG'!F15</f>
        <v>0.27622000690200782</v>
      </c>
      <c r="M17" s="13">
        <f>L17*(1-'Contents'!$D$19)</f>
        <v>0.11048800276080313</v>
      </c>
      <c r="N17" s="14">
        <f>'Contents'!$F$18</f>
        <v>5.2909999999999999E-2</v>
      </c>
      <c r="O17" s="15">
        <f t="shared" si="0"/>
        <v>5.8200631419373243</v>
      </c>
      <c r="P17" s="16">
        <f t="shared" si="1"/>
        <v>4.2953064588728322</v>
      </c>
      <c r="Q17" s="17">
        <f t="shared" si="2"/>
        <v>1.3309651281266406</v>
      </c>
      <c r="R17" s="5"/>
      <c r="S17" s="6">
        <f t="shared" si="6"/>
        <v>685</v>
      </c>
      <c r="T17" s="18">
        <f t="shared" si="3"/>
        <v>1044.458327899177</v>
      </c>
      <c r="U17" s="19">
        <f t="shared" si="4"/>
        <v>3075.0321394603184</v>
      </c>
      <c r="V17" s="19">
        <f t="shared" si="5"/>
        <v>2030.5738115611414</v>
      </c>
    </row>
    <row r="18" spans="3:22" x14ac:dyDescent="0.2">
      <c r="C18" t="s">
        <v>136</v>
      </c>
      <c r="D18" s="1">
        <f>AVERAGE(V11:V36)</f>
        <v>1851.6149668248072</v>
      </c>
      <c r="K18" s="6">
        <v>2032</v>
      </c>
      <c r="L18" s="12">
        <f>'Grid GHG'!F16</f>
        <v>0.27505678814887768</v>
      </c>
      <c r="M18" s="13">
        <f>L18*(1-'Contents'!$D$19)</f>
        <v>0.11002271525955108</v>
      </c>
      <c r="N18" s="14">
        <f>'Contents'!$F$18</f>
        <v>5.2909999999999999E-2</v>
      </c>
      <c r="O18" s="15">
        <f t="shared" si="0"/>
        <v>5.8153817354952269</v>
      </c>
      <c r="P18" s="16">
        <f t="shared" si="1"/>
        <v>4.2911415215571251</v>
      </c>
      <c r="Q18" s="17">
        <f t="shared" si="2"/>
        <v>1.3259147486960505</v>
      </c>
      <c r="R18" s="5"/>
      <c r="S18" s="6">
        <f t="shared" si="6"/>
        <v>685</v>
      </c>
      <c r="T18" s="18">
        <f t="shared" si="3"/>
        <v>1044.1045465475997</v>
      </c>
      <c r="U18" s="19">
        <f t="shared" si="4"/>
        <v>3075.2848859574356</v>
      </c>
      <c r="V18" s="19">
        <f t="shared" si="5"/>
        <v>2031.1803394098358</v>
      </c>
    </row>
    <row r="19" spans="3:22" x14ac:dyDescent="0.2">
      <c r="C19" t="s">
        <v>137</v>
      </c>
      <c r="D19" s="1">
        <f>SUM(V11:V36)</f>
        <v>48141.989137444987</v>
      </c>
      <c r="K19" s="6">
        <v>2033</v>
      </c>
      <c r="L19" s="12">
        <f>'Grid GHG'!F17</f>
        <v>0.25606962674017136</v>
      </c>
      <c r="M19" s="13">
        <f>L19*(1-'Contents'!$D$19)</f>
        <v>0.10242785069606855</v>
      </c>
      <c r="N19" s="14">
        <f>'Contents'!$F$18</f>
        <v>5.2909999999999999E-2</v>
      </c>
      <c r="O19" s="15">
        <f t="shared" si="0"/>
        <v>5.7389673727653685</v>
      </c>
      <c r="P19" s="16">
        <f t="shared" si="1"/>
        <v>4.2231574584927323</v>
      </c>
      <c r="Q19" s="17">
        <f t="shared" si="2"/>
        <v>1.2434776583673508</v>
      </c>
      <c r="R19" s="5"/>
      <c r="S19" s="6">
        <f t="shared" si="6"/>
        <v>685</v>
      </c>
      <c r="T19" s="18">
        <f t="shared" si="3"/>
        <v>1038.3297912767557</v>
      </c>
      <c r="U19" s="19">
        <f>(O19-Q19)*S19</f>
        <v>3079.4104543626418</v>
      </c>
      <c r="V19" s="19">
        <f t="shared" si="5"/>
        <v>2041.080663085886</v>
      </c>
    </row>
    <row r="20" spans="3:22" x14ac:dyDescent="0.2">
      <c r="C20" s="6">
        <v>2025</v>
      </c>
      <c r="D20" s="1">
        <f t="shared" ref="D20:D45" si="7">V11</f>
        <v>216.23137538481069</v>
      </c>
      <c r="K20" s="6">
        <v>2034</v>
      </c>
      <c r="L20" s="12">
        <f>'Grid GHG'!F18</f>
        <v>0.23942871555357381</v>
      </c>
      <c r="M20" s="13">
        <f>L20*(1-'Contents'!$D$19)</f>
        <v>9.577148622142953E-2</v>
      </c>
      <c r="N20" s="14">
        <f>'Contents'!$F$18</f>
        <v>5.2909999999999999E-2</v>
      </c>
      <c r="O20" s="15">
        <f t="shared" si="0"/>
        <v>5.6719955597493934</v>
      </c>
      <c r="P20" s="16">
        <f t="shared" si="1"/>
        <v>4.1635742100436071</v>
      </c>
      <c r="Q20" s="17">
        <f t="shared" si="2"/>
        <v>1.1712273483229869</v>
      </c>
      <c r="R20" s="5"/>
      <c r="S20" s="6">
        <f t="shared" si="6"/>
        <v>685</v>
      </c>
      <c r="T20" s="18">
        <f t="shared" si="3"/>
        <v>1033.2686245484635</v>
      </c>
      <c r="U20" s="19">
        <f t="shared" si="4"/>
        <v>3083.0262248270883</v>
      </c>
      <c r="V20" s="19">
        <f t="shared" si="5"/>
        <v>2049.7576002786245</v>
      </c>
    </row>
    <row r="21" spans="3:22" x14ac:dyDescent="0.2">
      <c r="C21" s="6">
        <v>2026</v>
      </c>
      <c r="D21" s="1">
        <f t="shared" si="7"/>
        <v>549.74087207372963</v>
      </c>
      <c r="K21" s="6">
        <v>2035</v>
      </c>
      <c r="L21" s="12">
        <f>'Grid GHG'!F19</f>
        <v>0.23420701364913374</v>
      </c>
      <c r="M21" s="13">
        <f>L21*(1-'Contents'!$D$19)</f>
        <v>9.3682805459653504E-2</v>
      </c>
      <c r="N21" s="14">
        <f>'Contents'!$F$18</f>
        <v>5.2909999999999999E-2</v>
      </c>
      <c r="O21" s="15">
        <f t="shared" si="0"/>
        <v>5.6509806742273216</v>
      </c>
      <c r="P21" s="16">
        <f t="shared" si="1"/>
        <v>4.1448777601671054</v>
      </c>
      <c r="Q21" s="17">
        <f t="shared" si="2"/>
        <v>1.1485561389568262</v>
      </c>
      <c r="R21" s="5"/>
      <c r="S21" s="6">
        <f t="shared" si="6"/>
        <v>685</v>
      </c>
      <c r="T21" s="18">
        <f t="shared" si="3"/>
        <v>1031.6804961312482</v>
      </c>
      <c r="U21" s="19">
        <f t="shared" si="4"/>
        <v>3084.1608066602898</v>
      </c>
      <c r="V21" s="19">
        <f t="shared" si="5"/>
        <v>2052.4803105290416</v>
      </c>
    </row>
    <row r="22" spans="3:22" x14ac:dyDescent="0.2">
      <c r="C22" s="6">
        <v>2027</v>
      </c>
      <c r="D22" s="1">
        <f t="shared" si="7"/>
        <v>947.03226899072251</v>
      </c>
      <c r="K22" s="6">
        <v>2036</v>
      </c>
      <c r="L22" s="12">
        <f>'Grid GHG'!F20</f>
        <v>0.23354859475148512</v>
      </c>
      <c r="M22" s="13">
        <f>L22*(1-'Contents'!$D$19)</f>
        <v>9.3419437900594052E-2</v>
      </c>
      <c r="N22" s="14">
        <f>'Contents'!$F$18</f>
        <v>5.2909999999999999E-2</v>
      </c>
      <c r="O22" s="15">
        <f t="shared" si="0"/>
        <v>5.6483308489380057</v>
      </c>
      <c r="P22" s="16">
        <f t="shared" si="1"/>
        <v>4.1425202728683459</v>
      </c>
      <c r="Q22" s="17">
        <f t="shared" si="2"/>
        <v>1.1456974631931758</v>
      </c>
      <c r="R22" s="5"/>
      <c r="S22" s="6">
        <f t="shared" si="6"/>
        <v>685</v>
      </c>
      <c r="T22" s="18">
        <f t="shared" si="3"/>
        <v>1031.4802446077169</v>
      </c>
      <c r="U22" s="19">
        <f t="shared" si="4"/>
        <v>3084.3038692352088</v>
      </c>
      <c r="V22" s="19">
        <f t="shared" si="5"/>
        <v>2052.8236246274919</v>
      </c>
    </row>
    <row r="23" spans="3:22" x14ac:dyDescent="0.2">
      <c r="C23" s="6">
        <v>2028</v>
      </c>
      <c r="D23" s="1">
        <f t="shared" si="7"/>
        <v>1433.6815523358318</v>
      </c>
      <c r="K23" s="6">
        <v>2037</v>
      </c>
      <c r="L23" s="12">
        <f>'Grid GHG'!F21</f>
        <v>0.23355026217026298</v>
      </c>
      <c r="M23" s="13">
        <f>L23*(1-'Contents'!$D$19)</f>
        <v>9.3420104868105203E-2</v>
      </c>
      <c r="N23" s="14">
        <f>'Contents'!$F$18</f>
        <v>5.2909999999999999E-2</v>
      </c>
      <c r="O23" s="15">
        <f t="shared" si="0"/>
        <v>5.6483375595115648</v>
      </c>
      <c r="P23" s="16">
        <f t="shared" si="1"/>
        <v>4.1425262431079677</v>
      </c>
      <c r="Q23" s="17">
        <f>M23*$H$5/1000+N23*$H$4*0.1</f>
        <v>1.1457047026719716</v>
      </c>
      <c r="R23" s="5"/>
      <c r="S23" s="6">
        <f t="shared" si="6"/>
        <v>685</v>
      </c>
      <c r="T23" s="18">
        <f t="shared" si="3"/>
        <v>1031.4807517364641</v>
      </c>
      <c r="U23" s="19">
        <f t="shared" si="4"/>
        <v>3084.3035069351213</v>
      </c>
      <c r="V23" s="19">
        <f t="shared" si="5"/>
        <v>2052.8227551986574</v>
      </c>
    </row>
    <row r="24" spans="3:22" x14ac:dyDescent="0.2">
      <c r="C24" s="6">
        <v>2029</v>
      </c>
      <c r="D24" s="1">
        <f t="shared" si="7"/>
        <v>2011.6412358880666</v>
      </c>
      <c r="K24" s="6">
        <v>2038</v>
      </c>
      <c r="L24" s="12">
        <f>'Grid GHG'!F22</f>
        <v>0.24370400649753346</v>
      </c>
      <c r="M24" s="13">
        <f>L24*(1-'Contents'!$D$19)</f>
        <v>9.7481602599013395E-2</v>
      </c>
      <c r="N24" s="14">
        <f>'Contents'!$F$18</f>
        <v>5.2909999999999999E-2</v>
      </c>
      <c r="O24" s="15">
        <f t="shared" si="0"/>
        <v>5.6892015878615059</v>
      </c>
      <c r="P24" s="16">
        <f t="shared" si="1"/>
        <v>4.1788820089766006</v>
      </c>
      <c r="Q24" s="17">
        <f t="shared" si="2"/>
        <v>1.189789498722523</v>
      </c>
      <c r="R24" s="5"/>
      <c r="S24" s="6">
        <f t="shared" si="6"/>
        <v>685</v>
      </c>
      <c r="T24" s="18">
        <f t="shared" si="3"/>
        <v>1034.5689115361602</v>
      </c>
      <c r="U24" s="19">
        <f t="shared" si="4"/>
        <v>3082.0972810602034</v>
      </c>
      <c r="V24" s="19">
        <f t="shared" si="5"/>
        <v>2047.5283695240432</v>
      </c>
    </row>
    <row r="25" spans="3:22" x14ac:dyDescent="0.2">
      <c r="C25" s="6">
        <v>2030</v>
      </c>
      <c r="D25" s="1">
        <f t="shared" si="7"/>
        <v>2022.8689428860596</v>
      </c>
      <c r="K25" s="6">
        <v>2039</v>
      </c>
      <c r="L25" s="12">
        <f>'Grid GHG'!F23</f>
        <v>0.2432297089596841</v>
      </c>
      <c r="M25" s="13">
        <f>L25*(1-'Contents'!$D$19)</f>
        <v>9.729188358387364E-2</v>
      </c>
      <c r="N25" s="14">
        <f>'Contents'!$F$18</f>
        <v>5.2909999999999999E-2</v>
      </c>
      <c r="O25" s="15">
        <f t="shared" si="0"/>
        <v>5.6872927641400999</v>
      </c>
      <c r="P25" s="16">
        <f t="shared" si="1"/>
        <v>4.1771837733619996</v>
      </c>
      <c r="Q25" s="17">
        <f t="shared" si="2"/>
        <v>1.1877302278221114</v>
      </c>
      <c r="R25" s="5"/>
      <c r="S25" s="6">
        <f t="shared" si="6"/>
        <v>685</v>
      </c>
      <c r="T25" s="18">
        <f t="shared" si="3"/>
        <v>1034.4246586829986</v>
      </c>
      <c r="U25" s="19">
        <f t="shared" si="4"/>
        <v>3082.2003373778221</v>
      </c>
      <c r="V25" s="19">
        <f t="shared" si="5"/>
        <v>2047.7756786948235</v>
      </c>
    </row>
    <row r="26" spans="3:22" x14ac:dyDescent="0.2">
      <c r="C26" s="6">
        <v>2031</v>
      </c>
      <c r="D26" s="1">
        <f t="shared" si="7"/>
        <v>2030.5738115611414</v>
      </c>
      <c r="K26" s="6">
        <v>2040</v>
      </c>
      <c r="L26" s="12">
        <f>'Grid GHG'!F24</f>
        <v>0.2435177275783621</v>
      </c>
      <c r="M26" s="13">
        <f>L26*(1-'Contents'!$D$19)</f>
        <v>9.7407091031344845E-2</v>
      </c>
      <c r="N26" s="14">
        <f>'Contents'!$F$18</f>
        <v>5.2909999999999999E-2</v>
      </c>
      <c r="O26" s="15">
        <f t="shared" si="0"/>
        <v>5.6884519031354905</v>
      </c>
      <c r="P26" s="16">
        <f t="shared" si="1"/>
        <v>4.1782150320906979</v>
      </c>
      <c r="Q26" s="17">
        <f t="shared" si="2"/>
        <v>1.1889807263233469</v>
      </c>
      <c r="R26" s="5"/>
      <c r="S26" s="6">
        <f t="shared" si="6"/>
        <v>685</v>
      </c>
      <c r="T26" s="18">
        <f t="shared" si="3"/>
        <v>1034.512256665683</v>
      </c>
      <c r="U26" s="19">
        <f t="shared" si="4"/>
        <v>3082.1377561163181</v>
      </c>
      <c r="V26" s="19">
        <f t="shared" si="5"/>
        <v>2047.6254994506351</v>
      </c>
    </row>
    <row r="27" spans="3:22" x14ac:dyDescent="0.2">
      <c r="C27" s="6">
        <v>2032</v>
      </c>
      <c r="D27" s="1">
        <f t="shared" si="7"/>
        <v>2031.1803394098358</v>
      </c>
      <c r="K27" s="6">
        <v>2041</v>
      </c>
      <c r="L27" s="12">
        <f>'Grid GHG'!F25</f>
        <v>0.2433978808209685</v>
      </c>
      <c r="M27" s="13">
        <f>L27*(1-'Contents'!$D$19)</f>
        <v>9.7359152328387405E-2</v>
      </c>
      <c r="N27" s="14">
        <f>'Contents'!$F$18</f>
        <v>5.2909999999999999E-2</v>
      </c>
      <c r="O27" s="15">
        <f t="shared" si="0"/>
        <v>5.687969576504651</v>
      </c>
      <c r="P27" s="16">
        <f t="shared" si="1"/>
        <v>4.1777859174201408</v>
      </c>
      <c r="Q27" s="17">
        <f t="shared" si="2"/>
        <v>1.1884603843010619</v>
      </c>
      <c r="R27" s="5"/>
      <c r="S27" s="6">
        <f t="shared" si="6"/>
        <v>685</v>
      </c>
      <c r="T27" s="18">
        <f t="shared" si="3"/>
        <v>1034.4758064728894</v>
      </c>
      <c r="U27" s="19">
        <f t="shared" si="4"/>
        <v>3082.1637966594585</v>
      </c>
      <c r="V27" s="19">
        <f t="shared" si="5"/>
        <v>2047.6879901865691</v>
      </c>
    </row>
    <row r="28" spans="3:22" x14ac:dyDescent="0.2">
      <c r="C28" s="6">
        <v>2033</v>
      </c>
      <c r="D28" s="1">
        <f t="shared" si="7"/>
        <v>2041.080663085886</v>
      </c>
      <c r="K28" s="6">
        <v>2042</v>
      </c>
      <c r="L28" s="12">
        <f>'Grid GHG'!F26</f>
        <v>0.24245869199628484</v>
      </c>
      <c r="M28" s="13">
        <f>L28*(1-'Contents'!$D$19)</f>
        <v>9.6983476798513935E-2</v>
      </c>
      <c r="N28" s="14">
        <f>'Contents'!$F$18</f>
        <v>5.2909999999999999E-2</v>
      </c>
      <c r="O28" s="15">
        <f t="shared" si="0"/>
        <v>5.6841897847824248</v>
      </c>
      <c r="P28" s="16">
        <f t="shared" si="1"/>
        <v>4.174423125536074</v>
      </c>
      <c r="Q28" s="17">
        <f t="shared" si="2"/>
        <v>1.1843826818836456</v>
      </c>
      <c r="R28" s="5"/>
      <c r="S28" s="6">
        <f t="shared" si="6"/>
        <v>685</v>
      </c>
      <c r="T28" s="18">
        <f t="shared" si="3"/>
        <v>1034.1901615837503</v>
      </c>
      <c r="U28" s="19">
        <f t="shared" si="4"/>
        <v>3082.3678654856635</v>
      </c>
      <c r="V28" s="19">
        <f t="shared" si="5"/>
        <v>2048.1777039019134</v>
      </c>
    </row>
    <row r="29" spans="3:22" x14ac:dyDescent="0.2">
      <c r="C29" s="6">
        <v>2034</v>
      </c>
      <c r="D29" s="1">
        <f t="shared" si="7"/>
        <v>2049.7576002786245</v>
      </c>
      <c r="K29" s="6">
        <v>2043</v>
      </c>
      <c r="L29" s="12">
        <f>'Grid GHG'!F27</f>
        <v>0.24222323524399106</v>
      </c>
      <c r="M29" s="13">
        <f>L29*(1-'Contents'!$D$19)</f>
        <v>9.6889294097596432E-2</v>
      </c>
      <c r="N29" s="14">
        <f>'Contents'!$F$18</f>
        <v>5.2909999999999999E-2</v>
      </c>
      <c r="O29" s="15">
        <f t="shared" si="0"/>
        <v>5.6832421824900292</v>
      </c>
      <c r="P29" s="16">
        <f t="shared" si="1"/>
        <v>4.1735800660416968</v>
      </c>
      <c r="Q29" s="17">
        <f t="shared" si="2"/>
        <v>1.1833603927094229</v>
      </c>
      <c r="R29" s="5"/>
      <c r="S29" s="6">
        <f t="shared" si="6"/>
        <v>685</v>
      </c>
      <c r="T29" s="18">
        <f t="shared" si="3"/>
        <v>1034.1185497671077</v>
      </c>
      <c r="U29" s="19">
        <f t="shared" si="4"/>
        <v>3082.4190259997154</v>
      </c>
      <c r="V29" s="19">
        <f t="shared" si="5"/>
        <v>2048.3004762326077</v>
      </c>
    </row>
    <row r="30" spans="3:22" x14ac:dyDescent="0.2">
      <c r="C30" s="6">
        <v>2035</v>
      </c>
      <c r="D30" s="1">
        <f t="shared" si="7"/>
        <v>2052.4803105290416</v>
      </c>
      <c r="K30" s="6">
        <v>2044</v>
      </c>
      <c r="L30" s="12">
        <f>'Grid GHG'!F28</f>
        <v>0.24270807884028053</v>
      </c>
      <c r="M30" s="13">
        <f>L30*(1-'Contents'!$D$19)</f>
        <v>9.7083231536112216E-2</v>
      </c>
      <c r="N30" s="14">
        <f>'Contents'!$F$18</f>
        <v>5.2909999999999999E-2</v>
      </c>
      <c r="O30" s="15">
        <f t="shared" si="0"/>
        <v>5.6851934491189171</v>
      </c>
      <c r="P30" s="16">
        <f t="shared" si="1"/>
        <v>4.1753160621138319</v>
      </c>
      <c r="Q30" s="17">
        <f t="shared" si="2"/>
        <v>1.1854654517270533</v>
      </c>
      <c r="R30" s="5"/>
      <c r="S30" s="6">
        <f t="shared" si="6"/>
        <v>685</v>
      </c>
      <c r="T30" s="18">
        <f t="shared" si="3"/>
        <v>1034.2660100984833</v>
      </c>
      <c r="U30" s="19">
        <f t="shared" si="4"/>
        <v>3082.3136782134266</v>
      </c>
      <c r="V30" s="19">
        <f t="shared" si="5"/>
        <v>2048.047668114943</v>
      </c>
    </row>
    <row r="31" spans="3:22" x14ac:dyDescent="0.2">
      <c r="C31" s="6">
        <v>2036</v>
      </c>
      <c r="D31" s="1">
        <f t="shared" si="7"/>
        <v>2052.8236246274919</v>
      </c>
      <c r="K31" s="6">
        <v>2045</v>
      </c>
      <c r="L31" s="12">
        <f>'Grid GHG'!F29</f>
        <v>0.24220014655704755</v>
      </c>
      <c r="M31" s="13">
        <f>L31*(1-'Contents'!$D$19)</f>
        <v>9.6880058622819024E-2</v>
      </c>
      <c r="N31" s="14">
        <f>'Contents'!$F$18</f>
        <v>5.2909999999999999E-2</v>
      </c>
      <c r="O31" s="15">
        <f t="shared" si="0"/>
        <v>5.6831492614229422</v>
      </c>
      <c r="P31" s="16">
        <f t="shared" si="1"/>
        <v>4.1734973963516122</v>
      </c>
      <c r="Q31" s="17">
        <f t="shared" si="2"/>
        <v>1.1832601479108369</v>
      </c>
      <c r="R31" s="5"/>
      <c r="S31" s="6">
        <f t="shared" si="6"/>
        <v>685</v>
      </c>
      <c r="T31" s="18">
        <f t="shared" si="3"/>
        <v>1034.1115275738609</v>
      </c>
      <c r="U31" s="19">
        <f t="shared" si="4"/>
        <v>3082.424042755792</v>
      </c>
      <c r="V31" s="19">
        <f t="shared" si="5"/>
        <v>2048.3125151819313</v>
      </c>
    </row>
    <row r="32" spans="3:22" x14ac:dyDescent="0.2">
      <c r="C32" s="6">
        <v>2037</v>
      </c>
      <c r="D32" s="1">
        <f t="shared" si="7"/>
        <v>2052.8227551986574</v>
      </c>
      <c r="K32" s="6">
        <v>2046</v>
      </c>
      <c r="L32" s="12">
        <f>'Grid GHG'!F30</f>
        <v>0.23842711836227692</v>
      </c>
      <c r="M32" s="13">
        <f>L32*(1-'Contents'!$D$19)</f>
        <v>9.5370847344910775E-2</v>
      </c>
      <c r="N32" s="14">
        <f>'Contents'!$F$18</f>
        <v>5.2909999999999999E-2</v>
      </c>
      <c r="O32" s="15">
        <f t="shared" si="0"/>
        <v>5.667964603808298</v>
      </c>
      <c r="P32" s="16">
        <f t="shared" si="1"/>
        <v>4.1599879632554471</v>
      </c>
      <c r="Q32" s="17">
        <f t="shared" si="2"/>
        <v>1.1668786857528117</v>
      </c>
      <c r="R32" s="5"/>
      <c r="S32" s="6">
        <f t="shared" si="6"/>
        <v>685</v>
      </c>
      <c r="T32" s="18">
        <f t="shared" si="3"/>
        <v>1032.9639987787029</v>
      </c>
      <c r="U32" s="19">
        <f t="shared" si="4"/>
        <v>3083.243853868008</v>
      </c>
      <c r="V32" s="19">
        <f t="shared" si="5"/>
        <v>2050.2798550893049</v>
      </c>
    </row>
    <row r="33" spans="3:22" x14ac:dyDescent="0.2">
      <c r="C33" s="6">
        <v>2038</v>
      </c>
      <c r="D33" s="1">
        <f t="shared" si="7"/>
        <v>2047.5283695240432</v>
      </c>
      <c r="K33" s="6">
        <v>2047</v>
      </c>
      <c r="L33" s="12">
        <f>'Grid GHG'!F31</f>
        <v>0.23628489707978009</v>
      </c>
      <c r="M33" s="13">
        <f>L33*(1-'Contents'!$D$19)</f>
        <v>9.4513958831912048E-2</v>
      </c>
      <c r="N33" s="14">
        <f>'Contents'!$F$18</f>
        <v>5.2909999999999999E-2</v>
      </c>
      <c r="O33" s="15">
        <f t="shared" si="0"/>
        <v>5.659343174274694</v>
      </c>
      <c r="P33" s="16">
        <f t="shared" si="1"/>
        <v>4.1523176799712713</v>
      </c>
      <c r="Q33" s="17">
        <f t="shared" si="2"/>
        <v>1.1575777436283994</v>
      </c>
      <c r="R33" s="5"/>
      <c r="S33" s="6">
        <f t="shared" si="6"/>
        <v>685</v>
      </c>
      <c r="T33" s="18">
        <f t="shared" si="3"/>
        <v>1032.3124635978445</v>
      </c>
      <c r="U33" s="19">
        <f t="shared" si="4"/>
        <v>3083.7093199927117</v>
      </c>
      <c r="V33" s="19">
        <f t="shared" si="5"/>
        <v>2051.3968563948674</v>
      </c>
    </row>
    <row r="34" spans="3:22" x14ac:dyDescent="0.2">
      <c r="C34" s="6">
        <v>2039</v>
      </c>
      <c r="D34" s="1">
        <f t="shared" si="7"/>
        <v>2047.7756786948235</v>
      </c>
      <c r="K34" s="6">
        <v>2048</v>
      </c>
      <c r="L34" s="12">
        <f>'Grid GHG'!F32</f>
        <v>0.23059568153790189</v>
      </c>
      <c r="M34" s="13">
        <f>L34*(1-'Contents'!$D$19)</f>
        <v>9.2238272615160766E-2</v>
      </c>
      <c r="N34" s="14">
        <f>'Contents'!$F$18</f>
        <v>5.2909999999999999E-2</v>
      </c>
      <c r="O34" s="15">
        <f t="shared" si="0"/>
        <v>5.63644676702837</v>
      </c>
      <c r="P34" s="16">
        <f t="shared" si="1"/>
        <v>4.1319472844255412</v>
      </c>
      <c r="Q34" s="17">
        <f t="shared" si="2"/>
        <v>1.1328767172121916</v>
      </c>
      <c r="R34" s="5"/>
      <c r="S34" s="6">
        <f t="shared" si="6"/>
        <v>685</v>
      </c>
      <c r="T34" s="18">
        <f t="shared" si="3"/>
        <v>1030.5821455829378</v>
      </c>
      <c r="U34" s="19">
        <f t="shared" si="4"/>
        <v>3084.9454841240822</v>
      </c>
      <c r="V34" s="19">
        <f t="shared" si="5"/>
        <v>2054.3633385411445</v>
      </c>
    </row>
    <row r="35" spans="3:22" x14ac:dyDescent="0.2">
      <c r="C35" s="6">
        <v>2040</v>
      </c>
      <c r="D35" s="1">
        <f t="shared" si="7"/>
        <v>2047.6254994506351</v>
      </c>
      <c r="K35" s="6">
        <v>2049</v>
      </c>
      <c r="L35" s="12">
        <f>'Grid GHG'!F33</f>
        <v>0.23118436937371162</v>
      </c>
      <c r="M35" s="13">
        <f>L35*(1-'Contents'!$D$19)</f>
        <v>9.247374774948465E-2</v>
      </c>
      <c r="N35" s="14">
        <f>'Contents'!$F$18</f>
        <v>5.2909999999999999E-2</v>
      </c>
      <c r="O35" s="15">
        <f t="shared" si="0"/>
        <v>5.6388159577068455</v>
      </c>
      <c r="P35" s="16">
        <f t="shared" si="1"/>
        <v>4.1340550977049171</v>
      </c>
      <c r="Q35" s="17">
        <f t="shared" si="2"/>
        <v>1.1354326396721861</v>
      </c>
      <c r="R35" s="5"/>
      <c r="S35" s="6">
        <f t="shared" si="6"/>
        <v>685</v>
      </c>
      <c r="T35" s="18">
        <f t="shared" si="3"/>
        <v>1030.761189101321</v>
      </c>
      <c r="U35" s="19">
        <f t="shared" si="4"/>
        <v>3084.8175728537417</v>
      </c>
      <c r="V35" s="19">
        <f t="shared" si="5"/>
        <v>2054.0563837524205</v>
      </c>
    </row>
    <row r="36" spans="3:22" x14ac:dyDescent="0.2">
      <c r="C36" s="6">
        <v>2041</v>
      </c>
      <c r="D36" s="1">
        <f t="shared" si="7"/>
        <v>2047.6879901865691</v>
      </c>
      <c r="K36" s="6">
        <v>2050</v>
      </c>
      <c r="L36" s="12">
        <f>'Grid GHG'!F34</f>
        <v>0.22645678523367976</v>
      </c>
      <c r="M36" s="13">
        <f>L36*(1-'Contents'!$D$19)</f>
        <v>9.0582714093471906E-2</v>
      </c>
      <c r="N36" s="14">
        <f>'Contents'!$F$18</f>
        <v>5.2909999999999999E-2</v>
      </c>
      <c r="O36" s="15">
        <f t="shared" si="0"/>
        <v>5.6197896629629316</v>
      </c>
      <c r="P36" s="16">
        <f t="shared" si="1"/>
        <v>4.1171278503191768</v>
      </c>
      <c r="Q36" s="17">
        <f t="shared" si="2"/>
        <v>1.1149067552390539</v>
      </c>
      <c r="R36" s="5"/>
      <c r="S36" s="6">
        <f t="shared" si="6"/>
        <v>685</v>
      </c>
      <c r="T36" s="18">
        <f t="shared" si="3"/>
        <v>1029.3233416609721</v>
      </c>
      <c r="U36" s="19">
        <f t="shared" si="4"/>
        <v>3085.8447917908561</v>
      </c>
      <c r="V36" s="19">
        <f t="shared" si="5"/>
        <v>2056.5214501298842</v>
      </c>
    </row>
    <row r="37" spans="3:22" x14ac:dyDescent="0.2">
      <c r="C37" s="6">
        <v>2042</v>
      </c>
      <c r="D37" s="1">
        <f t="shared" si="7"/>
        <v>2048.1777039019134</v>
      </c>
      <c r="V37" t="s">
        <v>138</v>
      </c>
    </row>
    <row r="38" spans="3:22" x14ac:dyDescent="0.2">
      <c r="C38" s="6">
        <v>2043</v>
      </c>
      <c r="D38" s="1">
        <f t="shared" si="7"/>
        <v>2048.3004762326077</v>
      </c>
    </row>
    <row r="39" spans="3:22" x14ac:dyDescent="0.2">
      <c r="C39" s="6">
        <v>2044</v>
      </c>
      <c r="D39" s="1">
        <f t="shared" si="7"/>
        <v>2048.047668114943</v>
      </c>
    </row>
    <row r="40" spans="3:22" x14ac:dyDescent="0.2">
      <c r="C40" s="6">
        <v>2045</v>
      </c>
      <c r="D40" s="1">
        <f t="shared" si="7"/>
        <v>2048.3125151819313</v>
      </c>
    </row>
    <row r="41" spans="3:22" x14ac:dyDescent="0.2">
      <c r="C41" s="6">
        <v>2046</v>
      </c>
      <c r="D41" s="1">
        <f t="shared" si="7"/>
        <v>2050.2798550893049</v>
      </c>
    </row>
    <row r="42" spans="3:22" x14ac:dyDescent="0.2">
      <c r="C42" s="6">
        <v>2047</v>
      </c>
      <c r="D42" s="1">
        <f t="shared" si="7"/>
        <v>2051.3968563948674</v>
      </c>
    </row>
    <row r="43" spans="3:22" x14ac:dyDescent="0.2">
      <c r="C43" s="6">
        <v>2048</v>
      </c>
      <c r="D43" s="1">
        <f t="shared" si="7"/>
        <v>2054.3633385411445</v>
      </c>
    </row>
    <row r="44" spans="3:22" x14ac:dyDescent="0.2">
      <c r="C44" s="6">
        <v>2049</v>
      </c>
      <c r="D44" s="1">
        <f t="shared" si="7"/>
        <v>2054.0563837524205</v>
      </c>
    </row>
    <row r="45" spans="3:22" x14ac:dyDescent="0.2">
      <c r="C45" s="6">
        <v>2050</v>
      </c>
      <c r="D45" s="1">
        <f t="shared" si="7"/>
        <v>2056.5214501298842</v>
      </c>
    </row>
    <row r="46" spans="3:22" x14ac:dyDescent="0.2">
      <c r="D46" t="s">
        <v>138</v>
      </c>
    </row>
  </sheetData>
  <mergeCells count="3">
    <mergeCell ref="D2:F2"/>
    <mergeCell ref="G2:H2"/>
    <mergeCell ref="E6:F6"/>
  </mergeCells>
  <pageMargins left="0.7" right="0.7" top="0.75" bottom="0.75" header="0.3" footer="0.3"/>
  <tableParts count="3">
    <tablePart r:id="rId1"/>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93A7D-A25B-4DB4-9C86-929A47F13A2A}">
  <sheetPr>
    <tabColor rgb="FF7030A0"/>
  </sheetPr>
  <dimension ref="D2:O41"/>
  <sheetViews>
    <sheetView showGridLines="0" topLeftCell="M1" workbookViewId="0">
      <selection activeCell="N22" sqref="N22"/>
    </sheetView>
  </sheetViews>
  <sheetFormatPr baseColWidth="10" defaultColWidth="8.83203125" defaultRowHeight="15" x14ac:dyDescent="0.2"/>
  <cols>
    <col min="4" max="4" width="20.5" bestFit="1" customWidth="1"/>
    <col min="5" max="5" width="11" customWidth="1"/>
    <col min="6" max="6" width="23.1640625" bestFit="1" customWidth="1"/>
    <col min="7" max="7" width="11" customWidth="1"/>
    <col min="8" max="8" width="17.33203125" bestFit="1" customWidth="1"/>
    <col min="9" max="9" width="24.5" bestFit="1" customWidth="1"/>
    <col min="10" max="10" width="14.6640625" bestFit="1" customWidth="1"/>
    <col min="12" max="12" width="57.5" customWidth="1"/>
    <col min="13" max="13" width="15.33203125" bestFit="1" customWidth="1"/>
    <col min="14" max="14" width="21.33203125" customWidth="1"/>
    <col min="15" max="15" width="15.33203125" bestFit="1" customWidth="1"/>
  </cols>
  <sheetData>
    <row r="2" spans="4:15" x14ac:dyDescent="0.2">
      <c r="L2" t="s">
        <v>72</v>
      </c>
      <c r="M2" t="s">
        <v>197</v>
      </c>
      <c r="N2" t="s">
        <v>198</v>
      </c>
      <c r="O2" t="s">
        <v>118</v>
      </c>
    </row>
    <row r="3" spans="4:15" x14ac:dyDescent="0.2">
      <c r="L3" t="s">
        <v>199</v>
      </c>
      <c r="M3" s="33">
        <v>51928604.689999998</v>
      </c>
      <c r="N3" s="33">
        <v>32220258.030000001</v>
      </c>
      <c r="O3" s="34">
        <f>SUM(M3:N3)</f>
        <v>84148862.719999999</v>
      </c>
    </row>
    <row r="4" spans="4:15" x14ac:dyDescent="0.2">
      <c r="L4" t="s">
        <v>200</v>
      </c>
      <c r="M4" s="33">
        <v>26927348</v>
      </c>
      <c r="N4" s="33">
        <v>0</v>
      </c>
      <c r="O4" s="34">
        <f>SUM(M4:N4)</f>
        <v>26927348</v>
      </c>
    </row>
    <row r="5" spans="4:15" x14ac:dyDescent="0.2">
      <c r="L5" t="s">
        <v>201</v>
      </c>
      <c r="M5" s="10">
        <f>M3/(SUM(M3:M4))</f>
        <v>0.65852485346468015</v>
      </c>
      <c r="N5" s="10">
        <f>N3/(SUM(N3:N4))</f>
        <v>1</v>
      </c>
      <c r="O5" s="10">
        <f>O3/(SUM(O3:O4))</f>
        <v>0.75757772230925091</v>
      </c>
    </row>
    <row r="6" spans="4:15" x14ac:dyDescent="0.2">
      <c r="L6" t="s">
        <v>202</v>
      </c>
      <c r="M6" s="2">
        <f>SUM(E11:E16)*M5</f>
        <v>47099.963972777907</v>
      </c>
      <c r="N6" s="2">
        <f>SUM(F11:F16)*N5</f>
        <v>7181.1962475592209</v>
      </c>
      <c r="O6" s="2">
        <f>SUM(M6:N6)</f>
        <v>54281.160220337129</v>
      </c>
    </row>
    <row r="7" spans="4:15" x14ac:dyDescent="0.2">
      <c r="L7" t="s">
        <v>203</v>
      </c>
      <c r="M7" s="2">
        <f>SUM(E11:E36)*M5</f>
        <v>230971.60960115676</v>
      </c>
      <c r="N7" s="2">
        <f>SUM(F11:F36)*N5</f>
        <v>48141.989137444987</v>
      </c>
      <c r="O7" s="2">
        <f>SUM(M7:N7)</f>
        <v>279113.59873860172</v>
      </c>
    </row>
    <row r="8" spans="4:15" x14ac:dyDescent="0.2">
      <c r="L8" t="s">
        <v>204</v>
      </c>
      <c r="M8" s="2">
        <f>M3/M6</f>
        <v>1102.5189896113907</v>
      </c>
      <c r="N8" s="2">
        <f t="shared" ref="N8:O8" si="0">N3/N6</f>
        <v>4486.7535880183159</v>
      </c>
      <c r="O8" s="2">
        <f t="shared" si="0"/>
        <v>1550.2406797943231</v>
      </c>
    </row>
    <row r="9" spans="4:15" x14ac:dyDescent="0.2">
      <c r="D9" s="25"/>
      <c r="E9" s="109" t="s">
        <v>205</v>
      </c>
      <c r="F9" s="109"/>
      <c r="G9" s="109"/>
      <c r="H9" s="109" t="s">
        <v>206</v>
      </c>
      <c r="I9" s="109"/>
      <c r="J9" s="109"/>
    </row>
    <row r="10" spans="4:15" x14ac:dyDescent="0.2">
      <c r="D10" t="s">
        <v>43</v>
      </c>
      <c r="E10" t="s">
        <v>207</v>
      </c>
      <c r="F10" t="s">
        <v>208</v>
      </c>
      <c r="G10" t="s">
        <v>118</v>
      </c>
      <c r="H10" t="s">
        <v>209</v>
      </c>
      <c r="I10" t="s">
        <v>210</v>
      </c>
      <c r="J10" t="s">
        <v>211</v>
      </c>
    </row>
    <row r="11" spans="4:15" x14ac:dyDescent="0.2">
      <c r="D11">
        <v>2025</v>
      </c>
      <c r="E11" s="1">
        <f>Measure1!L6</f>
        <v>0</v>
      </c>
      <c r="F11" s="1">
        <f>Measure2!V11</f>
        <v>216.23137538481069</v>
      </c>
      <c r="G11" s="1">
        <f>SUM(E11:F11)</f>
        <v>216.23137538481069</v>
      </c>
      <c r="H11" s="1">
        <f>CPRG_Annual[[#This Row],[Solar]]*$M$5</f>
        <v>0</v>
      </c>
      <c r="I11" s="1">
        <f>CPRG_Annual[[#This Row],[Revolving Green Fund]]*$N$5</f>
        <v>216.23137538481069</v>
      </c>
      <c r="J11" s="1">
        <f>SUM(CPRG_Annual[[#This Row],[Measure 1: VPP]:[Measure 2: Green Fund]])</f>
        <v>216.23137538481069</v>
      </c>
    </row>
    <row r="12" spans="4:15" x14ac:dyDescent="0.2">
      <c r="D12">
        <v>2026</v>
      </c>
      <c r="E12" s="1">
        <f>Measure1!L7</f>
        <v>0</v>
      </c>
      <c r="F12" s="1">
        <f>Measure2!V12</f>
        <v>549.74087207372963</v>
      </c>
      <c r="G12" s="1">
        <f t="shared" ref="G12:G36" si="1">SUM(E12:F12)</f>
        <v>549.74087207372963</v>
      </c>
      <c r="H12" s="1">
        <f>CPRG_Annual[[#This Row],[Solar]]*$M$5</f>
        <v>0</v>
      </c>
      <c r="I12" s="1">
        <f>CPRG_Annual[[#This Row],[Revolving Green Fund]]*$N$5</f>
        <v>549.74087207372963</v>
      </c>
      <c r="J12" s="1">
        <f>SUM(CPRG_Annual[[#This Row],[Measure 1: VPP]:[Measure 2: Green Fund]])</f>
        <v>549.74087207372963</v>
      </c>
    </row>
    <row r="13" spans="4:15" x14ac:dyDescent="0.2">
      <c r="D13">
        <v>2027</v>
      </c>
      <c r="E13" s="1">
        <f>Measure1!L8</f>
        <v>14910.543057543162</v>
      </c>
      <c r="F13" s="1">
        <f>Measure2!V13</f>
        <v>947.03226899072251</v>
      </c>
      <c r="G13" s="1">
        <f t="shared" si="1"/>
        <v>15857.575326533884</v>
      </c>
      <c r="H13" s="1">
        <f>CPRG_Annual[[#This Row],[Solar]]*$M$5</f>
        <v>9818.9631820474151</v>
      </c>
      <c r="I13" s="1">
        <f>CPRG_Annual[[#This Row],[Revolving Green Fund]]*$N$5</f>
        <v>947.03226899072251</v>
      </c>
      <c r="J13" s="1">
        <f>SUM(CPRG_Annual[[#This Row],[Measure 1: VPP]:[Measure 2: Green Fund]])</f>
        <v>10765.995451038138</v>
      </c>
    </row>
    <row r="14" spans="4:15" x14ac:dyDescent="0.2">
      <c r="D14">
        <v>2028</v>
      </c>
      <c r="E14" s="1">
        <f>Measure1!L9</f>
        <v>19980.462970612542</v>
      </c>
      <c r="F14" s="1">
        <f>Measure2!V14</f>
        <v>1433.6815523358318</v>
      </c>
      <c r="G14" s="1">
        <f t="shared" si="1"/>
        <v>21414.144522948372</v>
      </c>
      <c r="H14" s="1">
        <f>CPRG_Annual[[#This Row],[Solar]]*$M$5</f>
        <v>13157.631449879093</v>
      </c>
      <c r="I14" s="1">
        <f>CPRG_Annual[[#This Row],[Revolving Green Fund]]*$N$5</f>
        <v>1433.6815523358318</v>
      </c>
      <c r="J14" s="1">
        <f>SUM(CPRG_Annual[[#This Row],[Measure 1: VPP]:[Measure 2: Green Fund]])</f>
        <v>14591.313002214923</v>
      </c>
    </row>
    <row r="15" spans="4:15" x14ac:dyDescent="0.2">
      <c r="D15">
        <v>2029</v>
      </c>
      <c r="E15" s="1">
        <f>Measure1!L10</f>
        <v>19015.554330187879</v>
      </c>
      <c r="F15" s="1">
        <f>Measure2!V15</f>
        <v>2011.6412358880666</v>
      </c>
      <c r="G15" s="1">
        <f t="shared" si="1"/>
        <v>21027.195566075945</v>
      </c>
      <c r="H15" s="1">
        <f>CPRG_Annual[[#This Row],[Solar]]*$M$5</f>
        <v>12522.215128836637</v>
      </c>
      <c r="I15" s="1">
        <f>CPRG_Annual[[#This Row],[Revolving Green Fund]]*$N$5</f>
        <v>2011.6412358880666</v>
      </c>
      <c r="J15" s="1">
        <f>SUM(CPRG_Annual[[#This Row],[Measure 1: VPP]:[Measure 2: Green Fund]])</f>
        <v>14533.856364724703</v>
      </c>
      <c r="L15" t="s">
        <v>212</v>
      </c>
    </row>
    <row r="16" spans="4:15" x14ac:dyDescent="0.2">
      <c r="D16">
        <v>2030</v>
      </c>
      <c r="E16" s="1">
        <f>Measure1!L11</f>
        <v>17616.881353798432</v>
      </c>
      <c r="F16" s="1">
        <f>Measure2!V16</f>
        <v>2022.8689428860596</v>
      </c>
      <c r="G16" s="1">
        <f t="shared" si="1"/>
        <v>19639.750296684491</v>
      </c>
      <c r="H16" s="1">
        <f>CPRG_Annual[[#This Row],[Solar]]*$M$5</f>
        <v>11601.154212014768</v>
      </c>
      <c r="I16" s="1">
        <f>CPRG_Annual[[#This Row],[Revolving Green Fund]]*$N$5</f>
        <v>2022.8689428860596</v>
      </c>
      <c r="J16" s="1">
        <f>SUM(CPRG_Annual[[#This Row],[Measure 1: VPP]:[Measure 2: Green Fund]])</f>
        <v>13624.023154900828</v>
      </c>
    </row>
    <row r="17" spans="4:10" x14ac:dyDescent="0.2">
      <c r="D17">
        <v>2031</v>
      </c>
      <c r="E17" s="1">
        <f>Measure1!L12</f>
        <v>16638.694479047841</v>
      </c>
      <c r="F17" s="1">
        <f>Measure2!V17</f>
        <v>2030.5738115611414</v>
      </c>
      <c r="G17" s="1">
        <f t="shared" si="1"/>
        <v>18669.268290608983</v>
      </c>
      <c r="H17" s="1">
        <f>CPRG_Annual[[#This Row],[Solar]]*$M$5</f>
        <v>10956.993843658562</v>
      </c>
      <c r="I17" s="1">
        <f>CPRG_Annual[[#This Row],[Revolving Green Fund]]*$N$5</f>
        <v>2030.5738115611414</v>
      </c>
      <c r="J17" s="1">
        <f>SUM(CPRG_Annual[[#This Row],[Measure 1: VPP]:[Measure 2: Green Fund]])</f>
        <v>12987.567655219704</v>
      </c>
    </row>
    <row r="18" spans="4:10" x14ac:dyDescent="0.2">
      <c r="D18">
        <v>2032</v>
      </c>
      <c r="E18" s="1">
        <f>Measure1!L13</f>
        <v>16485.782417277453</v>
      </c>
      <c r="F18" s="1">
        <f>Measure2!V18</f>
        <v>2031.1803394098358</v>
      </c>
      <c r="G18" s="1">
        <f t="shared" si="1"/>
        <v>18516.962756687288</v>
      </c>
      <c r="H18" s="1">
        <f>CPRG_Annual[[#This Row],[Solar]]*$M$5</f>
        <v>10856.297450588236</v>
      </c>
      <c r="I18" s="1">
        <f>CPRG_Annual[[#This Row],[Revolving Green Fund]]*$N$5</f>
        <v>2031.1803394098358</v>
      </c>
      <c r="J18" s="1">
        <f>SUM(CPRG_Annual[[#This Row],[Measure 1: VPP]:[Measure 2: Green Fund]])</f>
        <v>12887.477789998071</v>
      </c>
    </row>
    <row r="19" spans="4:10" x14ac:dyDescent="0.2">
      <c r="D19">
        <v>2033</v>
      </c>
      <c r="E19" s="1">
        <f>Measure1!L14</f>
        <v>15271.030530203971</v>
      </c>
      <c r="F19" s="1">
        <f>Measure2!V19</f>
        <v>2041.080663085886</v>
      </c>
      <c r="G19" s="1">
        <f t="shared" si="1"/>
        <v>17312.111193289857</v>
      </c>
      <c r="H19" s="1">
        <f>CPRG_Annual[[#This Row],[Solar]]*$M$5</f>
        <v>10056.353142157226</v>
      </c>
      <c r="I19" s="1">
        <f>CPRG_Annual[[#This Row],[Revolving Green Fund]]*$N$5</f>
        <v>2041.080663085886</v>
      </c>
      <c r="J19" s="1">
        <f>SUM(CPRG_Annual[[#This Row],[Measure 1: VPP]:[Measure 2: Green Fund]])</f>
        <v>12097.433805243112</v>
      </c>
    </row>
    <row r="20" spans="4:10" x14ac:dyDescent="0.2">
      <c r="D20">
        <v>2034</v>
      </c>
      <c r="E20" s="1">
        <f>Measure1!L15</f>
        <v>14207.23595849368</v>
      </c>
      <c r="F20" s="1">
        <f>Measure2!V20</f>
        <v>2049.7576002786245</v>
      </c>
      <c r="G20" s="1">
        <f t="shared" si="1"/>
        <v>16256.993558772305</v>
      </c>
      <c r="H20" s="1">
        <f>CPRG_Annual[[#This Row],[Solar]]*$M$5</f>
        <v>9355.8179777051846</v>
      </c>
      <c r="I20" s="1">
        <f>CPRG_Annual[[#This Row],[Revolving Green Fund]]*$N$5</f>
        <v>2049.7576002786245</v>
      </c>
      <c r="J20" s="1">
        <f>SUM(CPRG_Annual[[#This Row],[Measure 1: VPP]:[Measure 2: Green Fund]])</f>
        <v>11405.575577983809</v>
      </c>
    </row>
    <row r="21" spans="4:10" x14ac:dyDescent="0.2">
      <c r="D21">
        <v>2035</v>
      </c>
      <c r="E21" s="1">
        <f>Measure1!L16</f>
        <v>13827.903335915207</v>
      </c>
      <c r="F21" s="1">
        <f>Measure2!V21</f>
        <v>2052.4803105290416</v>
      </c>
      <c r="G21" s="1">
        <f t="shared" si="1"/>
        <v>15880.383646444248</v>
      </c>
      <c r="H21" s="1">
        <f>CPRG_Annual[[#This Row],[Solar]]*$M$5</f>
        <v>9106.0180180073239</v>
      </c>
      <c r="I21" s="1">
        <f>CPRG_Annual[[#This Row],[Revolving Green Fund]]*$N$5</f>
        <v>2052.4803105290416</v>
      </c>
      <c r="J21" s="1">
        <f>SUM(CPRG_Annual[[#This Row],[Measure 1: VPP]:[Measure 2: Green Fund]])</f>
        <v>11158.498328536365</v>
      </c>
    </row>
    <row r="22" spans="4:10" x14ac:dyDescent="0.2">
      <c r="D22">
        <v>2036</v>
      </c>
      <c r="E22" s="1">
        <f>Measure1!L17</f>
        <v>13720.084234172306</v>
      </c>
      <c r="F22" s="1">
        <f>Measure2!V22</f>
        <v>2052.8236246274919</v>
      </c>
      <c r="G22" s="1">
        <f t="shared" si="1"/>
        <v>15772.907858799797</v>
      </c>
      <c r="H22" s="1">
        <f>CPRG_Annual[[#This Row],[Solar]]*$M$5</f>
        <v>9035.0164598313859</v>
      </c>
      <c r="I22" s="1">
        <f>CPRG_Annual[[#This Row],[Revolving Green Fund]]*$N$5</f>
        <v>2052.8236246274919</v>
      </c>
      <c r="J22" s="1">
        <f>SUM(CPRG_Annual[[#This Row],[Measure 1: VPP]:[Measure 2: Green Fund]])</f>
        <v>11087.840084458878</v>
      </c>
    </row>
    <row r="23" spans="4:10" x14ac:dyDescent="0.2">
      <c r="D23">
        <v>2037</v>
      </c>
      <c r="E23" s="1">
        <f>Measure1!L18</f>
        <v>13651.581277687455</v>
      </c>
      <c r="F23" s="1">
        <f>Measure2!V23</f>
        <v>2052.8227551986574</v>
      </c>
      <c r="G23" s="1">
        <f t="shared" si="1"/>
        <v>15704.404032886112</v>
      </c>
      <c r="H23" s="1">
        <f>CPRG_Annual[[#This Row],[Solar]]*$M$5</f>
        <v>8989.9055604503028</v>
      </c>
      <c r="I23" s="1">
        <f>CPRG_Annual[[#This Row],[Revolving Green Fund]]*$N$5</f>
        <v>2052.8227551986574</v>
      </c>
      <c r="J23" s="1">
        <f>SUM(CPRG_Annual[[#This Row],[Measure 1: VPP]:[Measure 2: Green Fund]])</f>
        <v>11042.728315648961</v>
      </c>
    </row>
    <row r="24" spans="4:10" x14ac:dyDescent="0.2">
      <c r="D24">
        <v>2038</v>
      </c>
      <c r="E24" s="1">
        <f>Measure1!L19</f>
        <v>14173.866885766405</v>
      </c>
      <c r="F24" s="1">
        <f>Measure2!V24</f>
        <v>2047.5283695240432</v>
      </c>
      <c r="G24" s="1">
        <f t="shared" si="1"/>
        <v>16221.395255290448</v>
      </c>
      <c r="H24" s="1">
        <f>CPRG_Annual[[#This Row],[Solar]]*$M$5</f>
        <v>9333.8436139772039</v>
      </c>
      <c r="I24" s="1">
        <f>CPRG_Annual[[#This Row],[Revolving Green Fund]]*$N$5</f>
        <v>2047.5283695240432</v>
      </c>
      <c r="J24" s="1">
        <f>SUM(CPRG_Annual[[#This Row],[Measure 1: VPP]:[Measure 2: Green Fund]])</f>
        <v>11381.371983501247</v>
      </c>
    </row>
    <row r="25" spans="4:10" x14ac:dyDescent="0.2">
      <c r="D25">
        <v>2039</v>
      </c>
      <c r="E25" s="1">
        <f>Measure1!L20</f>
        <v>14075.550251184297</v>
      </c>
      <c r="F25" s="1">
        <f>Measure2!V25</f>
        <v>2047.7756786948235</v>
      </c>
      <c r="G25" s="1">
        <f t="shared" si="1"/>
        <v>16123.32592987912</v>
      </c>
      <c r="H25" s="1">
        <f>CPRG_Annual[[#This Row],[Solar]]*$M$5</f>
        <v>9269.099666595881</v>
      </c>
      <c r="I25" s="1">
        <f>CPRG_Annual[[#This Row],[Revolving Green Fund]]*$N$5</f>
        <v>2047.7756786948235</v>
      </c>
      <c r="J25" s="1">
        <f>SUM(CPRG_Annual[[#This Row],[Measure 1: VPP]:[Measure 2: Green Fund]])</f>
        <v>11316.875345290704</v>
      </c>
    </row>
    <row r="26" spans="4:10" x14ac:dyDescent="0.2">
      <c r="D26">
        <v>2040</v>
      </c>
      <c r="E26" s="1">
        <f>Measure1!L21</f>
        <v>14021.756618928594</v>
      </c>
      <c r="F26" s="1">
        <f>Measure2!V26</f>
        <v>2047.6254994506351</v>
      </c>
      <c r="G26" s="1">
        <f t="shared" si="1"/>
        <v>16069.382118379228</v>
      </c>
      <c r="H26" s="1">
        <f>CPRG_Annual[[#This Row],[Solar]]*$M$5</f>
        <v>9233.6752227973611</v>
      </c>
      <c r="I26" s="1">
        <f>CPRG_Annual[[#This Row],[Revolving Green Fund]]*$N$5</f>
        <v>2047.6254994506351</v>
      </c>
      <c r="J26" s="1">
        <f>SUM(CPRG_Annual[[#This Row],[Measure 1: VPP]:[Measure 2: Green Fund]])</f>
        <v>11281.300722247996</v>
      </c>
    </row>
    <row r="27" spans="4:10" x14ac:dyDescent="0.2">
      <c r="D27">
        <v>2041</v>
      </c>
      <c r="E27" s="1">
        <f>Measure1!L22</f>
        <v>13944.781560552685</v>
      </c>
      <c r="F27" s="1">
        <f>Measure2!V27</f>
        <v>2047.6879901865691</v>
      </c>
      <c r="G27" s="1">
        <f t="shared" si="1"/>
        <v>15992.469550739253</v>
      </c>
      <c r="H27" s="1">
        <f>CPRG_Annual[[#This Row],[Solar]]*$M$5</f>
        <v>9182.9852337599314</v>
      </c>
      <c r="I27" s="1">
        <f>CPRG_Annual[[#This Row],[Revolving Green Fund]]*$N$5</f>
        <v>2047.6879901865691</v>
      </c>
      <c r="J27" s="1">
        <f>SUM(CPRG_Annual[[#This Row],[Measure 1: VPP]:[Measure 2: Green Fund]])</f>
        <v>11230.6732239465</v>
      </c>
    </row>
    <row r="28" spans="4:10" x14ac:dyDescent="0.2">
      <c r="D28">
        <v>2042</v>
      </c>
      <c r="E28" s="1">
        <f>Measure1!L23</f>
        <v>13821.518570793451</v>
      </c>
      <c r="F28" s="1">
        <f>Measure2!V28</f>
        <v>2048.1777039019134</v>
      </c>
      <c r="G28" s="1">
        <f t="shared" si="1"/>
        <v>15869.696274695365</v>
      </c>
      <c r="H28" s="1">
        <f>CPRG_Annual[[#This Row],[Solar]]*$M$5</f>
        <v>9101.8134914911134</v>
      </c>
      <c r="I28" s="1">
        <f>CPRG_Annual[[#This Row],[Revolving Green Fund]]*$N$5</f>
        <v>2048.1777039019134</v>
      </c>
      <c r="J28" s="1">
        <f>SUM(CPRG_Annual[[#This Row],[Measure 1: VPP]:[Measure 2: Green Fund]])</f>
        <v>11149.991195393028</v>
      </c>
    </row>
    <row r="29" spans="4:10" x14ac:dyDescent="0.2">
      <c r="D29">
        <v>2043</v>
      </c>
      <c r="E29" s="1">
        <f>Measure1!L24</f>
        <v>13739.055721427894</v>
      </c>
      <c r="F29" s="1">
        <f>Measure2!V29</f>
        <v>2048.3004762326077</v>
      </c>
      <c r="G29" s="1">
        <f t="shared" si="1"/>
        <v>15787.356197660501</v>
      </c>
      <c r="H29" s="1">
        <f>CPRG_Annual[[#This Row],[Solar]]*$M$5</f>
        <v>9047.5096556963799</v>
      </c>
      <c r="I29" s="1">
        <f>CPRG_Annual[[#This Row],[Revolving Green Fund]]*$N$5</f>
        <v>2048.3004762326077</v>
      </c>
      <c r="J29" s="1">
        <f>SUM(CPRG_Annual[[#This Row],[Measure 1: VPP]:[Measure 2: Green Fund]])</f>
        <v>11095.810131928987</v>
      </c>
    </row>
    <row r="30" spans="4:10" x14ac:dyDescent="0.2">
      <c r="D30">
        <v>2044</v>
      </c>
      <c r="E30" s="1">
        <f>Measure1!L25</f>
        <v>13697.723576307904</v>
      </c>
      <c r="F30" s="1">
        <f>Measure2!V30</f>
        <v>2048.047668114943</v>
      </c>
      <c r="G30" s="1">
        <f t="shared" si="1"/>
        <v>15745.771244422847</v>
      </c>
      <c r="H30" s="1">
        <f>CPRG_Annual[[#This Row],[Solar]]*$M$5</f>
        <v>9020.2914108878576</v>
      </c>
      <c r="I30" s="1">
        <f>CPRG_Annual[[#This Row],[Revolving Green Fund]]*$N$5</f>
        <v>2048.047668114943</v>
      </c>
      <c r="J30" s="1">
        <f>SUM(CPRG_Annual[[#This Row],[Measure 1: VPP]:[Measure 2: Green Fund]])</f>
        <v>11068.339079002801</v>
      </c>
    </row>
    <row r="31" spans="4:10" x14ac:dyDescent="0.2">
      <c r="D31">
        <v>2045</v>
      </c>
      <c r="E31" s="1">
        <f>Measure1!L26</f>
        <v>13600.712098931001</v>
      </c>
      <c r="F31" s="1">
        <f>Measure2!V31</f>
        <v>2048.3125151819313</v>
      </c>
      <c r="G31" s="1">
        <f t="shared" si="1"/>
        <v>15649.024614112932</v>
      </c>
      <c r="H31" s="1">
        <f>CPRG_Annual[[#This Row],[Solar]]*$M$5</f>
        <v>8956.4069419638399</v>
      </c>
      <c r="I31" s="1">
        <f>CPRG_Annual[[#This Row],[Revolving Green Fund]]*$N$5</f>
        <v>2048.3125151819313</v>
      </c>
      <c r="J31" s="1">
        <f>SUM(CPRG_Annual[[#This Row],[Measure 1: VPP]:[Measure 2: Green Fund]])</f>
        <v>11004.719457145771</v>
      </c>
    </row>
    <row r="32" spans="4:10" x14ac:dyDescent="0.2">
      <c r="D32">
        <v>2046</v>
      </c>
      <c r="E32" s="1">
        <f>Measure1!L27</f>
        <v>13321.894087689894</v>
      </c>
      <c r="F32" s="1">
        <f>Measure2!V32</f>
        <v>2050.2798550893049</v>
      </c>
      <c r="G32" s="1">
        <f t="shared" si="1"/>
        <v>15372.173942779198</v>
      </c>
      <c r="H32" s="1">
        <f>CPRG_Annual[[#This Row],[Solar]]*$M$5</f>
        <v>8772.7983519679765</v>
      </c>
      <c r="I32" s="1">
        <f>CPRG_Annual[[#This Row],[Revolving Green Fund]]*$N$5</f>
        <v>2050.2798550893049</v>
      </c>
      <c r="J32" s="1">
        <f>SUM(CPRG_Annual[[#This Row],[Measure 1: VPP]:[Measure 2: Green Fund]])</f>
        <v>10823.078207057282</v>
      </c>
    </row>
    <row r="33" spans="4:10" x14ac:dyDescent="0.2">
      <c r="D33">
        <v>2047</v>
      </c>
      <c r="E33" s="1">
        <f>Measure1!L28</f>
        <v>13136.188463224689</v>
      </c>
      <c r="F33" s="1">
        <f>Measure2!V33</f>
        <v>2051.3968563948674</v>
      </c>
      <c r="G33" s="1">
        <f t="shared" si="1"/>
        <v>15187.585319619557</v>
      </c>
      <c r="H33" s="1">
        <f>CPRG_Annual[[#This Row],[Solar]]*$M$5</f>
        <v>8650.506582829461</v>
      </c>
      <c r="I33" s="1">
        <f>CPRG_Annual[[#This Row],[Revolving Green Fund]]*$N$5</f>
        <v>2051.3968563948674</v>
      </c>
      <c r="J33" s="1">
        <f>SUM(CPRG_Annual[[#This Row],[Measure 1: VPP]:[Measure 2: Green Fund]])</f>
        <v>10701.903439224328</v>
      </c>
    </row>
    <row r="34" spans="4:10" x14ac:dyDescent="0.2">
      <c r="D34">
        <v>2048</v>
      </c>
      <c r="E34" s="1">
        <f>Measure1!L29</f>
        <v>12755.798728907012</v>
      </c>
      <c r="F34" s="1">
        <f>Measure2!V34</f>
        <v>2054.3633385411445</v>
      </c>
      <c r="G34" s="1">
        <f t="shared" si="1"/>
        <v>14810.162067448156</v>
      </c>
      <c r="H34" s="1">
        <f>CPRG_Annual[[#This Row],[Solar]]*$M$5</f>
        <v>8400.0104887784437</v>
      </c>
      <c r="I34" s="1">
        <f>CPRG_Annual[[#This Row],[Revolving Green Fund]]*$N$5</f>
        <v>2054.3633385411445</v>
      </c>
      <c r="J34" s="1">
        <f>SUM(CPRG_Annual[[#This Row],[Measure 1: VPP]:[Measure 2: Green Fund]])</f>
        <v>10454.373827319589</v>
      </c>
    </row>
    <row r="35" spans="4:10" x14ac:dyDescent="0.2">
      <c r="D35">
        <v>2049</v>
      </c>
      <c r="E35" s="1">
        <f>Measure1!L30</f>
        <v>12724.421199072103</v>
      </c>
      <c r="F35" s="1">
        <f>Measure2!V35</f>
        <v>2054.0563837524205</v>
      </c>
      <c r="G35" s="1">
        <f t="shared" si="1"/>
        <v>14778.477582824524</v>
      </c>
      <c r="H35" s="1">
        <f>CPRG_Annual[[#This Row],[Solar]]*$M$5</f>
        <v>8379.3476055418269</v>
      </c>
      <c r="I35" s="1">
        <f>CPRG_Annual[[#This Row],[Revolving Green Fund]]*$N$5</f>
        <v>2054.0563837524205</v>
      </c>
      <c r="J35" s="1">
        <f>SUM(CPRG_Annual[[#This Row],[Measure 1: VPP]:[Measure 2: Green Fund]])</f>
        <v>10433.403989294247</v>
      </c>
    </row>
    <row r="36" spans="4:10" x14ac:dyDescent="0.2">
      <c r="D36">
        <v>2050</v>
      </c>
      <c r="E36" s="1">
        <f>Measure1!L31</f>
        <v>12401.893211356843</v>
      </c>
      <c r="F36" s="1">
        <f>Measure2!V36</f>
        <v>2056.5214501298842</v>
      </c>
      <c r="G36" s="1">
        <f t="shared" si="1"/>
        <v>14458.414661486728</v>
      </c>
      <c r="H36" s="1">
        <f>CPRG_Annual[[#This Row],[Solar]]*$M$5</f>
        <v>8166.9549096933761</v>
      </c>
      <c r="I36" s="1">
        <f>CPRG_Annual[[#This Row],[Revolving Green Fund]]*$N$5</f>
        <v>2056.5214501298842</v>
      </c>
      <c r="J36" s="1">
        <f>SUM(CPRG_Annual[[#This Row],[Measure 1: VPP]:[Measure 2: Green Fund]])</f>
        <v>10223.47635982326</v>
      </c>
    </row>
    <row r="37" spans="4:10" x14ac:dyDescent="0.2">
      <c r="D37" t="s">
        <v>118</v>
      </c>
      <c r="E37" s="24">
        <f>SUM(CPRG_Annual[Solar])/CPRG_Annual[[#Totals],[Total]]</f>
        <v>0.87930796570157699</v>
      </c>
      <c r="F37" s="24">
        <f>SUM(CPRG_Annual[Revolving Green Fund])/CPRG_Annual[[#Totals],[Total]]</f>
        <v>0.12069203429842296</v>
      </c>
      <c r="G37" s="2">
        <f>SUBTOTAL(109,CPRG_Annual[Total])</f>
        <v>398882.90405652765</v>
      </c>
      <c r="H37" s="10">
        <f>SUM(CPRG_Annual[Measure 1: VPP])/CPRG_Annual[[#Totals],[All measures]]</f>
        <v>0.8275182959375208</v>
      </c>
      <c r="I37" s="10">
        <f>SUM(CPRG_Annual[Measure 2: Green Fund])/CPRG_Annual[[#Totals],[All measures]]</f>
        <v>0.17248170406247887</v>
      </c>
      <c r="J37" s="2">
        <f>SUBTOTAL(109,CPRG_Annual[All measures])</f>
        <v>279113.59873860178</v>
      </c>
    </row>
    <row r="39" spans="4:10" x14ac:dyDescent="0.2">
      <c r="D39" t="s">
        <v>72</v>
      </c>
      <c r="E39" t="s">
        <v>73</v>
      </c>
      <c r="F39" t="s">
        <v>213</v>
      </c>
      <c r="G39" t="s">
        <v>214</v>
      </c>
      <c r="H39" s="2" t="s">
        <v>215</v>
      </c>
      <c r="I39" s="2" t="s">
        <v>210</v>
      </c>
      <c r="J39" s="2" t="s">
        <v>216</v>
      </c>
    </row>
    <row r="40" spans="4:10" x14ac:dyDescent="0.2">
      <c r="D40" t="s">
        <v>217</v>
      </c>
      <c r="E40" s="2">
        <f t="shared" ref="E40" si="2">SUM(E11:E16)</f>
        <v>71523.441712142012</v>
      </c>
      <c r="F40" s="2">
        <f t="shared" ref="F40" si="3">SUM(F11:F16)</f>
        <v>7181.1962475592209</v>
      </c>
      <c r="G40" s="2">
        <f t="shared" ref="G40" si="4">SUM(G11:G16)</f>
        <v>78704.637959701227</v>
      </c>
      <c r="H40" s="2">
        <f>SUM(H11:H16)</f>
        <v>47099.963972777914</v>
      </c>
      <c r="I40" s="2">
        <f>SUM(I11:I16)</f>
        <v>7181.1962475592209</v>
      </c>
      <c r="J40" s="2">
        <f>SUM(J11:J16)</f>
        <v>54281.160220337129</v>
      </c>
    </row>
    <row r="41" spans="4:10" x14ac:dyDescent="0.2">
      <c r="D41" t="s">
        <v>218</v>
      </c>
      <c r="E41" s="2">
        <f>SUM(E11:E36)</f>
        <v>350740.91491908266</v>
      </c>
      <c r="F41" s="2">
        <f t="shared" ref="F41:G41" si="5">SUM(F11:F36)</f>
        <v>48141.989137444987</v>
      </c>
      <c r="G41" s="2">
        <f t="shared" si="5"/>
        <v>398882.90405652765</v>
      </c>
      <c r="H41" s="2">
        <f>SUM(CPRG_Annual[Measure 1: VPP])</f>
        <v>230971.6096011567</v>
      </c>
      <c r="I41" s="2">
        <f>SUM(CPRG_Annual[Measure 2: Green Fund])</f>
        <v>48141.989137444987</v>
      </c>
      <c r="J41" s="2">
        <f>SUM(CPRG_Annual[All measures])</f>
        <v>279113.59873860178</v>
      </c>
    </row>
  </sheetData>
  <mergeCells count="2">
    <mergeCell ref="E9:G9"/>
    <mergeCell ref="H9:J9"/>
  </mergeCells>
  <pageMargins left="0.7" right="0.7" top="0.75" bottom="0.75" header="0.3" footer="0.3"/>
  <drawing r:id="rId1"/>
  <tableParts count="3">
    <tablePart r:id="rId2"/>
    <tablePart r:id="rId3"/>
    <tablePart r:id="rId4"/>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Contents</vt:lpstr>
      <vt:lpstr>EIA PJM Total</vt:lpstr>
      <vt:lpstr>Grid GHG</vt:lpstr>
      <vt:lpstr>AVERT</vt:lpstr>
      <vt:lpstr>Measure1</vt:lpstr>
      <vt:lpstr>ResStock</vt:lpstr>
      <vt:lpstr>Measure2</vt:lpstr>
      <vt:lpstr>Cost-Effectivenes</vt:lpstr>
      <vt:lpstr>AVERT_2022</vt:lpstr>
      <vt:lpstr>slope_long</vt:lpstr>
      <vt:lpstr>slope_near</vt:lpstr>
      <vt:lpstr>Y0_long</vt:lpstr>
      <vt:lpstr>Y0_near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Stephenie Ritchey</dc:creator>
  <cp:keywords/>
  <dc:description/>
  <cp:lastModifiedBy>Dana Vingris</cp:lastModifiedBy>
  <cp:revision/>
  <dcterms:created xsi:type="dcterms:W3CDTF">2024-03-07T16:28:41Z</dcterms:created>
  <dcterms:modified xsi:type="dcterms:W3CDTF">2024-03-30T21:06:51Z</dcterms:modified>
  <cp:category/>
  <cp:contentStatus/>
</cp:coreProperties>
</file>