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N:\FINANCE\GRANTS\Other EPA Grants\CPRG Implementation Grant (Climate Pollution Reduction Grant)\"/>
    </mc:Choice>
  </mc:AlternateContent>
  <xr:revisionPtr revIDLastSave="0" documentId="8_{FA5D1968-ED88-4D5C-B00F-86DA77B214FB}" xr6:coauthVersionLast="47" xr6:coauthVersionMax="47" xr10:uidLastSave="{00000000-0000-0000-0000-000000000000}"/>
  <bookViews>
    <workbookView xWindow="28680" yWindow="-120" windowWidth="29040" windowHeight="15840" firstSheet="7" activeTab="7" xr2:uid="{9249EB6A-B4CD-41E7-A429-8EC2BB0AECAF}"/>
  </bookViews>
  <sheets>
    <sheet name="Prelim. Calcs" sheetId="2" r:id="rId1"/>
    <sheet name="EPA Resources" sheetId="1" r:id="rId2"/>
    <sheet name="Norman Campus Lighting" sheetId="19" r:id="rId3"/>
    <sheet name="Muskogee" sheetId="21" r:id="rId4"/>
    <sheet name="Lawton" sheetId="23" r:id="rId5"/>
    <sheet name="Solar Calculations" sheetId="5" r:id="rId6"/>
    <sheet name="Solar w Battery" sheetId="34" r:id="rId7"/>
    <sheet name="Miami" sheetId="20" r:id="rId8"/>
    <sheet name="Forgan" sheetId="28" r:id="rId9"/>
    <sheet name="Texhoma" sheetId="24" r:id="rId10"/>
    <sheet name="Solar Program" sheetId="35" r:id="rId11"/>
    <sheet name="Pauls Valley LandGEM Results" sheetId="9" r:id="rId12"/>
    <sheet name="Pauls Valley LFGE Calc Results" sheetId="10" r:id="rId13"/>
    <sheet name="Anaerobic Digester" sheetId="16" r:id="rId14"/>
    <sheet name="Transmission Upgrades" sheetId="25" r:id="rId15"/>
  </sheets>
  <definedNames>
    <definedName name="_xlnm._FilterDatabase" localSheetId="0" hidden="1">'Prelim. Calcs'!$A$1:$I$5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56" i="20" l="1"/>
  <c r="B23" i="35" l="1"/>
  <c r="B24" i="35" s="1"/>
  <c r="B28" i="35" s="1"/>
  <c r="B18" i="35"/>
  <c r="B25" i="35" s="1"/>
  <c r="B29" i="35" l="1"/>
  <c r="B33" i="35" l="1"/>
  <c r="C6" i="35" s="1"/>
  <c r="E6" i="35" l="1"/>
  <c r="D6" i="35"/>
  <c r="H16" i="34" l="1"/>
  <c r="G16" i="34"/>
  <c r="F16" i="34"/>
  <c r="F19" i="34"/>
  <c r="G19" i="34"/>
  <c r="H19" i="34"/>
  <c r="E19" i="34"/>
  <c r="D19" i="34"/>
  <c r="C19" i="34"/>
  <c r="E3" i="5"/>
  <c r="C16" i="34"/>
  <c r="B16" i="34"/>
  <c r="D16" i="34" s="1"/>
  <c r="E16" i="34" s="1"/>
  <c r="C15" i="34"/>
  <c r="B15" i="34"/>
  <c r="D15" i="34"/>
  <c r="E15" i="34"/>
  <c r="F15" i="34"/>
  <c r="G15" i="34"/>
  <c r="H15" i="34"/>
  <c r="A15" i="34"/>
  <c r="B7" i="34"/>
  <c r="B9" i="34" l="1"/>
  <c r="B10" i="34" s="1"/>
  <c r="C22" i="34" l="1"/>
  <c r="E22" i="34"/>
  <c r="E21" i="34"/>
  <c r="C44" i="23"/>
  <c r="B29" i="23"/>
  <c r="B30" i="23" s="1"/>
  <c r="B31" i="23" s="1"/>
  <c r="I23" i="23"/>
  <c r="B26" i="23"/>
  <c r="C21" i="34" l="1"/>
  <c r="B9" i="25"/>
  <c r="B7" i="25"/>
  <c r="B55" i="28"/>
  <c r="B54" i="28"/>
  <c r="C30" i="28"/>
  <c r="C31" i="28" s="1"/>
  <c r="B48" i="28"/>
  <c r="B49" i="28"/>
  <c r="C25" i="28"/>
  <c r="C32" i="28" s="1"/>
  <c r="B51" i="21"/>
  <c r="B8" i="25"/>
  <c r="B91" i="23"/>
  <c r="B90" i="23"/>
  <c r="B6" i="25"/>
  <c r="C66" i="23"/>
  <c r="C67" i="23" s="1"/>
  <c r="C71" i="23" s="1"/>
  <c r="C61" i="23"/>
  <c r="C68" i="23" s="1"/>
  <c r="B12" i="25"/>
  <c r="B93" i="23" l="1"/>
  <c r="C72" i="23"/>
  <c r="B57" i="28"/>
  <c r="C38" i="28"/>
  <c r="C39" i="28" s="1"/>
  <c r="C35" i="28"/>
  <c r="C36" i="28" s="1"/>
  <c r="B96" i="23"/>
  <c r="B95" i="23"/>
  <c r="B100" i="23" s="1"/>
  <c r="B97" i="23"/>
  <c r="C74" i="23"/>
  <c r="C75" i="23" s="1"/>
  <c r="C78" i="23" s="1"/>
  <c r="C79" i="23" s="1"/>
  <c r="B60" i="28" l="1"/>
  <c r="B59" i="28"/>
  <c r="B61" i="28"/>
  <c r="C42" i="28"/>
  <c r="C43" i="28" s="1"/>
  <c r="B64" i="28" l="1"/>
  <c r="B7" i="28" s="1"/>
  <c r="C7" i="28" l="1"/>
  <c r="D7" i="28"/>
  <c r="B24" i="20"/>
  <c r="B25" i="20" s="1"/>
  <c r="B29" i="20" s="1"/>
  <c r="B19" i="20"/>
  <c r="B26" i="20" s="1"/>
  <c r="B21" i="20"/>
  <c r="G51" i="21"/>
  <c r="B52" i="21"/>
  <c r="B45" i="21"/>
  <c r="B56" i="21" s="1"/>
  <c r="B46" i="21"/>
  <c r="B57" i="21" s="1"/>
  <c r="B27" i="21"/>
  <c r="B28" i="21"/>
  <c r="B35" i="21" s="1"/>
  <c r="B22" i="21"/>
  <c r="B29" i="21" s="1"/>
  <c r="B22" i="24"/>
  <c r="B29" i="24" s="1"/>
  <c r="B30" i="20" l="1"/>
  <c r="B33" i="20" s="1"/>
  <c r="B34" i="20" s="1"/>
  <c r="B54" i="21"/>
  <c r="B36" i="21"/>
  <c r="B58" i="21"/>
  <c r="B62" i="21" s="1"/>
  <c r="B32" i="21"/>
  <c r="B33" i="21" s="1"/>
  <c r="B39" i="21" s="1"/>
  <c r="B40" i="21" s="1"/>
  <c r="B61" i="21" l="1"/>
  <c r="B60" i="21"/>
  <c r="B27" i="24"/>
  <c r="B28" i="24" s="1"/>
  <c r="B32" i="24" s="1"/>
  <c r="B33" i="24" s="1"/>
  <c r="B24" i="24"/>
  <c r="B61" i="20"/>
  <c r="B60" i="20"/>
  <c r="B57" i="20"/>
  <c r="B37" i="19"/>
  <c r="B17" i="19"/>
  <c r="B16" i="19"/>
  <c r="B36" i="19"/>
  <c r="B40" i="19" s="1"/>
  <c r="B41" i="19" s="1"/>
  <c r="B85" i="23"/>
  <c r="B84" i="23"/>
  <c r="B36" i="24" l="1"/>
  <c r="B37" i="24" s="1"/>
  <c r="B64" i="20"/>
  <c r="B65" i="20" s="1"/>
  <c r="B66" i="20" s="1"/>
  <c r="G63" i="20"/>
  <c r="B64" i="21"/>
  <c r="A5" i="21" s="1"/>
  <c r="B42" i="19"/>
  <c r="B43" i="19" s="1"/>
  <c r="B44" i="19" s="1"/>
  <c r="B20" i="19"/>
  <c r="B21" i="19" s="1"/>
  <c r="B22" i="19" s="1"/>
  <c r="B23" i="19" s="1"/>
  <c r="I38" i="24" l="1"/>
  <c r="I37" i="24"/>
  <c r="B67" i="20"/>
  <c r="B6" i="20" s="1"/>
  <c r="C6" i="20" s="1"/>
  <c r="F6" i="19"/>
  <c r="G6" i="19" s="1"/>
  <c r="B49" i="19"/>
  <c r="B6" i="19"/>
  <c r="C6" i="19" s="1"/>
  <c r="B28" i="19"/>
  <c r="B6" i="24"/>
  <c r="D6" i="19"/>
  <c r="H6" i="19" l="1"/>
  <c r="C28" i="19"/>
  <c r="D28" i="19"/>
  <c r="D49" i="19"/>
  <c r="C49" i="19"/>
  <c r="D6" i="24"/>
  <c r="C6" i="24"/>
  <c r="D6" i="20"/>
  <c r="B32" i="23" l="1"/>
  <c r="C48" i="23"/>
  <c r="B33" i="23" l="1"/>
  <c r="B34" i="23" s="1"/>
  <c r="B35" i="23" s="1"/>
  <c r="C49" i="23"/>
  <c r="C50" i="23"/>
  <c r="C51" i="23" s="1"/>
  <c r="B7" i="23" l="1"/>
  <c r="B36" i="23"/>
  <c r="C36" i="23"/>
  <c r="D7" i="23"/>
  <c r="C7" i="23"/>
  <c r="C52" i="23"/>
  <c r="C53" i="23" s="1"/>
  <c r="F7" i="23" s="1"/>
  <c r="H7" i="23" l="1"/>
  <c r="G7" i="23"/>
  <c r="C5" i="21" l="1"/>
  <c r="D14" i="5"/>
  <c r="D13" i="5"/>
  <c r="G10" i="5"/>
  <c r="G11" i="5"/>
  <c r="G12" i="5"/>
  <c r="G13" i="5"/>
  <c r="G14" i="5"/>
  <c r="G15" i="5"/>
  <c r="G16" i="5"/>
  <c r="B5" i="21" l="1"/>
  <c r="B11" i="25" l="1"/>
  <c r="G9" i="5"/>
  <c r="D12" i="5"/>
  <c r="AA11" i="9" l="1"/>
  <c r="Q8" i="10"/>
  <c r="R7" i="10"/>
  <c r="Q7" i="10"/>
  <c r="AB11" i="9" l="1"/>
  <c r="AB10" i="9"/>
  <c r="AA10" i="9"/>
  <c r="U6" i="9"/>
  <c r="X11" i="9"/>
  <c r="Y11" i="9" s="1"/>
  <c r="X10" i="9"/>
  <c r="Y10" i="9" s="1"/>
  <c r="N6" i="16"/>
  <c r="M6" i="16"/>
  <c r="K5" i="16"/>
  <c r="L5" i="16" s="1"/>
  <c r="K4" i="16"/>
  <c r="L4" i="16" s="1"/>
  <c r="C6" i="16"/>
  <c r="C7" i="16"/>
  <c r="B5" i="16"/>
  <c r="C5" i="16" s="1"/>
  <c r="M5" i="16" s="1"/>
  <c r="N5" i="16" s="1"/>
  <c r="B4" i="16"/>
  <c r="C4" i="16" s="1"/>
  <c r="M4" i="16" s="1"/>
  <c r="N4" i="16" s="1"/>
  <c r="R8" i="10" l="1"/>
  <c r="U7" i="9"/>
  <c r="U8" i="9"/>
  <c r="U9" i="9"/>
  <c r="U10" i="9"/>
  <c r="U11" i="9"/>
  <c r="U12" i="9"/>
  <c r="U13" i="9"/>
  <c r="U14" i="9"/>
  <c r="U15" i="9"/>
  <c r="U16" i="9"/>
  <c r="U17" i="9"/>
  <c r="U18" i="9"/>
  <c r="U19" i="9"/>
  <c r="U20" i="9"/>
  <c r="U21" i="9"/>
  <c r="U22" i="9"/>
  <c r="U23" i="9"/>
  <c r="U24" i="9"/>
  <c r="U25" i="9"/>
  <c r="U26" i="9"/>
  <c r="U27" i="9"/>
  <c r="U28" i="9"/>
  <c r="U29" i="9"/>
  <c r="U30" i="9"/>
  <c r="U31" i="9"/>
  <c r="U32" i="9"/>
  <c r="U33" i="9"/>
  <c r="U34" i="9"/>
  <c r="U35" i="9"/>
  <c r="U36" i="9"/>
  <c r="U37" i="9"/>
  <c r="U38" i="9"/>
  <c r="U39" i="9"/>
  <c r="U40" i="9"/>
  <c r="U41" i="9"/>
  <c r="U42" i="9"/>
  <c r="U43" i="9"/>
  <c r="U44" i="9"/>
  <c r="U45" i="9"/>
  <c r="U46" i="9"/>
  <c r="U47" i="9"/>
  <c r="U48" i="9"/>
  <c r="U49" i="9"/>
  <c r="U50" i="9"/>
  <c r="U51" i="9"/>
  <c r="U52" i="9"/>
  <c r="U53" i="9"/>
  <c r="U54" i="9"/>
  <c r="U55" i="9"/>
  <c r="U56" i="9"/>
  <c r="U57" i="9"/>
  <c r="U58" i="9"/>
  <c r="U59" i="9"/>
  <c r="U60" i="9"/>
  <c r="U61" i="9"/>
  <c r="U62" i="9"/>
  <c r="U63" i="9"/>
  <c r="U64" i="9"/>
  <c r="U65" i="9"/>
  <c r="U66" i="9"/>
  <c r="U67" i="9"/>
  <c r="U68" i="9"/>
  <c r="U69" i="9"/>
  <c r="U70" i="9"/>
  <c r="U71" i="9"/>
  <c r="U72" i="9"/>
  <c r="U73" i="9"/>
  <c r="U74" i="9"/>
  <c r="U75" i="9"/>
  <c r="U76" i="9"/>
  <c r="U77" i="9"/>
  <c r="U78" i="9"/>
  <c r="U79" i="9"/>
  <c r="U80" i="9"/>
  <c r="U81" i="9"/>
  <c r="U82" i="9"/>
  <c r="U83" i="9"/>
  <c r="U84" i="9"/>
  <c r="U85" i="9"/>
  <c r="U86" i="9"/>
  <c r="U87" i="9"/>
  <c r="U88" i="9"/>
  <c r="U89" i="9"/>
  <c r="U90" i="9"/>
  <c r="U91" i="9"/>
  <c r="U92" i="9"/>
  <c r="U93" i="9"/>
  <c r="U94" i="9"/>
  <c r="U95" i="9"/>
  <c r="U96" i="9"/>
  <c r="U97" i="9"/>
  <c r="U98" i="9"/>
  <c r="U99" i="9"/>
  <c r="U100" i="9"/>
  <c r="U101" i="9"/>
  <c r="U102" i="9"/>
  <c r="U103" i="9"/>
  <c r="U104" i="9"/>
  <c r="U105" i="9"/>
  <c r="U106" i="9"/>
  <c r="U107" i="9"/>
  <c r="U108" i="9"/>
  <c r="U109" i="9"/>
  <c r="U110" i="9"/>
  <c r="U111" i="9"/>
  <c r="U112" i="9"/>
  <c r="U113" i="9"/>
  <c r="U114" i="9"/>
  <c r="U115" i="9"/>
  <c r="U116" i="9"/>
  <c r="U117" i="9"/>
  <c r="U118" i="9"/>
  <c r="U119" i="9"/>
  <c r="U120" i="9"/>
  <c r="U121" i="9"/>
  <c r="U122" i="9"/>
  <c r="U123" i="9"/>
  <c r="U124" i="9"/>
  <c r="U125" i="9"/>
  <c r="U126" i="9"/>
  <c r="U127" i="9"/>
  <c r="U128" i="9"/>
  <c r="U129" i="9"/>
  <c r="U130" i="9"/>
  <c r="U131" i="9"/>
  <c r="U132" i="9"/>
  <c r="U133" i="9"/>
  <c r="U134" i="9"/>
  <c r="U135" i="9"/>
  <c r="U136" i="9"/>
  <c r="U137" i="9"/>
  <c r="U138" i="9"/>
  <c r="U139" i="9"/>
  <c r="U140" i="9"/>
  <c r="U141" i="9"/>
  <c r="U142" i="9"/>
  <c r="U143" i="9"/>
  <c r="U144" i="9"/>
  <c r="U145" i="9"/>
  <c r="Z10" i="9" l="1"/>
  <c r="Z11" i="9"/>
  <c r="T145" i="9" l="1"/>
  <c r="T144" i="9"/>
  <c r="T143" i="9"/>
  <c r="T142" i="9"/>
  <c r="T141" i="9"/>
  <c r="T140" i="9"/>
  <c r="T139" i="9"/>
  <c r="T138" i="9"/>
  <c r="T137" i="9"/>
  <c r="T136" i="9"/>
  <c r="T135" i="9"/>
  <c r="T134" i="9"/>
  <c r="T133" i="9"/>
  <c r="T132" i="9"/>
  <c r="T131" i="9"/>
  <c r="T130" i="9"/>
  <c r="T129" i="9"/>
  <c r="T128" i="9"/>
  <c r="T127" i="9"/>
  <c r="T126" i="9"/>
  <c r="T125" i="9"/>
  <c r="T124" i="9"/>
  <c r="T123" i="9"/>
  <c r="T122" i="9"/>
  <c r="T121" i="9"/>
  <c r="T120" i="9"/>
  <c r="T119" i="9"/>
  <c r="T118" i="9"/>
  <c r="T117" i="9"/>
  <c r="T116" i="9"/>
  <c r="T115" i="9"/>
  <c r="T114" i="9"/>
  <c r="T113" i="9"/>
  <c r="T112" i="9"/>
  <c r="T111" i="9"/>
  <c r="T110" i="9"/>
  <c r="T109" i="9"/>
  <c r="T108" i="9"/>
  <c r="T107" i="9"/>
  <c r="T106" i="9"/>
  <c r="T105" i="9"/>
  <c r="T104" i="9"/>
  <c r="T103" i="9"/>
  <c r="T102" i="9"/>
  <c r="T101" i="9"/>
  <c r="T100" i="9"/>
  <c r="T99" i="9"/>
  <c r="T98" i="9"/>
  <c r="T97" i="9"/>
  <c r="T96" i="9"/>
  <c r="T95" i="9"/>
  <c r="T94" i="9"/>
  <c r="T93" i="9"/>
  <c r="T92" i="9"/>
  <c r="T91" i="9"/>
  <c r="T90" i="9"/>
  <c r="T89" i="9"/>
  <c r="T88" i="9"/>
  <c r="T87" i="9"/>
  <c r="T86" i="9"/>
  <c r="T85" i="9"/>
  <c r="T84" i="9"/>
  <c r="T83" i="9"/>
  <c r="T82" i="9"/>
  <c r="T81" i="9"/>
  <c r="T80" i="9"/>
  <c r="T79" i="9"/>
  <c r="T78" i="9"/>
  <c r="T77" i="9"/>
  <c r="T76" i="9"/>
  <c r="T75" i="9"/>
  <c r="T74" i="9"/>
  <c r="T73" i="9"/>
  <c r="T72" i="9"/>
  <c r="T71" i="9"/>
  <c r="T70" i="9"/>
  <c r="T69" i="9"/>
  <c r="T68" i="9"/>
  <c r="T67" i="9"/>
  <c r="T66" i="9"/>
  <c r="T65" i="9"/>
  <c r="T64" i="9"/>
  <c r="T63" i="9"/>
  <c r="T62" i="9"/>
  <c r="T61" i="9"/>
  <c r="T60" i="9"/>
  <c r="T59" i="9"/>
  <c r="T58" i="9"/>
  <c r="T57" i="9"/>
  <c r="T56" i="9"/>
  <c r="T55" i="9"/>
  <c r="T54" i="9"/>
  <c r="T53" i="9"/>
  <c r="T52" i="9"/>
  <c r="T51" i="9"/>
  <c r="T50" i="9"/>
  <c r="T49" i="9"/>
  <c r="T48" i="9"/>
  <c r="T47" i="9"/>
  <c r="T46" i="9"/>
  <c r="T45" i="9"/>
  <c r="T44" i="9"/>
  <c r="T43" i="9"/>
  <c r="T42" i="9"/>
  <c r="T41" i="9"/>
  <c r="T40" i="9"/>
  <c r="T39" i="9"/>
  <c r="T38" i="9"/>
  <c r="T37" i="9"/>
  <c r="T36" i="9"/>
  <c r="T35" i="9"/>
  <c r="T34" i="9"/>
  <c r="T33" i="9"/>
  <c r="T32" i="9"/>
  <c r="T31" i="9"/>
  <c r="T30" i="9"/>
  <c r="T29" i="9"/>
  <c r="T28" i="9"/>
  <c r="T27" i="9"/>
  <c r="T26" i="9"/>
  <c r="T25" i="9"/>
  <c r="T24" i="9"/>
  <c r="T23" i="9"/>
  <c r="T22" i="9"/>
  <c r="T21" i="9"/>
  <c r="T20" i="9"/>
  <c r="T19" i="9"/>
  <c r="T18" i="9"/>
  <c r="T17" i="9"/>
  <c r="T16" i="9"/>
  <c r="T15" i="9"/>
  <c r="T14" i="9"/>
  <c r="T13" i="9"/>
  <c r="T12" i="9"/>
  <c r="T11" i="9"/>
  <c r="T10" i="9"/>
  <c r="T9" i="9"/>
  <c r="T8" i="9"/>
  <c r="T7" i="9"/>
  <c r="T6" i="9"/>
  <c r="E2" i="5" l="1"/>
  <c r="E9" i="5" l="1"/>
  <c r="H9" i="5" s="1"/>
  <c r="E8" i="5"/>
  <c r="E10" i="5"/>
  <c r="H10" i="5" s="1"/>
  <c r="E11" i="5"/>
  <c r="H11" i="5" s="1"/>
  <c r="E12" i="5"/>
  <c r="H12" i="5" s="1"/>
  <c r="E13" i="5"/>
  <c r="H13" i="5" s="1"/>
  <c r="E14" i="5"/>
  <c r="H14" i="5" s="1"/>
  <c r="E15" i="5"/>
  <c r="H15" i="5" s="1"/>
  <c r="E16" i="5"/>
  <c r="H16" i="5" s="1"/>
  <c r="I14" i="5" l="1"/>
  <c r="J14" i="5"/>
  <c r="I15" i="5"/>
  <c r="J15" i="5"/>
  <c r="I13" i="5"/>
  <c r="J13" i="5"/>
  <c r="I12" i="5"/>
  <c r="J12" i="5"/>
  <c r="I11" i="5"/>
  <c r="J11" i="5"/>
  <c r="I10" i="5"/>
  <c r="J10" i="5"/>
  <c r="I16" i="5"/>
  <c r="J16" i="5"/>
  <c r="J9" i="5"/>
  <c r="I9" i="5"/>
</calcChain>
</file>

<file path=xl/sharedStrings.xml><?xml version="1.0" encoding="utf-8"?>
<sst xmlns="http://schemas.openxmlformats.org/spreadsheetml/2006/main" count="654" uniqueCount="346">
  <si>
    <t>Sector</t>
  </si>
  <si>
    <t>Description</t>
  </si>
  <si>
    <t>Project</t>
  </si>
  <si>
    <t>Selected Method/Tool for Calculating Emission Reductions</t>
  </si>
  <si>
    <t>Required Inputs</t>
  </si>
  <si>
    <t>Assumptions</t>
  </si>
  <si>
    <t>Useful Outputs</t>
  </si>
  <si>
    <t>Results</t>
  </si>
  <si>
    <t>Status</t>
  </si>
  <si>
    <t xml:space="preserve">Waste and Materials Management </t>
  </si>
  <si>
    <t>Landfill Gas</t>
  </si>
  <si>
    <t xml:space="preserve">Landfill Gas Collection &amp; Control (project 26, 146) – Create incentive based program to promote reduction of methane emissions from landfills through installation of collection system and use or methane destruction (not to include flaring). Use Garvin County – based on project submittal but to scaled up to at least 5 similar </t>
  </si>
  <si>
    <r>
      <rPr>
        <b/>
        <sz val="11"/>
        <color theme="1"/>
        <rFont val="Calibri"/>
        <family val="2"/>
        <scheme val="minor"/>
      </rPr>
      <t>The Landfill Gas Emissions Model (LandGEM)</t>
    </r>
    <r>
      <rPr>
        <sz val="11"/>
        <color theme="1"/>
        <rFont val="Calibri"/>
        <family val="2"/>
        <scheme val="minor"/>
      </rPr>
      <t xml:space="preserve">
● Use to calculate unmitigated emissions
</t>
    </r>
    <r>
      <rPr>
        <b/>
        <sz val="11"/>
        <color theme="1"/>
        <rFont val="Calibri"/>
        <family val="2"/>
        <scheme val="minor"/>
      </rPr>
      <t xml:space="preserve">Landfill Gas Energy Benefits Calculator (LFGE Benefits Calculator)
</t>
    </r>
    <r>
      <rPr>
        <sz val="11"/>
        <color theme="1"/>
        <rFont val="Calibri"/>
        <family val="2"/>
        <scheme val="minor"/>
      </rPr>
      <t>● Use output from LandGEM to populate the "standard cubic feet per minute (scfm)" field in the LFGE Benefits Calculator. The LFGE Benefits calculator to estimate Total Equivilant Emissions Reduced.</t>
    </r>
  </si>
  <si>
    <t>◦ Landfill Open Year:
◦ Landfill Closure Year OR Waste design capacity
◦ Annual Waste Acceptance Rate:</t>
  </si>
  <si>
    <r>
      <rPr>
        <b/>
        <sz val="11"/>
        <color theme="1"/>
        <rFont val="Calibri"/>
        <family val="2"/>
        <scheme val="minor"/>
      </rPr>
      <t>LandGEM</t>
    </r>
    <r>
      <rPr>
        <sz val="11"/>
        <color theme="1"/>
        <rFont val="Calibri"/>
        <family val="2"/>
        <scheme val="minor"/>
      </rPr>
      <t xml:space="preserve">
●  Annual Waste Acceptance Rate: 34,375 mt Waste/year
●  Landfill Open Year: 1991
● Landfill Closure Year: 2026
Source: 
◦ RY 2022 FLIGHT data for WCA PAULS VALLEY LANDFILL</t>
    </r>
  </si>
  <si>
    <r>
      <rPr>
        <b/>
        <sz val="11"/>
        <color theme="1"/>
        <rFont val="Calibri"/>
        <family val="2"/>
        <scheme val="minor"/>
      </rPr>
      <t>LandGEM</t>
    </r>
    <r>
      <rPr>
        <sz val="11"/>
        <color theme="1"/>
        <rFont val="Calibri"/>
        <family val="2"/>
        <scheme val="minor"/>
      </rPr>
      <t xml:space="preserve">
●Unmitigated Emissions:
◦mt CO2 emission by year
◦mt CH4 emissions by year
◦ Total Landfill Gas (scf/year)
</t>
    </r>
    <r>
      <rPr>
        <b/>
        <sz val="11"/>
        <color theme="1"/>
        <rFont val="Calibri"/>
        <family val="2"/>
        <scheme val="minor"/>
      </rPr>
      <t>LFGE Benefits Calculator</t>
    </r>
    <r>
      <rPr>
        <sz val="11"/>
        <color theme="1"/>
        <rFont val="Calibri"/>
        <family val="2"/>
        <scheme val="minor"/>
      </rPr>
      <t xml:space="preserve">
● Total Equivilant Emissions Reduced
◦ MMTCO2e/year
◦ tons CH4/year
◦ tons CO2/year</t>
    </r>
  </si>
  <si>
    <r>
      <t xml:space="preserve">
</t>
    </r>
    <r>
      <rPr>
        <b/>
        <sz val="11"/>
        <color theme="1"/>
        <rFont val="Calibri"/>
        <family val="2"/>
        <scheme val="minor"/>
      </rPr>
      <t>LandGEM</t>
    </r>
    <r>
      <rPr>
        <sz val="11"/>
        <color theme="1"/>
        <rFont val="Calibri"/>
        <family val="2"/>
        <scheme val="minor"/>
      </rPr>
      <t xml:space="preserve">
Unmitigated emissions from Pauls Valley Landfill: 
● 2025-2030: 736,902 mt CO2e
● 2025-2050: 2,068,328 mt CO2e
● 2025-2050: 520 scf/min total landfill gas
</t>
    </r>
    <r>
      <rPr>
        <b/>
        <sz val="11"/>
        <color theme="1"/>
        <rFont val="Calibri"/>
        <family val="2"/>
        <scheme val="minor"/>
      </rPr>
      <t>LFGE Benefits Calculator</t>
    </r>
    <r>
      <rPr>
        <sz val="11"/>
        <color theme="1"/>
        <rFont val="Calibri"/>
        <family val="2"/>
        <scheme val="minor"/>
      </rPr>
      <t xml:space="preserve">
Total Emissons Reduced
●73,536 mt CO2e/year</t>
    </r>
  </si>
  <si>
    <t>LandGEM was used to calculate unmitigated emissions from Pauls Valley Landfill.
Output from LandGEM was used in the LFGE Benefits Calculator to calculate emissions reduced (approx 89% capture efficiency).</t>
  </si>
  <si>
    <t>Commercial Buildings</t>
  </si>
  <si>
    <t>Solar Panel Installation with or without Battery Storage</t>
  </si>
  <si>
    <t>Solar Panel Installation with or without Battery Storage – Incentivize industry, municipalities, universities to install solar systems including battery storage to support grid resiliency and energy efficiency.</t>
  </si>
  <si>
    <t>Use the expected output of solar power in MWh compared with the average emissions per MWh for Oklahoma  to get the amount of emissions expected to be offset.
Use the EPA AVERT Web Edition to calculate the MWh for the facility: https://www.epa.gov/avert/avert-web-edition
Use the EPA eGRID2022 data to find the emission factor for CO2e/MWh for Oklahoma's region</t>
  </si>
  <si>
    <t xml:space="preserve">Inputs for AVERT web app
◦ Location: 
◦ Distributed (rooftop) solar PV total capacity
Inputs for eGRID2022
◦ eGRID subregion name: </t>
  </si>
  <si>
    <t>Inputs for AVERT web app
◦ Location: Oklahoma
◦ Distributed (rooftop) solar PV total capacity: 5 MW
Inputs for eGRID2022
◦ eGRID subregion name: SPP South</t>
  </si>
  <si>
    <r>
      <t xml:space="preserve">
●AVERT web app
◦ 10 GWh/year (10,000 MWh) per facility
◦ -7,870 tons CO2/year
</t>
    </r>
    <r>
      <rPr>
        <sz val="11"/>
        <color rgb="FFFF0000"/>
        <rFont val="Calibri"/>
        <family val="2"/>
        <scheme val="minor"/>
      </rPr>
      <t>◦ does NOT provide CH4 or N2O</t>
    </r>
    <r>
      <rPr>
        <sz val="11"/>
        <color theme="1"/>
        <rFont val="Calibri"/>
        <family val="2"/>
        <scheme val="minor"/>
      </rPr>
      <t xml:space="preserve">
eGRID2022
◦ 975.3 lb CO2e/MWh (0.4424 mtCO2e/MWh)</t>
    </r>
  </si>
  <si>
    <t>PER 5 MW OF ROOFTOP SOLAR CAPACITY
●AVERT web app:
◦ 10 GWh/year  per facility
◦ -7,870 tons CO2/year
● EPA's eGRID:
◦4,424 mtCO2e/year offset per 5 MW rooftop array</t>
  </si>
  <si>
    <t xml:space="preserve">AVERT web app seems to be the simplest/best tool. Just need total capacity (MW) of the project. The CO2/year reduction provides a high emissions reduction estimate. Pair it with EPA's eGRID for a low emissions reduction estimate.
the NREL calculator &amp; EPA's eGRID factsheet are good resources for estimating emissions reductions for this project type
</t>
  </si>
  <si>
    <t>Energy</t>
  </si>
  <si>
    <t>Community Solar</t>
  </si>
  <si>
    <t>9.9 MW solar facilities (to be deployed by OG&amp;E)</t>
  </si>
  <si>
    <t xml:space="preserve">Inputs for AVERT web app
◦ Location: 
◦ Utility-scale solar PV total capacity: 
Inputs for eGRID2022
◦ eGRID subregion name: </t>
  </si>
  <si>
    <t>Inputs for AVERT web app
◦ Location: Oklahoma
◦ Utility-scale solar PV total capacity: 9.9MW
Inputs for eGRID2022
◦ eGRID subregion name: SPP South</t>
  </si>
  <si>
    <r>
      <t xml:space="preserve">
●AVERT web app
◦ 22 GWh/year (22,000 MWh) per facility
◦ -18,420 tons CO2/year
</t>
    </r>
    <r>
      <rPr>
        <sz val="11"/>
        <color rgb="FFFF0000"/>
        <rFont val="Calibri"/>
        <family val="2"/>
        <scheme val="minor"/>
      </rPr>
      <t>◦ does NOT provide CH4 or N2O</t>
    </r>
    <r>
      <rPr>
        <sz val="11"/>
        <color theme="1"/>
        <rFont val="Calibri"/>
        <family val="2"/>
        <scheme val="minor"/>
      </rPr>
      <t xml:space="preserve">
eGRID2022
◦ 975.3 lb CO2e/MWh (0.4424 mtCO2e/MWh)</t>
    </r>
  </si>
  <si>
    <t>PER 9.9 MW OF UTILITY-SCALE SOLAR
●AVERT web app:
◦ 22 GWh/year  per facility
◦ 16,710 mt CO2/year
● EPA's eGRID:
9,732 mtCO2e/year offset per 9.9 MW facility</t>
  </si>
  <si>
    <t>Commercial Building Solar - 5 MW</t>
  </si>
  <si>
    <t>Installing a 5 MW solar rooftop for the tissue paper plant in Inola. Owner: Sofidel America</t>
  </si>
  <si>
    <t>PER 5 MW OF ROOFTOP SOLAR CAPACITY
●AVERT web app:
◦ 10 GWh/year  per facility
◦ -7,140 mt CO2/year
● EPA's eGRID:
◦4,424 mtCO2e/year offset per 5 MW rooftop array</t>
  </si>
  <si>
    <t>Transportation</t>
  </si>
  <si>
    <t>Asphalt</t>
  </si>
  <si>
    <t>Asphalt Technology Advances and Use of Reclaimed Materials – Support a program that supports Oklahoma Department of Transportation GHG reduction goals and encourages material reuse.</t>
  </si>
  <si>
    <t xml:space="preserve">DESCRIPTION FROM PROJECT SUBMISSION
The National Asphalt Pavement Association (NAPA) described the methodology and assumptions used to calculate the GHG emissions reductions from production of WMA at reduced temperature, with RAP in new asphalt mixes. These calculations are based on publicly available data. The most recent and comprehensive data sources were selected for this purpose. </t>
  </si>
  <si>
    <t xml:space="preserve">DESCRIPTION FROM PROJECT SUBMISSION
Current Scenario:
HMA and WMA production in Oklahoma = 5.1 million tons 
RAP stockpile = 1.21 million tons 
Average RAP usage = 19% 
Total tonnage of chemical WMA produced currently = 2.1 million tons 
Amount of WMA as a % of total asphalt mix production = 42%
Assumptions: 
Amount of WMA as a % of total asphalt mix production by 2030 = 75% 
Average RAP usage (%) by 2030 = 30% 
Expected reduction of production temperature for WMA = 40⁰ F 
Estimated energy savings of WMA = 1,100 Btu/°F per ton 
CO2 emission from production of WMA additive = 5.99 kg CO2e/kg 
CO2 reduction from replacing virgin binder = 577.9 kg CO2e/ton 
CO2 emission from aggregate extraction and processing = 1.761236 kg CO2e/ton 
Average hauling distance for virgin asphalt binder = 3.9 ton·miles/ton of mix produced 
Average hauling distance for virgin aggregate = 21.5 ton·miles/ton of mix produced 
CO2 emission from transportation by diesel powered truck = 0.185465 kg CO2e /ton·mile 
CO2 emission from processing RAP = 1.225 kg CO2e/ton </t>
  </si>
  <si>
    <t>CALCS FROM PROJECT SUBMISSION
Potential CO2e reduction: 
During 2025-2030: 237,000 Metric Tons
During 2025-2050: 1,188,000 Metric Tons</t>
  </si>
  <si>
    <t xml:space="preserve">Calcs were provided by the project submission from the Oklahoma Department of Transportation and University of Oklahoma Oklahoma, Asphalt Pavement Association.
</t>
  </si>
  <si>
    <t>Municipal Wastewater Facility Anaerobic Digesters and Energy Efficiency Upgrades</t>
  </si>
  <si>
    <t>Municipal Wastewater Facility Anaerobic Digesters and Energy Efficiency Upgrades(project 92)  - Create incentive based program to encourage system upgrades to digesters and energy efficiency improvements. Upgraded or new anaerobic digesters will have a significant reduction in GHG emissions coupled with facility energy efficiency projects that will reduce energy cost for rural Oklahoma.  Use Payne County, Oklahoma based on communication with WQD for a city that is a good example (size and need) of the community we would look to fund</t>
  </si>
  <si>
    <r>
      <t xml:space="preserve">Use the range of emissions estimated for Anaerobic Digester (AD) systems 162 ± 87 g CH4/(PE · y) to calculate potential emissions reductions for upgrading AD system. Assume that the existing AD system emits at the high end of the range, and the new system would emit at the low end of the range.
</t>
    </r>
    <r>
      <rPr>
        <b/>
        <sz val="11"/>
        <color theme="1"/>
        <rFont val="Calibri"/>
        <family val="2"/>
        <scheme val="minor"/>
      </rPr>
      <t>Source of estimated emission range:</t>
    </r>
    <r>
      <rPr>
        <sz val="11"/>
        <color theme="1"/>
        <rFont val="Calibri"/>
        <family val="2"/>
        <scheme val="minor"/>
      </rPr>
      <t xml:space="preserve">
J. Tauber, V. Parravicini, K. Svardal, J. Krampe; Quantifying methane emissions from anaerobic digesters. Water Sci Technol 1 November 2019; 80 (9): 1654–1661. doi: https://doi.org/10.2166/wst.2019.415</t>
    </r>
  </si>
  <si>
    <t>population size that the wastewater treatment plant is serving</t>
  </si>
  <si>
    <t>Payne County population in 2022 = 82,794
Source: https://datacommons.org/place/geoId/40119?utm_medium=explore&amp;mprop=count&amp;popt=Person&amp;hl=en</t>
  </si>
  <si>
    <t>Reduced Emissiosn from upgrading Aerobic Digestor for Payne County's WWTP:
403.37 mt CO2e/year</t>
  </si>
  <si>
    <t>Used emissions estimates in 2019 study to calculate potential emissions reductions for upgrading AD system.</t>
  </si>
  <si>
    <t>Emissions Calculation Methods</t>
  </si>
  <si>
    <t>Tools</t>
  </si>
  <si>
    <t>Calculation Notes</t>
  </si>
  <si>
    <t xml:space="preserve">
</t>
  </si>
  <si>
    <r>
      <rPr>
        <b/>
        <sz val="11"/>
        <color theme="9" tint="-0.499984740745262"/>
        <rFont val="Calibri"/>
        <family val="2"/>
        <scheme val="minor"/>
      </rPr>
      <t xml:space="preserve">● The Landfill Gas Emissions Model (LandGEM) </t>
    </r>
    <r>
      <rPr>
        <sz val="11"/>
        <rFont val="Calibri"/>
        <family val="2"/>
        <scheme val="minor"/>
      </rPr>
      <t>is an automated estimation tool with a Microsoft Excel interface that can be used to estimate emissions rates for total landfill gas, methane, carbon dioxide, nonmethane organic compounds, and individual air pollutants from municipal solid waste landfills. It is available from the EPA's Clean Air Technology Center.</t>
    </r>
    <r>
      <rPr>
        <sz val="11"/>
        <color theme="1"/>
        <rFont val="Calibri"/>
        <family val="2"/>
        <scheme val="minor"/>
      </rPr>
      <t xml:space="preserve">
● LFGCost
● LFG Benefits Calculator</t>
    </r>
  </si>
  <si>
    <r>
      <t>The Clean I-35 Tradeport Corridor  measure will primarily provide electric charging and hydrogen refueling stations for</t>
    </r>
    <r>
      <rPr>
        <b/>
        <sz val="11"/>
        <color theme="1"/>
        <rFont val="Calibri"/>
        <family val="2"/>
        <scheme val="minor"/>
      </rPr>
      <t xml:space="preserve"> Medium- and Heavy-Duty Zero Emission Trucks (MHD ZETs)</t>
    </r>
    <r>
      <rPr>
        <sz val="11"/>
        <color theme="1"/>
        <rFont val="Calibri"/>
        <family val="2"/>
        <scheme val="minor"/>
      </rPr>
      <t xml:space="preserve"> along I-35 to facilitate the sustainable transport of goods through Oklahoma.  On-site renewable energy generation with energy storage is included in this effort. 
Demand for clean energy is high and growing rapidly as federal and state funds and regulations stand to transform the transportation sector. This demand can only be met if adequate infrastructure  is installed to support it. Focused on supporting MHD ZETs, this measure proposes to use CPRG funds for:
1.	Electric vehicle charging stations, 
2.	Stationary and (transitory) mobile hydrogen refueling stations,
3.	On-site renewable energy generation with energy storage, &amp;
4.	Planning plus implementation for sites in addition to the RIAs, who already received a planning grant and have developed plans.
which include (but are not limited to) energy storage systems, grid upgrades and power distribution systems, fuel pipelines, charging/refueling stations, and maintenance/service facilities. A transportation supercenter in Oklahoma New Mexico would provide access to all these key resources, creating greater state and market interconnectedness despite more stringent carbon emission standards.</t>
    </r>
  </si>
  <si>
    <r>
      <t xml:space="preserve">● The </t>
    </r>
    <r>
      <rPr>
        <b/>
        <sz val="11"/>
        <color theme="1"/>
        <rFont val="Calibri"/>
        <family val="2"/>
        <scheme val="minor"/>
      </rPr>
      <t xml:space="preserve">Guidance for Estimating Emission Benefits of Replacing Diesel Vehicles and Engines with Electric Versions </t>
    </r>
    <r>
      <rPr>
        <sz val="11"/>
        <color theme="1"/>
        <rFont val="Calibri"/>
        <family val="2"/>
        <scheme val="minor"/>
      </rPr>
      <t xml:space="preserve">provides information on quantifying and using emission reductions from highway and nonroad diesel vehicles, engines, and equipment that have been replaced with zero-emissions technologies.
</t>
    </r>
  </si>
  <si>
    <r>
      <t xml:space="preserve">● </t>
    </r>
    <r>
      <rPr>
        <b/>
        <sz val="11"/>
        <color theme="1"/>
        <rFont val="Calibri"/>
        <family val="2"/>
        <scheme val="minor"/>
      </rPr>
      <t>EPA’s MOtor Vehicle Emission Simulator (MOVES)</t>
    </r>
    <r>
      <rPr>
        <sz val="11"/>
        <color theme="1"/>
        <rFont val="Calibri"/>
        <family val="2"/>
        <scheme val="minor"/>
      </rPr>
      <t xml:space="preserve"> is a state-of-the-science emission modeling system that estimates emissions for mobile sources at the national, county, and project level for criteria air pollutants, greenhouse gases, and air toxics.
● </t>
    </r>
    <r>
      <rPr>
        <b/>
        <sz val="11"/>
        <color theme="1"/>
        <rFont val="Calibri"/>
        <family val="2"/>
        <scheme val="minor"/>
      </rPr>
      <t>EPA’s Travel Efficiency Assessment Method (TEAM)</t>
    </r>
    <r>
      <rPr>
        <sz val="11"/>
        <color theme="1"/>
        <rFont val="Calibri"/>
        <family val="2"/>
        <scheme val="minor"/>
      </rPr>
      <t xml:space="preserve"> uses transportation sketch modeling, readily available travel activity data sets, and EPA’s MOVES emissions model to estimate the potential future GHG and criteria air pollutant emission reductions from combinations of travel efficiency strategies, including employer-based transportation management programs, transit improvements, transportation pricing, land use changes, and bicycle and pedestrian programs.
● </t>
    </r>
    <r>
      <rPr>
        <b/>
        <sz val="11"/>
        <color theme="1"/>
        <rFont val="Calibri"/>
        <family val="2"/>
        <scheme val="minor"/>
      </rPr>
      <t>AVERT</t>
    </r>
    <r>
      <rPr>
        <sz val="11"/>
        <color theme="1"/>
        <rFont val="Calibri"/>
        <family val="2"/>
        <scheme val="minor"/>
      </rPr>
      <t xml:space="preserve"> is a free tool with a simple user interface designed to meet the needs of state air quality planners and other interested stakeholders. Anyone can use AVERT to evaluate county, state, and regional changes in emissions from electric power plants and displaced fuel-burning vehicles resulting from energy policies and programs such as energy efficiency, renewable energy, and electric vehicles. AVERT is designed to use public data that are accessible and auditable.</t>
    </r>
  </si>
  <si>
    <t>Fleet Conversion to alternative fuels or replacement to EV or hydrogen fuel systems.</t>
  </si>
  <si>
    <r>
      <t>●</t>
    </r>
    <r>
      <rPr>
        <b/>
        <sz val="11"/>
        <rFont val="Calibri"/>
        <family val="2"/>
        <scheme val="minor"/>
      </rPr>
      <t xml:space="preserve"> Fuel Economy </t>
    </r>
    <r>
      <rPr>
        <sz val="11"/>
        <color theme="1"/>
        <rFont val="Calibri"/>
        <family val="2"/>
        <scheme val="minor"/>
      </rPr>
      <t>is a jointly managed DOE/EPA website. It provides fuel economy estimates, energy and environmental impact ratings, fuel-savings tips, and other useful information, including mile per gallon (MPG) ratings for passenger cars, light duty trucks, and SUVs from 1984 to the present, EPA smog and ratings, links to fuel prices and safety ratings, and tax incentives for electric vehicles. The website also provides calculators and other tools which may be of interest to state, local, and tribal governments in PCAP/CCAP development, such as the Fuel Savings Calculator, GHG Emissions Calculator, and My Plug-in Hybrid Calculator. Information available at this site can help quantify GHG emission reductions from electric and other alternative fuel vehicles.</t>
    </r>
  </si>
  <si>
    <r>
      <t xml:space="preserve">● </t>
    </r>
    <r>
      <rPr>
        <b/>
        <sz val="11"/>
        <color theme="1"/>
        <rFont val="Calibri"/>
        <family val="2"/>
        <scheme val="minor"/>
      </rPr>
      <t>EPA’s MOtor Vehicle Emission Simulator (MOVES)</t>
    </r>
    <r>
      <rPr>
        <sz val="11"/>
        <color theme="1"/>
        <rFont val="Calibri"/>
        <family val="2"/>
        <scheme val="minor"/>
      </rPr>
      <t xml:space="preserve"> is a state-of-the-science emission modeling system that estimates emissions for mobile sources at the national, county, and project level for criteria air pollutants, greenhouse gases, and air toxics.
● </t>
    </r>
    <r>
      <rPr>
        <b/>
        <sz val="11"/>
        <color theme="1"/>
        <rFont val="Calibri"/>
        <family val="2"/>
        <scheme val="minor"/>
      </rPr>
      <t>EPA’s Travel Efficiency Assessment Method (TEAM)</t>
    </r>
    <r>
      <rPr>
        <sz val="11"/>
        <color theme="1"/>
        <rFont val="Calibri"/>
        <family val="2"/>
        <scheme val="minor"/>
      </rPr>
      <t xml:space="preserve"> uses transportation sketch modeling, readily available travel activity data sets, and EPA’s MOVES emissions model to estimate the potential future GHG and criteria air pollutant emission reductions from combinations of travel efficiency strategies, including employer-based transportation management programs, transit improvements, transportation pricing, land use changes, and bicycle and pedestrian programs.
● </t>
    </r>
    <r>
      <rPr>
        <b/>
        <sz val="11"/>
        <color theme="1"/>
        <rFont val="Calibri"/>
        <family val="2"/>
        <scheme val="minor"/>
      </rPr>
      <t>AVERT</t>
    </r>
    <r>
      <rPr>
        <sz val="11"/>
        <color theme="1"/>
        <rFont val="Calibri"/>
        <family val="2"/>
        <scheme val="minor"/>
      </rPr>
      <t xml:space="preserve"> is a free tool with a simple user interface designed to meet the needs of state air quality planners and other interested stakeholders. Anyone can use AVERT to evaluate county, state, and regional changes in emissions from electric power plants and </t>
    </r>
    <r>
      <rPr>
        <b/>
        <sz val="11"/>
        <color theme="9"/>
        <rFont val="Calibri"/>
        <family val="2"/>
        <scheme val="minor"/>
      </rPr>
      <t>displaced fuel-burning vehicles</t>
    </r>
    <r>
      <rPr>
        <sz val="11"/>
        <color theme="1"/>
        <rFont val="Calibri"/>
        <family val="2"/>
        <scheme val="minor"/>
      </rPr>
      <t xml:space="preserve"> resulting from energy policies and programs such as energy efficiency, renewable energy, and electric vehicles. AVERT is designed to use public data that are accessible and auditable.</t>
    </r>
  </si>
  <si>
    <t>AVERT Web Edition: https://www.epa.gov/avert/avert-web-edition
● Inputs: 
◦ Count of light-duty battery Evs
◦ Count of light-dugy hybrid Evs
◦ Count of Electric transit buses
◦ Count of Electric school buses
◦ EV model year (2023-2028)
◦ ICE vehicles being replaced (New/Existing
● Outputs:
◦ power required to meet demand (GWh/year)
◦ annual emission changes from power sector (CO2, NOx, VOCs, SO2, Etc)
◦ annual emissions changes including vehicles (CO2, NOx, VOCs, SO2, Etc)
◦ annual emission changes (net)</t>
  </si>
  <si>
    <t>Solar Panel Installation with or without Battery Storage – Incentivize, municipalities, universities and public buildings to install solar systems including battery storage to support grid resiliency and energy efficiency.</t>
  </si>
  <si>
    <t xml:space="preserve">
● Emissions &amp; Generation Resource Integrated Database (eGRID)</t>
  </si>
  <si>
    <t>● Avoided Emissions and Generation Tool (AVERT)</t>
  </si>
  <si>
    <t>Use AVERT to calculate MWh from the solar project's capacity. Use eGRID to get calculate the avoided CO2e emissions.</t>
  </si>
  <si>
    <t>Calcs with Assumptions</t>
  </si>
  <si>
    <t>Street Lights emissions reduction</t>
  </si>
  <si>
    <t>Building Lights emissions reduction</t>
  </si>
  <si>
    <t>mtCO2e/yr</t>
  </si>
  <si>
    <t>5 year 
mtCO2e</t>
  </si>
  <si>
    <t>25 year
mtCO2e</t>
  </si>
  <si>
    <t>Emission Factors</t>
  </si>
  <si>
    <t>lb/MWh (eGRID SPSO Subregion)  https://www.epa.gov/egrid/summary-data</t>
  </si>
  <si>
    <t>Norman Campus - Street Lights</t>
  </si>
  <si>
    <t>street pole lights</t>
  </si>
  <si>
    <t>wattage of incandescent street lights -- estimated based on literature review</t>
  </si>
  <si>
    <t>wattage of new LED lights -- estimated consume a quarter of the energy of incandescent based on this source https://drawdown.org/solutions/led-lighting</t>
  </si>
  <si>
    <t>hours per year lights are kept on</t>
  </si>
  <si>
    <t>Calculations</t>
  </si>
  <si>
    <t>wattage saved per fixture</t>
  </si>
  <si>
    <t>kWh reduced per fixture / year</t>
  </si>
  <si>
    <t>Total MWh / year</t>
  </si>
  <si>
    <t>mt CO2e/yr reduced emissions</t>
  </si>
  <si>
    <t>Emissions Reductions for Library (lighting &amp; HVAC)</t>
  </si>
  <si>
    <t>mt CO2e/yr</t>
  </si>
  <si>
    <t>Norman Campus - Building Lights</t>
  </si>
  <si>
    <t>sqft per fixture  (source:  submittal)</t>
  </si>
  <si>
    <t>fixtures to be replaced (source: submittal)</t>
  </si>
  <si>
    <t>lamps per fixture</t>
  </si>
  <si>
    <t>Wattage of current T8 lamp -- assumes a 2' x 4' florescent fixture -https://www.lrc.rpi.edu/programs/NLPIP/lightinganswers/pdf/view/LAT8.pdf</t>
  </si>
  <si>
    <t>Wattage of new lamp -- estimated based on this source https://drawdown.org/solutions/led-lighting</t>
  </si>
  <si>
    <t>wattage saved per lamp</t>
  </si>
  <si>
    <t>Calcs with Updated Assumptions</t>
  </si>
  <si>
    <t>TOTAL mt CO2e emissions reduction</t>
  </si>
  <si>
    <t>mt CO2e/year</t>
  </si>
  <si>
    <t>Emission Factor</t>
  </si>
  <si>
    <t>kgCO2/mmBTU (Default CO2 EF for Nat Gas -Table C-1 to Subpart C)</t>
  </si>
  <si>
    <t>kg CH4/mmBtu  (Default CO2 EF for Nat Gas -Table C-2 to Subpart C)</t>
  </si>
  <si>
    <t>kg N2O/mmBtu  (Default CO2 EF for Nat Gas -Table C-2 to Subpart C)</t>
  </si>
  <si>
    <t>GWP of CH4</t>
  </si>
  <si>
    <t>GWP of N2O</t>
  </si>
  <si>
    <t>Cooling Calculations</t>
  </si>
  <si>
    <t>sqft building</t>
  </si>
  <si>
    <t>sqft for per 1 ton of refrigeration https://www.energy.gov/sites/prod/files/guide_to_home_heating_cooling.pdf</t>
  </si>
  <si>
    <t>months of cooling</t>
  </si>
  <si>
    <t>months of heating</t>
  </si>
  <si>
    <t>Percentage of time that the HVAC system is cycled off when it is operating</t>
  </si>
  <si>
    <t>BTU/(W*hr) SEER rating of OLD HVAC system -- assumption based on a HVAC unit built prior to 1980 https://www.tdhca.state.tx.us/community-affairs/wap/docs/WAP-BP-SEERandEERDetermination.pdf</t>
  </si>
  <si>
    <t>BTU/(W*hr) SEER rating of NEW HVAC system -- assumption based on a HVAC unit built prior to 1980 https://www.tdhca.state.tx.us/community-affairs/wap/docs/WAP-BP-SEERandEERDetermination.pdf</t>
  </si>
  <si>
    <t>tons of heating/cooling load load</t>
  </si>
  <si>
    <t>BTU/hr heating/cooling load</t>
  </si>
  <si>
    <t>operating hours</t>
  </si>
  <si>
    <t>W used by OLD HVAC system</t>
  </si>
  <si>
    <t>MWh/year used by OLD HVAC system</t>
  </si>
  <si>
    <t>W used by NEW HVAC system</t>
  </si>
  <si>
    <t>MWh/year used by NEW HVAC system</t>
  </si>
  <si>
    <t>MWh saved by upgrading HVAC system</t>
  </si>
  <si>
    <t>mt CO2e/yr reduced emissions from cooling</t>
  </si>
  <si>
    <t>Heating</t>
  </si>
  <si>
    <t>sqft per 1 ton https://www.nrel.gov/docs/fy11osti/51603.pdf</t>
  </si>
  <si>
    <t>efficiency (old boiler) https://www.energy.gov/energysaver/furnaces-and-boilers</t>
  </si>
  <si>
    <t>efficiency (new boiler) https://www.energy.gov/energysaver/furnaces-and-boilers</t>
  </si>
  <si>
    <t>tons of heating load</t>
  </si>
  <si>
    <t>=</t>
  </si>
  <si>
    <t>mmBTU heating load</t>
  </si>
  <si>
    <t>mmBTU of natural gas combusted (OLD BOILER)</t>
  </si>
  <si>
    <t>mmBTU of natural gas combusted (NEW BOILER)</t>
  </si>
  <si>
    <t>mmBTU of natural gas combustion averted</t>
  </si>
  <si>
    <t>mt CO2 emissions averted</t>
  </si>
  <si>
    <t>mt CH4 emissions averted</t>
  </si>
  <si>
    <t>mt N2O emissions averted</t>
  </si>
  <si>
    <t>mt CO2e/year of averted emissions from heating</t>
  </si>
  <si>
    <t>Emissions Reductions for Lawton Rec Center &amp; Cemetary</t>
  </si>
  <si>
    <t>kg CH4/mmBtu  (Default CH4 EF for Nat Gas -Table C-2 to Subpart C)</t>
  </si>
  <si>
    <t>Lawton Recreation Centers &amp; Cemetary Annex</t>
  </si>
  <si>
    <t>sqft total space needing lighting - estimated</t>
  </si>
  <si>
    <t>lumens per light fixture</t>
  </si>
  <si>
    <t>lux lighting</t>
  </si>
  <si>
    <t>Watts (old incandecent fixtures)</t>
  </si>
  <si>
    <t>Watts (new fixtures) https://www.voltlighting.com/learn/lumens-to-watts-conversion-led-bulb</t>
  </si>
  <si>
    <t>Operating Hours - source - H.C. King Center open hours</t>
  </si>
  <si>
    <t>m^2 of building area</t>
  </si>
  <si>
    <t>lumens required</t>
  </si>
  <si>
    <t>fixtures required</t>
  </si>
  <si>
    <t>kWh reduced per fixture</t>
  </si>
  <si>
    <t>Total MWh</t>
  </si>
  <si>
    <t>Library Calculations</t>
  </si>
  <si>
    <t>Lighting</t>
  </si>
  <si>
    <t>Assumptions:</t>
  </si>
  <si>
    <t>sqft library</t>
  </si>
  <si>
    <t>Operating Hours</t>
  </si>
  <si>
    <t>Calculations:</t>
  </si>
  <si>
    <t xml:space="preserve">lumens required </t>
  </si>
  <si>
    <t>Cooling</t>
  </si>
  <si>
    <t>sqft for per 1 ton of heating/cooling https://www.energy.gov/sites/prod/files/guide_to_home_heating_cooling.pdf</t>
  </si>
  <si>
    <t>tons of cooling load load</t>
  </si>
  <si>
    <t>BTU/hr cooling load</t>
  </si>
  <si>
    <t>MBTU/year of natural gas consumption per sqft -- for building built in 1970s region https://www.eia.gov/consumption/commercial/data/2018/ce/pdf/e7.pdf</t>
  </si>
  <si>
    <t>MBTU/year of natural gas consumption per sqft -- for building built after 2010 region https://www.eia.gov/consumption/commercial/data/2018/ce/pdf/e7.pdf</t>
  </si>
  <si>
    <t>MMBTU/year of natural gas combustion per year - old boiler</t>
  </si>
  <si>
    <t>MMBTU/year of natural gas combustion per year - new boiler</t>
  </si>
  <si>
    <t>MMBTU/year of natural gas consumption averted</t>
  </si>
  <si>
    <t>EF Source</t>
  </si>
  <si>
    <t>eGRID subregion name</t>
  </si>
  <si>
    <t>lbs CO2e/MWh</t>
  </si>
  <si>
    <t>mt CO2e/MWh</t>
  </si>
  <si>
    <t>Low Reduction</t>
  </si>
  <si>
    <t>SPP South</t>
  </si>
  <si>
    <t>High Reduction</t>
  </si>
  <si>
    <t>AVERT Web App</t>
  </si>
  <si>
    <t>N/A</t>
  </si>
  <si>
    <t>eGRID Calcs</t>
  </si>
  <si>
    <t>Low Reduction Estimates (eGRID)</t>
  </si>
  <si>
    <t>High Reduction Estimates
(AVERT)***</t>
  </si>
  <si>
    <t>Average Emissions Reduction Estimates</t>
  </si>
  <si>
    <t>Project Type</t>
  </si>
  <si>
    <t>MWh/year per location</t>
  </si>
  <si>
    <t xml:space="preserve">
(mt CO2e/yr)</t>
  </si>
  <si>
    <t>ton CO2e/year</t>
  </si>
  <si>
    <t>5 year 
(mt CO2e)</t>
  </si>
  <si>
    <t>25 year
(mt CO2e)</t>
  </si>
  <si>
    <t>Rooftop Solar*</t>
  </si>
  <si>
    <t>5 MW Rooftop Solar**</t>
  </si>
  <si>
    <t>9.9 MW Solar Farms**</t>
  </si>
  <si>
    <t>250 MW Solar Farm</t>
  </si>
  <si>
    <t>500 MW Solar Farm</t>
  </si>
  <si>
    <t>Quapaw</t>
  </si>
  <si>
    <t>36 MW Solar farm</t>
  </si>
  <si>
    <t>1 MW Solar Farm</t>
  </si>
  <si>
    <t xml:space="preserve">Without Battery Storage </t>
  </si>
  <si>
    <t>*KWh was determined by PVWatts Calculator</t>
  </si>
  <si>
    <t>**MWh was determined by AVERT Web App</t>
  </si>
  <si>
    <t>***The High Reduction Estimates used in this table are calculated by the Avert Web App. Results may differ slightly when using the EF provided by the Avert Web App (0.830 tons CO2/MWh)</t>
  </si>
  <si>
    <t xml:space="preserve">Assumptions </t>
  </si>
  <si>
    <t>Source</t>
  </si>
  <si>
    <t>Battery system emissions</t>
  </si>
  <si>
    <t>kg CO2/kWh</t>
  </si>
  <si>
    <t xml:space="preserve">Battery drains and recharges daily </t>
  </si>
  <si>
    <t>Battery Capacity</t>
  </si>
  <si>
    <t>MWh/day</t>
  </si>
  <si>
    <t>High Emission Reduction EF (AVERT)</t>
  </si>
  <si>
    <t>tons/MWh</t>
  </si>
  <si>
    <t>Yearly battery usage</t>
  </si>
  <si>
    <t>MWh/year</t>
  </si>
  <si>
    <t>Emission from battery usage</t>
  </si>
  <si>
    <t>kg CO2 / yr</t>
  </si>
  <si>
    <t>mt CO2/yr</t>
  </si>
  <si>
    <t>High Reduction Estimates
(AVERT)</t>
  </si>
  <si>
    <t>Total</t>
  </si>
  <si>
    <t>5 yr</t>
  </si>
  <si>
    <t>25 yr</t>
  </si>
  <si>
    <t>Emissions Reductions</t>
  </si>
  <si>
    <t>Library Window Replacements</t>
  </si>
  <si>
    <t>BTU/(W*hr) SEER rating of HVAC system -- assumption based on a HVAC unit built prior to 1980 https://www.tdhca.state.tx.us/community-affairs/wap/docs/WAP-BP-SEERandEERDetermination.pdf</t>
  </si>
  <si>
    <t>energy from HVAC saved by upgrading windows  https://www.energy.gov/energysaver/windows-doors-and-skylights</t>
  </si>
  <si>
    <t>W used by HVAC system</t>
  </si>
  <si>
    <t>MWh/year used by HVAC system</t>
  </si>
  <si>
    <t>MWh saved by upgrading windows</t>
  </si>
  <si>
    <t>Baseball Lights</t>
  </si>
  <si>
    <t xml:space="preserve">Actual baseball fields in Miami. </t>
  </si>
  <si>
    <t>Joe Pollock, eight light poles, eight bulbs each</t>
  </si>
  <si>
    <t>Joe Booth, 32 light poles, four bulbs each, plus 4 poles with two bulbs each</t>
  </si>
  <si>
    <t>Season: April - June</t>
  </si>
  <si>
    <t>NEO softball, four poles with six, one pole with 6x6 mini</t>
  </si>
  <si>
    <t>3 hrs/night, 4 nights/week, 13 weeks = 156 hrs/yr</t>
  </si>
  <si>
    <t>NEO baseball, seven poles with five</t>
  </si>
  <si>
    <t>Average sunset 8:30</t>
  </si>
  <si>
    <t>Francis Morgan, five poles with nine bulbs each</t>
  </si>
  <si>
    <t>PeeWee and LL, 9, two 4, four 7, plus 9, plus 10. roughly 64 bulbs</t>
  </si>
  <si>
    <t>LED vs HID (high intensity discharge)</t>
  </si>
  <si>
    <t>Total bulbs = 309</t>
  </si>
  <si>
    <t>LED saves 60% to 80% on wattage</t>
  </si>
  <si>
    <t>1400 W/bulb * 156 hr * 309 bulbs = 67.4856 MWh/yr</t>
  </si>
  <si>
    <t>So 600 W bulbs, assume 1400 W savings per bulb</t>
  </si>
  <si>
    <t>From eGRID for SPSO subregion)</t>
  </si>
  <si>
    <t>67.5 MWh</t>
  </si>
  <si>
    <t>1,031.6 lbCO2 / Mwh</t>
  </si>
  <si>
    <t>69,618.14 lbsCO2</t>
  </si>
  <si>
    <t>31,578.2 kgCO2</t>
  </si>
  <si>
    <t>31.6 mTCO2e</t>
  </si>
  <si>
    <t>Bulbs counted at 5 baseball fields (per Allen's estimates)</t>
  </si>
  <si>
    <t>bulbs per field</t>
  </si>
  <si>
    <t>fields (from submittal)</t>
  </si>
  <si>
    <t>Watts (Old bulbs) - estimated based on literature review https://lightstoreusa.com/products/1500-watt-metal-halide-m48-sports-lighter-flood-light-120v-277v</t>
  </si>
  <si>
    <t>Watts (New bulbs) -- estimated consume a quarter of the energy based on this source https://drawdown.org/solutions/led-lighting</t>
  </si>
  <si>
    <t>Operating Hours (3 hrs/night, 4 nights/week, 13 weeks)</t>
  </si>
  <si>
    <t>wattage saved per bulb</t>
  </si>
  <si>
    <t>kWh reduced per bulb / year</t>
  </si>
  <si>
    <t>Emissions Reductions ( HVAC Upgrades)</t>
  </si>
  <si>
    <t>sqft city hall</t>
  </si>
  <si>
    <t>Windows</t>
  </si>
  <si>
    <t>sqft floor space estimated for museum</t>
  </si>
  <si>
    <t>sqft floor space estimated for public works building</t>
  </si>
  <si>
    <t>sqft floor space estimated for public works library</t>
  </si>
  <si>
    <t xml:space="preserve">BTU/hr </t>
  </si>
  <si>
    <t>W</t>
  </si>
  <si>
    <t>SEER</t>
  </si>
  <si>
    <t>BTU</t>
  </si>
  <si>
    <r>
      <t>W*</t>
    </r>
    <r>
      <rPr>
        <strike/>
        <sz val="11"/>
        <color theme="1"/>
        <rFont val="Calibri"/>
        <family val="2"/>
        <scheme val="minor"/>
      </rPr>
      <t>hr</t>
    </r>
  </si>
  <si>
    <t>hr</t>
  </si>
  <si>
    <t>5 year</t>
  </si>
  <si>
    <t>25 year</t>
  </si>
  <si>
    <t xml:space="preserve">Project: support deployment of renewable neergy &amp; storage systems for govt buildings. </t>
  </si>
  <si>
    <t>Emissions Reductions ( Solar Program - Govt Buildings)</t>
  </si>
  <si>
    <t>Energy from solar would be used primarily to power HVAC systems</t>
  </si>
  <si>
    <t>sqft of building area (73 buildings owned by OK govt) https://oklahoma.gov/content/dam/ok/en/omes/documents/RealEstatePortfolioStrategy.pdf</t>
  </si>
  <si>
    <t>BTU/(W*hr) SEER rating of HVAC system -- assumption based on a HVAC unit built between 1992-1999 https://www.tdhca.state.tx.us/community-affairs/wap/docs/WAP-BP-SEERandEERDetermination.pdf</t>
  </si>
  <si>
    <t>Output From LandGEM</t>
  </si>
  <si>
    <t>Calcs</t>
  </si>
  <si>
    <t>Year</t>
  </si>
  <si>
    <t>Waste Accepted</t>
  </si>
  <si>
    <t>Waste-In-Place</t>
  </si>
  <si>
    <t>Methane</t>
  </si>
  <si>
    <t>Carbon dioxide</t>
  </si>
  <si>
    <t>Total landfill gas</t>
  </si>
  <si>
    <t>NMOC</t>
  </si>
  <si>
    <t>CO2e</t>
  </si>
  <si>
    <t>(Mg/year)</t>
  </si>
  <si>
    <t>(short tons/year)</t>
  </si>
  <si>
    <t>(Mg)</t>
  </si>
  <si>
    <t>(short tons)</t>
  </si>
  <si>
    <t>(m3/year)</t>
  </si>
  <si>
    <t>(ft^3/year)</t>
  </si>
  <si>
    <t>(ft^3/min)</t>
  </si>
  <si>
    <t>Unmitigated Emissions</t>
  </si>
  <si>
    <t>ft3/year</t>
  </si>
  <si>
    <t>MMSCF/year</t>
  </si>
  <si>
    <t>scf/min</t>
  </si>
  <si>
    <t>mt CO2e (total)</t>
  </si>
  <si>
    <t>2025-2030</t>
  </si>
  <si>
    <t>2025-2050</t>
  </si>
  <si>
    <t>Output From LFGE Benefits Calculator</t>
  </si>
  <si>
    <t>Direct Equivalent Emissions Reduced</t>
  </si>
  <si>
    <t>Avoided Equivalent Emissions Reduced</t>
  </si>
  <si>
    <t>Total Equivalent Emissions Reduced</t>
  </si>
  <si>
    <t>[Reduction of methane emitted directly from the landfill]</t>
  </si>
  <si>
    <t>[Offset of carbon dioxide from avoiding the use of fossil fuels]</t>
  </si>
  <si>
    <t>[Total = Direct + Avoided]</t>
  </si>
  <si>
    <t>MMTCO2E/yr</t>
  </si>
  <si>
    <t>tons CH4/yr</t>
  </si>
  <si>
    <t>tons CO2/yr</t>
  </si>
  <si>
    <t>million metric tons of carbon dioxide equivalents per year</t>
  </si>
  <si>
    <t>tons of methane per year</t>
  </si>
  <si>
    <t>tons of carbon dioxide
per year</t>
  </si>
  <si>
    <t>tons of carbon dioxide per year</t>
  </si>
  <si>
    <t xml:space="preserve"> per year)</t>
  </si>
  <si>
    <t>Equivalent to any one of the following annual benefits:</t>
  </si>
  <si>
    <t>Environmental Benefits</t>
  </si>
  <si>
    <t>• Carbon sequestered by __ acres of U.S. forests in one year:</t>
  </si>
  <si>
    <t>• CO2 emissions from __ barrels of oil consumed:</t>
  </si>
  <si>
    <t>• CO2 emissions from __ gallons of gasoline consumed:</t>
  </si>
  <si>
    <t>Assumption</t>
  </si>
  <si>
    <t>Summary Table</t>
  </si>
  <si>
    <t>g CH4/(PE · y)</t>
  </si>
  <si>
    <t>kg CO2e/(PE*y)</t>
  </si>
  <si>
    <t>Population of Payne County</t>
  </si>
  <si>
    <t>Emissions</t>
  </si>
  <si>
    <t>emissions from sludge treatment</t>
  </si>
  <si>
    <t>kg CO2e/(y)</t>
  </si>
  <si>
    <t>mt CO2e/(y)</t>
  </si>
  <si>
    <t>emissions from AD systems* (high estimate)</t>
  </si>
  <si>
    <t>emissions from AD systems* (low estimate)</t>
  </si>
  <si>
    <t>https://datacommons.org/place/geoId/40119?utm_medium=explore&amp;mprop=count&amp;popt=Person&amp;hl=en</t>
  </si>
  <si>
    <t>emissions due to leaks in the digester</t>
  </si>
  <si>
    <t>Emissions reduction from upgrading AD system</t>
  </si>
  <si>
    <t>Captured produced biogas</t>
  </si>
  <si>
    <t>NOTES:
*includes residual gas production in sludge storage tanks, methane slip of combined heat &amp; power plants, &amp; dissolved methane in digested sludge
PE = Population Equivalent</t>
  </si>
  <si>
    <t>Source for EFs: https://iwaponline.com/wst/article/80/9/1654/71591/Quantifying-methane-emissions-from-anaerobic</t>
  </si>
  <si>
    <t>Baseline Emissions (2019 from eGRID)</t>
  </si>
  <si>
    <t>metric tons CO2e</t>
  </si>
  <si>
    <t>Reduction in Electricity Losses</t>
  </si>
  <si>
    <t>Total Electricity Transmitted (2020)</t>
  </si>
  <si>
    <t>MWh for the 16 elected cities</t>
  </si>
  <si>
    <t>CO2e Emissions per MWh (2019 OK average)</t>
  </si>
  <si>
    <t>metric tons CO2e/MWh</t>
  </si>
  <si>
    <t>Reduction in CO2e emissions</t>
  </si>
  <si>
    <t>Electricity Saved by Conversion</t>
  </si>
  <si>
    <t>Emissions Reduction due to Energy Saved</t>
  </si>
  <si>
    <t>Total Emission Reduction</t>
  </si>
  <si>
    <t>metric tons of CO2e per year</t>
  </si>
  <si>
    <t>metric tons of CO2e (5 yr)</t>
  </si>
  <si>
    <t>metric tons of CO2e (25 yr)</t>
  </si>
  <si>
    <t xml:space="preserve">Reduction of 5% in transmission losses due to the higher voltage </t>
  </si>
  <si>
    <t xml:space="preserve">Total Electicity Transmitted was determine by multiplying the per capita electricity usage by the total populations of the 16 cities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</si>
</sst>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000"/>
    <numFmt numFmtId="165" formatCode="0.000"/>
    <numFmt numFmtId="166" formatCode="_(* #,##0_);_(* \(#,##0\);_(* &quot;-&quot;??_);_(@_)"/>
    <numFmt numFmtId="167" formatCode="_(* #,##0.0_);_(* \(#,##0.0\);_(* &quot;-&quot;??_);_(@_)"/>
    <numFmt numFmtId="168" formatCode="_(* #,##0.000000_);_(* \(#,##0.000000\);_(* &quot;-&quot;??_);_(@_)"/>
  </numFmts>
  <fonts count="27" x14ac:knownFonts="1">
    <font>
      <sz val="11"/>
      <color theme="1"/>
      <name val="Calibri"/>
      <family val="2"/>
      <scheme val="minor"/>
    </font>
    <font>
      <b/>
      <sz val="11"/>
      <color theme="1"/>
      <name val="Calibri"/>
      <family val="2"/>
      <scheme val="minor"/>
    </font>
    <font>
      <b/>
      <sz val="11"/>
      <name val="Calibri"/>
      <family val="2"/>
      <scheme val="minor"/>
    </font>
    <font>
      <b/>
      <sz val="11"/>
      <color theme="9"/>
      <name val="Calibri"/>
      <family val="2"/>
      <scheme val="minor"/>
    </font>
    <font>
      <b/>
      <sz val="11"/>
      <color theme="9" tint="-0.499984740745262"/>
      <name val="Calibri"/>
      <family val="2"/>
      <scheme val="minor"/>
    </font>
    <font>
      <sz val="11"/>
      <name val="Calibri"/>
      <family val="2"/>
      <scheme val="minor"/>
    </font>
    <font>
      <b/>
      <sz val="10"/>
      <name val="Arial"/>
      <family val="2"/>
    </font>
    <font>
      <sz val="11"/>
      <color theme="1"/>
      <name val="Calibri"/>
      <family val="2"/>
      <scheme val="minor"/>
    </font>
    <font>
      <sz val="11"/>
      <color rgb="FFFF0000"/>
      <name val="Calibri"/>
      <family val="2"/>
      <scheme val="minor"/>
    </font>
    <font>
      <b/>
      <sz val="12"/>
      <color theme="1"/>
      <name val="Calibri"/>
      <family val="2"/>
      <scheme val="minor"/>
    </font>
    <font>
      <sz val="10"/>
      <color indexed="17"/>
      <name val="Arial"/>
      <family val="2"/>
    </font>
    <font>
      <sz val="8"/>
      <name val="Arial"/>
      <family val="2"/>
    </font>
    <font>
      <b/>
      <sz val="10"/>
      <color indexed="17"/>
      <name val="Arial"/>
      <family val="2"/>
    </font>
    <font>
      <b/>
      <sz val="9"/>
      <name val="Arial"/>
      <family val="2"/>
    </font>
    <font>
      <u/>
      <sz val="9"/>
      <name val="Arial"/>
      <family val="2"/>
    </font>
    <font>
      <sz val="8"/>
      <color indexed="17"/>
      <name val="Arial"/>
      <family val="2"/>
    </font>
    <font>
      <sz val="9"/>
      <color indexed="17"/>
      <name val="Arial"/>
      <family val="2"/>
    </font>
    <font>
      <i/>
      <sz val="11"/>
      <color theme="0" tint="-0.34998626667073579"/>
      <name val="Calibri"/>
      <family val="2"/>
      <scheme val="minor"/>
    </font>
    <font>
      <sz val="10"/>
      <color theme="1"/>
      <name val="Calibri"/>
      <family val="2"/>
      <scheme val="minor"/>
    </font>
    <font>
      <b/>
      <u/>
      <sz val="11"/>
      <color theme="1"/>
      <name val="Calibri"/>
      <family val="2"/>
      <scheme val="minor"/>
    </font>
    <font>
      <sz val="11"/>
      <color rgb="FF1B1B1B"/>
      <name val="Consolas"/>
      <family val="3"/>
    </font>
    <font>
      <b/>
      <u val="singleAccounting"/>
      <sz val="11"/>
      <color theme="1"/>
      <name val="Calibri"/>
      <family val="2"/>
      <scheme val="minor"/>
    </font>
    <font>
      <sz val="11"/>
      <color indexed="8"/>
      <name val="Calibri"/>
      <family val="2"/>
    </font>
    <font>
      <b/>
      <sz val="14"/>
      <color theme="1"/>
      <name val="Calibri"/>
      <family val="2"/>
      <scheme val="minor"/>
    </font>
    <font>
      <b/>
      <u/>
      <sz val="11"/>
      <name val="Calibri"/>
      <family val="2"/>
      <scheme val="minor"/>
    </font>
    <font>
      <strike/>
      <sz val="11"/>
      <color theme="1"/>
      <name val="Calibri"/>
      <family val="2"/>
      <scheme val="minor"/>
    </font>
    <font>
      <sz val="11"/>
      <color rgb="FF0D0D0D"/>
      <name val="Segoe UI"/>
      <family val="2"/>
    </font>
  </fonts>
  <fills count="11">
    <fill>
      <patternFill patternType="none"/>
    </fill>
    <fill>
      <patternFill patternType="gray125"/>
    </fill>
    <fill>
      <patternFill patternType="solid">
        <fgColor theme="9" tint="0.79998168889431442"/>
        <bgColor indexed="64"/>
      </patternFill>
    </fill>
    <fill>
      <patternFill patternType="solid">
        <fgColor rgb="FFFFFF00"/>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8" tint="0.79998168889431442"/>
        <bgColor indexed="64"/>
      </patternFill>
    </fill>
    <fill>
      <patternFill patternType="solid">
        <fgColor theme="9"/>
        <bgColor indexed="64"/>
      </patternFill>
    </fill>
    <fill>
      <patternFill patternType="solid">
        <fgColor theme="5" tint="0.79998168889431442"/>
        <bgColor indexed="64"/>
      </patternFill>
    </fill>
    <fill>
      <patternFill patternType="solid">
        <fgColor theme="0" tint="-4.9989318521683403E-2"/>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style="thin">
        <color indexed="64"/>
      </top>
      <bottom/>
      <diagonal/>
    </border>
    <border>
      <left/>
      <right style="medium">
        <color indexed="64"/>
      </right>
      <top style="thin">
        <color indexed="64"/>
      </top>
      <bottom/>
      <diagonal/>
    </border>
    <border>
      <left/>
      <right style="thin">
        <color indexed="64"/>
      </right>
      <top/>
      <bottom style="medium">
        <color indexed="64"/>
      </bottom>
      <diagonal/>
    </border>
    <border>
      <left style="thin">
        <color indexed="64"/>
      </left>
      <right/>
      <top/>
      <bottom style="medium">
        <color indexed="64"/>
      </bottom>
      <diagonal/>
    </border>
    <border>
      <left/>
      <right style="double">
        <color auto="1"/>
      </right>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4">
    <xf numFmtId="0" fontId="0" fillId="0" borderId="0"/>
    <xf numFmtId="9" fontId="7" fillId="0" borderId="0" applyFont="0" applyFill="0" applyBorder="0" applyAlignment="0" applyProtection="0"/>
    <xf numFmtId="43" fontId="7" fillId="0" borderId="0" applyFont="0" applyFill="0" applyBorder="0" applyAlignment="0" applyProtection="0"/>
    <xf numFmtId="0" fontId="22" fillId="0" borderId="0"/>
  </cellStyleXfs>
  <cellXfs count="231">
    <xf numFmtId="0" fontId="0" fillId="0" borderId="0" xfId="0"/>
    <xf numFmtId="0" fontId="0" fillId="0" borderId="0" xfId="0" applyAlignment="1">
      <alignment wrapText="1"/>
    </xf>
    <xf numFmtId="0" fontId="1" fillId="2" borderId="1" xfId="0" applyFont="1" applyFill="1" applyBorder="1" applyAlignment="1">
      <alignment wrapText="1"/>
    </xf>
    <xf numFmtId="0" fontId="0" fillId="0" borderId="1" xfId="0" applyBorder="1"/>
    <xf numFmtId="0" fontId="0" fillId="0" borderId="3" xfId="0" applyBorder="1"/>
    <xf numFmtId="0" fontId="0" fillId="0" borderId="5" xfId="0" applyBorder="1" applyAlignment="1">
      <alignment wrapText="1"/>
    </xf>
    <xf numFmtId="0" fontId="0" fillId="0" borderId="6" xfId="0" applyBorder="1"/>
    <xf numFmtId="0" fontId="0" fillId="0" borderId="7" xfId="0" applyBorder="1"/>
    <xf numFmtId="0" fontId="0" fillId="0" borderId="8" xfId="0" applyBorder="1"/>
    <xf numFmtId="43" fontId="0" fillId="0" borderId="0" xfId="2" applyFont="1"/>
    <xf numFmtId="0" fontId="0" fillId="0" borderId="12" xfId="0" applyBorder="1"/>
    <xf numFmtId="0" fontId="0" fillId="0" borderId="22" xfId="0" applyBorder="1"/>
    <xf numFmtId="0" fontId="0" fillId="0" borderId="21" xfId="0" applyBorder="1"/>
    <xf numFmtId="43" fontId="0" fillId="0" borderId="0" xfId="0" applyNumberFormat="1"/>
    <xf numFmtId="43" fontId="0" fillId="3" borderId="0" xfId="2" applyFont="1" applyFill="1"/>
    <xf numFmtId="43" fontId="0" fillId="0" borderId="7" xfId="0" applyNumberFormat="1" applyBorder="1"/>
    <xf numFmtId="0" fontId="12" fillId="0" borderId="19" xfId="0" applyFont="1" applyBorder="1" applyAlignment="1">
      <alignment horizontal="center"/>
    </xf>
    <xf numFmtId="0" fontId="12" fillId="0" borderId="34" xfId="0" applyFont="1" applyBorder="1" applyAlignment="1">
      <alignment horizontal="center"/>
    </xf>
    <xf numFmtId="3" fontId="10" fillId="0" borderId="36" xfId="0" applyNumberFormat="1" applyFont="1" applyBorder="1" applyAlignment="1">
      <alignment horizontal="center"/>
    </xf>
    <xf numFmtId="165" fontId="13" fillId="0" borderId="33" xfId="0" applyNumberFormat="1" applyFont="1" applyBorder="1"/>
    <xf numFmtId="165" fontId="13" fillId="0" borderId="37" xfId="0" applyNumberFormat="1" applyFont="1" applyBorder="1"/>
    <xf numFmtId="165" fontId="13" fillId="0" borderId="38" xfId="0" applyNumberFormat="1" applyFont="1" applyBorder="1"/>
    <xf numFmtId="165" fontId="14" fillId="0" borderId="24" xfId="0" applyNumberFormat="1" applyFont="1" applyBorder="1" applyAlignment="1">
      <alignment horizontal="left"/>
    </xf>
    <xf numFmtId="165" fontId="13" fillId="0" borderId="0" xfId="0" applyNumberFormat="1" applyFont="1" applyAlignment="1">
      <alignment horizontal="left" wrapText="1"/>
    </xf>
    <xf numFmtId="165" fontId="13" fillId="0" borderId="23" xfId="0" applyNumberFormat="1" applyFont="1" applyBorder="1" applyAlignment="1">
      <alignment horizontal="left" wrapText="1"/>
    </xf>
    <xf numFmtId="165" fontId="14" fillId="0" borderId="19" xfId="0" applyNumberFormat="1" applyFont="1" applyBorder="1" applyAlignment="1">
      <alignment horizontal="left"/>
    </xf>
    <xf numFmtId="165" fontId="13" fillId="0" borderId="0" xfId="0" applyNumberFormat="1" applyFont="1"/>
    <xf numFmtId="165" fontId="13" fillId="0" borderId="25" xfId="0" applyNumberFormat="1" applyFont="1" applyBorder="1"/>
    <xf numFmtId="43" fontId="0" fillId="0" borderId="7" xfId="2" applyFont="1" applyBorder="1"/>
    <xf numFmtId="0" fontId="0" fillId="0" borderId="41" xfId="0" applyBorder="1"/>
    <xf numFmtId="0" fontId="1" fillId="0" borderId="6" xfId="0" applyFont="1" applyBorder="1" applyAlignment="1">
      <alignment horizontal="center"/>
    </xf>
    <xf numFmtId="43" fontId="1" fillId="0" borderId="7" xfId="2" applyFont="1" applyBorder="1" applyAlignment="1">
      <alignment horizontal="center" wrapText="1"/>
    </xf>
    <xf numFmtId="43" fontId="0" fillId="0" borderId="26" xfId="2" applyFont="1" applyBorder="1"/>
    <xf numFmtId="43" fontId="0" fillId="0" borderId="1" xfId="2" applyFont="1" applyBorder="1"/>
    <xf numFmtId="166" fontId="0" fillId="0" borderId="1" xfId="2" applyNumberFormat="1" applyFont="1" applyBorder="1"/>
    <xf numFmtId="166" fontId="0" fillId="0" borderId="9" xfId="2" applyNumberFormat="1" applyFont="1" applyBorder="1"/>
    <xf numFmtId="43" fontId="1" fillId="0" borderId="1" xfId="2" applyFont="1" applyBorder="1"/>
    <xf numFmtId="3" fontId="0" fillId="0" borderId="26" xfId="0" applyNumberFormat="1" applyBorder="1"/>
    <xf numFmtId="43" fontId="1" fillId="0" borderId="1" xfId="2" applyFont="1" applyBorder="1" applyAlignment="1">
      <alignment horizontal="center" wrapText="1"/>
    </xf>
    <xf numFmtId="43" fontId="0" fillId="0" borderId="1" xfId="0" applyNumberFormat="1" applyBorder="1"/>
    <xf numFmtId="0" fontId="9" fillId="0" borderId="6" xfId="0" applyFont="1" applyBorder="1" applyAlignment="1">
      <alignment horizontal="center"/>
    </xf>
    <xf numFmtId="43" fontId="1" fillId="0" borderId="9" xfId="0" applyNumberFormat="1" applyFont="1" applyBorder="1"/>
    <xf numFmtId="43" fontId="1" fillId="0" borderId="26" xfId="0" applyNumberFormat="1" applyFont="1" applyBorder="1"/>
    <xf numFmtId="43" fontId="0" fillId="0" borderId="0" xfId="2" applyFont="1" applyFill="1"/>
    <xf numFmtId="0" fontId="1" fillId="3" borderId="0" xfId="0" applyFont="1" applyFill="1"/>
    <xf numFmtId="3" fontId="0" fillId="0" borderId="1" xfId="2" applyNumberFormat="1" applyFont="1" applyBorder="1" applyAlignment="1">
      <alignment horizontal="left"/>
    </xf>
    <xf numFmtId="3" fontId="0" fillId="0" borderId="1" xfId="0" applyNumberFormat="1" applyBorder="1" applyAlignment="1">
      <alignment horizontal="left"/>
    </xf>
    <xf numFmtId="3" fontId="0" fillId="0" borderId="7" xfId="0" applyNumberFormat="1" applyBorder="1" applyAlignment="1">
      <alignment horizontal="left"/>
    </xf>
    <xf numFmtId="3" fontId="0" fillId="0" borderId="9" xfId="2" applyNumberFormat="1" applyFont="1" applyBorder="1" applyAlignment="1">
      <alignment horizontal="left"/>
    </xf>
    <xf numFmtId="3" fontId="0" fillId="0" borderId="26" xfId="0" applyNumberFormat="1" applyBorder="1" applyAlignment="1">
      <alignment horizontal="left"/>
    </xf>
    <xf numFmtId="43" fontId="0" fillId="0" borderId="37" xfId="2" applyFont="1" applyBorder="1" applyAlignment="1">
      <alignment vertical="center"/>
    </xf>
    <xf numFmtId="3" fontId="0" fillId="0" borderId="9" xfId="0" applyNumberFormat="1" applyBorder="1" applyAlignment="1">
      <alignment horizontal="left"/>
    </xf>
    <xf numFmtId="0" fontId="0" fillId="0" borderId="10" xfId="0" applyBorder="1" applyAlignment="1">
      <alignment wrapText="1"/>
    </xf>
    <xf numFmtId="43" fontId="0" fillId="0" borderId="42" xfId="2" applyFont="1" applyBorder="1"/>
    <xf numFmtId="43" fontId="0" fillId="0" borderId="6" xfId="2" applyFont="1" applyBorder="1"/>
    <xf numFmtId="43" fontId="0" fillId="0" borderId="43" xfId="2" applyFont="1" applyBorder="1"/>
    <xf numFmtId="0" fontId="0" fillId="0" borderId="44" xfId="0" applyBorder="1"/>
    <xf numFmtId="0" fontId="0" fillId="0" borderId="3" xfId="0" applyBorder="1" applyAlignment="1">
      <alignment wrapText="1"/>
    </xf>
    <xf numFmtId="0" fontId="1" fillId="0" borderId="0" xfId="0" applyFont="1"/>
    <xf numFmtId="0" fontId="17" fillId="0" borderId="0" xfId="0" applyFont="1"/>
    <xf numFmtId="0" fontId="18" fillId="0" borderId="0" xfId="0" applyFont="1"/>
    <xf numFmtId="0" fontId="0" fillId="0" borderId="0" xfId="0" applyAlignment="1">
      <alignment horizontal="right"/>
    </xf>
    <xf numFmtId="166" fontId="0" fillId="0" borderId="0" xfId="2" applyNumberFormat="1" applyFont="1"/>
    <xf numFmtId="9" fontId="0" fillId="0" borderId="0" xfId="1" applyFont="1"/>
    <xf numFmtId="166" fontId="0" fillId="0" borderId="0" xfId="0" applyNumberFormat="1"/>
    <xf numFmtId="166" fontId="1" fillId="0" borderId="0" xfId="0" applyNumberFormat="1" applyFont="1"/>
    <xf numFmtId="0" fontId="0" fillId="0" borderId="0" xfId="0" applyFill="1"/>
    <xf numFmtId="0" fontId="0" fillId="0" borderId="0" xfId="0" applyBorder="1" applyAlignment="1">
      <alignment horizontal="center"/>
    </xf>
    <xf numFmtId="0" fontId="0" fillId="0" borderId="0" xfId="0" applyBorder="1" applyAlignment="1">
      <alignment wrapText="1"/>
    </xf>
    <xf numFmtId="0" fontId="0" fillId="0" borderId="0" xfId="0" applyBorder="1"/>
    <xf numFmtId="3" fontId="0" fillId="0" borderId="0" xfId="0" applyNumberFormat="1" applyBorder="1" applyAlignment="1">
      <alignment horizontal="left"/>
    </xf>
    <xf numFmtId="0" fontId="0" fillId="0" borderId="11" xfId="0" applyBorder="1" applyAlignment="1">
      <alignment wrapText="1"/>
    </xf>
    <xf numFmtId="0" fontId="0" fillId="0" borderId="36" xfId="0" applyBorder="1" applyAlignment="1">
      <alignment wrapText="1"/>
    </xf>
    <xf numFmtId="0" fontId="0" fillId="0" borderId="20" xfId="0" applyBorder="1" applyAlignment="1">
      <alignment wrapText="1"/>
    </xf>
    <xf numFmtId="3" fontId="0" fillId="0" borderId="44" xfId="0" applyNumberFormat="1" applyBorder="1" applyAlignment="1">
      <alignment horizontal="left"/>
    </xf>
    <xf numFmtId="3" fontId="0" fillId="0" borderId="45" xfId="0" applyNumberFormat="1" applyBorder="1" applyAlignment="1">
      <alignment horizontal="left"/>
    </xf>
    <xf numFmtId="0" fontId="0" fillId="0" borderId="51" xfId="0" applyBorder="1" applyAlignment="1">
      <alignment wrapText="1"/>
    </xf>
    <xf numFmtId="43" fontId="0" fillId="0" borderId="52" xfId="2" applyFont="1" applyBorder="1"/>
    <xf numFmtId="43" fontId="0" fillId="0" borderId="53" xfId="2" applyFont="1" applyBorder="1"/>
    <xf numFmtId="0" fontId="0" fillId="9" borderId="50" xfId="0" applyFill="1" applyBorder="1" applyAlignment="1">
      <alignment wrapText="1"/>
    </xf>
    <xf numFmtId="4" fontId="0" fillId="0" borderId="1" xfId="0" applyNumberFormat="1" applyBorder="1"/>
    <xf numFmtId="0" fontId="0" fillId="10" borderId="1" xfId="0" applyFill="1" applyBorder="1"/>
    <xf numFmtId="166" fontId="0" fillId="0" borderId="6" xfId="2" applyNumberFormat="1" applyFont="1" applyBorder="1"/>
    <xf numFmtId="166" fontId="0" fillId="0" borderId="6" xfId="0" applyNumberFormat="1" applyBorder="1"/>
    <xf numFmtId="166" fontId="0" fillId="0" borderId="8" xfId="0" applyNumberFormat="1" applyBorder="1"/>
    <xf numFmtId="0" fontId="5" fillId="0" borderId="0" xfId="0" applyFont="1"/>
    <xf numFmtId="0" fontId="0" fillId="0" borderId="1" xfId="0" applyBorder="1" applyAlignment="1">
      <alignment wrapText="1"/>
    </xf>
    <xf numFmtId="43" fontId="1" fillId="0" borderId="0" xfId="2" applyFont="1"/>
    <xf numFmtId="0" fontId="20" fillId="0" borderId="0" xfId="0" applyFont="1"/>
    <xf numFmtId="0" fontId="0" fillId="0" borderId="0" xfId="0" quotePrefix="1"/>
    <xf numFmtId="9" fontId="0" fillId="0" borderId="0" xfId="2" applyNumberFormat="1" applyFont="1"/>
    <xf numFmtId="167" fontId="0" fillId="0" borderId="0" xfId="2" applyNumberFormat="1" applyFont="1"/>
    <xf numFmtId="166" fontId="0" fillId="0" borderId="0" xfId="2" applyNumberFormat="1" applyFont="1" applyAlignment="1">
      <alignment horizontal="left" indent="2"/>
    </xf>
    <xf numFmtId="0" fontId="2" fillId="2" borderId="1" xfId="0" applyFont="1" applyFill="1" applyBorder="1"/>
    <xf numFmtId="11" fontId="0" fillId="0" borderId="0" xfId="2" applyNumberFormat="1" applyFont="1"/>
    <xf numFmtId="43" fontId="0" fillId="0" borderId="21" xfId="2" applyFont="1" applyBorder="1" applyAlignment="1">
      <alignment horizontal="right"/>
    </xf>
    <xf numFmtId="0" fontId="0" fillId="0" borderId="0" xfId="2" applyNumberFormat="1" applyFont="1"/>
    <xf numFmtId="43" fontId="0" fillId="2" borderId="42" xfId="2" applyFont="1" applyFill="1" applyBorder="1"/>
    <xf numFmtId="0" fontId="0" fillId="2" borderId="46" xfId="0" applyFill="1" applyBorder="1"/>
    <xf numFmtId="43" fontId="0" fillId="2" borderId="46" xfId="2" applyFont="1" applyFill="1" applyBorder="1"/>
    <xf numFmtId="0" fontId="0" fillId="2" borderId="44" xfId="0" applyFill="1" applyBorder="1"/>
    <xf numFmtId="43" fontId="21" fillId="0" borderId="0" xfId="2" applyFont="1" applyAlignment="1">
      <alignment horizontal="center"/>
    </xf>
    <xf numFmtId="43" fontId="21" fillId="0" borderId="0" xfId="2" applyFont="1" applyAlignment="1">
      <alignment horizontal="left"/>
    </xf>
    <xf numFmtId="43" fontId="21" fillId="0" borderId="0" xfId="2" applyFont="1"/>
    <xf numFmtId="43" fontId="1" fillId="2" borderId="42" xfId="2" applyFont="1" applyFill="1" applyBorder="1"/>
    <xf numFmtId="0" fontId="1" fillId="2" borderId="46" xfId="0" applyFont="1" applyFill="1" applyBorder="1"/>
    <xf numFmtId="0" fontId="1" fillId="2" borderId="44" xfId="0" applyFont="1" applyFill="1" applyBorder="1"/>
    <xf numFmtId="43" fontId="1" fillId="0" borderId="21" xfId="2" applyFont="1" applyBorder="1"/>
    <xf numFmtId="43" fontId="1" fillId="0" borderId="0" xfId="2" applyFont="1" applyAlignment="1"/>
    <xf numFmtId="0" fontId="2" fillId="2" borderId="1" xfId="2" applyNumberFormat="1" applyFont="1" applyFill="1" applyBorder="1"/>
    <xf numFmtId="43" fontId="0" fillId="2" borderId="42" xfId="2" applyNumberFormat="1" applyFont="1" applyFill="1" applyBorder="1"/>
    <xf numFmtId="0" fontId="1" fillId="0" borderId="0" xfId="2" applyNumberFormat="1" applyFont="1"/>
    <xf numFmtId="0" fontId="19" fillId="0" borderId="0" xfId="0" applyFont="1"/>
    <xf numFmtId="166" fontId="0" fillId="0" borderId="1" xfId="0" applyNumberFormat="1" applyBorder="1"/>
    <xf numFmtId="0" fontId="1" fillId="0" borderId="21" xfId="0" applyFont="1" applyBorder="1"/>
    <xf numFmtId="43" fontId="0" fillId="0" borderId="0" xfId="2" applyFont="1" applyBorder="1"/>
    <xf numFmtId="166" fontId="0" fillId="0" borderId="0" xfId="0" applyNumberFormat="1" applyBorder="1"/>
    <xf numFmtId="1" fontId="0" fillId="0" borderId="0" xfId="0" applyNumberFormat="1"/>
    <xf numFmtId="166" fontId="1" fillId="2" borderId="42" xfId="2" applyNumberFormat="1" applyFont="1" applyFill="1" applyBorder="1"/>
    <xf numFmtId="0" fontId="24" fillId="0" borderId="0" xfId="0" applyFont="1"/>
    <xf numFmtId="166" fontId="5" fillId="0" borderId="0" xfId="2" applyNumberFormat="1" applyFont="1"/>
    <xf numFmtId="0" fontId="2" fillId="0" borderId="0" xfId="0" applyFont="1"/>
    <xf numFmtId="0" fontId="25" fillId="0" borderId="33" xfId="0" applyFont="1" applyBorder="1"/>
    <xf numFmtId="0" fontId="25" fillId="0" borderId="20" xfId="0" applyFont="1" applyBorder="1"/>
    <xf numFmtId="0" fontId="0" fillId="0" borderId="0" xfId="1" applyNumberFormat="1" applyFont="1"/>
    <xf numFmtId="43" fontId="5" fillId="0" borderId="0" xfId="2" applyFont="1"/>
    <xf numFmtId="0" fontId="25" fillId="0" borderId="32" xfId="0" applyFont="1" applyBorder="1"/>
    <xf numFmtId="166" fontId="5" fillId="0" borderId="0" xfId="0" applyNumberFormat="1" applyFont="1"/>
    <xf numFmtId="43" fontId="1" fillId="0" borderId="0" xfId="2" applyFont="1" applyFill="1" applyBorder="1"/>
    <xf numFmtId="0" fontId="1" fillId="0" borderId="0" xfId="0" applyFont="1" applyFill="1" applyBorder="1"/>
    <xf numFmtId="0" fontId="0" fillId="0" borderId="0" xfId="0" applyFill="1" applyBorder="1"/>
    <xf numFmtId="4" fontId="0" fillId="0" borderId="7" xfId="0" applyNumberFormat="1" applyBorder="1" applyAlignment="1">
      <alignment horizontal="left"/>
    </xf>
    <xf numFmtId="165" fontId="0" fillId="0" borderId="0" xfId="0" applyNumberFormat="1"/>
    <xf numFmtId="0" fontId="26" fillId="0" borderId="0" xfId="0" applyFont="1"/>
    <xf numFmtId="43" fontId="1" fillId="0" borderId="0" xfId="0" applyNumberFormat="1" applyFont="1"/>
    <xf numFmtId="11" fontId="0" fillId="0" borderId="0" xfId="0" applyNumberFormat="1"/>
    <xf numFmtId="168" fontId="0" fillId="0" borderId="0" xfId="2" applyNumberFormat="1" applyFont="1"/>
    <xf numFmtId="43" fontId="23" fillId="0" borderId="0" xfId="2" applyFont="1" applyAlignment="1">
      <alignment wrapText="1"/>
    </xf>
    <xf numFmtId="0" fontId="1" fillId="0" borderId="0" xfId="0" applyFont="1" applyBorder="1"/>
    <xf numFmtId="0" fontId="0" fillId="0" borderId="0" xfId="0" applyAlignment="1">
      <alignment vertical="center" wrapText="1"/>
    </xf>
    <xf numFmtId="0" fontId="1" fillId="2" borderId="1" xfId="0" applyFont="1" applyFill="1" applyBorder="1" applyAlignment="1">
      <alignment vertical="center" wrapText="1"/>
    </xf>
    <xf numFmtId="0" fontId="0" fillId="0" borderId="0" xfId="0" applyAlignment="1">
      <alignment vertical="center"/>
    </xf>
    <xf numFmtId="0" fontId="1" fillId="2" borderId="1" xfId="0" applyFont="1" applyFill="1" applyBorder="1" applyAlignment="1">
      <alignment horizontal="left" vertical="center" wrapText="1"/>
    </xf>
    <xf numFmtId="0" fontId="19" fillId="2" borderId="1" xfId="0" applyFont="1" applyFill="1" applyBorder="1" applyAlignment="1">
      <alignment horizontal="left" vertical="center" wrapText="1"/>
    </xf>
    <xf numFmtId="0" fontId="0" fillId="0" borderId="1" xfId="0" applyBorder="1" applyAlignment="1">
      <alignment horizontal="left" vertical="center" wrapText="1"/>
    </xf>
    <xf numFmtId="0" fontId="19" fillId="8" borderId="1" xfId="0" applyFont="1" applyFill="1" applyBorder="1" applyAlignment="1">
      <alignment horizontal="left" vertical="center" wrapText="1"/>
    </xf>
    <xf numFmtId="0" fontId="0" fillId="5" borderId="1" xfId="0" applyFill="1" applyBorder="1" applyAlignment="1">
      <alignment horizontal="left" vertical="center" wrapText="1"/>
    </xf>
    <xf numFmtId="0" fontId="0" fillId="0" borderId="1" xfId="0" applyBorder="1" applyAlignment="1">
      <alignment horizontal="left" vertical="center"/>
    </xf>
    <xf numFmtId="0" fontId="0" fillId="6" borderId="1" xfId="0" applyFill="1" applyBorder="1" applyAlignment="1">
      <alignment horizontal="left" vertical="center" wrapText="1"/>
    </xf>
    <xf numFmtId="0" fontId="0" fillId="0" borderId="0" xfId="0" applyAlignment="1">
      <alignment horizontal="left" vertical="center"/>
    </xf>
    <xf numFmtId="0" fontId="19" fillId="0" borderId="0" xfId="0" applyFont="1" applyAlignment="1">
      <alignment horizontal="left" vertical="center"/>
    </xf>
    <xf numFmtId="0" fontId="0" fillId="0" borderId="0" xfId="0" applyAlignment="1">
      <alignment horizontal="left" vertical="center" wrapText="1"/>
    </xf>
    <xf numFmtId="0" fontId="1" fillId="2" borderId="1" xfId="0" applyFont="1" applyFill="1" applyBorder="1" applyAlignment="1">
      <alignment vertical="center"/>
    </xf>
    <xf numFmtId="0" fontId="5" fillId="0" borderId="0" xfId="0" applyFont="1" applyAlignment="1">
      <alignment vertical="center" wrapText="1"/>
    </xf>
    <xf numFmtId="43" fontId="23" fillId="0" borderId="0" xfId="2" applyFont="1" applyAlignment="1">
      <alignment horizontal="center"/>
    </xf>
    <xf numFmtId="0" fontId="0" fillId="0" borderId="0" xfId="0" applyAlignment="1">
      <alignment vertical="center" wrapText="1"/>
    </xf>
    <xf numFmtId="3" fontId="10" fillId="0" borderId="22" xfId="0" applyNumberFormat="1" applyFont="1" applyBorder="1" applyAlignment="1">
      <alignment horizontal="center"/>
    </xf>
    <xf numFmtId="0" fontId="1" fillId="7" borderId="1" xfId="0" applyFont="1" applyFill="1" applyBorder="1" applyAlignment="1">
      <alignment horizontal="center" wrapText="1"/>
    </xf>
    <xf numFmtId="43" fontId="23" fillId="0" borderId="0" xfId="2" applyFont="1" applyAlignment="1">
      <alignment horizontal="center"/>
    </xf>
    <xf numFmtId="0" fontId="1" fillId="7" borderId="33" xfId="0" applyFont="1" applyFill="1" applyBorder="1" applyAlignment="1">
      <alignment horizontal="center" wrapText="1"/>
    </xf>
    <xf numFmtId="0" fontId="1" fillId="7" borderId="37" xfId="0" applyFont="1" applyFill="1" applyBorder="1" applyAlignment="1">
      <alignment horizontal="center" wrapText="1"/>
    </xf>
    <xf numFmtId="0" fontId="1" fillId="7" borderId="32" xfId="0" applyFont="1" applyFill="1" applyBorder="1" applyAlignment="1">
      <alignment horizontal="center" wrapText="1"/>
    </xf>
    <xf numFmtId="0" fontId="1" fillId="7" borderId="22" xfId="0" applyFont="1" applyFill="1" applyBorder="1" applyAlignment="1">
      <alignment horizontal="center" wrapText="1"/>
    </xf>
    <xf numFmtId="0" fontId="1" fillId="7" borderId="21" xfId="0" applyFont="1" applyFill="1" applyBorder="1" applyAlignment="1">
      <alignment horizontal="center" wrapText="1"/>
    </xf>
    <xf numFmtId="0" fontId="1" fillId="7" borderId="20" xfId="0" applyFont="1" applyFill="1" applyBorder="1" applyAlignment="1">
      <alignment horizontal="center" wrapText="1"/>
    </xf>
    <xf numFmtId="0" fontId="0" fillId="7" borderId="1" xfId="0" applyFill="1" applyBorder="1" applyAlignment="1">
      <alignment horizontal="center"/>
    </xf>
    <xf numFmtId="0" fontId="0" fillId="2" borderId="13" xfId="0" applyFill="1" applyBorder="1" applyAlignment="1">
      <alignment horizontal="center" wrapText="1"/>
    </xf>
    <xf numFmtId="0" fontId="0" fillId="2" borderId="14" xfId="0" applyFill="1" applyBorder="1" applyAlignment="1">
      <alignment horizontal="center"/>
    </xf>
    <xf numFmtId="0" fontId="0" fillId="4" borderId="47" xfId="0" applyFill="1" applyBorder="1" applyAlignment="1">
      <alignment horizontal="center" wrapText="1"/>
    </xf>
    <xf numFmtId="0" fontId="0" fillId="4" borderId="48" xfId="0" applyFill="1" applyBorder="1" applyAlignment="1">
      <alignment horizontal="center" wrapText="1"/>
    </xf>
    <xf numFmtId="0" fontId="0" fillId="4" borderId="49" xfId="0" applyFill="1" applyBorder="1" applyAlignment="1">
      <alignment horizontal="center" wrapText="1"/>
    </xf>
    <xf numFmtId="0" fontId="0" fillId="0" borderId="0" xfId="0" applyAlignment="1">
      <alignment horizontal="center" vertical="center"/>
    </xf>
    <xf numFmtId="0" fontId="1" fillId="3" borderId="0" xfId="0" applyFont="1" applyFill="1" applyAlignment="1">
      <alignment horizontal="center"/>
    </xf>
    <xf numFmtId="0" fontId="9" fillId="0" borderId="1" xfId="0" applyFont="1" applyBorder="1" applyAlignment="1">
      <alignment horizontal="center"/>
    </xf>
    <xf numFmtId="165" fontId="15" fillId="0" borderId="24" xfId="0" applyNumberFormat="1" applyFont="1" applyBorder="1" applyAlignment="1">
      <alignment horizontal="left" vertical="center" wrapText="1"/>
    </xf>
    <xf numFmtId="0" fontId="0" fillId="0" borderId="0" xfId="0" applyAlignment="1">
      <alignment vertical="center" wrapText="1"/>
    </xf>
    <xf numFmtId="0" fontId="0" fillId="0" borderId="16" xfId="0" applyBorder="1" applyAlignment="1">
      <alignment vertical="center" wrapText="1"/>
    </xf>
    <xf numFmtId="0" fontId="0" fillId="0" borderId="17" xfId="0" applyBorder="1" applyAlignment="1">
      <alignment vertical="center" wrapText="1"/>
    </xf>
    <xf numFmtId="3" fontId="16" fillId="0" borderId="23" xfId="0" applyNumberFormat="1" applyFont="1" applyBorder="1" applyAlignment="1">
      <alignment horizontal="center" vertical="center"/>
    </xf>
    <xf numFmtId="0" fontId="0" fillId="0" borderId="39" xfId="0" applyBorder="1" applyAlignment="1">
      <alignment horizontal="center" vertical="center"/>
    </xf>
    <xf numFmtId="165" fontId="15" fillId="0" borderId="19" xfId="0" applyNumberFormat="1" applyFont="1" applyBorder="1" applyAlignment="1">
      <alignment horizontal="left" vertical="center" wrapText="1"/>
    </xf>
    <xf numFmtId="0" fontId="0" fillId="0" borderId="40" xfId="0" applyBorder="1" applyAlignment="1">
      <alignment vertical="center" wrapText="1"/>
    </xf>
    <xf numFmtId="3" fontId="16" fillId="0" borderId="25" xfId="0" applyNumberFormat="1" applyFont="1"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vertical="center" wrapText="1"/>
    </xf>
    <xf numFmtId="0" fontId="0" fillId="0" borderId="24" xfId="0" applyBorder="1" applyAlignment="1">
      <alignment vertical="center" wrapText="1"/>
    </xf>
    <xf numFmtId="3" fontId="16" fillId="0" borderId="0" xfId="0" applyNumberFormat="1" applyFont="1" applyAlignment="1">
      <alignment horizontal="center" vertical="center"/>
    </xf>
    <xf numFmtId="165" fontId="13" fillId="0" borderId="31" xfId="0" applyNumberFormat="1" applyFont="1" applyBorder="1" applyAlignment="1">
      <alignment horizontal="left" wrapText="1"/>
    </xf>
    <xf numFmtId="165" fontId="13" fillId="0" borderId="37" xfId="0" applyNumberFormat="1" applyFont="1" applyBorder="1" applyAlignment="1">
      <alignment horizontal="left" wrapText="1"/>
    </xf>
    <xf numFmtId="165" fontId="13" fillId="0" borderId="32" xfId="0" applyNumberFormat="1" applyFont="1" applyBorder="1" applyAlignment="1">
      <alignment horizontal="left" wrapText="1"/>
    </xf>
    <xf numFmtId="165" fontId="13" fillId="0" borderId="33" xfId="0" applyNumberFormat="1" applyFont="1" applyBorder="1" applyAlignment="1">
      <alignment horizontal="left" wrapText="1"/>
    </xf>
    <xf numFmtId="0" fontId="11" fillId="0" borderId="2"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35" xfId="0" applyFont="1" applyBorder="1" applyAlignment="1">
      <alignment horizontal="center" vertical="center" wrapText="1"/>
    </xf>
    <xf numFmtId="0" fontId="11" fillId="0" borderId="36" xfId="0" applyFont="1" applyBorder="1" applyAlignment="1">
      <alignment horizontal="center" vertical="center" wrapText="1"/>
    </xf>
    <xf numFmtId="164" fontId="10" fillId="3" borderId="29" xfId="0" applyNumberFormat="1" applyFont="1" applyFill="1" applyBorder="1" applyAlignment="1">
      <alignment horizontal="center"/>
    </xf>
    <xf numFmtId="164" fontId="10" fillId="3" borderId="20" xfId="0" applyNumberFormat="1" applyFont="1" applyFill="1" applyBorder="1" applyAlignment="1">
      <alignment horizontal="center"/>
    </xf>
    <xf numFmtId="3" fontId="10" fillId="0" borderId="22" xfId="0" applyNumberFormat="1" applyFont="1" applyBorder="1" applyAlignment="1">
      <alignment horizontal="center"/>
    </xf>
    <xf numFmtId="3" fontId="10" fillId="0" borderId="20" xfId="0" applyNumberFormat="1" applyFont="1" applyBorder="1" applyAlignment="1">
      <alignment horizontal="center"/>
    </xf>
    <xf numFmtId="164" fontId="10" fillId="0" borderId="22" xfId="0" applyNumberFormat="1" applyFont="1" applyBorder="1" applyAlignment="1">
      <alignment horizontal="center"/>
    </xf>
    <xf numFmtId="164" fontId="10" fillId="0" borderId="20" xfId="0" applyNumberFormat="1" applyFont="1" applyBorder="1" applyAlignment="1">
      <alignment horizontal="center"/>
    </xf>
    <xf numFmtId="0" fontId="11" fillId="0" borderId="24"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29" xfId="0" applyFont="1" applyBorder="1" applyAlignment="1">
      <alignment horizontal="center" vertical="center" wrapText="1"/>
    </xf>
    <xf numFmtId="0" fontId="11" fillId="0" borderId="20" xfId="0" applyFont="1" applyBorder="1" applyAlignment="1">
      <alignment horizontal="center" vertical="center" wrapText="1"/>
    </xf>
    <xf numFmtId="0" fontId="11" fillId="0" borderId="19" xfId="0" applyFont="1" applyBorder="1" applyAlignment="1">
      <alignment horizontal="center" vertical="center" wrapText="1"/>
    </xf>
    <xf numFmtId="0" fontId="11" fillId="0" borderId="22" xfId="0" applyFont="1" applyBorder="1" applyAlignment="1">
      <alignment horizontal="center" vertical="center" wrapText="1"/>
    </xf>
    <xf numFmtId="0" fontId="12" fillId="0" borderId="31" xfId="0" applyFont="1" applyBorder="1" applyAlignment="1">
      <alignment horizontal="center"/>
    </xf>
    <xf numFmtId="0" fontId="12" fillId="0" borderId="32" xfId="0" applyFont="1" applyBorder="1" applyAlignment="1">
      <alignment horizontal="center"/>
    </xf>
    <xf numFmtId="0" fontId="12" fillId="0" borderId="33" xfId="0" applyFont="1" applyBorder="1" applyAlignment="1">
      <alignment horizontal="center"/>
    </xf>
    <xf numFmtId="0" fontId="10" fillId="0" borderId="32" xfId="0" applyFont="1" applyBorder="1" applyAlignment="1"/>
    <xf numFmtId="0" fontId="6" fillId="0" borderId="13" xfId="0" applyFont="1" applyBorder="1" applyAlignment="1">
      <alignment horizontal="center"/>
    </xf>
    <xf numFmtId="0" fontId="6" fillId="0" borderId="14" xfId="0" applyFont="1" applyBorder="1" applyAlignment="1">
      <alignment horizontal="center"/>
    </xf>
    <xf numFmtId="0" fontId="6" fillId="0" borderId="27" xfId="0" applyFont="1" applyBorder="1" applyAlignment="1">
      <alignment horizontal="center"/>
    </xf>
    <xf numFmtId="0" fontId="6" fillId="0" borderId="28" xfId="0" applyFont="1" applyBorder="1" applyAlignment="1">
      <alignment horizontal="center"/>
    </xf>
    <xf numFmtId="0" fontId="6" fillId="0" borderId="15" xfId="0" applyFont="1" applyBorder="1" applyAlignment="1">
      <alignment horizontal="center"/>
    </xf>
    <xf numFmtId="0" fontId="11" fillId="0" borderId="29" xfId="0" applyFont="1" applyBorder="1" applyAlignment="1">
      <alignment horizontal="center"/>
    </xf>
    <xf numFmtId="0" fontId="11" fillId="0" borderId="21" xfId="0" applyFont="1" applyBorder="1" applyAlignment="1">
      <alignment horizontal="center"/>
    </xf>
    <xf numFmtId="0" fontId="11" fillId="0" borderId="20" xfId="0" applyFont="1" applyBorder="1" applyAlignment="1">
      <alignment horizontal="center"/>
    </xf>
    <xf numFmtId="0" fontId="11" fillId="0" borderId="22" xfId="0" applyFont="1" applyBorder="1" applyAlignment="1">
      <alignment horizontal="center"/>
    </xf>
    <xf numFmtId="0" fontId="11" fillId="0" borderId="30" xfId="0" applyFont="1" applyBorder="1" applyAlignment="1">
      <alignment horizontal="center"/>
    </xf>
    <xf numFmtId="0" fontId="9" fillId="0" borderId="3" xfId="0" applyFont="1" applyBorder="1" applyAlignment="1">
      <alignment horizontal="center"/>
    </xf>
    <xf numFmtId="0" fontId="9" fillId="0" borderId="4" xfId="0" applyFont="1" applyBorder="1" applyAlignment="1">
      <alignment horizontal="center"/>
    </xf>
    <xf numFmtId="0" fontId="9" fillId="0" borderId="5" xfId="0" applyFont="1" applyBorder="1" applyAlignment="1">
      <alignment horizontal="center"/>
    </xf>
    <xf numFmtId="0" fontId="0" fillId="7" borderId="0" xfId="0" applyFill="1" applyAlignment="1">
      <alignment horizontal="center"/>
    </xf>
    <xf numFmtId="0" fontId="0" fillId="7" borderId="17" xfId="0" applyFill="1" applyBorder="1" applyAlignment="1">
      <alignment horizontal="center"/>
    </xf>
    <xf numFmtId="0" fontId="0" fillId="0" borderId="14" xfId="0" applyBorder="1" applyAlignment="1">
      <alignment horizontal="left" wrapText="1"/>
    </xf>
    <xf numFmtId="0" fontId="0" fillId="0" borderId="0" xfId="0" applyAlignment="1">
      <alignment horizontal="left" wrapText="1"/>
    </xf>
    <xf numFmtId="0" fontId="9" fillId="0" borderId="7" xfId="0" applyFont="1" applyBorder="1" applyAlignment="1">
      <alignment horizontal="center"/>
    </xf>
    <xf numFmtId="0" fontId="1" fillId="0" borderId="8" xfId="0" applyFont="1" applyBorder="1" applyAlignment="1">
      <alignment horizontal="right"/>
    </xf>
    <xf numFmtId="0" fontId="1" fillId="0" borderId="9" xfId="0" applyFont="1" applyBorder="1" applyAlignment="1">
      <alignment horizontal="right"/>
    </xf>
  </cellXfs>
  <cellStyles count="4">
    <cellStyle name="Comma" xfId="2" builtinId="3"/>
    <cellStyle name="Normal" xfId="0" builtinId="0"/>
    <cellStyle name="Normal 2 2" xfId="3" xr:uid="{6AA5CC61-8DC1-4637-942E-AE0DF976869D}"/>
    <cellStyle name="Percent" xfId="1" builtinId="5"/>
  </cellStyles>
  <dxfs count="0"/>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302FE2-A07E-417B-ADD1-729BF2C2F44F}">
  <dimension ref="A1:N7"/>
  <sheetViews>
    <sheetView zoomScale="80" zoomScaleNormal="80" workbookViewId="0">
      <selection activeCell="G3" sqref="G3"/>
    </sheetView>
  </sheetViews>
  <sheetFormatPr defaultRowHeight="15" x14ac:dyDescent="0.25"/>
  <cols>
    <col min="1" max="1" width="18.140625" style="149" customWidth="1"/>
    <col min="2" max="2" width="26.7109375" style="150" customWidth="1"/>
    <col min="3" max="3" width="36.7109375" style="149" customWidth="1"/>
    <col min="4" max="4" width="51.140625" style="151" customWidth="1"/>
    <col min="5" max="5" width="28" style="149" customWidth="1"/>
    <col min="6" max="6" width="38.7109375" style="149" customWidth="1"/>
    <col min="7" max="7" width="32.28515625" style="149" customWidth="1"/>
    <col min="8" max="8" width="31.7109375" style="149" bestFit="1" customWidth="1"/>
    <col min="9" max="9" width="35.140625" style="149" customWidth="1"/>
    <col min="10" max="10" width="13.5703125" customWidth="1"/>
    <col min="12" max="12" width="10.5703125" bestFit="1" customWidth="1"/>
    <col min="14" max="14" width="11.5703125" bestFit="1" customWidth="1"/>
  </cols>
  <sheetData>
    <row r="1" spans="1:14" ht="30" x14ac:dyDescent="0.25">
      <c r="A1" s="142" t="s">
        <v>0</v>
      </c>
      <c r="B1" s="143" t="s">
        <v>1</v>
      </c>
      <c r="C1" s="142" t="s">
        <v>2</v>
      </c>
      <c r="D1" s="142" t="s">
        <v>3</v>
      </c>
      <c r="E1" s="142" t="s">
        <v>4</v>
      </c>
      <c r="F1" s="142" t="s">
        <v>5</v>
      </c>
      <c r="G1" s="142" t="s">
        <v>6</v>
      </c>
      <c r="H1" s="142" t="s">
        <v>7</v>
      </c>
      <c r="I1" s="142" t="s">
        <v>8</v>
      </c>
    </row>
    <row r="2" spans="1:14" ht="158.25" customHeight="1" x14ac:dyDescent="0.25">
      <c r="A2" s="144" t="s">
        <v>9</v>
      </c>
      <c r="B2" s="145" t="s">
        <v>10</v>
      </c>
      <c r="C2" s="144" t="s">
        <v>11</v>
      </c>
      <c r="D2" s="144" t="s">
        <v>12</v>
      </c>
      <c r="E2" s="144" t="s">
        <v>13</v>
      </c>
      <c r="F2" s="144" t="s">
        <v>14</v>
      </c>
      <c r="G2" s="144" t="s">
        <v>15</v>
      </c>
      <c r="H2" s="144" t="s">
        <v>16</v>
      </c>
      <c r="I2" s="146" t="s">
        <v>17</v>
      </c>
      <c r="L2" s="9"/>
      <c r="N2" s="13"/>
    </row>
    <row r="3" spans="1:14" ht="158.25" customHeight="1" x14ac:dyDescent="0.25">
      <c r="A3" s="144" t="s">
        <v>18</v>
      </c>
      <c r="B3" s="145" t="s">
        <v>19</v>
      </c>
      <c r="C3" s="144" t="s">
        <v>20</v>
      </c>
      <c r="D3" s="144" t="s">
        <v>21</v>
      </c>
      <c r="E3" s="144" t="s">
        <v>22</v>
      </c>
      <c r="F3" s="144" t="s">
        <v>23</v>
      </c>
      <c r="G3" s="144" t="s">
        <v>24</v>
      </c>
      <c r="H3" s="144" t="s">
        <v>25</v>
      </c>
      <c r="I3" s="146" t="s">
        <v>26</v>
      </c>
    </row>
    <row r="4" spans="1:14" ht="158.25" customHeight="1" x14ac:dyDescent="0.25">
      <c r="A4" s="144" t="s">
        <v>27</v>
      </c>
      <c r="B4" s="145" t="s">
        <v>28</v>
      </c>
      <c r="C4" s="144" t="s">
        <v>29</v>
      </c>
      <c r="D4" s="144" t="s">
        <v>21</v>
      </c>
      <c r="E4" s="144" t="s">
        <v>30</v>
      </c>
      <c r="F4" s="144" t="s">
        <v>31</v>
      </c>
      <c r="G4" s="144" t="s">
        <v>32</v>
      </c>
      <c r="H4" s="144" t="s">
        <v>33</v>
      </c>
      <c r="I4" s="146" t="s">
        <v>26</v>
      </c>
    </row>
    <row r="5" spans="1:14" ht="158.25" customHeight="1" x14ac:dyDescent="0.25">
      <c r="A5" s="144" t="s">
        <v>18</v>
      </c>
      <c r="B5" s="145" t="s">
        <v>34</v>
      </c>
      <c r="C5" s="144" t="s">
        <v>35</v>
      </c>
      <c r="D5" s="144" t="s">
        <v>21</v>
      </c>
      <c r="E5" s="144" t="s">
        <v>22</v>
      </c>
      <c r="F5" s="144" t="s">
        <v>23</v>
      </c>
      <c r="G5" s="144" t="s">
        <v>24</v>
      </c>
      <c r="H5" s="144" t="s">
        <v>36</v>
      </c>
      <c r="I5" s="146" t="s">
        <v>26</v>
      </c>
    </row>
    <row r="6" spans="1:14" ht="158.25" customHeight="1" x14ac:dyDescent="0.25">
      <c r="A6" s="144" t="s">
        <v>37</v>
      </c>
      <c r="B6" s="145" t="s">
        <v>38</v>
      </c>
      <c r="C6" s="144" t="s">
        <v>39</v>
      </c>
      <c r="D6" s="144" t="s">
        <v>40</v>
      </c>
      <c r="E6" s="144"/>
      <c r="F6" s="144" t="s">
        <v>41</v>
      </c>
      <c r="G6" s="147"/>
      <c r="H6" s="144" t="s">
        <v>42</v>
      </c>
      <c r="I6" s="146" t="s">
        <v>43</v>
      </c>
    </row>
    <row r="7" spans="1:14" ht="158.25" customHeight="1" x14ac:dyDescent="0.25">
      <c r="A7" s="144" t="s">
        <v>9</v>
      </c>
      <c r="B7" s="145" t="s">
        <v>44</v>
      </c>
      <c r="C7" s="144" t="s">
        <v>45</v>
      </c>
      <c r="D7" s="144" t="s">
        <v>46</v>
      </c>
      <c r="E7" s="144" t="s">
        <v>47</v>
      </c>
      <c r="F7" s="144" t="s">
        <v>48</v>
      </c>
      <c r="G7" s="144"/>
      <c r="H7" s="144" t="s">
        <v>49</v>
      </c>
      <c r="I7" s="148" t="s">
        <v>50</v>
      </c>
    </row>
  </sheetData>
  <autoFilter ref="A1:I5" xr:uid="{6A302FE2-A07E-417B-ADD1-729BF2C2F44F}"/>
  <pageMargins left="0.7" right="0.7" top="0.75" bottom="0.75" header="0.3" footer="0.3"/>
  <pageSetup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CD2EC6-23D9-449D-8478-F2E8B1B6C891}">
  <sheetPr>
    <tabColor theme="9" tint="0.79998168889431442"/>
  </sheetPr>
  <dimension ref="A1:K48"/>
  <sheetViews>
    <sheetView workbookViewId="0">
      <selection activeCell="P27" sqref="P27"/>
    </sheetView>
  </sheetViews>
  <sheetFormatPr defaultRowHeight="15" x14ac:dyDescent="0.25"/>
  <cols>
    <col min="2" max="2" width="11.5703125" bestFit="1" customWidth="1"/>
    <col min="10" max="10" width="2" bestFit="1" customWidth="1"/>
  </cols>
  <sheetData>
    <row r="1" spans="1:10" ht="18.75" x14ac:dyDescent="0.3">
      <c r="B1" s="158" t="s">
        <v>94</v>
      </c>
      <c r="C1" s="158"/>
      <c r="D1" s="158"/>
      <c r="E1" s="158"/>
      <c r="F1" s="158"/>
      <c r="G1" s="158"/>
      <c r="H1" s="158"/>
      <c r="I1" s="158"/>
      <c r="J1" s="158"/>
    </row>
    <row r="2" spans="1:10" x14ac:dyDescent="0.25">
      <c r="A2" s="85"/>
    </row>
    <row r="3" spans="1:10" x14ac:dyDescent="0.25">
      <c r="A3" s="85"/>
      <c r="B3" s="159" t="s">
        <v>213</v>
      </c>
      <c r="C3" s="159"/>
      <c r="D3" s="159"/>
    </row>
    <row r="4" spans="1:10" x14ac:dyDescent="0.25">
      <c r="A4" s="85"/>
      <c r="B4" s="159"/>
      <c r="C4" s="159"/>
      <c r="D4" s="159"/>
    </row>
    <row r="5" spans="1:10" ht="30" x14ac:dyDescent="0.25">
      <c r="A5" s="85"/>
      <c r="B5" s="86" t="s">
        <v>70</v>
      </c>
      <c r="C5" s="86" t="s">
        <v>71</v>
      </c>
      <c r="D5" s="86" t="s">
        <v>72</v>
      </c>
    </row>
    <row r="6" spans="1:10" x14ac:dyDescent="0.25">
      <c r="A6" s="85"/>
      <c r="B6" s="33">
        <f>B37</f>
        <v>19.305823167490413</v>
      </c>
      <c r="C6" s="113">
        <f>B6*5</f>
        <v>96.529115837452068</v>
      </c>
      <c r="D6" s="113">
        <f>B6*25</f>
        <v>482.6455791872603</v>
      </c>
    </row>
    <row r="7" spans="1:10" x14ac:dyDescent="0.25">
      <c r="A7" s="85"/>
      <c r="B7" s="115"/>
      <c r="C7" s="116"/>
      <c r="D7" s="116"/>
    </row>
    <row r="8" spans="1:10" x14ac:dyDescent="0.25">
      <c r="A8" s="87" t="s">
        <v>73</v>
      </c>
      <c r="C8" s="116"/>
      <c r="D8" s="116"/>
    </row>
    <row r="9" spans="1:10" x14ac:dyDescent="0.25">
      <c r="A9" s="9"/>
      <c r="B9" s="88">
        <v>975.3</v>
      </c>
      <c r="C9" t="s">
        <v>74</v>
      </c>
      <c r="D9" s="116"/>
    </row>
    <row r="10" spans="1:10" x14ac:dyDescent="0.25">
      <c r="A10" s="85"/>
      <c r="B10" s="115"/>
      <c r="C10" s="116"/>
      <c r="D10" s="116"/>
    </row>
    <row r="11" spans="1:10" x14ac:dyDescent="0.25">
      <c r="A11" s="85"/>
      <c r="B11" s="115"/>
      <c r="C11" s="116"/>
      <c r="D11" s="116"/>
    </row>
    <row r="12" spans="1:10" x14ac:dyDescent="0.25">
      <c r="A12" s="85"/>
      <c r="B12" s="85"/>
      <c r="C12" s="85"/>
    </row>
    <row r="13" spans="1:10" x14ac:dyDescent="0.25">
      <c r="A13" s="119" t="s">
        <v>252</v>
      </c>
      <c r="B13" s="85"/>
      <c r="C13" s="85"/>
    </row>
    <row r="14" spans="1:10" x14ac:dyDescent="0.25">
      <c r="A14" s="85"/>
      <c r="B14" s="85"/>
      <c r="C14" s="85"/>
    </row>
    <row r="15" spans="1:10" x14ac:dyDescent="0.25">
      <c r="A15" s="85"/>
      <c r="B15" s="121" t="s">
        <v>5</v>
      </c>
      <c r="C15" s="85"/>
    </row>
    <row r="16" spans="1:10" x14ac:dyDescent="0.25">
      <c r="A16" s="85"/>
      <c r="B16" s="120">
        <v>4000</v>
      </c>
      <c r="C16" s="85" t="s">
        <v>253</v>
      </c>
    </row>
    <row r="17" spans="1:11" x14ac:dyDescent="0.25">
      <c r="A17" s="85"/>
      <c r="B17" s="120">
        <v>1850</v>
      </c>
      <c r="C17" s="85" t="s">
        <v>254</v>
      </c>
    </row>
    <row r="18" spans="1:11" x14ac:dyDescent="0.25">
      <c r="A18" s="85"/>
      <c r="B18" s="120">
        <v>2000</v>
      </c>
      <c r="C18" s="85" t="s">
        <v>255</v>
      </c>
    </row>
    <row r="19" spans="1:11" x14ac:dyDescent="0.25">
      <c r="A19" s="85"/>
      <c r="B19" s="62">
        <v>400</v>
      </c>
      <c r="C19" t="s">
        <v>156</v>
      </c>
    </row>
    <row r="20" spans="1:11" x14ac:dyDescent="0.25">
      <c r="A20" s="85"/>
      <c r="B20">
        <v>6</v>
      </c>
      <c r="C20" t="s">
        <v>106</v>
      </c>
    </row>
    <row r="21" spans="1:11" x14ac:dyDescent="0.25">
      <c r="A21" s="85"/>
      <c r="B21">
        <v>5</v>
      </c>
      <c r="C21" t="s">
        <v>107</v>
      </c>
    </row>
    <row r="22" spans="1:11" x14ac:dyDescent="0.25">
      <c r="A22" s="85"/>
      <c r="B22" s="63">
        <f>1/3</f>
        <v>0.33333333333333331</v>
      </c>
      <c r="C22" t="s">
        <v>108</v>
      </c>
    </row>
    <row r="23" spans="1:11" x14ac:dyDescent="0.25">
      <c r="A23" s="85"/>
      <c r="B23">
        <v>6.5</v>
      </c>
      <c r="C23" t="s">
        <v>215</v>
      </c>
    </row>
    <row r="24" spans="1:11" x14ac:dyDescent="0.25">
      <c r="A24" s="85"/>
      <c r="B24" s="63">
        <f>AVERAGE(12,33)/100</f>
        <v>0.22500000000000001</v>
      </c>
      <c r="C24" t="s">
        <v>216</v>
      </c>
    </row>
    <row r="25" spans="1:11" x14ac:dyDescent="0.25">
      <c r="A25" s="85"/>
      <c r="B25" s="85"/>
      <c r="C25" s="85"/>
    </row>
    <row r="26" spans="1:11" x14ac:dyDescent="0.25">
      <c r="A26" s="85"/>
      <c r="B26" s="111" t="s">
        <v>80</v>
      </c>
      <c r="C26" s="85"/>
    </row>
    <row r="27" spans="1:11" x14ac:dyDescent="0.25">
      <c r="A27" s="85"/>
      <c r="B27" s="85">
        <f>SUM(B16:B18)/B19</f>
        <v>19.625</v>
      </c>
      <c r="C27" t="s">
        <v>111</v>
      </c>
      <c r="I27" s="12" t="s">
        <v>256</v>
      </c>
      <c r="J27" s="171" t="s">
        <v>125</v>
      </c>
      <c r="K27" t="s">
        <v>257</v>
      </c>
    </row>
    <row r="28" spans="1:11" x14ac:dyDescent="0.25">
      <c r="A28" s="85"/>
      <c r="B28" s="120">
        <f>B27*12000</f>
        <v>235500</v>
      </c>
      <c r="C28" t="s">
        <v>112</v>
      </c>
      <c r="I28" t="s">
        <v>258</v>
      </c>
      <c r="J28" s="171"/>
    </row>
    <row r="29" spans="1:11" x14ac:dyDescent="0.25">
      <c r="A29" s="85"/>
      <c r="B29" s="125">
        <f>8760*(B20+B21)/12*(1-B22)</f>
        <v>5353.3333333333339</v>
      </c>
      <c r="C29" t="s">
        <v>113</v>
      </c>
    </row>
    <row r="30" spans="1:11" x14ac:dyDescent="0.25">
      <c r="A30" s="85"/>
      <c r="B30" s="85"/>
      <c r="C30" s="85"/>
      <c r="H30" s="123" t="s">
        <v>259</v>
      </c>
      <c r="I30" s="11" t="s">
        <v>260</v>
      </c>
      <c r="J30" s="171" t="s">
        <v>125</v>
      </c>
      <c r="K30" s="69" t="s">
        <v>257</v>
      </c>
    </row>
    <row r="31" spans="1:11" x14ac:dyDescent="0.25">
      <c r="B31" s="13"/>
      <c r="H31" s="126" t="s">
        <v>261</v>
      </c>
      <c r="I31" s="122" t="s">
        <v>259</v>
      </c>
      <c r="J31" s="171"/>
      <c r="K31" s="69"/>
    </row>
    <row r="32" spans="1:11" x14ac:dyDescent="0.25">
      <c r="A32" s="85"/>
      <c r="B32" s="13">
        <f>B28/B23</f>
        <v>36230.769230769234</v>
      </c>
      <c r="C32" t="s">
        <v>217</v>
      </c>
    </row>
    <row r="33" spans="1:9" x14ac:dyDescent="0.25">
      <c r="A33" s="85"/>
      <c r="B33" s="9">
        <f>B32*B29/1000000</f>
        <v>193.95538461538467</v>
      </c>
      <c r="C33" t="s">
        <v>218</v>
      </c>
    </row>
    <row r="34" spans="1:9" x14ac:dyDescent="0.25">
      <c r="A34" s="85"/>
      <c r="B34" s="13"/>
      <c r="F34" s="58"/>
    </row>
    <row r="35" spans="1:9" x14ac:dyDescent="0.25">
      <c r="A35" s="85"/>
      <c r="B35" s="85"/>
      <c r="C35" s="85"/>
      <c r="F35" s="58"/>
    </row>
    <row r="36" spans="1:9" x14ac:dyDescent="0.25">
      <c r="A36" s="85"/>
      <c r="B36" s="9">
        <f>B33*B24</f>
        <v>43.639961538461556</v>
      </c>
      <c r="C36" t="s">
        <v>219</v>
      </c>
      <c r="F36" s="58"/>
    </row>
    <row r="37" spans="1:9" x14ac:dyDescent="0.25">
      <c r="A37" s="85"/>
      <c r="B37" s="104">
        <f>CONVERT(B36*$B$9,"lbm","Mg")</f>
        <v>19.305823167490413</v>
      </c>
      <c r="C37" s="105" t="s">
        <v>84</v>
      </c>
      <c r="F37" s="58"/>
      <c r="H37" t="s">
        <v>262</v>
      </c>
      <c r="I37" s="13">
        <f>B37*5</f>
        <v>96.529115837452068</v>
      </c>
    </row>
    <row r="38" spans="1:9" x14ac:dyDescent="0.25">
      <c r="A38" s="85"/>
      <c r="B38" s="85"/>
      <c r="C38" s="85"/>
      <c r="F38" s="58"/>
      <c r="H38" t="s">
        <v>263</v>
      </c>
      <c r="I38" s="13">
        <f>B37*25</f>
        <v>482.6455791872603</v>
      </c>
    </row>
    <row r="39" spans="1:9" x14ac:dyDescent="0.25">
      <c r="A39" s="85"/>
      <c r="B39" s="85"/>
      <c r="C39" s="85"/>
    </row>
    <row r="40" spans="1:9" x14ac:dyDescent="0.25">
      <c r="B40" s="85"/>
      <c r="C40" s="85"/>
    </row>
    <row r="41" spans="1:9" x14ac:dyDescent="0.25">
      <c r="B41" s="85"/>
      <c r="C41" s="85"/>
    </row>
    <row r="42" spans="1:9" x14ac:dyDescent="0.25">
      <c r="B42" s="85"/>
      <c r="C42" s="85"/>
    </row>
    <row r="43" spans="1:9" x14ac:dyDescent="0.25">
      <c r="C43" s="85"/>
    </row>
    <row r="44" spans="1:9" x14ac:dyDescent="0.25">
      <c r="C44" s="85"/>
    </row>
    <row r="45" spans="1:9" x14ac:dyDescent="0.25">
      <c r="C45" s="85"/>
    </row>
    <row r="46" spans="1:9" x14ac:dyDescent="0.25">
      <c r="C46" s="85"/>
    </row>
    <row r="47" spans="1:9" x14ac:dyDescent="0.25">
      <c r="C47" s="85"/>
    </row>
    <row r="48" spans="1:9" x14ac:dyDescent="0.25">
      <c r="C48" s="85"/>
    </row>
  </sheetData>
  <mergeCells count="4">
    <mergeCell ref="B1:J1"/>
    <mergeCell ref="B3:D4"/>
    <mergeCell ref="J30:J31"/>
    <mergeCell ref="J27:J28"/>
  </mergeCells>
  <pageMargins left="0.7" right="0.7" top="0.75" bottom="0.75" header="0.3" footer="0.3"/>
  <pageSetup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88A0D-A432-4579-B2A3-5254627FA702}">
  <sheetPr>
    <tabColor theme="9" tint="0.79998168889431442"/>
  </sheetPr>
  <dimension ref="B1:E33"/>
  <sheetViews>
    <sheetView workbookViewId="0">
      <selection activeCell="H33" sqref="H33"/>
    </sheetView>
  </sheetViews>
  <sheetFormatPr defaultRowHeight="15" x14ac:dyDescent="0.25"/>
  <cols>
    <col min="2" max="2" width="14.140625" customWidth="1"/>
    <col min="3" max="3" width="11.42578125" customWidth="1"/>
    <col min="4" max="4" width="11.28515625" customWidth="1"/>
    <col min="5" max="5" width="11.5703125" bestFit="1" customWidth="1"/>
  </cols>
  <sheetData>
    <row r="1" spans="2:5" x14ac:dyDescent="0.25">
      <c r="B1" t="s">
        <v>264</v>
      </c>
    </row>
    <row r="3" spans="2:5" x14ac:dyDescent="0.25">
      <c r="B3" s="9"/>
      <c r="C3" s="157" t="s">
        <v>265</v>
      </c>
      <c r="D3" s="157"/>
      <c r="E3" s="157"/>
    </row>
    <row r="4" spans="2:5" x14ac:dyDescent="0.25">
      <c r="B4" s="9"/>
      <c r="C4" s="157"/>
      <c r="D4" s="157"/>
      <c r="E4" s="157"/>
    </row>
    <row r="5" spans="2:5" ht="30" x14ac:dyDescent="0.25">
      <c r="B5" s="9"/>
      <c r="C5" s="86" t="s">
        <v>86</v>
      </c>
      <c r="D5" s="86" t="s">
        <v>71</v>
      </c>
      <c r="E5" s="86" t="s">
        <v>72</v>
      </c>
    </row>
    <row r="6" spans="2:5" x14ac:dyDescent="0.25">
      <c r="B6" s="9"/>
      <c r="C6" s="113">
        <f>B33</f>
        <v>24866.665367892812</v>
      </c>
      <c r="D6" s="113">
        <f>C6*5</f>
        <v>124333.32683946406</v>
      </c>
      <c r="E6" s="113">
        <f>C6*25</f>
        <v>621666.63419732032</v>
      </c>
    </row>
    <row r="7" spans="2:5" x14ac:dyDescent="0.25">
      <c r="B7" s="9"/>
    </row>
    <row r="8" spans="2:5" x14ac:dyDescent="0.25">
      <c r="B8" s="87" t="s">
        <v>73</v>
      </c>
    </row>
    <row r="9" spans="2:5" x14ac:dyDescent="0.25">
      <c r="B9" s="9"/>
      <c r="C9" s="88">
        <v>975.3</v>
      </c>
      <c r="D9" t="s">
        <v>74</v>
      </c>
    </row>
    <row r="12" spans="2:5" x14ac:dyDescent="0.25">
      <c r="B12" s="111" t="s">
        <v>5</v>
      </c>
    </row>
    <row r="13" spans="2:5" x14ac:dyDescent="0.25">
      <c r="B13" s="111"/>
      <c r="C13" t="s">
        <v>266</v>
      </c>
    </row>
    <row r="14" spans="2:5" x14ac:dyDescent="0.25">
      <c r="B14" s="135">
        <v>3500000</v>
      </c>
      <c r="C14" t="s">
        <v>267</v>
      </c>
    </row>
    <row r="15" spans="2:5" x14ac:dyDescent="0.25">
      <c r="B15" s="62">
        <v>400</v>
      </c>
      <c r="C15" t="s">
        <v>156</v>
      </c>
    </row>
    <row r="16" spans="2:5" x14ac:dyDescent="0.25">
      <c r="B16">
        <v>6</v>
      </c>
      <c r="C16" t="s">
        <v>106</v>
      </c>
    </row>
    <row r="17" spans="2:3" x14ac:dyDescent="0.25">
      <c r="B17">
        <v>5</v>
      </c>
      <c r="C17" t="s">
        <v>107</v>
      </c>
    </row>
    <row r="18" spans="2:3" x14ac:dyDescent="0.25">
      <c r="B18" s="63">
        <f>1/3</f>
        <v>0.33333333333333331</v>
      </c>
      <c r="C18" t="s">
        <v>108</v>
      </c>
    </row>
    <row r="19" spans="2:3" x14ac:dyDescent="0.25">
      <c r="B19" s="85">
        <v>10</v>
      </c>
      <c r="C19" s="85" t="s">
        <v>268</v>
      </c>
    </row>
    <row r="20" spans="2:3" x14ac:dyDescent="0.25">
      <c r="B20" s="63"/>
    </row>
    <row r="21" spans="2:3" x14ac:dyDescent="0.25">
      <c r="B21" s="85"/>
      <c r="C21" s="85"/>
    </row>
    <row r="22" spans="2:3" x14ac:dyDescent="0.25">
      <c r="B22" s="111" t="s">
        <v>80</v>
      </c>
      <c r="C22" s="85"/>
    </row>
    <row r="23" spans="2:3" x14ac:dyDescent="0.25">
      <c r="B23" s="127">
        <f>B14/B15</f>
        <v>8750</v>
      </c>
      <c r="C23" t="s">
        <v>111</v>
      </c>
    </row>
    <row r="24" spans="2:3" x14ac:dyDescent="0.25">
      <c r="B24" s="120">
        <f>B23*12000</f>
        <v>105000000</v>
      </c>
      <c r="C24" t="s">
        <v>112</v>
      </c>
    </row>
    <row r="25" spans="2:3" x14ac:dyDescent="0.25">
      <c r="B25" s="125">
        <f>8760*(B16+B17)/12*(1-B18)</f>
        <v>5353.3333333333339</v>
      </c>
      <c r="C25" t="s">
        <v>113</v>
      </c>
    </row>
    <row r="26" spans="2:3" x14ac:dyDescent="0.25">
      <c r="B26" s="85"/>
      <c r="C26" s="85"/>
    </row>
    <row r="27" spans="2:3" x14ac:dyDescent="0.25">
      <c r="B27" s="13"/>
    </row>
    <row r="28" spans="2:3" x14ac:dyDescent="0.25">
      <c r="B28" s="13">
        <f>B24/B19</f>
        <v>10500000</v>
      </c>
      <c r="C28" t="s">
        <v>217</v>
      </c>
    </row>
    <row r="29" spans="2:3" x14ac:dyDescent="0.25">
      <c r="B29" s="9">
        <f>B28*B25/1000000</f>
        <v>56210.000000000007</v>
      </c>
      <c r="C29" t="s">
        <v>218</v>
      </c>
    </row>
    <row r="30" spans="2:3" x14ac:dyDescent="0.25">
      <c r="B30" s="13"/>
    </row>
    <row r="31" spans="2:3" x14ac:dyDescent="0.25">
      <c r="B31" s="85"/>
      <c r="C31" s="85"/>
    </row>
    <row r="32" spans="2:3" x14ac:dyDescent="0.25">
      <c r="B32" s="9"/>
    </row>
    <row r="33" spans="2:3" x14ac:dyDescent="0.25">
      <c r="B33" s="104">
        <f>CONVERT(C9*B29,"lbm","Mg")</f>
        <v>24866.665367892812</v>
      </c>
      <c r="C33" s="105" t="s">
        <v>84</v>
      </c>
    </row>
  </sheetData>
  <mergeCells count="1">
    <mergeCell ref="C3:E4"/>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81FF71-CBFA-4C39-9CE0-D699E42F9CE9}">
  <dimension ref="A1:AE145"/>
  <sheetViews>
    <sheetView workbookViewId="0">
      <selection activeCell="T2" sqref="T2"/>
    </sheetView>
  </sheetViews>
  <sheetFormatPr defaultRowHeight="15" x14ac:dyDescent="0.25"/>
  <cols>
    <col min="2" max="2" width="15.42578125" bestFit="1" customWidth="1"/>
    <col min="3" max="3" width="16.140625" hidden="1" customWidth="1"/>
    <col min="4" max="4" width="14.5703125" bestFit="1" customWidth="1"/>
    <col min="5" max="5" width="14.5703125" hidden="1" customWidth="1"/>
    <col min="6" max="6" width="9.85546875" bestFit="1" customWidth="1"/>
    <col min="7" max="7" width="13.28515625" hidden="1" customWidth="1"/>
    <col min="8" max="8" width="12.5703125" hidden="1" customWidth="1"/>
    <col min="9" max="9" width="14.5703125" bestFit="1" customWidth="1"/>
    <col min="10" max="11" width="14.5703125" hidden="1" customWidth="1"/>
    <col min="12" max="12" width="15.5703125" bestFit="1" customWidth="1"/>
    <col min="13" max="14" width="15.5703125" customWidth="1"/>
    <col min="15" max="15" width="9.85546875" bestFit="1" customWidth="1"/>
    <col min="16" max="16" width="9.5703125" hidden="1" customWidth="1"/>
    <col min="17" max="17" width="9.28515625" hidden="1" customWidth="1"/>
    <col min="18" max="18" width="9.140625" style="29"/>
    <col min="20" max="20" width="11.5703125" bestFit="1" customWidth="1"/>
    <col min="21" max="21" width="15.5703125" bestFit="1" customWidth="1"/>
    <col min="23" max="23" width="10.85546875" customWidth="1"/>
    <col min="24" max="24" width="15.28515625" style="9" hidden="1" customWidth="1"/>
    <col min="25" max="25" width="15.28515625" style="9" customWidth="1"/>
    <col min="26" max="27" width="13.28515625" customWidth="1"/>
    <col min="28" max="28" width="14.7109375" bestFit="1" customWidth="1"/>
  </cols>
  <sheetData>
    <row r="1" spans="1:31" x14ac:dyDescent="0.25">
      <c r="A1" s="172" t="s">
        <v>269</v>
      </c>
      <c r="B1" s="172"/>
      <c r="C1" s="172"/>
      <c r="D1" s="172"/>
      <c r="E1" s="172"/>
      <c r="F1" s="172"/>
      <c r="G1" s="172"/>
      <c r="H1" s="172"/>
      <c r="I1" s="172"/>
      <c r="J1" s="172"/>
      <c r="K1" s="172"/>
      <c r="L1" s="172"/>
      <c r="M1" s="172"/>
      <c r="N1" s="172"/>
      <c r="O1" s="172"/>
      <c r="T1" s="44" t="s">
        <v>270</v>
      </c>
      <c r="U1" s="44"/>
      <c r="V1" s="44"/>
      <c r="W1" s="44"/>
      <c r="X1" s="44"/>
      <c r="Y1" s="44"/>
      <c r="Z1" s="44"/>
      <c r="AA1" s="44"/>
      <c r="AB1" s="44"/>
      <c r="AC1" s="44"/>
      <c r="AD1" s="44"/>
      <c r="AE1" s="44"/>
    </row>
    <row r="3" spans="1:31" x14ac:dyDescent="0.25">
      <c r="A3" t="s">
        <v>271</v>
      </c>
      <c r="B3" t="s">
        <v>272</v>
      </c>
      <c r="C3" t="s">
        <v>272</v>
      </c>
      <c r="D3" t="s">
        <v>273</v>
      </c>
      <c r="E3" t="s">
        <v>273</v>
      </c>
      <c r="F3" t="s">
        <v>274</v>
      </c>
      <c r="G3" t="s">
        <v>274</v>
      </c>
      <c r="H3" t="s">
        <v>274</v>
      </c>
      <c r="I3" t="s">
        <v>275</v>
      </c>
      <c r="J3" t="s">
        <v>275</v>
      </c>
      <c r="K3" t="s">
        <v>275</v>
      </c>
      <c r="L3" t="s">
        <v>276</v>
      </c>
      <c r="M3" t="s">
        <v>276</v>
      </c>
      <c r="N3" t="s">
        <v>276</v>
      </c>
      <c r="O3" t="s">
        <v>277</v>
      </c>
      <c r="P3" t="s">
        <v>277</v>
      </c>
      <c r="Q3" t="s">
        <v>277</v>
      </c>
      <c r="T3" t="s">
        <v>278</v>
      </c>
      <c r="U3" t="s">
        <v>276</v>
      </c>
    </row>
    <row r="4" spans="1:31" x14ac:dyDescent="0.25">
      <c r="B4" t="s">
        <v>279</v>
      </c>
      <c r="C4" t="s">
        <v>280</v>
      </c>
      <c r="D4" t="s">
        <v>281</v>
      </c>
      <c r="E4" t="s">
        <v>282</v>
      </c>
      <c r="F4" t="s">
        <v>279</v>
      </c>
      <c r="G4" t="s">
        <v>283</v>
      </c>
      <c r="H4" t="s">
        <v>284</v>
      </c>
      <c r="I4" t="s">
        <v>279</v>
      </c>
      <c r="J4" t="s">
        <v>283</v>
      </c>
      <c r="K4" t="s">
        <v>284</v>
      </c>
      <c r="L4" t="s">
        <v>279</v>
      </c>
      <c r="M4" t="s">
        <v>283</v>
      </c>
      <c r="N4" t="s">
        <v>284</v>
      </c>
      <c r="O4" t="s">
        <v>279</v>
      </c>
      <c r="P4" t="s">
        <v>283</v>
      </c>
      <c r="Q4" t="s">
        <v>284</v>
      </c>
      <c r="T4" t="s">
        <v>279</v>
      </c>
      <c r="U4" t="s">
        <v>285</v>
      </c>
    </row>
    <row r="5" spans="1:31" x14ac:dyDescent="0.25">
      <c r="A5">
        <v>1991</v>
      </c>
      <c r="B5" s="9">
        <v>8556.5666000000001</v>
      </c>
      <c r="C5" s="9">
        <v>9412.2232600000007</v>
      </c>
      <c r="D5" s="9">
        <v>0</v>
      </c>
      <c r="E5" s="9">
        <v>0</v>
      </c>
      <c r="F5" s="9">
        <v>0</v>
      </c>
      <c r="G5" s="9">
        <v>0</v>
      </c>
      <c r="H5" s="9">
        <v>0</v>
      </c>
      <c r="I5" s="9">
        <v>0</v>
      </c>
      <c r="J5" s="9">
        <v>0</v>
      </c>
      <c r="K5" s="9">
        <v>0</v>
      </c>
      <c r="L5" s="9">
        <v>0</v>
      </c>
      <c r="M5" s="9">
        <v>0</v>
      </c>
      <c r="N5" s="9">
        <v>0</v>
      </c>
      <c r="O5" s="9">
        <v>0</v>
      </c>
      <c r="P5" s="9">
        <v>0</v>
      </c>
      <c r="Q5" s="9">
        <v>0</v>
      </c>
    </row>
    <row r="6" spans="1:31" x14ac:dyDescent="0.25">
      <c r="A6">
        <v>1992</v>
      </c>
      <c r="B6" s="9">
        <v>8556.5666000000001</v>
      </c>
      <c r="C6" s="9">
        <v>9412.2232600000007</v>
      </c>
      <c r="D6" s="9">
        <v>8556.5666000000001</v>
      </c>
      <c r="E6" s="9">
        <v>9412.2232600000007</v>
      </c>
      <c r="F6" s="9">
        <v>47.447579517452127</v>
      </c>
      <c r="G6" s="9">
        <v>71119.979139242845</v>
      </c>
      <c r="H6" s="9">
        <v>2511602.0633023609</v>
      </c>
      <c r="I6" s="9">
        <v>130.18503582064017</v>
      </c>
      <c r="J6" s="9">
        <v>71119.979139242845</v>
      </c>
      <c r="K6" s="9">
        <v>2511602.0633023609</v>
      </c>
      <c r="L6" s="9">
        <v>177.63261533809228</v>
      </c>
      <c r="M6" s="9">
        <v>142239.95827848569</v>
      </c>
      <c r="N6" s="9">
        <v>5023204.1266047219</v>
      </c>
      <c r="O6" s="9">
        <v>0.30591264858957784</v>
      </c>
      <c r="P6" s="9">
        <v>85.343974967091413</v>
      </c>
      <c r="Q6" s="9">
        <v>3013.9224759628332</v>
      </c>
      <c r="T6" s="13">
        <f>F6*28+I6</f>
        <v>1458.7172623092997</v>
      </c>
      <c r="U6" s="13">
        <f>N6/CONVERT(1,"yr","mn")</f>
        <v>9.5505440082985817</v>
      </c>
    </row>
    <row r="7" spans="1:31" x14ac:dyDescent="0.25">
      <c r="A7">
        <v>1993</v>
      </c>
      <c r="B7" s="9">
        <v>8556.5666000000001</v>
      </c>
      <c r="C7" s="9">
        <v>9412.2232600000007</v>
      </c>
      <c r="D7" s="9">
        <v>17113.1332</v>
      </c>
      <c r="E7" s="9">
        <v>18824.446520000001</v>
      </c>
      <c r="F7" s="9">
        <v>92.581113275789988</v>
      </c>
      <c r="G7" s="9">
        <v>138771.39596636762</v>
      </c>
      <c r="H7" s="9">
        <v>4900711.8485522727</v>
      </c>
      <c r="I7" s="9">
        <v>254.02087252291258</v>
      </c>
      <c r="J7" s="9">
        <v>138771.39596636762</v>
      </c>
      <c r="K7" s="9">
        <v>4900711.8485522727</v>
      </c>
      <c r="L7" s="9">
        <v>346.60198579870257</v>
      </c>
      <c r="M7" s="9">
        <v>277542.79193273524</v>
      </c>
      <c r="N7" s="9">
        <v>9801423.6971045453</v>
      </c>
      <c r="O7" s="9">
        <v>0.59690576125493122</v>
      </c>
      <c r="P7" s="9">
        <v>166.52567515964114</v>
      </c>
      <c r="Q7" s="9">
        <v>5880.8542182627261</v>
      </c>
      <c r="T7" s="13">
        <f t="shared" ref="T7:T70" si="0">F7*28+I7</f>
        <v>2846.2920442450322</v>
      </c>
      <c r="U7" s="13">
        <f t="shared" ref="U7:U70" si="1">N7/CONVERT(1,"yr","mn")</f>
        <v>18.635302488981189</v>
      </c>
    </row>
    <row r="8" spans="1:31" ht="15.75" customHeight="1" x14ac:dyDescent="0.25">
      <c r="A8">
        <v>1994</v>
      </c>
      <c r="B8" s="9">
        <v>8556.5666000000001</v>
      </c>
      <c r="C8" s="9">
        <v>9412.2232600000007</v>
      </c>
      <c r="D8" s="9">
        <v>25669.699800000002</v>
      </c>
      <c r="E8" s="9">
        <v>28236.669780000004</v>
      </c>
      <c r="F8" s="9">
        <v>135.51345861841725</v>
      </c>
      <c r="G8" s="9">
        <v>203123.41426149142</v>
      </c>
      <c r="H8" s="9">
        <v>7173303.3746445691</v>
      </c>
      <c r="I8" s="9">
        <v>371.81716420177952</v>
      </c>
      <c r="J8" s="9">
        <v>203123.41426149142</v>
      </c>
      <c r="K8" s="9">
        <v>7173303.3746445691</v>
      </c>
      <c r="L8" s="9">
        <v>507.33062282019677</v>
      </c>
      <c r="M8" s="9">
        <v>406246.82852298283</v>
      </c>
      <c r="N8" s="9">
        <v>14346606.749289138</v>
      </c>
      <c r="O8" s="9">
        <v>0.87370697234926664</v>
      </c>
      <c r="P8" s="9">
        <v>243.74809711378967</v>
      </c>
      <c r="Q8" s="9">
        <v>8607.964049573482</v>
      </c>
      <c r="T8" s="13">
        <f t="shared" si="0"/>
        <v>4166.1940055174628</v>
      </c>
      <c r="U8" s="13">
        <f t="shared" si="1"/>
        <v>27.276992070288877</v>
      </c>
      <c r="W8" s="173" t="s">
        <v>286</v>
      </c>
      <c r="X8" s="173"/>
      <c r="Y8" s="173"/>
      <c r="Z8" s="173"/>
      <c r="AA8" s="173"/>
      <c r="AB8" s="173"/>
    </row>
    <row r="9" spans="1:31" x14ac:dyDescent="0.25">
      <c r="A9">
        <v>1995</v>
      </c>
      <c r="B9" s="9">
        <v>8556.5666000000001</v>
      </c>
      <c r="C9" s="9">
        <v>9412.2232600000007</v>
      </c>
      <c r="D9" s="9">
        <v>34226.2664</v>
      </c>
      <c r="E9" s="9">
        <v>37648.893040000003</v>
      </c>
      <c r="F9" s="9">
        <v>176.35196877115047</v>
      </c>
      <c r="G9" s="9">
        <v>264336.94758982142</v>
      </c>
      <c r="H9" s="9">
        <v>9335059.3041345421</v>
      </c>
      <c r="I9" s="9">
        <v>483.86846294378631</v>
      </c>
      <c r="J9" s="9">
        <v>264336.94758982142</v>
      </c>
      <c r="K9" s="9">
        <v>9335059.3041345421</v>
      </c>
      <c r="L9" s="9">
        <v>660.22043171493681</v>
      </c>
      <c r="M9" s="9">
        <v>528673.89517964283</v>
      </c>
      <c r="N9" s="9">
        <v>18670118.608269084</v>
      </c>
      <c r="O9" s="9">
        <v>1.1370084290796318</v>
      </c>
      <c r="P9" s="9">
        <v>317.20433710778565</v>
      </c>
      <c r="Q9" s="9">
        <v>11202.07116496145</v>
      </c>
      <c r="T9" s="13">
        <f t="shared" si="0"/>
        <v>5421.7235885359996</v>
      </c>
      <c r="U9" s="13">
        <f t="shared" si="1"/>
        <v>35.497221477430003</v>
      </c>
      <c r="W9" s="3"/>
      <c r="X9" s="33" t="s">
        <v>287</v>
      </c>
      <c r="Y9" s="33" t="s">
        <v>288</v>
      </c>
      <c r="Z9" s="3" t="s">
        <v>289</v>
      </c>
      <c r="AA9" s="3" t="s">
        <v>96</v>
      </c>
      <c r="AB9" s="3" t="s">
        <v>290</v>
      </c>
    </row>
    <row r="10" spans="1:31" x14ac:dyDescent="0.25">
      <c r="A10">
        <v>1996</v>
      </c>
      <c r="B10" s="9">
        <v>8556.5666000000001</v>
      </c>
      <c r="C10" s="9">
        <v>9412.2232600000007</v>
      </c>
      <c r="D10" s="9">
        <v>42782.832999999999</v>
      </c>
      <c r="E10" s="9">
        <v>47061.116300000002</v>
      </c>
      <c r="F10" s="9">
        <v>215.19876128120146</v>
      </c>
      <c r="G10" s="9">
        <v>322565.06166938407</v>
      </c>
      <c r="H10" s="9">
        <v>11391385.152854297</v>
      </c>
      <c r="I10" s="9">
        <v>590.45495536070314</v>
      </c>
      <c r="J10" s="9">
        <v>322565.06166938407</v>
      </c>
      <c r="K10" s="9">
        <v>11391385.152854297</v>
      </c>
      <c r="L10" s="9">
        <v>805.65371664190457</v>
      </c>
      <c r="M10" s="9">
        <v>645130.12333876814</v>
      </c>
      <c r="N10" s="9">
        <v>22782770.305708595</v>
      </c>
      <c r="O10" s="9">
        <v>1.387468522235457</v>
      </c>
      <c r="P10" s="9">
        <v>387.07807400326084</v>
      </c>
      <c r="Q10" s="9">
        <v>13669.662183425156</v>
      </c>
      <c r="T10" s="13">
        <f t="shared" si="0"/>
        <v>6616.0202712343435</v>
      </c>
      <c r="U10" s="13">
        <f t="shared" si="1"/>
        <v>43.31654556564871</v>
      </c>
      <c r="W10" s="3" t="s">
        <v>291</v>
      </c>
      <c r="X10" s="33">
        <f>SUM(N39:N44)/COUNTA(N39:N44)</f>
        <v>422929830.07548094</v>
      </c>
      <c r="Y10" s="45">
        <f>X10/1000000</f>
        <v>422.92983007548094</v>
      </c>
      <c r="Z10" s="46">
        <f>AVERAGE(U39:U44)</f>
        <v>804.11025567625074</v>
      </c>
      <c r="AA10" s="46">
        <f>SUM(T39:T44)/COUNTA(T39:T44)</f>
        <v>122817.03636313119</v>
      </c>
      <c r="AB10" s="46">
        <f>SUM(T39:T44)</f>
        <v>736902.21817878715</v>
      </c>
    </row>
    <row r="11" spans="1:31" x14ac:dyDescent="0.25">
      <c r="A11">
        <v>1997</v>
      </c>
      <c r="B11" s="9">
        <v>10800.0344</v>
      </c>
      <c r="C11" s="9">
        <v>11880.037839999999</v>
      </c>
      <c r="D11" s="9">
        <v>51339.399599999997</v>
      </c>
      <c r="E11" s="9">
        <v>56473.33956</v>
      </c>
      <c r="F11" s="9">
        <v>252.15097336423594</v>
      </c>
      <c r="G11" s="9">
        <v>377953.35711504839</v>
      </c>
      <c r="H11" s="9">
        <v>13347422.806517933</v>
      </c>
      <c r="I11" s="9">
        <v>691.84316320199662</v>
      </c>
      <c r="J11" s="9">
        <v>377953.35711504839</v>
      </c>
      <c r="K11" s="9">
        <v>13347422.806517933</v>
      </c>
      <c r="L11" s="9">
        <v>943.99413656623244</v>
      </c>
      <c r="M11" s="9">
        <v>755906.71423009678</v>
      </c>
      <c r="N11" s="9">
        <v>26694845.613035865</v>
      </c>
      <c r="O11" s="9">
        <v>1.6257135325084677</v>
      </c>
      <c r="P11" s="9">
        <v>453.54402853805806</v>
      </c>
      <c r="Q11" s="9">
        <v>16016.907367821519</v>
      </c>
      <c r="T11" s="13">
        <f t="shared" si="0"/>
        <v>7752.0704174006023</v>
      </c>
      <c r="U11" s="13">
        <f t="shared" si="1"/>
        <v>50.75451671806956</v>
      </c>
      <c r="W11" s="3" t="s">
        <v>292</v>
      </c>
      <c r="X11" s="33">
        <f>SUM(N39:N64)/COUNTA(N39:N64)</f>
        <v>273940201.61924976</v>
      </c>
      <c r="Y11" s="45">
        <f>X11/1000000</f>
        <v>273.94020161924976</v>
      </c>
      <c r="Z11" s="46">
        <f>AVERAGE(U39:U64)</f>
        <v>520.83846988221489</v>
      </c>
      <c r="AA11" s="46">
        <f>SUM(T39:T64)/COUNTA(T39:T64)</f>
        <v>79551.077533571719</v>
      </c>
      <c r="AB11" s="46">
        <f>SUM(T39:T64)</f>
        <v>2068328.0158728645</v>
      </c>
    </row>
    <row r="12" spans="1:31" hidden="1" x14ac:dyDescent="0.25">
      <c r="A12">
        <v>1998</v>
      </c>
      <c r="B12" s="9">
        <v>11377.911099999999</v>
      </c>
      <c r="C12" s="9">
        <v>12515.702210000001</v>
      </c>
      <c r="D12" s="9">
        <v>62139.433999999994</v>
      </c>
      <c r="E12" s="9">
        <v>68353.377399999998</v>
      </c>
      <c r="F12" s="9">
        <v>299.74140546471392</v>
      </c>
      <c r="G12" s="9">
        <v>449287.46040621027</v>
      </c>
      <c r="H12" s="9">
        <v>15866586.664245315</v>
      </c>
      <c r="I12" s="9">
        <v>822.42015302381924</v>
      </c>
      <c r="J12" s="9">
        <v>449287.46040621027</v>
      </c>
      <c r="K12" s="9">
        <v>15866586.664245315</v>
      </c>
      <c r="L12" s="9">
        <v>1122.161558488533</v>
      </c>
      <c r="M12" s="9">
        <v>898574.92081242055</v>
      </c>
      <c r="N12" s="9">
        <v>31733173.32849063</v>
      </c>
      <c r="O12" s="9">
        <v>1.9325472062056643</v>
      </c>
      <c r="P12" s="9">
        <v>539.14495248745231</v>
      </c>
      <c r="Q12" s="9">
        <v>19039.903997094378</v>
      </c>
      <c r="T12" s="13">
        <f t="shared" si="0"/>
        <v>9215.179506035809</v>
      </c>
      <c r="U12" s="13">
        <f t="shared" si="1"/>
        <v>60.333814983060748</v>
      </c>
    </row>
    <row r="13" spans="1:31" hidden="1" x14ac:dyDescent="0.25">
      <c r="A13">
        <v>1999</v>
      </c>
      <c r="B13" s="9">
        <v>15297.856400000001</v>
      </c>
      <c r="C13" s="9">
        <v>16827.642040000002</v>
      </c>
      <c r="D13" s="9">
        <v>73517.345099999991</v>
      </c>
      <c r="E13" s="9">
        <v>80869.079609999986</v>
      </c>
      <c r="F13" s="9">
        <v>348.21524685212955</v>
      </c>
      <c r="G13" s="9">
        <v>521945.720813444</v>
      </c>
      <c r="H13" s="9">
        <v>18432513.130526774</v>
      </c>
      <c r="I13" s="9">
        <v>955.42101084552519</v>
      </c>
      <c r="J13" s="9">
        <v>521945.720813444</v>
      </c>
      <c r="K13" s="9">
        <v>18432513.130526774</v>
      </c>
      <c r="L13" s="9">
        <v>1303.6362576976546</v>
      </c>
      <c r="M13" s="9">
        <v>1043891.441626888</v>
      </c>
      <c r="N13" s="9">
        <v>36865026.261053547</v>
      </c>
      <c r="O13" s="9">
        <v>2.2450765566371462</v>
      </c>
      <c r="P13" s="9">
        <v>626.33486497613274</v>
      </c>
      <c r="Q13" s="9">
        <v>22119.015756632125</v>
      </c>
      <c r="T13" s="13">
        <f t="shared" si="0"/>
        <v>10705.447922705152</v>
      </c>
      <c r="U13" s="13">
        <f t="shared" si="1"/>
        <v>70.090931365604888</v>
      </c>
    </row>
    <row r="14" spans="1:31" hidden="1" x14ac:dyDescent="0.25">
      <c r="A14">
        <v>2000</v>
      </c>
      <c r="B14" s="9">
        <v>15387.6677</v>
      </c>
      <c r="C14" s="9">
        <v>16926.434470000004</v>
      </c>
      <c r="D14" s="9">
        <v>88815.201499999996</v>
      </c>
      <c r="E14" s="9">
        <v>97696.721650000007</v>
      </c>
      <c r="F14" s="9">
        <v>416.06173727483747</v>
      </c>
      <c r="G14" s="9">
        <v>623641.97239481308</v>
      </c>
      <c r="H14" s="9">
        <v>22023916.255122822</v>
      </c>
      <c r="I14" s="9">
        <v>1141.5758764005984</v>
      </c>
      <c r="J14" s="9">
        <v>623641.97239481308</v>
      </c>
      <c r="K14" s="9">
        <v>22023916.255122822</v>
      </c>
      <c r="L14" s="9">
        <v>1557.6376136754359</v>
      </c>
      <c r="M14" s="9">
        <v>1247283.9447896262</v>
      </c>
      <c r="N14" s="9">
        <v>44047832.510245644</v>
      </c>
      <c r="O14" s="9">
        <v>2.6825087669585157</v>
      </c>
      <c r="P14" s="9">
        <v>748.37036687377565</v>
      </c>
      <c r="Q14" s="9">
        <v>26428.699506147386</v>
      </c>
      <c r="T14" s="13">
        <f t="shared" si="0"/>
        <v>12791.304520096048</v>
      </c>
      <c r="U14" s="13">
        <f t="shared" si="1"/>
        <v>83.747495076138193</v>
      </c>
    </row>
    <row r="15" spans="1:31" hidden="1" x14ac:dyDescent="0.25">
      <c r="A15">
        <v>2001</v>
      </c>
      <c r="B15" s="9">
        <v>15950.122300000001</v>
      </c>
      <c r="C15" s="9">
        <v>17545.134530000003</v>
      </c>
      <c r="D15" s="9">
        <v>104202.8692</v>
      </c>
      <c r="E15" s="9">
        <v>114623.15612</v>
      </c>
      <c r="F15" s="9">
        <v>481.09733385317827</v>
      </c>
      <c r="G15" s="9">
        <v>721124.92766882293</v>
      </c>
      <c r="H15" s="9">
        <v>25466526.820624482</v>
      </c>
      <c r="I15" s="9">
        <v>1320.0183081594998</v>
      </c>
      <c r="J15" s="9">
        <v>721124.92766882293</v>
      </c>
      <c r="K15" s="9">
        <v>25466526.820624482</v>
      </c>
      <c r="L15" s="9">
        <v>1801.1156420126781</v>
      </c>
      <c r="M15" s="9">
        <v>1442249.8553376459</v>
      </c>
      <c r="N15" s="9">
        <v>50933053.641248964</v>
      </c>
      <c r="O15" s="9">
        <v>3.1018180721795687</v>
      </c>
      <c r="P15" s="9">
        <v>865.34991320258746</v>
      </c>
      <c r="Q15" s="9">
        <v>30559.832184749375</v>
      </c>
      <c r="T15" s="13">
        <f t="shared" si="0"/>
        <v>14790.743656048491</v>
      </c>
      <c r="U15" s="13">
        <f t="shared" si="1"/>
        <v>96.83826458523265</v>
      </c>
    </row>
    <row r="16" spans="1:31" hidden="1" x14ac:dyDescent="0.25">
      <c r="A16">
        <v>2002</v>
      </c>
      <c r="B16" s="9">
        <v>16645.025799999999</v>
      </c>
      <c r="C16" s="9">
        <v>18309.528380000003</v>
      </c>
      <c r="D16" s="9">
        <v>120152.9915</v>
      </c>
      <c r="E16" s="9">
        <v>132168.29065000001</v>
      </c>
      <c r="F16" s="9">
        <v>546.0800109074346</v>
      </c>
      <c r="G16" s="9">
        <v>818528.56097346742</v>
      </c>
      <c r="H16" s="9">
        <v>28906336.130778</v>
      </c>
      <c r="I16" s="9">
        <v>1498.315541149389</v>
      </c>
      <c r="J16" s="9">
        <v>818528.56097346742</v>
      </c>
      <c r="K16" s="9">
        <v>28906336.130778</v>
      </c>
      <c r="L16" s="9">
        <v>2044.3955520568236</v>
      </c>
      <c r="M16" s="9">
        <v>1637057.1219469348</v>
      </c>
      <c r="N16" s="9">
        <v>57812672.261556</v>
      </c>
      <c r="O16" s="9">
        <v>3.5207861850376094</v>
      </c>
      <c r="P16" s="9">
        <v>982.23427316816083</v>
      </c>
      <c r="Q16" s="9">
        <v>34687.6033569336</v>
      </c>
      <c r="T16" s="13">
        <f t="shared" si="0"/>
        <v>16788.55584655756</v>
      </c>
      <c r="U16" s="13">
        <f t="shared" si="1"/>
        <v>109.91838212327173</v>
      </c>
    </row>
    <row r="17" spans="1:21" hidden="1" x14ac:dyDescent="0.25">
      <c r="A17">
        <v>2003</v>
      </c>
      <c r="B17" s="9">
        <v>14904.138199999999</v>
      </c>
      <c r="C17" s="9">
        <v>16394.552020000003</v>
      </c>
      <c r="D17" s="9">
        <v>136798.01730000001</v>
      </c>
      <c r="E17" s="9">
        <v>150477.81903000001</v>
      </c>
      <c r="F17" s="9">
        <v>611.74680044894569</v>
      </c>
      <c r="G17" s="9">
        <v>916957.62205160991</v>
      </c>
      <c r="H17" s="9">
        <v>32382358.4227526</v>
      </c>
      <c r="I17" s="9">
        <v>1678.4898184387846</v>
      </c>
      <c r="J17" s="9">
        <v>916957.62205160991</v>
      </c>
      <c r="K17" s="9">
        <v>32382358.4227526</v>
      </c>
      <c r="L17" s="9">
        <v>2290.2366188877299</v>
      </c>
      <c r="M17" s="9">
        <v>1833915.2441032198</v>
      </c>
      <c r="N17" s="9">
        <v>64764716.8455052</v>
      </c>
      <c r="O17" s="9">
        <v>3.9441650321214565</v>
      </c>
      <c r="P17" s="9">
        <v>1100.3491464619317</v>
      </c>
      <c r="Q17" s="9">
        <v>38858.830107303118</v>
      </c>
      <c r="T17" s="13">
        <f t="shared" si="0"/>
        <v>18807.400231009266</v>
      </c>
      <c r="U17" s="13">
        <f t="shared" si="1"/>
        <v>123.13620207906533</v>
      </c>
    </row>
    <row r="18" spans="1:21" hidden="1" x14ac:dyDescent="0.25">
      <c r="A18">
        <v>2004</v>
      </c>
      <c r="B18" s="9">
        <v>15923.813899999999</v>
      </c>
      <c r="C18" s="9">
        <v>17516.195290000003</v>
      </c>
      <c r="D18" s="9">
        <v>151702.15549999999</v>
      </c>
      <c r="E18" s="9">
        <v>166872.37105000002</v>
      </c>
      <c r="F18" s="9">
        <v>664.55747268713276</v>
      </c>
      <c r="G18" s="9">
        <v>996116.43154425779</v>
      </c>
      <c r="H18" s="9">
        <v>35177851.779985465</v>
      </c>
      <c r="I18" s="9">
        <v>1823.3899235012916</v>
      </c>
      <c r="J18" s="9">
        <v>996116.43154425779</v>
      </c>
      <c r="K18" s="9">
        <v>35177851.779985465</v>
      </c>
      <c r="L18" s="9">
        <v>2487.9473961884241</v>
      </c>
      <c r="M18" s="9">
        <v>1992232.8630885156</v>
      </c>
      <c r="N18" s="9">
        <v>70355703.55997093</v>
      </c>
      <c r="O18" s="9">
        <v>4.2846555857489097</v>
      </c>
      <c r="P18" s="9">
        <v>1195.3397178531093</v>
      </c>
      <c r="Q18" s="9">
        <v>42213.422135982553</v>
      </c>
      <c r="T18" s="13">
        <f t="shared" si="0"/>
        <v>20430.999158741008</v>
      </c>
      <c r="U18" s="13">
        <f t="shared" si="1"/>
        <v>133.76626275756888</v>
      </c>
    </row>
    <row r="19" spans="1:21" hidden="1" x14ac:dyDescent="0.25">
      <c r="A19">
        <v>2005</v>
      </c>
      <c r="B19" s="9">
        <v>7918.8157000000001</v>
      </c>
      <c r="C19" s="9">
        <v>8710.6972700000006</v>
      </c>
      <c r="D19" s="9">
        <v>167625.9694</v>
      </c>
      <c r="E19" s="9">
        <v>184388.56633999999</v>
      </c>
      <c r="F19" s="9">
        <v>720.44680875229176</v>
      </c>
      <c r="G19" s="9">
        <v>1079889.9022984027</v>
      </c>
      <c r="H19" s="9">
        <v>38136311.89966809</v>
      </c>
      <c r="I19" s="9">
        <v>1976.7371604232148</v>
      </c>
      <c r="J19" s="9">
        <v>1079889.9022984027</v>
      </c>
      <c r="K19" s="9">
        <v>38136311.89966809</v>
      </c>
      <c r="L19" s="9">
        <v>2697.1839691755063</v>
      </c>
      <c r="M19" s="9">
        <v>2159779.8045968055</v>
      </c>
      <c r="N19" s="9">
        <v>76272623.79933618</v>
      </c>
      <c r="O19" s="9">
        <v>4.6449954597211347</v>
      </c>
      <c r="P19" s="9">
        <v>1295.8678827580832</v>
      </c>
      <c r="Q19" s="9">
        <v>45763.574279601708</v>
      </c>
      <c r="T19" s="13">
        <f t="shared" si="0"/>
        <v>22149.247805487383</v>
      </c>
      <c r="U19" s="13">
        <f t="shared" si="1"/>
        <v>145.01601604558556</v>
      </c>
    </row>
    <row r="20" spans="1:21" hidden="1" x14ac:dyDescent="0.25">
      <c r="A20">
        <v>2006</v>
      </c>
      <c r="B20" s="9">
        <v>12417.5448</v>
      </c>
      <c r="C20" s="9">
        <v>13659.299280000001</v>
      </c>
      <c r="D20" s="9">
        <v>175544.78510000001</v>
      </c>
      <c r="E20" s="9">
        <v>193099.26361000002</v>
      </c>
      <c r="F20" s="9">
        <v>729.22134838209627</v>
      </c>
      <c r="G20" s="9">
        <v>1093042.2081014547</v>
      </c>
      <c r="H20" s="9">
        <v>38600785.579102866</v>
      </c>
      <c r="I20" s="9">
        <v>2000.8124402927717</v>
      </c>
      <c r="J20" s="9">
        <v>1093042.2081014547</v>
      </c>
      <c r="K20" s="9">
        <v>38600785.579102866</v>
      </c>
      <c r="L20" s="9">
        <v>2730.033788674868</v>
      </c>
      <c r="M20" s="9">
        <v>2186084.4162029093</v>
      </c>
      <c r="N20" s="9">
        <v>77201571.158205733</v>
      </c>
      <c r="O20" s="9">
        <v>4.7015682646061636</v>
      </c>
      <c r="P20" s="9">
        <v>1311.6506497217454</v>
      </c>
      <c r="Q20" s="9">
        <v>46320.942694923433</v>
      </c>
      <c r="T20" s="13">
        <f t="shared" si="0"/>
        <v>22419.010194991468</v>
      </c>
      <c r="U20" s="13">
        <f t="shared" si="1"/>
        <v>146.78220997453369</v>
      </c>
    </row>
    <row r="21" spans="1:21" hidden="1" x14ac:dyDescent="0.25">
      <c r="A21">
        <v>2007</v>
      </c>
      <c r="B21" s="9">
        <v>15667.080599999999</v>
      </c>
      <c r="C21" s="9">
        <v>17233.788659999998</v>
      </c>
      <c r="D21" s="9">
        <v>187962.32990000001</v>
      </c>
      <c r="E21" s="9">
        <v>206758.56289</v>
      </c>
      <c r="F21" s="9">
        <v>762.51414690936474</v>
      </c>
      <c r="G21" s="9">
        <v>1142945.3466983442</v>
      </c>
      <c r="H21" s="9">
        <v>40363114.91865202</v>
      </c>
      <c r="I21" s="9">
        <v>2092.1600751546848</v>
      </c>
      <c r="J21" s="9">
        <v>1142945.3466983442</v>
      </c>
      <c r="K21" s="9">
        <v>40363114.91865202</v>
      </c>
      <c r="L21" s="9">
        <v>2854.6742220640494</v>
      </c>
      <c r="M21" s="9">
        <v>2285890.6933966884</v>
      </c>
      <c r="N21" s="9">
        <v>80726229.837304041</v>
      </c>
      <c r="O21" s="9">
        <v>4.9162196394500537</v>
      </c>
      <c r="P21" s="9">
        <v>1371.534416038013</v>
      </c>
      <c r="Q21" s="9">
        <v>48435.737902382425</v>
      </c>
      <c r="T21" s="13">
        <f t="shared" si="0"/>
        <v>23442.556188616894</v>
      </c>
      <c r="U21" s="13">
        <f t="shared" si="1"/>
        <v>153.48359159879845</v>
      </c>
    </row>
    <row r="22" spans="1:21" hidden="1" x14ac:dyDescent="0.25">
      <c r="A22">
        <v>2008</v>
      </c>
      <c r="B22" s="9">
        <v>19645.0857</v>
      </c>
      <c r="C22" s="9">
        <v>21609.594269999998</v>
      </c>
      <c r="D22" s="9">
        <v>203629.4105</v>
      </c>
      <c r="E22" s="9">
        <v>223992.35155000002</v>
      </c>
      <c r="F22" s="9">
        <v>812.20245091258107</v>
      </c>
      <c r="G22" s="9">
        <v>1217423.9856534314</v>
      </c>
      <c r="H22" s="9">
        <v>42993328.053350925</v>
      </c>
      <c r="I22" s="9">
        <v>2228.4931337071507</v>
      </c>
      <c r="J22" s="9">
        <v>1217423.9856534314</v>
      </c>
      <c r="K22" s="9">
        <v>42993328.053350925</v>
      </c>
      <c r="L22" s="9">
        <v>3040.695584619732</v>
      </c>
      <c r="M22" s="9">
        <v>2434847.9713068628</v>
      </c>
      <c r="N22" s="9">
        <v>85986656.106701851</v>
      </c>
      <c r="O22" s="9">
        <v>5.2365790937391203</v>
      </c>
      <c r="P22" s="9">
        <v>1460.9087827841176</v>
      </c>
      <c r="Q22" s="9">
        <v>51591.993664021109</v>
      </c>
      <c r="T22" s="13">
        <f t="shared" si="0"/>
        <v>24970.161759259419</v>
      </c>
      <c r="U22" s="13">
        <f t="shared" si="1"/>
        <v>163.48516257263262</v>
      </c>
    </row>
    <row r="23" spans="1:21" hidden="1" x14ac:dyDescent="0.25">
      <c r="A23">
        <v>2009</v>
      </c>
      <c r="B23" s="9">
        <v>19144.115600000001</v>
      </c>
      <c r="C23" s="9">
        <v>21058.527160000001</v>
      </c>
      <c r="D23" s="9">
        <v>223274.49619999999</v>
      </c>
      <c r="E23" s="9">
        <v>245601.94582000002</v>
      </c>
      <c r="F23" s="9">
        <v>881.52612512120766</v>
      </c>
      <c r="G23" s="9">
        <v>1321334.4129863943</v>
      </c>
      <c r="H23" s="9">
        <v>46662924.794614509</v>
      </c>
      <c r="I23" s="9">
        <v>2418.7010452982763</v>
      </c>
      <c r="J23" s="9">
        <v>1321334.4129863943</v>
      </c>
      <c r="K23" s="9">
        <v>46662924.794614509</v>
      </c>
      <c r="L23" s="9">
        <v>3300.2271704194841</v>
      </c>
      <c r="M23" s="9">
        <v>2642668.8259727885</v>
      </c>
      <c r="N23" s="9">
        <v>93325849.589229017</v>
      </c>
      <c r="O23" s="9">
        <v>5.6835352715420706</v>
      </c>
      <c r="P23" s="9">
        <v>1585.6012955836729</v>
      </c>
      <c r="Q23" s="9">
        <v>55995.509753537408</v>
      </c>
      <c r="T23" s="13">
        <f t="shared" si="0"/>
        <v>27101.43254869209</v>
      </c>
      <c r="U23" s="13">
        <f t="shared" si="1"/>
        <v>177.43906302614081</v>
      </c>
    </row>
    <row r="24" spans="1:21" hidden="1" x14ac:dyDescent="0.25">
      <c r="A24">
        <v>2010</v>
      </c>
      <c r="B24" s="9">
        <v>18643.145499999999</v>
      </c>
      <c r="C24" s="9">
        <v>20507.460050000002</v>
      </c>
      <c r="D24" s="9">
        <v>242418.61179999998</v>
      </c>
      <c r="E24" s="9">
        <v>266660.47297999996</v>
      </c>
      <c r="F24" s="9">
        <v>944.69088163371737</v>
      </c>
      <c r="G24" s="9">
        <v>1416013.1344552671</v>
      </c>
      <c r="H24" s="9">
        <v>50006503.843287751</v>
      </c>
      <c r="I24" s="9">
        <v>2592.0103304675754</v>
      </c>
      <c r="J24" s="9">
        <v>1416013.1344552671</v>
      </c>
      <c r="K24" s="9">
        <v>50006503.843287751</v>
      </c>
      <c r="L24" s="9">
        <v>3536.7012121012926</v>
      </c>
      <c r="M24" s="9">
        <v>2832026.2689105342</v>
      </c>
      <c r="N24" s="9">
        <v>100013007.6865755</v>
      </c>
      <c r="O24" s="9">
        <v>6.0907825570469152</v>
      </c>
      <c r="P24" s="9">
        <v>1699.2157613463203</v>
      </c>
      <c r="Q24" s="9">
        <v>60007.804611945299</v>
      </c>
      <c r="T24" s="13">
        <f t="shared" si="0"/>
        <v>29043.355016211663</v>
      </c>
      <c r="U24" s="13">
        <f t="shared" si="1"/>
        <v>190.1532582070414</v>
      </c>
    </row>
    <row r="25" spans="1:21" hidden="1" x14ac:dyDescent="0.25">
      <c r="A25">
        <v>2011</v>
      </c>
      <c r="B25" s="9">
        <v>29526.6047</v>
      </c>
      <c r="C25" s="9">
        <v>32479.265170000002</v>
      </c>
      <c r="D25" s="9">
        <v>261061.7573</v>
      </c>
      <c r="E25" s="9">
        <v>287167.93303000001</v>
      </c>
      <c r="F25" s="9">
        <v>1001.9970944106036</v>
      </c>
      <c r="G25" s="9">
        <v>1501910.3856678831</v>
      </c>
      <c r="H25" s="9">
        <v>53039965.269861288</v>
      </c>
      <c r="I25" s="9">
        <v>2749.2451449507898</v>
      </c>
      <c r="J25" s="9">
        <v>1501910.3856678831</v>
      </c>
      <c r="K25" s="9">
        <v>53039965.269861288</v>
      </c>
      <c r="L25" s="9">
        <v>3751.2422393613933</v>
      </c>
      <c r="M25" s="9">
        <v>3003820.7713357662</v>
      </c>
      <c r="N25" s="9">
        <v>106079930.53972258</v>
      </c>
      <c r="O25" s="9">
        <v>6.4602575757834773</v>
      </c>
      <c r="P25" s="9">
        <v>1802.2924628014596</v>
      </c>
      <c r="Q25" s="9">
        <v>63647.95832383354</v>
      </c>
      <c r="T25" s="13">
        <f t="shared" si="0"/>
        <v>30805.163788447691</v>
      </c>
      <c r="U25" s="13">
        <f t="shared" si="1"/>
        <v>201.68820925492923</v>
      </c>
    </row>
    <row r="26" spans="1:21" hidden="1" x14ac:dyDescent="0.25">
      <c r="A26">
        <v>2012</v>
      </c>
      <c r="B26" s="9">
        <v>43359.802300000003</v>
      </c>
      <c r="C26" s="9">
        <v>47695.782530000004</v>
      </c>
      <c r="D26" s="9">
        <v>290588.36200000002</v>
      </c>
      <c r="E26" s="9">
        <v>319647.19820000004</v>
      </c>
      <c r="F26" s="9">
        <v>1116.8590347333218</v>
      </c>
      <c r="G26" s="9">
        <v>1674078.8899988569</v>
      </c>
      <c r="H26" s="9">
        <v>59120096.000309631</v>
      </c>
      <c r="I26" s="9">
        <v>3064.3993839534601</v>
      </c>
      <c r="J26" s="9">
        <v>1674078.8899988569</v>
      </c>
      <c r="K26" s="9">
        <v>59120096.000309631</v>
      </c>
      <c r="L26" s="9">
        <v>4181.2584186867816</v>
      </c>
      <c r="M26" s="9">
        <v>3348157.7799977139</v>
      </c>
      <c r="N26" s="9">
        <v>118240192.00061926</v>
      </c>
      <c r="O26" s="9">
        <v>7.2008163301733923</v>
      </c>
      <c r="P26" s="9">
        <v>2008.8946679986282</v>
      </c>
      <c r="Q26" s="9">
        <v>70944.115200371554</v>
      </c>
      <c r="T26" s="13">
        <f t="shared" si="0"/>
        <v>34336.452356486472</v>
      </c>
      <c r="U26" s="13">
        <f t="shared" si="1"/>
        <v>224.80833523579599</v>
      </c>
    </row>
    <row r="27" spans="1:21" hidden="1" x14ac:dyDescent="0.25">
      <c r="A27">
        <v>2013</v>
      </c>
      <c r="B27" s="9">
        <v>48556.156499999997</v>
      </c>
      <c r="C27" s="9">
        <v>53411.772150000004</v>
      </c>
      <c r="D27" s="9">
        <v>333948.1643</v>
      </c>
      <c r="E27" s="9">
        <v>367342.98073000001</v>
      </c>
      <c r="F27" s="9">
        <v>1302.8264648104539</v>
      </c>
      <c r="G27" s="9">
        <v>1952828.6151096914</v>
      </c>
      <c r="H27" s="9">
        <v>68964142.542598754</v>
      </c>
      <c r="I27" s="9">
        <v>3574.6504187224496</v>
      </c>
      <c r="J27" s="9">
        <v>1952828.6151096914</v>
      </c>
      <c r="K27" s="9">
        <v>68964142.542598754</v>
      </c>
      <c r="L27" s="9">
        <v>4877.4768835329032</v>
      </c>
      <c r="M27" s="9">
        <v>3905657.2302193828</v>
      </c>
      <c r="N27" s="9">
        <v>137928285.08519751</v>
      </c>
      <c r="O27" s="9">
        <v>8.3998193070347824</v>
      </c>
      <c r="P27" s="9">
        <v>2343.3943381316294</v>
      </c>
      <c r="Q27" s="9">
        <v>82756.971051118482</v>
      </c>
      <c r="T27" s="13">
        <f t="shared" si="0"/>
        <v>40053.791433415157</v>
      </c>
      <c r="U27" s="13">
        <f t="shared" si="1"/>
        <v>262.2410165890895</v>
      </c>
    </row>
    <row r="28" spans="1:21" hidden="1" x14ac:dyDescent="0.25">
      <c r="A28">
        <v>2014</v>
      </c>
      <c r="B28" s="9">
        <v>61682.212599999999</v>
      </c>
      <c r="C28" s="9">
        <v>67850.433860000005</v>
      </c>
      <c r="D28" s="9">
        <v>382504.32079999999</v>
      </c>
      <c r="E28" s="9">
        <v>420754.75288000004</v>
      </c>
      <c r="F28" s="9">
        <v>1508.5388013111631</v>
      </c>
      <c r="G28" s="9">
        <v>2261174.3142877505</v>
      </c>
      <c r="H28" s="9">
        <v>79853370.909071907</v>
      </c>
      <c r="I28" s="9">
        <v>4139.076848235929</v>
      </c>
      <c r="J28" s="9">
        <v>2261174.3142877505</v>
      </c>
      <c r="K28" s="9">
        <v>79853370.909071907</v>
      </c>
      <c r="L28" s="9">
        <v>5647.6156495470914</v>
      </c>
      <c r="M28" s="9">
        <v>4522348.628575501</v>
      </c>
      <c r="N28" s="9">
        <v>159706741.81814381</v>
      </c>
      <c r="O28" s="9">
        <v>9.7261252292016973</v>
      </c>
      <c r="P28" s="9">
        <v>2713.4091771453004</v>
      </c>
      <c r="Q28" s="9">
        <v>95824.045090886284</v>
      </c>
      <c r="T28" s="13">
        <f t="shared" si="0"/>
        <v>46378.163284948496</v>
      </c>
      <c r="U28" s="13">
        <f t="shared" si="1"/>
        <v>303.64807555354747</v>
      </c>
    </row>
    <row r="29" spans="1:21" hidden="1" x14ac:dyDescent="0.25">
      <c r="A29">
        <v>2015</v>
      </c>
      <c r="B29" s="9">
        <v>61047.183299999997</v>
      </c>
      <c r="C29" s="9">
        <v>67151.901630000008</v>
      </c>
      <c r="D29" s="9">
        <v>444186.53339999996</v>
      </c>
      <c r="E29" s="9">
        <v>488605.18673999998</v>
      </c>
      <c r="F29" s="9">
        <v>1777.0045846779824</v>
      </c>
      <c r="G29" s="9">
        <v>2663582.2159516448</v>
      </c>
      <c r="H29" s="9">
        <v>94064405.956332326</v>
      </c>
      <c r="I29" s="9">
        <v>4875.6840256657115</v>
      </c>
      <c r="J29" s="9">
        <v>2663582.2159516448</v>
      </c>
      <c r="K29" s="9">
        <v>94064405.956332326</v>
      </c>
      <c r="L29" s="9">
        <v>6652.6886103436937</v>
      </c>
      <c r="M29" s="9">
        <v>5327164.4319032896</v>
      </c>
      <c r="N29" s="9">
        <v>188128811.91266465</v>
      </c>
      <c r="O29" s="9">
        <v>11.457026566649514</v>
      </c>
      <c r="P29" s="9">
        <v>3196.2986591419735</v>
      </c>
      <c r="Q29" s="9">
        <v>112877.28714759879</v>
      </c>
      <c r="T29" s="13">
        <f t="shared" si="0"/>
        <v>54631.812396649213</v>
      </c>
      <c r="U29" s="13">
        <f t="shared" si="1"/>
        <v>357.68653873424716</v>
      </c>
    </row>
    <row r="30" spans="1:21" hidden="1" x14ac:dyDescent="0.25">
      <c r="A30">
        <v>2016</v>
      </c>
      <c r="B30" s="9">
        <v>50346.939200000001</v>
      </c>
      <c r="C30" s="9">
        <v>55381.633120000006</v>
      </c>
      <c r="D30" s="9">
        <v>505233.71669999993</v>
      </c>
      <c r="E30" s="9">
        <v>555757.08837000001</v>
      </c>
      <c r="F30" s="9">
        <v>2028.8557946028973</v>
      </c>
      <c r="G30" s="9">
        <v>3041086.2525793673</v>
      </c>
      <c r="H30" s="9">
        <v>107395961.00984035</v>
      </c>
      <c r="I30" s="9">
        <v>5566.7047082589479</v>
      </c>
      <c r="J30" s="9">
        <v>3041086.2525793673</v>
      </c>
      <c r="K30" s="9">
        <v>107395961.00984035</v>
      </c>
      <c r="L30" s="9">
        <v>7595.5605028618447</v>
      </c>
      <c r="M30" s="9">
        <v>6082172.5051587345</v>
      </c>
      <c r="N30" s="9">
        <v>214791922.01968071</v>
      </c>
      <c r="O30" s="9">
        <v>13.080807409891099</v>
      </c>
      <c r="P30" s="9">
        <v>3649.3035030952406</v>
      </c>
      <c r="Q30" s="9">
        <v>128875.15321180841</v>
      </c>
      <c r="T30" s="13">
        <f t="shared" si="0"/>
        <v>62374.666957140071</v>
      </c>
      <c r="U30" s="13">
        <f t="shared" si="1"/>
        <v>408.38071720222206</v>
      </c>
    </row>
    <row r="31" spans="1:21" hidden="1" x14ac:dyDescent="0.25">
      <c r="A31">
        <v>2017</v>
      </c>
      <c r="B31" s="9">
        <v>58990.595500000003</v>
      </c>
      <c r="C31" s="9">
        <v>64889.655050000001</v>
      </c>
      <c r="D31" s="9">
        <v>555580.6558999999</v>
      </c>
      <c r="E31" s="9">
        <v>611138.72148999991</v>
      </c>
      <c r="F31" s="9">
        <v>2209.0894496429814</v>
      </c>
      <c r="G31" s="9">
        <v>3311241.5253457152</v>
      </c>
      <c r="H31" s="9">
        <v>116936494.46758392</v>
      </c>
      <c r="I31" s="9">
        <v>6061.2236084032183</v>
      </c>
      <c r="J31" s="9">
        <v>3311241.5253457152</v>
      </c>
      <c r="K31" s="9">
        <v>116936494.46758392</v>
      </c>
      <c r="L31" s="9">
        <v>8270.3130580461984</v>
      </c>
      <c r="M31" s="9">
        <v>6622483.0506914305</v>
      </c>
      <c r="N31" s="9">
        <v>233872988.93516785</v>
      </c>
      <c r="O31" s="9">
        <v>14.242842551388938</v>
      </c>
      <c r="P31" s="9">
        <v>3973.4898304148578</v>
      </c>
      <c r="Q31" s="9">
        <v>140323.79336110069</v>
      </c>
      <c r="T31" s="13">
        <f t="shared" si="0"/>
        <v>67915.728198406694</v>
      </c>
      <c r="U31" s="13">
        <f t="shared" si="1"/>
        <v>444.65926864242118</v>
      </c>
    </row>
    <row r="32" spans="1:21" hidden="1" x14ac:dyDescent="0.25">
      <c r="A32">
        <v>2018</v>
      </c>
      <c r="B32" s="9">
        <v>89964.604399999997</v>
      </c>
      <c r="C32" s="9">
        <v>98961.064840000006</v>
      </c>
      <c r="D32" s="9">
        <v>614571.25139999995</v>
      </c>
      <c r="E32" s="9">
        <v>676028.37654000008</v>
      </c>
      <c r="F32" s="9">
        <v>2428.4635119360914</v>
      </c>
      <c r="G32" s="9">
        <v>3640065.0162940426</v>
      </c>
      <c r="H32" s="9">
        <v>128548896.0504241</v>
      </c>
      <c r="I32" s="9">
        <v>6663.1346109917331</v>
      </c>
      <c r="J32" s="9">
        <v>3640065.0162940426</v>
      </c>
      <c r="K32" s="9">
        <v>128548896.0504241</v>
      </c>
      <c r="L32" s="9">
        <v>9091.5981229278241</v>
      </c>
      <c r="M32" s="9">
        <v>7280130.0325880852</v>
      </c>
      <c r="N32" s="9">
        <v>257097792.1008482</v>
      </c>
      <c r="O32" s="9">
        <v>15.657230832318133</v>
      </c>
      <c r="P32" s="9">
        <v>4368.0780195528505</v>
      </c>
      <c r="Q32" s="9">
        <v>154258.6752605089</v>
      </c>
      <c r="T32" s="13">
        <f t="shared" si="0"/>
        <v>74660.112945202301</v>
      </c>
      <c r="U32" s="13">
        <f t="shared" si="1"/>
        <v>488.81624477307815</v>
      </c>
    </row>
    <row r="33" spans="1:28" hidden="1" x14ac:dyDescent="0.25">
      <c r="A33">
        <v>2019</v>
      </c>
      <c r="B33" s="9">
        <v>83452.832200000004</v>
      </c>
      <c r="C33" s="9">
        <v>91798.115420000002</v>
      </c>
      <c r="D33" s="9">
        <v>704535.8557999999</v>
      </c>
      <c r="E33" s="9">
        <v>774989.44137999986</v>
      </c>
      <c r="F33" s="9">
        <v>2808.8945863338017</v>
      </c>
      <c r="G33" s="9">
        <v>4210299.5856914781</v>
      </c>
      <c r="H33" s="9">
        <v>148686729.86869454</v>
      </c>
      <c r="I33" s="9">
        <v>7706.9483007824583</v>
      </c>
      <c r="J33" s="9">
        <v>4210299.5856914781</v>
      </c>
      <c r="K33" s="9">
        <v>148686729.86869454</v>
      </c>
      <c r="L33" s="9">
        <v>10515.84288711626</v>
      </c>
      <c r="M33" s="9">
        <v>8420599.1713829562</v>
      </c>
      <c r="N33" s="9">
        <v>297373459.73738909</v>
      </c>
      <c r="O33" s="9">
        <v>18.110015120966114</v>
      </c>
      <c r="P33" s="9">
        <v>5052.3595028297732</v>
      </c>
      <c r="Q33" s="9">
        <v>178424.07584243343</v>
      </c>
      <c r="T33" s="13">
        <f t="shared" si="0"/>
        <v>86355.99671812891</v>
      </c>
      <c r="U33" s="13">
        <f t="shared" si="1"/>
        <v>565.39177834319923</v>
      </c>
    </row>
    <row r="34" spans="1:28" hidden="1" x14ac:dyDescent="0.25">
      <c r="A34">
        <v>2020</v>
      </c>
      <c r="B34" s="9">
        <v>106721.5042</v>
      </c>
      <c r="C34" s="9">
        <v>117393.65462</v>
      </c>
      <c r="D34" s="9">
        <v>787988.68799999985</v>
      </c>
      <c r="E34" s="9">
        <v>866787.5567999999</v>
      </c>
      <c r="F34" s="9">
        <v>3134.6629625237765</v>
      </c>
      <c r="G34" s="9">
        <v>4698599.3125581387</v>
      </c>
      <c r="H34" s="9">
        <v>165931034.72299066</v>
      </c>
      <c r="I34" s="9">
        <v>8600.780360390987</v>
      </c>
      <c r="J34" s="9">
        <v>4698599.3125581387</v>
      </c>
      <c r="K34" s="9">
        <v>165931034.72299066</v>
      </c>
      <c r="L34" s="9">
        <v>11735.443322914763</v>
      </c>
      <c r="M34" s="9">
        <v>9397198.6251162775</v>
      </c>
      <c r="N34" s="9">
        <v>331862069.44598132</v>
      </c>
      <c r="O34" s="9">
        <v>20.21036813792761</v>
      </c>
      <c r="P34" s="9">
        <v>5638.3191750697661</v>
      </c>
      <c r="Q34" s="9">
        <v>199117.24166758877</v>
      </c>
      <c r="T34" s="13">
        <f t="shared" si="0"/>
        <v>96371.343311056728</v>
      </c>
      <c r="U34" s="13">
        <f t="shared" si="1"/>
        <v>630.96446392497785</v>
      </c>
    </row>
    <row r="35" spans="1:28" hidden="1" x14ac:dyDescent="0.25">
      <c r="A35">
        <v>2021</v>
      </c>
      <c r="B35" s="9">
        <v>107972.92019999999</v>
      </c>
      <c r="C35" s="9">
        <v>118770.21222000002</v>
      </c>
      <c r="D35" s="9">
        <v>894710.19219999982</v>
      </c>
      <c r="E35" s="9">
        <v>984181.21141999983</v>
      </c>
      <c r="F35" s="9">
        <v>3573.5720691073484</v>
      </c>
      <c r="G35" s="9">
        <v>5356487.5930923605</v>
      </c>
      <c r="H35" s="9">
        <v>189164359.35005671</v>
      </c>
      <c r="I35" s="9">
        <v>9805.0440624323219</v>
      </c>
      <c r="J35" s="9">
        <v>5356487.5930923605</v>
      </c>
      <c r="K35" s="9">
        <v>189164359.35005671</v>
      </c>
      <c r="L35" s="9">
        <v>13378.616131539669</v>
      </c>
      <c r="M35" s="9">
        <v>10712975.186184721</v>
      </c>
      <c r="N35" s="9">
        <v>378328718.70011342</v>
      </c>
      <c r="O35" s="9">
        <v>23.040182612144982</v>
      </c>
      <c r="P35" s="9">
        <v>6427.7851117108321</v>
      </c>
      <c r="Q35" s="9">
        <v>226997.23122006803</v>
      </c>
      <c r="T35" s="13">
        <f t="shared" si="0"/>
        <v>109865.06199743808</v>
      </c>
      <c r="U35" s="13">
        <f t="shared" si="1"/>
        <v>719.31081964429507</v>
      </c>
    </row>
    <row r="36" spans="1:28" hidden="1" x14ac:dyDescent="0.25">
      <c r="A36">
        <v>2022</v>
      </c>
      <c r="B36" s="9">
        <v>97339.617199999993</v>
      </c>
      <c r="C36" s="9">
        <v>107073.57892</v>
      </c>
      <c r="D36" s="9">
        <v>1002683.1123999998</v>
      </c>
      <c r="E36" s="9">
        <v>1102951.4236399999</v>
      </c>
      <c r="F36" s="9">
        <v>3998.0146350355831</v>
      </c>
      <c r="G36" s="9">
        <v>5992691.7312511811</v>
      </c>
      <c r="H36" s="9">
        <v>211631908.48913544</v>
      </c>
      <c r="I36" s="9">
        <v>10969.614968074566</v>
      </c>
      <c r="J36" s="9">
        <v>5992691.7312511811</v>
      </c>
      <c r="K36" s="9">
        <v>211631908.48913544</v>
      </c>
      <c r="L36" s="9">
        <v>14967.629603110148</v>
      </c>
      <c r="M36" s="9">
        <v>11985383.462502362</v>
      </c>
      <c r="N36" s="9">
        <v>423263816.97827089</v>
      </c>
      <c r="O36" s="9">
        <v>25.776725779104726</v>
      </c>
      <c r="P36" s="9">
        <v>7191.2300775014164</v>
      </c>
      <c r="Q36" s="9">
        <v>253958.29018696249</v>
      </c>
      <c r="T36" s="13">
        <f t="shared" si="0"/>
        <v>122914.0247490709</v>
      </c>
      <c r="U36" s="13">
        <f t="shared" si="1"/>
        <v>804.7452600545115</v>
      </c>
    </row>
    <row r="37" spans="1:28" hidden="1" x14ac:dyDescent="0.25">
      <c r="A37">
        <v>2023</v>
      </c>
      <c r="B37" s="9">
        <v>97339.617199999993</v>
      </c>
      <c r="C37" s="9">
        <v>107073.57892</v>
      </c>
      <c r="D37" s="9">
        <v>1100022.7295999997</v>
      </c>
      <c r="E37" s="9">
        <v>1210025.0025599997</v>
      </c>
      <c r="F37" s="9">
        <v>4342.7934658113381</v>
      </c>
      <c r="G37" s="9">
        <v>6509486.5499079498</v>
      </c>
      <c r="H37" s="9">
        <v>229882517.50999925</v>
      </c>
      <c r="I37" s="9">
        <v>11915.607258750439</v>
      </c>
      <c r="J37" s="9">
        <v>6509486.5499079498</v>
      </c>
      <c r="K37" s="9">
        <v>229882517.50999925</v>
      </c>
      <c r="L37" s="9">
        <v>16258.400724561776</v>
      </c>
      <c r="M37" s="9">
        <v>13018973.0998159</v>
      </c>
      <c r="N37" s="9">
        <v>459765035.01999849</v>
      </c>
      <c r="O37" s="9">
        <v>27.999646450146219</v>
      </c>
      <c r="P37" s="9">
        <v>7811.3838598895391</v>
      </c>
      <c r="Q37" s="9">
        <v>275859.02101199905</v>
      </c>
      <c r="T37" s="13">
        <f t="shared" si="0"/>
        <v>133513.82430146792</v>
      </c>
      <c r="U37" s="13">
        <f t="shared" si="1"/>
        <v>874.14448821202848</v>
      </c>
    </row>
    <row r="38" spans="1:28" hidden="1" x14ac:dyDescent="0.25">
      <c r="A38">
        <v>2024</v>
      </c>
      <c r="B38" s="9">
        <v>12145.076400000369</v>
      </c>
      <c r="C38" s="9">
        <v>13359.584040000407</v>
      </c>
      <c r="D38" s="9">
        <v>1197362.3467999997</v>
      </c>
      <c r="E38" s="9">
        <v>1317098.5814799997</v>
      </c>
      <c r="F38" s="9">
        <v>4670.7572345901917</v>
      </c>
      <c r="G38" s="9">
        <v>7001076.9878437817</v>
      </c>
      <c r="H38" s="9">
        <v>247243033.82570314</v>
      </c>
      <c r="I38" s="9">
        <v>12815.462960992167</v>
      </c>
      <c r="J38" s="9">
        <v>7001076.9878437817</v>
      </c>
      <c r="K38" s="9">
        <v>247243033.82570314</v>
      </c>
      <c r="L38" s="9">
        <v>17486.220195582358</v>
      </c>
      <c r="M38" s="9">
        <v>14002153.975687563</v>
      </c>
      <c r="N38" s="9">
        <v>494486067.65140629</v>
      </c>
      <c r="O38" s="9">
        <v>30.114154000771777</v>
      </c>
      <c r="P38" s="9">
        <v>8401.2923854125365</v>
      </c>
      <c r="Q38" s="9">
        <v>296691.64059084369</v>
      </c>
      <c r="T38" s="13">
        <f t="shared" si="0"/>
        <v>143596.66552951752</v>
      </c>
      <c r="U38" s="13">
        <f t="shared" si="1"/>
        <v>940.15907607309737</v>
      </c>
    </row>
    <row r="39" spans="1:28" x14ac:dyDescent="0.25">
      <c r="A39">
        <v>2025</v>
      </c>
      <c r="B39" s="9">
        <v>0</v>
      </c>
      <c r="C39" s="9">
        <v>0</v>
      </c>
      <c r="D39" s="9">
        <v>1209507.4232000001</v>
      </c>
      <c r="E39" s="9">
        <v>1330458.16552</v>
      </c>
      <c r="F39" s="14">
        <v>4510.3081771732586</v>
      </c>
      <c r="G39" s="14">
        <v>6760577.1829547631</v>
      </c>
      <c r="H39" s="14">
        <v>238749783.21604744</v>
      </c>
      <c r="I39" s="14">
        <v>12375.228358939848</v>
      </c>
      <c r="J39" s="9">
        <v>6760577.1829547631</v>
      </c>
      <c r="K39" s="9">
        <v>238749783.21604744</v>
      </c>
      <c r="L39" s="9">
        <v>16885.536536113104</v>
      </c>
      <c r="M39" s="9">
        <v>13521154.365909526</v>
      </c>
      <c r="N39" s="9">
        <v>477499566.43209487</v>
      </c>
      <c r="O39" s="9">
        <v>29.079677708887139</v>
      </c>
      <c r="P39" s="9">
        <v>8112.6926195457154</v>
      </c>
      <c r="Q39" s="9">
        <v>286499.73985925689</v>
      </c>
      <c r="T39" s="13">
        <f>F39*28+I39</f>
        <v>138663.8573197911</v>
      </c>
      <c r="U39" s="13">
        <f t="shared" si="1"/>
        <v>907.86289153565838</v>
      </c>
      <c r="Z39" s="9"/>
      <c r="AA39" s="9"/>
      <c r="AB39" s="9"/>
    </row>
    <row r="40" spans="1:28" x14ac:dyDescent="0.25">
      <c r="A40">
        <v>2026</v>
      </c>
      <c r="B40" s="9">
        <v>0</v>
      </c>
      <c r="C40" s="9">
        <v>0</v>
      </c>
      <c r="D40" s="9">
        <v>1209507.4232000001</v>
      </c>
      <c r="E40" s="9">
        <v>1330458.16552</v>
      </c>
      <c r="F40" s="14">
        <v>4290.3378516933826</v>
      </c>
      <c r="G40" s="14">
        <v>6430859.9430347169</v>
      </c>
      <c r="H40" s="14">
        <v>227105818.888271</v>
      </c>
      <c r="I40" s="14">
        <v>11771.681349939265</v>
      </c>
      <c r="J40" s="9">
        <v>6430859.9430347169</v>
      </c>
      <c r="K40" s="9">
        <v>227105818.888271</v>
      </c>
      <c r="L40" s="9">
        <v>16062.019201632647</v>
      </c>
      <c r="M40" s="9">
        <v>12861719.886069434</v>
      </c>
      <c r="N40" s="9">
        <v>454211637.77654201</v>
      </c>
      <c r="O40" s="9">
        <v>27.661445091690954</v>
      </c>
      <c r="P40" s="9">
        <v>7717.0319316416599</v>
      </c>
      <c r="Q40" s="9">
        <v>272526.98266592523</v>
      </c>
      <c r="T40" s="13">
        <f t="shared" si="0"/>
        <v>131901.14119735398</v>
      </c>
      <c r="U40" s="13">
        <f t="shared" si="1"/>
        <v>863.58589584101833</v>
      </c>
    </row>
    <row r="41" spans="1:28" x14ac:dyDescent="0.25">
      <c r="A41">
        <v>2027</v>
      </c>
      <c r="B41" s="9">
        <v>0</v>
      </c>
      <c r="C41" s="9">
        <v>0</v>
      </c>
      <c r="D41" s="9">
        <v>1209507.4232000001</v>
      </c>
      <c r="E41" s="9">
        <v>1330458.16552</v>
      </c>
      <c r="F41" s="14">
        <v>4081.095605579927</v>
      </c>
      <c r="G41" s="14">
        <v>6117223.2026576092</v>
      </c>
      <c r="H41" s="14">
        <v>216029737.40185344</v>
      </c>
      <c r="I41" s="14">
        <v>11197.569675908517</v>
      </c>
      <c r="J41" s="9">
        <v>6117223.2026576092</v>
      </c>
      <c r="K41" s="9">
        <v>216029737.40185344</v>
      </c>
      <c r="L41" s="9">
        <v>15278.665281488444</v>
      </c>
      <c r="M41" s="9">
        <v>12234446.405315218</v>
      </c>
      <c r="N41" s="9">
        <v>432059474.80370688</v>
      </c>
      <c r="O41" s="9">
        <v>26.312380495427288</v>
      </c>
      <c r="P41" s="9">
        <v>7340.6678431891305</v>
      </c>
      <c r="Q41" s="9">
        <v>259235.68488222413</v>
      </c>
      <c r="T41" s="13">
        <f t="shared" si="0"/>
        <v>125468.24663214647</v>
      </c>
      <c r="U41" s="13">
        <f t="shared" si="1"/>
        <v>821.46831470778557</v>
      </c>
    </row>
    <row r="42" spans="1:28" x14ac:dyDescent="0.25">
      <c r="A42">
        <v>2028</v>
      </c>
      <c r="B42" s="9">
        <v>0</v>
      </c>
      <c r="C42" s="9">
        <v>0</v>
      </c>
      <c r="D42" s="9">
        <v>1209507.4232000001</v>
      </c>
      <c r="E42" s="9">
        <v>1330458.16552</v>
      </c>
      <c r="F42" s="14">
        <v>3882.0582242281871</v>
      </c>
      <c r="G42" s="14">
        <v>5818882.7066064123</v>
      </c>
      <c r="H42" s="14">
        <v>205493842.78380543</v>
      </c>
      <c r="I42" s="14">
        <v>10651.457758621105</v>
      </c>
      <c r="J42" s="9">
        <v>5818882.7066064123</v>
      </c>
      <c r="K42" s="9">
        <v>205493842.78380543</v>
      </c>
      <c r="L42" s="9">
        <v>14533.515982849292</v>
      </c>
      <c r="M42" s="9">
        <v>11637765.413212825</v>
      </c>
      <c r="N42" s="9">
        <v>410987685.56761086</v>
      </c>
      <c r="O42" s="9">
        <v>25.029110555909114</v>
      </c>
      <c r="P42" s="9">
        <v>6982.6592479276942</v>
      </c>
      <c r="Q42" s="9">
        <v>246592.61134056651</v>
      </c>
      <c r="T42" s="13">
        <f t="shared" si="0"/>
        <v>119349.08803701034</v>
      </c>
      <c r="U42" s="13">
        <f t="shared" si="1"/>
        <v>781.40483224505829</v>
      </c>
    </row>
    <row r="43" spans="1:28" x14ac:dyDescent="0.25">
      <c r="A43">
        <v>2029</v>
      </c>
      <c r="B43" s="9">
        <v>0</v>
      </c>
      <c r="C43" s="9">
        <v>0</v>
      </c>
      <c r="D43" s="9">
        <v>1209507.4232000001</v>
      </c>
      <c r="E43" s="9">
        <v>1330458.16552</v>
      </c>
      <c r="F43" s="14">
        <v>3692.7280105108421</v>
      </c>
      <c r="G43" s="14">
        <v>5535092.4482423747</v>
      </c>
      <c r="H43" s="14">
        <v>195471789.80967945</v>
      </c>
      <c r="I43" s="14">
        <v>10131.98003382682</v>
      </c>
      <c r="J43" s="9">
        <v>5535092.4482423747</v>
      </c>
      <c r="K43" s="9">
        <v>195471789.80967945</v>
      </c>
      <c r="L43" s="9">
        <v>13824.708044337662</v>
      </c>
      <c r="M43" s="9">
        <v>11070184.896484749</v>
      </c>
      <c r="N43" s="9">
        <v>390943579.6193589</v>
      </c>
      <c r="O43" s="9">
        <v>23.808426429862173</v>
      </c>
      <c r="P43" s="9">
        <v>6642.1109378908486</v>
      </c>
      <c r="Q43" s="9">
        <v>234566.1477716153</v>
      </c>
      <c r="T43" s="13">
        <f t="shared" si="0"/>
        <v>113528.3643281304</v>
      </c>
      <c r="U43" s="13">
        <f t="shared" si="1"/>
        <v>743.29526887854377</v>
      </c>
    </row>
    <row r="44" spans="1:28" x14ac:dyDescent="0.25">
      <c r="A44">
        <v>2030</v>
      </c>
      <c r="B44" s="9">
        <v>0</v>
      </c>
      <c r="C44" s="9">
        <v>0</v>
      </c>
      <c r="D44" s="9">
        <v>1209507.4232000001</v>
      </c>
      <c r="E44" s="9">
        <v>1330458.16552</v>
      </c>
      <c r="F44" s="14">
        <v>3512.6315402758946</v>
      </c>
      <c r="G44" s="14">
        <v>5265142.804099842</v>
      </c>
      <c r="H44" s="14">
        <v>185938518.1267859</v>
      </c>
      <c r="I44" s="14">
        <v>9637.8375366298096</v>
      </c>
      <c r="J44" s="9">
        <v>5265142.804099842</v>
      </c>
      <c r="K44" s="9">
        <v>185938518.1267859</v>
      </c>
      <c r="L44" s="9">
        <v>13150.469076905705</v>
      </c>
      <c r="M44" s="9">
        <v>10530285.608199684</v>
      </c>
      <c r="N44" s="9">
        <v>371877036.25357181</v>
      </c>
      <c r="O44" s="9">
        <v>22.647275771145381</v>
      </c>
      <c r="P44" s="9">
        <v>6318.17136491981</v>
      </c>
      <c r="Q44" s="9">
        <v>223126.22175214309</v>
      </c>
      <c r="T44" s="13">
        <f t="shared" si="0"/>
        <v>107991.52066435486</v>
      </c>
      <c r="U44" s="13">
        <f t="shared" si="1"/>
        <v>707.04433084944071</v>
      </c>
    </row>
    <row r="45" spans="1:28" x14ac:dyDescent="0.25">
      <c r="A45">
        <v>2031</v>
      </c>
      <c r="B45" s="9">
        <v>0</v>
      </c>
      <c r="C45" s="9">
        <v>0</v>
      </c>
      <c r="D45" s="9">
        <v>1209507.4232000001</v>
      </c>
      <c r="E45" s="9">
        <v>1330458.16552</v>
      </c>
      <c r="F45" s="14">
        <v>3341.3184785396961</v>
      </c>
      <c r="G45" s="14">
        <v>5008358.7594579682</v>
      </c>
      <c r="H45" s="14">
        <v>176870189.59025812</v>
      </c>
      <c r="I45" s="14">
        <v>9167.7946533997529</v>
      </c>
      <c r="J45" s="9">
        <v>5008358.7594579682</v>
      </c>
      <c r="K45" s="9">
        <v>176870189.59025812</v>
      </c>
      <c r="L45" s="9">
        <v>12509.113131939448</v>
      </c>
      <c r="M45" s="9">
        <v>10016717.518915936</v>
      </c>
      <c r="N45" s="9">
        <v>353740379.18051624</v>
      </c>
      <c r="O45" s="9">
        <v>21.542755098295586</v>
      </c>
      <c r="P45" s="9">
        <v>6010.0305113495615</v>
      </c>
      <c r="Q45" s="9">
        <v>212244.22750830976</v>
      </c>
      <c r="T45" s="13">
        <f t="shared" si="0"/>
        <v>102724.71205251126</v>
      </c>
      <c r="U45" s="13">
        <f t="shared" si="1"/>
        <v>672.56137193040581</v>
      </c>
    </row>
    <row r="46" spans="1:28" x14ac:dyDescent="0.25">
      <c r="A46">
        <v>2032</v>
      </c>
      <c r="B46" s="9">
        <v>0</v>
      </c>
      <c r="C46" s="9">
        <v>0</v>
      </c>
      <c r="D46" s="9">
        <v>1209507.4232000001</v>
      </c>
      <c r="E46" s="9">
        <v>1330458.16552</v>
      </c>
      <c r="F46" s="14">
        <v>3178.3604534149167</v>
      </c>
      <c r="G46" s="14">
        <v>4764098.2204523133</v>
      </c>
      <c r="H46" s="14">
        <v>168244128.65527344</v>
      </c>
      <c r="I46" s="14">
        <v>8720.6760320941703</v>
      </c>
      <c r="J46" s="9">
        <v>4764098.2204523133</v>
      </c>
      <c r="K46" s="9">
        <v>168244128.65527344</v>
      </c>
      <c r="L46" s="9">
        <v>11899.036485509087</v>
      </c>
      <c r="M46" s="9">
        <v>9528196.4409046266</v>
      </c>
      <c r="N46" s="9">
        <v>336488257.31054688</v>
      </c>
      <c r="O46" s="9">
        <v>20.492102534311531</v>
      </c>
      <c r="P46" s="9">
        <v>5716.9178645427755</v>
      </c>
      <c r="Q46" s="9">
        <v>201892.95438632811</v>
      </c>
      <c r="T46" s="13">
        <f t="shared" si="0"/>
        <v>97714.768727711838</v>
      </c>
      <c r="U46" s="13">
        <f t="shared" si="1"/>
        <v>639.76016676277072</v>
      </c>
    </row>
    <row r="47" spans="1:28" x14ac:dyDescent="0.25">
      <c r="A47">
        <v>2033</v>
      </c>
      <c r="B47" s="9">
        <v>0</v>
      </c>
      <c r="C47" s="9">
        <v>0</v>
      </c>
      <c r="D47" s="9">
        <v>1209507.4232000001</v>
      </c>
      <c r="E47" s="9">
        <v>1330458.16552</v>
      </c>
      <c r="F47" s="14">
        <v>3023.3499849576992</v>
      </c>
      <c r="G47" s="14">
        <v>4531750.4085057294</v>
      </c>
      <c r="H47" s="14">
        <v>160038765.67637983</v>
      </c>
      <c r="I47" s="14">
        <v>8295.3636432661078</v>
      </c>
      <c r="J47" s="9">
        <v>4531750.4085057294</v>
      </c>
      <c r="K47" s="9">
        <v>160038765.67637983</v>
      </c>
      <c r="L47" s="9">
        <v>11318.713628223806</v>
      </c>
      <c r="M47" s="9">
        <v>9063500.8170114588</v>
      </c>
      <c r="N47" s="9">
        <v>320077531.35275966</v>
      </c>
      <c r="O47" s="9">
        <v>19.492690900522781</v>
      </c>
      <c r="P47" s="9">
        <v>5438.1004902068744</v>
      </c>
      <c r="Q47" s="9">
        <v>192046.51881165575</v>
      </c>
      <c r="T47" s="13">
        <f t="shared" si="0"/>
        <v>92949.163222081697</v>
      </c>
      <c r="U47" s="13">
        <f t="shared" si="1"/>
        <v>608.55869524823117</v>
      </c>
    </row>
    <row r="48" spans="1:28" x14ac:dyDescent="0.25">
      <c r="A48">
        <v>2034</v>
      </c>
      <c r="B48" s="9">
        <v>0</v>
      </c>
      <c r="C48" s="9">
        <v>0</v>
      </c>
      <c r="D48" s="9">
        <v>1209507.4232000001</v>
      </c>
      <c r="E48" s="9">
        <v>1330458.16552</v>
      </c>
      <c r="F48" s="14">
        <v>2875.8994662555551</v>
      </c>
      <c r="G48" s="14">
        <v>4310734.3330637813</v>
      </c>
      <c r="H48" s="14">
        <v>152233582.97214743</v>
      </c>
      <c r="I48" s="14">
        <v>7890.7939844081666</v>
      </c>
      <c r="J48" s="9">
        <v>4310734.3330637813</v>
      </c>
      <c r="K48" s="9">
        <v>152233582.97214743</v>
      </c>
      <c r="L48" s="9">
        <v>10766.693450663721</v>
      </c>
      <c r="M48" s="9">
        <v>8621468.6661275625</v>
      </c>
      <c r="N48" s="9">
        <v>304467165.94429487</v>
      </c>
      <c r="O48" s="9">
        <v>18.542021147274593</v>
      </c>
      <c r="P48" s="9">
        <v>5172.8811996765371</v>
      </c>
      <c r="Q48" s="9">
        <v>182680.2995665769</v>
      </c>
      <c r="T48" s="13">
        <f t="shared" si="0"/>
        <v>88415.97903956371</v>
      </c>
      <c r="U48" s="13">
        <f t="shared" si="1"/>
        <v>578.87893745588042</v>
      </c>
    </row>
    <row r="49" spans="1:21" x14ac:dyDescent="0.25">
      <c r="A49">
        <v>2035</v>
      </c>
      <c r="B49" s="9">
        <v>0</v>
      </c>
      <c r="C49" s="9">
        <v>0</v>
      </c>
      <c r="D49" s="9">
        <v>1209507.4232000001</v>
      </c>
      <c r="E49" s="9">
        <v>1330458.16552</v>
      </c>
      <c r="F49" s="14">
        <v>2735.640194208182</v>
      </c>
      <c r="G49" s="14">
        <v>4100497.3388157296</v>
      </c>
      <c r="H49" s="14">
        <v>144809063.52027747</v>
      </c>
      <c r="I49" s="14">
        <v>7505.9554206422763</v>
      </c>
      <c r="J49" s="9">
        <v>4100497.3388157296</v>
      </c>
      <c r="K49" s="9">
        <v>144809063.52027747</v>
      </c>
      <c r="L49" s="9">
        <v>10241.595614850457</v>
      </c>
      <c r="M49" s="9">
        <v>8200994.6776314592</v>
      </c>
      <c r="N49" s="9">
        <v>289618127.04055494</v>
      </c>
      <c r="O49" s="9">
        <v>17.637716105002077</v>
      </c>
      <c r="P49" s="9">
        <v>4920.5968065788747</v>
      </c>
      <c r="Q49" s="9">
        <v>173770.87622433295</v>
      </c>
      <c r="T49" s="13">
        <f t="shared" si="0"/>
        <v>84103.88085847137</v>
      </c>
      <c r="U49" s="13">
        <f t="shared" si="1"/>
        <v>550.64667853174183</v>
      </c>
    </row>
    <row r="50" spans="1:21" x14ac:dyDescent="0.25">
      <c r="A50">
        <v>2036</v>
      </c>
      <c r="B50" s="9">
        <v>0</v>
      </c>
      <c r="C50" s="9">
        <v>0</v>
      </c>
      <c r="D50" s="9">
        <v>1209507.4232000001</v>
      </c>
      <c r="E50" s="9">
        <v>1330458.16552</v>
      </c>
      <c r="F50" s="14">
        <v>2602.2214475776705</v>
      </c>
      <c r="G50" s="14">
        <v>3900513.7237683954</v>
      </c>
      <c r="H50" s="14">
        <v>137746642.15488088</v>
      </c>
      <c r="I50" s="14">
        <v>7139.8856551055669</v>
      </c>
      <c r="J50" s="9">
        <v>3900513.7237683954</v>
      </c>
      <c r="K50" s="9">
        <v>137746642.15488088</v>
      </c>
      <c r="L50" s="9">
        <v>9742.107102683236</v>
      </c>
      <c r="M50" s="9">
        <v>7801027.4475367907</v>
      </c>
      <c r="N50" s="9">
        <v>275493284.30976176</v>
      </c>
      <c r="O50" s="9">
        <v>16.777514540068101</v>
      </c>
      <c r="P50" s="9">
        <v>4680.6164685220738</v>
      </c>
      <c r="Q50" s="9">
        <v>165295.97058585702</v>
      </c>
      <c r="T50" s="13">
        <f t="shared" si="0"/>
        <v>80002.086187280336</v>
      </c>
      <c r="U50" s="13">
        <f t="shared" si="1"/>
        <v>523.7913231229785</v>
      </c>
    </row>
    <row r="51" spans="1:21" x14ac:dyDescent="0.25">
      <c r="A51">
        <v>2037</v>
      </c>
      <c r="B51" s="9">
        <v>0</v>
      </c>
      <c r="C51" s="9">
        <v>0</v>
      </c>
      <c r="D51" s="9">
        <v>1209507.4232000001</v>
      </c>
      <c r="E51" s="9">
        <v>1330458.16552</v>
      </c>
      <c r="F51" s="14">
        <v>2475.3096100027224</v>
      </c>
      <c r="G51" s="14">
        <v>3710283.4247173481</v>
      </c>
      <c r="H51" s="14">
        <v>131028659.14389314</v>
      </c>
      <c r="I51" s="14">
        <v>6791.6693227069718</v>
      </c>
      <c r="J51" s="9">
        <v>3710283.4247173481</v>
      </c>
      <c r="K51" s="9">
        <v>131028659.14389314</v>
      </c>
      <c r="L51" s="9">
        <v>9266.9789327096933</v>
      </c>
      <c r="M51" s="9">
        <v>7420566.8494346961</v>
      </c>
      <c r="N51" s="9">
        <v>262057318.28778628</v>
      </c>
      <c r="O51" s="9">
        <v>15.959265500501344</v>
      </c>
      <c r="P51" s="9">
        <v>4452.3401096608177</v>
      </c>
      <c r="Q51" s="9">
        <v>157234.39097267177</v>
      </c>
      <c r="T51" s="13">
        <f t="shared" si="0"/>
        <v>76100.338402783207</v>
      </c>
      <c r="U51" s="13">
        <f t="shared" si="1"/>
        <v>498.24571885273838</v>
      </c>
    </row>
    <row r="52" spans="1:21" x14ac:dyDescent="0.25">
      <c r="A52">
        <v>2038</v>
      </c>
      <c r="B52" s="9">
        <v>0</v>
      </c>
      <c r="C52" s="9">
        <v>0</v>
      </c>
      <c r="D52" s="9">
        <v>1209507.4232000001</v>
      </c>
      <c r="E52" s="9">
        <v>1330458.16552</v>
      </c>
      <c r="F52" s="14">
        <v>2354.587335783976</v>
      </c>
      <c r="G52" s="14">
        <v>3529330.7668284206</v>
      </c>
      <c r="H52" s="14">
        <v>124638316.03054567</v>
      </c>
      <c r="I52" s="14">
        <v>6460.4357012377059</v>
      </c>
      <c r="J52" s="9">
        <v>3529330.7668284206</v>
      </c>
      <c r="K52" s="9">
        <v>124638316.03054567</v>
      </c>
      <c r="L52" s="9">
        <v>8815.0230370216814</v>
      </c>
      <c r="M52" s="9">
        <v>7058661.5336568411</v>
      </c>
      <c r="N52" s="9">
        <v>249276632.06109133</v>
      </c>
      <c r="O52" s="9">
        <v>15.180922937495989</v>
      </c>
      <c r="P52" s="9">
        <v>4235.1969201941047</v>
      </c>
      <c r="Q52" s="9">
        <v>149565.97923665479</v>
      </c>
      <c r="T52" s="13">
        <f t="shared" si="0"/>
        <v>72388.881103189022</v>
      </c>
      <c r="U52" s="13">
        <f t="shared" si="1"/>
        <v>473.94598840423481</v>
      </c>
    </row>
    <row r="53" spans="1:21" x14ac:dyDescent="0.25">
      <c r="A53">
        <v>2039</v>
      </c>
      <c r="B53" s="9">
        <v>0</v>
      </c>
      <c r="C53" s="9">
        <v>0</v>
      </c>
      <c r="D53" s="9">
        <v>1209507.4232000001</v>
      </c>
      <c r="E53" s="9">
        <v>1330458.16552</v>
      </c>
      <c r="F53" s="14">
        <v>2239.7527563544609</v>
      </c>
      <c r="G53" s="14">
        <v>3357203.2742028623</v>
      </c>
      <c r="H53" s="14">
        <v>118559633.62847407</v>
      </c>
      <c r="I53" s="14">
        <v>6145.3565341122103</v>
      </c>
      <c r="J53" s="9">
        <v>3357203.2742028623</v>
      </c>
      <c r="K53" s="9">
        <v>118559633.62847407</v>
      </c>
      <c r="L53" s="9">
        <v>8385.1092904666712</v>
      </c>
      <c r="M53" s="9">
        <v>6714406.5484057246</v>
      </c>
      <c r="N53" s="9">
        <v>237119267.25694814</v>
      </c>
      <c r="O53" s="9">
        <v>14.440540589223998</v>
      </c>
      <c r="P53" s="9">
        <v>4028.6439290434346</v>
      </c>
      <c r="Q53" s="9">
        <v>142271.56035416888</v>
      </c>
      <c r="T53" s="13">
        <f t="shared" si="0"/>
        <v>68858.43371203712</v>
      </c>
      <c r="U53" s="13">
        <f t="shared" si="1"/>
        <v>450.83136979418236</v>
      </c>
    </row>
    <row r="54" spans="1:21" x14ac:dyDescent="0.25">
      <c r="A54">
        <v>2040</v>
      </c>
      <c r="B54" s="9">
        <v>0</v>
      </c>
      <c r="C54" s="9">
        <v>0</v>
      </c>
      <c r="D54" s="9">
        <v>1209507.4232000001</v>
      </c>
      <c r="E54" s="9">
        <v>1330458.16552</v>
      </c>
      <c r="F54" s="14">
        <v>2130.5187254509424</v>
      </c>
      <c r="G54" s="14">
        <v>3193470.5384519021</v>
      </c>
      <c r="H54" s="14">
        <v>112777412.06542891</v>
      </c>
      <c r="I54" s="14">
        <v>5845.6439592952611</v>
      </c>
      <c r="J54" s="9">
        <v>3193470.5384519021</v>
      </c>
      <c r="K54" s="9">
        <v>112777412.06542891</v>
      </c>
      <c r="L54" s="9">
        <v>7976.162684746203</v>
      </c>
      <c r="M54" s="9">
        <v>6386941.0769038042</v>
      </c>
      <c r="N54" s="9">
        <v>225554824.13085783</v>
      </c>
      <c r="O54" s="9">
        <v>13.736267114166749</v>
      </c>
      <c r="P54" s="9">
        <v>3832.164646142282</v>
      </c>
      <c r="Q54" s="9">
        <v>135332.89447851467</v>
      </c>
      <c r="T54" s="13">
        <f t="shared" si="0"/>
        <v>65500.168271921648</v>
      </c>
      <c r="U54" s="13">
        <f t="shared" si="1"/>
        <v>428.84406443618872</v>
      </c>
    </row>
    <row r="55" spans="1:21" x14ac:dyDescent="0.25">
      <c r="A55">
        <v>2041</v>
      </c>
      <c r="B55" s="9">
        <v>0</v>
      </c>
      <c r="C55" s="9">
        <v>0</v>
      </c>
      <c r="D55" s="9">
        <v>1209507.4232000001</v>
      </c>
      <c r="E55" s="9">
        <v>1330458.16552</v>
      </c>
      <c r="F55" s="14">
        <v>2026.6121010986949</v>
      </c>
      <c r="G55" s="14">
        <v>3037723.1424515885</v>
      </c>
      <c r="H55" s="14">
        <v>107277192.77567784</v>
      </c>
      <c r="I55" s="14">
        <v>5560.5485392365072</v>
      </c>
      <c r="J55" s="9">
        <v>3037723.1424515885</v>
      </c>
      <c r="K55" s="9">
        <v>107277192.77567784</v>
      </c>
      <c r="L55" s="9">
        <v>7587.1606403352016</v>
      </c>
      <c r="M55" s="9">
        <v>6075446.2849031771</v>
      </c>
      <c r="N55" s="9">
        <v>214554385.55135569</v>
      </c>
      <c r="O55" s="9">
        <v>13.066341461796922</v>
      </c>
      <c r="P55" s="9">
        <v>3645.2677709419058</v>
      </c>
      <c r="Q55" s="9">
        <v>128732.6313308134</v>
      </c>
      <c r="T55" s="13">
        <f t="shared" si="0"/>
        <v>62305.687369999963</v>
      </c>
      <c r="U55" s="13">
        <f t="shared" si="1"/>
        <v>407.92909261418299</v>
      </c>
    </row>
    <row r="56" spans="1:21" x14ac:dyDescent="0.25">
      <c r="A56">
        <v>2042</v>
      </c>
      <c r="B56" s="9">
        <v>0</v>
      </c>
      <c r="C56" s="9">
        <v>0</v>
      </c>
      <c r="D56" s="9">
        <v>1209507.4232000001</v>
      </c>
      <c r="E56" s="9">
        <v>1330458.16552</v>
      </c>
      <c r="F56" s="14">
        <v>1927.7730626142938</v>
      </c>
      <c r="G56" s="14">
        <v>2889571.6365867243</v>
      </c>
      <c r="H56" s="14">
        <v>102045222.34606016</v>
      </c>
      <c r="I56" s="14">
        <v>5289.3573868862277</v>
      </c>
      <c r="J56" s="9">
        <v>2889571.6365867243</v>
      </c>
      <c r="K56" s="9">
        <v>102045222.34606016</v>
      </c>
      <c r="L56" s="9">
        <v>7217.1304495005206</v>
      </c>
      <c r="M56" s="9">
        <v>5779143.2731734486</v>
      </c>
      <c r="N56" s="9">
        <v>204090444.69212031</v>
      </c>
      <c r="O56" s="9">
        <v>12.429088469034902</v>
      </c>
      <c r="P56" s="9">
        <v>3467.4859639040687</v>
      </c>
      <c r="Q56" s="9">
        <v>122454.26681527217</v>
      </c>
      <c r="T56" s="13">
        <f t="shared" si="0"/>
        <v>59267.003140086454</v>
      </c>
      <c r="U56" s="13">
        <f t="shared" si="1"/>
        <v>388.03415600448761</v>
      </c>
    </row>
    <row r="57" spans="1:21" x14ac:dyDescent="0.25">
      <c r="A57">
        <v>2043</v>
      </c>
      <c r="B57" s="9">
        <v>0</v>
      </c>
      <c r="C57" s="9">
        <v>0</v>
      </c>
      <c r="D57" s="9">
        <v>1209507.4232000001</v>
      </c>
      <c r="E57" s="9">
        <v>1330458.16552</v>
      </c>
      <c r="F57" s="14">
        <v>1833.7544609185741</v>
      </c>
      <c r="G57" s="14">
        <v>2748645.5649239765</v>
      </c>
      <c r="H57" s="14">
        <v>97068418.12529023</v>
      </c>
      <c r="I57" s="14">
        <v>5031.3923831063876</v>
      </c>
      <c r="J57" s="9">
        <v>2748645.5649239765</v>
      </c>
      <c r="K57" s="9">
        <v>97068418.12529023</v>
      </c>
      <c r="L57" s="9">
        <v>6865.146844024961</v>
      </c>
      <c r="M57" s="9">
        <v>5497291.1298479531</v>
      </c>
      <c r="N57" s="9">
        <v>194136836.25058046</v>
      </c>
      <c r="O57" s="9">
        <v>11.822914671468531</v>
      </c>
      <c r="P57" s="9">
        <v>3298.3746779087714</v>
      </c>
      <c r="Q57" s="9">
        <v>116482.10175034826</v>
      </c>
      <c r="T57" s="13">
        <f t="shared" si="0"/>
        <v>56376.517288826464</v>
      </c>
      <c r="U57" s="13">
        <f t="shared" si="1"/>
        <v>369.10950690276917</v>
      </c>
    </row>
    <row r="58" spans="1:21" x14ac:dyDescent="0.25">
      <c r="A58">
        <v>2044</v>
      </c>
      <c r="B58" s="9">
        <v>0</v>
      </c>
      <c r="C58" s="9">
        <v>0</v>
      </c>
      <c r="D58" s="9">
        <v>1209507.4232000001</v>
      </c>
      <c r="E58" s="9">
        <v>1330458.16552</v>
      </c>
      <c r="F58" s="14">
        <v>1744.3212005351918</v>
      </c>
      <c r="G58" s="14">
        <v>2614592.5388790737</v>
      </c>
      <c r="H58" s="14">
        <v>92334335.510514483</v>
      </c>
      <c r="I58" s="14">
        <v>4786.008481019564</v>
      </c>
      <c r="J58" s="9">
        <v>2614592.5388790737</v>
      </c>
      <c r="K58" s="9">
        <v>92334335.510514483</v>
      </c>
      <c r="L58" s="9">
        <v>6530.3296815547556</v>
      </c>
      <c r="M58" s="9">
        <v>5229185.0777581474</v>
      </c>
      <c r="N58" s="9">
        <v>184668671.02102897</v>
      </c>
      <c r="O58" s="9">
        <v>11.246304318862057</v>
      </c>
      <c r="P58" s="9">
        <v>3137.5110466548881</v>
      </c>
      <c r="Q58" s="9">
        <v>110801.20261261737</v>
      </c>
      <c r="T58" s="13">
        <f t="shared" si="0"/>
        <v>53627.00209600493</v>
      </c>
      <c r="U58" s="13">
        <f t="shared" si="1"/>
        <v>351.10782382886333</v>
      </c>
    </row>
    <row r="59" spans="1:21" x14ac:dyDescent="0.25">
      <c r="A59">
        <v>2045</v>
      </c>
      <c r="B59" s="9">
        <v>0</v>
      </c>
      <c r="C59" s="9">
        <v>0</v>
      </c>
      <c r="D59" s="9">
        <v>1209507.4232000001</v>
      </c>
      <c r="E59" s="9">
        <v>1330458.16552</v>
      </c>
      <c r="F59" s="14">
        <v>1659.2496517294853</v>
      </c>
      <c r="G59" s="14">
        <v>2487077.3560618022</v>
      </c>
      <c r="H59" s="14">
        <v>87831136.829322547</v>
      </c>
      <c r="I59" s="14">
        <v>4552.5920930557768</v>
      </c>
      <c r="J59" s="9">
        <v>2487077.3560618022</v>
      </c>
      <c r="K59" s="9">
        <v>87831136.829322547</v>
      </c>
      <c r="L59" s="9">
        <v>6211.8417447852617</v>
      </c>
      <c r="M59" s="9">
        <v>4974154.7121236045</v>
      </c>
      <c r="N59" s="9">
        <v>175662273.65864509</v>
      </c>
      <c r="O59" s="9">
        <v>10.697815584991051</v>
      </c>
      <c r="P59" s="9">
        <v>2984.4928272741622</v>
      </c>
      <c r="Q59" s="9">
        <v>105397.36419518704</v>
      </c>
      <c r="T59" s="13">
        <f t="shared" si="0"/>
        <v>51011.582341481364</v>
      </c>
      <c r="U59" s="13">
        <f t="shared" si="1"/>
        <v>333.98409319842784</v>
      </c>
    </row>
    <row r="60" spans="1:21" x14ac:dyDescent="0.25">
      <c r="A60">
        <v>2046</v>
      </c>
      <c r="B60" s="9">
        <v>0</v>
      </c>
      <c r="C60" s="9">
        <v>0</v>
      </c>
      <c r="D60" s="9">
        <v>1209507.4232000001</v>
      </c>
      <c r="E60" s="9">
        <v>1330458.16552</v>
      </c>
      <c r="F60" s="14">
        <v>1578.3270913176482</v>
      </c>
      <c r="G60" s="14">
        <v>2365781.1620954252</v>
      </c>
      <c r="H60" s="14">
        <v>83547561.73939994</v>
      </c>
      <c r="I60" s="14">
        <v>4330.5595566639468</v>
      </c>
      <c r="J60" s="9">
        <v>2365781.1620954252</v>
      </c>
      <c r="K60" s="9">
        <v>83547561.73939994</v>
      </c>
      <c r="L60" s="9">
        <v>5908.8866479815952</v>
      </c>
      <c r="M60" s="9">
        <v>4731562.3241908504</v>
      </c>
      <c r="N60" s="9">
        <v>167095123.47879988</v>
      </c>
      <c r="O60" s="9">
        <v>10.176076962325805</v>
      </c>
      <c r="P60" s="9">
        <v>2838.9373945145098</v>
      </c>
      <c r="Q60" s="9">
        <v>100257.07408727991</v>
      </c>
      <c r="T60" s="13">
        <f t="shared" si="0"/>
        <v>48523.718113558098</v>
      </c>
      <c r="U60" s="13">
        <f t="shared" si="1"/>
        <v>317.69549676553328</v>
      </c>
    </row>
    <row r="61" spans="1:21" x14ac:dyDescent="0.25">
      <c r="A61">
        <v>2047</v>
      </c>
      <c r="B61" s="9">
        <v>0</v>
      </c>
      <c r="C61" s="9">
        <v>0</v>
      </c>
      <c r="D61" s="9">
        <v>1209507.4232000001</v>
      </c>
      <c r="E61" s="9">
        <v>1330458.16552</v>
      </c>
      <c r="F61" s="14">
        <v>1501.3511707479724</v>
      </c>
      <c r="G61" s="14">
        <v>2250400.6533146617</v>
      </c>
      <c r="H61" s="14">
        <v>79472899.07180728</v>
      </c>
      <c r="I61" s="14">
        <v>4119.3556748515139</v>
      </c>
      <c r="J61" s="9">
        <v>2250400.6533146617</v>
      </c>
      <c r="K61" s="9">
        <v>79472899.07180728</v>
      </c>
      <c r="L61" s="9">
        <v>5620.7068455994859</v>
      </c>
      <c r="M61" s="9">
        <v>4500801.3066293234</v>
      </c>
      <c r="N61" s="9">
        <v>158945798.14361456</v>
      </c>
      <c r="O61" s="9">
        <v>9.67978383254815</v>
      </c>
      <c r="P61" s="9">
        <v>2700.480783977594</v>
      </c>
      <c r="Q61" s="9">
        <v>95367.478886168727</v>
      </c>
      <c r="T61" s="13">
        <f t="shared" si="0"/>
        <v>46157.188455794741</v>
      </c>
      <c r="U61" s="13">
        <f t="shared" si="1"/>
        <v>302.20130455474668</v>
      </c>
    </row>
    <row r="62" spans="1:21" x14ac:dyDescent="0.25">
      <c r="A62">
        <v>2048</v>
      </c>
      <c r="B62" s="9">
        <v>0</v>
      </c>
      <c r="C62" s="9">
        <v>0</v>
      </c>
      <c r="D62" s="9">
        <v>1209507.4232000001</v>
      </c>
      <c r="E62" s="9">
        <v>1330458.16552</v>
      </c>
      <c r="F62" s="14">
        <v>1428.1294101240671</v>
      </c>
      <c r="G62" s="14">
        <v>2140647.3183485367</v>
      </c>
      <c r="H62" s="14">
        <v>75596960.047478572</v>
      </c>
      <c r="I62" s="14">
        <v>3918.4523279027562</v>
      </c>
      <c r="J62" s="9">
        <v>2140647.3183485367</v>
      </c>
      <c r="K62" s="9">
        <v>75596960.047478572</v>
      </c>
      <c r="L62" s="9">
        <v>5346.5817380268227</v>
      </c>
      <c r="M62" s="9">
        <v>4281294.6366970735</v>
      </c>
      <c r="N62" s="9">
        <v>151193920.09495714</v>
      </c>
      <c r="O62" s="9">
        <v>9.2076952043260931</v>
      </c>
      <c r="P62" s="9">
        <v>2568.7767820182439</v>
      </c>
      <c r="Q62" s="9">
        <v>90716.352056974283</v>
      </c>
      <c r="T62" s="13">
        <f t="shared" si="0"/>
        <v>43906.075811376635</v>
      </c>
      <c r="U62" s="13">
        <f t="shared" si="1"/>
        <v>287.46277301497668</v>
      </c>
    </row>
    <row r="63" spans="1:21" x14ac:dyDescent="0.25">
      <c r="A63">
        <v>2049</v>
      </c>
      <c r="B63" s="9">
        <v>0</v>
      </c>
      <c r="C63" s="9">
        <v>0</v>
      </c>
      <c r="D63" s="9">
        <v>1209507.4232000001</v>
      </c>
      <c r="E63" s="9">
        <v>1330458.16552</v>
      </c>
      <c r="F63" s="14">
        <v>1358.4787169048607</v>
      </c>
      <c r="G63" s="14">
        <v>2036246.7166916754</v>
      </c>
      <c r="H63" s="14">
        <v>71910052.799966514</v>
      </c>
      <c r="I63" s="14">
        <v>3727.347152804422</v>
      </c>
      <c r="J63" s="9">
        <v>2036246.7166916754</v>
      </c>
      <c r="K63" s="9">
        <v>71910052.799966514</v>
      </c>
      <c r="L63" s="9">
        <v>5085.8258697092824</v>
      </c>
      <c r="M63" s="9">
        <v>4072493.4333833507</v>
      </c>
      <c r="N63" s="9">
        <v>143820105.59993303</v>
      </c>
      <c r="O63" s="9">
        <v>8.7586306101890941</v>
      </c>
      <c r="P63" s="9">
        <v>2443.4960600300101</v>
      </c>
      <c r="Q63" s="9">
        <v>86292.063359959808</v>
      </c>
      <c r="T63" s="13">
        <f t="shared" si="0"/>
        <v>41764.751226140521</v>
      </c>
      <c r="U63" s="13">
        <f t="shared" si="1"/>
        <v>273.44304814041567</v>
      </c>
    </row>
    <row r="64" spans="1:21" x14ac:dyDescent="0.25">
      <c r="A64">
        <v>2050</v>
      </c>
      <c r="B64" s="9">
        <v>0</v>
      </c>
      <c r="C64" s="9">
        <v>0</v>
      </c>
      <c r="D64" s="9">
        <v>1209507.4232000001</v>
      </c>
      <c r="E64" s="9">
        <v>1330458.16552</v>
      </c>
      <c r="F64" s="14">
        <v>1292.2249280778788</v>
      </c>
      <c r="G64" s="14">
        <v>1936937.7924600905</v>
      </c>
      <c r="H64" s="14">
        <v>68402958.140728086</v>
      </c>
      <c r="I64" s="14">
        <v>3545.5622870765246</v>
      </c>
      <c r="J64" s="9">
        <v>1936937.7924600905</v>
      </c>
      <c r="K64" s="9">
        <v>68402958.140728086</v>
      </c>
      <c r="L64" s="9">
        <v>4837.7872151544034</v>
      </c>
      <c r="M64" s="9">
        <v>3873875.584920181</v>
      </c>
      <c r="N64" s="9">
        <v>136805916.28145617</v>
      </c>
      <c r="O64" s="9">
        <v>8.3314671547445069</v>
      </c>
      <c r="P64" s="9">
        <v>2324.3253509521082</v>
      </c>
      <c r="Q64" s="9">
        <v>82083.549768873694</v>
      </c>
      <c r="T64" s="13">
        <f t="shared" si="0"/>
        <v>39727.860273257131</v>
      </c>
      <c r="U64" s="13">
        <f t="shared" si="1"/>
        <v>260.10707331632858</v>
      </c>
    </row>
    <row r="65" spans="1:21" x14ac:dyDescent="0.25">
      <c r="A65">
        <v>2051</v>
      </c>
      <c r="B65" s="9">
        <v>0</v>
      </c>
      <c r="C65" s="9">
        <v>0</v>
      </c>
      <c r="D65" s="9">
        <v>1209507.4232000001</v>
      </c>
      <c r="E65" s="9">
        <v>1330458.16552</v>
      </c>
      <c r="F65" s="43">
        <v>1229.2023746609973</v>
      </c>
      <c r="G65" s="43">
        <v>1842472.2216154954</v>
      </c>
      <c r="H65" s="43">
        <v>65066906.506351218</v>
      </c>
      <c r="I65" s="43">
        <v>3372.6431738672377</v>
      </c>
      <c r="J65" s="9">
        <v>1842472.2216154954</v>
      </c>
      <c r="K65" s="9">
        <v>65066906.506351218</v>
      </c>
      <c r="L65" s="9">
        <v>4601.8455485282348</v>
      </c>
      <c r="M65" s="9">
        <v>3684944.4432309908</v>
      </c>
      <c r="N65" s="9">
        <v>130133813.01270244</v>
      </c>
      <c r="O65" s="9">
        <v>7.9251367068542198</v>
      </c>
      <c r="P65" s="9">
        <v>2210.9666659385944</v>
      </c>
      <c r="Q65" s="9">
        <v>78080.287807621455</v>
      </c>
      <c r="T65" s="13">
        <f t="shared" si="0"/>
        <v>37790.309664375163</v>
      </c>
      <c r="U65" s="13">
        <f t="shared" si="1"/>
        <v>247.42150165925628</v>
      </c>
    </row>
    <row r="66" spans="1:21" x14ac:dyDescent="0.25">
      <c r="A66">
        <v>2052</v>
      </c>
      <c r="B66" s="9">
        <v>0</v>
      </c>
      <c r="C66" s="9">
        <v>0</v>
      </c>
      <c r="D66" s="9">
        <v>1209507.4232000001</v>
      </c>
      <c r="E66" s="9">
        <v>1330458.16552</v>
      </c>
      <c r="F66" s="43">
        <v>1169.2534674436913</v>
      </c>
      <c r="G66" s="43">
        <v>1752613.7910258595</v>
      </c>
      <c r="H66" s="43">
        <v>61893556.030078225</v>
      </c>
      <c r="I66" s="43">
        <v>3208.1574253239942</v>
      </c>
      <c r="J66" s="9">
        <v>1752613.7910258595</v>
      </c>
      <c r="K66" s="9">
        <v>61893556.030078225</v>
      </c>
      <c r="L66" s="9">
        <v>4377.4108927676853</v>
      </c>
      <c r="M66" s="9">
        <v>3505227.5820517191</v>
      </c>
      <c r="N66" s="9">
        <v>123787112.06015645</v>
      </c>
      <c r="O66" s="9">
        <v>7.5386232287504225</v>
      </c>
      <c r="P66" s="9">
        <v>2103.136549231031</v>
      </c>
      <c r="Q66" s="9">
        <v>74272.26723609386</v>
      </c>
      <c r="T66" s="13">
        <f t="shared" si="0"/>
        <v>35947.25451374735</v>
      </c>
      <c r="U66" s="13">
        <f t="shared" si="1"/>
        <v>235.35461263243678</v>
      </c>
    </row>
    <row r="67" spans="1:21" x14ac:dyDescent="0.25">
      <c r="A67">
        <v>2053</v>
      </c>
      <c r="B67" s="9">
        <v>0</v>
      </c>
      <c r="C67" s="9">
        <v>0</v>
      </c>
      <c r="D67" s="9">
        <v>1209507.4232000001</v>
      </c>
      <c r="E67" s="9">
        <v>1330458.16552</v>
      </c>
      <c r="F67" s="43">
        <v>1112.2283029319269</v>
      </c>
      <c r="G67" s="43">
        <v>1667137.8078095431</v>
      </c>
      <c r="H67" s="43">
        <v>58874971.682794012</v>
      </c>
      <c r="I67" s="43">
        <v>3051.6937413986352</v>
      </c>
      <c r="J67" s="9">
        <v>1667137.8078095431</v>
      </c>
      <c r="K67" s="9">
        <v>58874971.682794012</v>
      </c>
      <c r="L67" s="9">
        <v>4163.9220443305621</v>
      </c>
      <c r="M67" s="9">
        <v>3334275.6156190862</v>
      </c>
      <c r="N67" s="9">
        <v>117749943.36558802</v>
      </c>
      <c r="O67" s="9">
        <v>7.1709602354119797</v>
      </c>
      <c r="P67" s="9">
        <v>2000.5653693714517</v>
      </c>
      <c r="Q67" s="9">
        <v>70649.966019352811</v>
      </c>
      <c r="T67" s="13">
        <f t="shared" si="0"/>
        <v>34194.086223492588</v>
      </c>
      <c r="U67" s="13">
        <f t="shared" si="1"/>
        <v>223.87623272794133</v>
      </c>
    </row>
    <row r="68" spans="1:21" x14ac:dyDescent="0.25">
      <c r="A68">
        <v>2054</v>
      </c>
      <c r="B68" s="9">
        <v>0</v>
      </c>
      <c r="C68" s="9">
        <v>0</v>
      </c>
      <c r="D68" s="9">
        <v>1209507.4232000001</v>
      </c>
      <c r="E68" s="9">
        <v>1330458.16552</v>
      </c>
      <c r="F68" s="43">
        <v>1057.9842885113428</v>
      </c>
      <c r="G68" s="43">
        <v>1585830.537486054</v>
      </c>
      <c r="H68" s="43">
        <v>56003605.431319997</v>
      </c>
      <c r="I68" s="43">
        <v>2902.8608813830551</v>
      </c>
      <c r="J68" s="9">
        <v>1585830.537486054</v>
      </c>
      <c r="K68" s="9">
        <v>56003605.431319997</v>
      </c>
      <c r="L68" s="9">
        <v>3960.8451698943982</v>
      </c>
      <c r="M68" s="9">
        <v>3171661.074972108</v>
      </c>
      <c r="N68" s="9">
        <v>112007210.86263999</v>
      </c>
      <c r="O68" s="9">
        <v>6.8212283778484428</v>
      </c>
      <c r="P68" s="9">
        <v>1902.9966449832646</v>
      </c>
      <c r="Q68" s="9">
        <v>67204.326517583977</v>
      </c>
      <c r="T68" s="13">
        <f t="shared" si="0"/>
        <v>32526.420959700652</v>
      </c>
      <c r="U68" s="13">
        <f t="shared" si="1"/>
        <v>212.95766001718761</v>
      </c>
    </row>
    <row r="69" spans="1:21" x14ac:dyDescent="0.25">
      <c r="A69">
        <v>2055</v>
      </c>
      <c r="B69" s="9">
        <v>0</v>
      </c>
      <c r="C69" s="9">
        <v>0</v>
      </c>
      <c r="D69" s="9">
        <v>1209507.4232000001</v>
      </c>
      <c r="E69" s="9">
        <v>1330458.16552</v>
      </c>
      <c r="F69" s="43">
        <v>1006.385785891442</v>
      </c>
      <c r="G69" s="43">
        <v>1508488.6695285169</v>
      </c>
      <c r="H69" s="43">
        <v>53272277.364399575</v>
      </c>
      <c r="I69" s="43">
        <v>2761.2866856036389</v>
      </c>
      <c r="J69" s="9">
        <v>1508488.6695285169</v>
      </c>
      <c r="K69" s="9">
        <v>53272277.364399575</v>
      </c>
      <c r="L69" s="9">
        <v>3767.6724714950806</v>
      </c>
      <c r="M69" s="9">
        <v>3016977.3390570339</v>
      </c>
      <c r="N69" s="9">
        <v>106544554.72879915</v>
      </c>
      <c r="O69" s="9">
        <v>6.488553144248713</v>
      </c>
      <c r="P69" s="9">
        <v>1810.1864034342202</v>
      </c>
      <c r="Q69" s="9">
        <v>63926.73283727948</v>
      </c>
      <c r="T69" s="13">
        <f t="shared" si="0"/>
        <v>30940.088690564015</v>
      </c>
      <c r="U69" s="13">
        <f t="shared" si="1"/>
        <v>202.57159238116805</v>
      </c>
    </row>
    <row r="70" spans="1:21" x14ac:dyDescent="0.25">
      <c r="A70">
        <v>2056</v>
      </c>
      <c r="B70" s="9">
        <v>0</v>
      </c>
      <c r="C70" s="9">
        <v>0</v>
      </c>
      <c r="D70" s="9">
        <v>1209507.4232000001</v>
      </c>
      <c r="E70" s="9">
        <v>1330458.16552</v>
      </c>
      <c r="F70" s="43">
        <v>957.30377193921493</v>
      </c>
      <c r="G70" s="43">
        <v>1434918.8089814587</v>
      </c>
      <c r="H70" s="43">
        <v>50674157.739180207</v>
      </c>
      <c r="I70" s="43">
        <v>2626.617144828233</v>
      </c>
      <c r="J70" s="9">
        <v>1434918.8089814587</v>
      </c>
      <c r="K70" s="9">
        <v>50674157.739180207</v>
      </c>
      <c r="L70" s="9">
        <v>3583.9209167674476</v>
      </c>
      <c r="M70" s="9">
        <v>2869837.6179629173</v>
      </c>
      <c r="N70" s="9">
        <v>101348315.47836041</v>
      </c>
      <c r="O70" s="9">
        <v>6.172102673246</v>
      </c>
      <c r="P70" s="9">
        <v>1721.9025707777503</v>
      </c>
      <c r="Q70" s="9">
        <v>60808.989287016244</v>
      </c>
      <c r="T70" s="13">
        <f t="shared" si="0"/>
        <v>29431.12275912625</v>
      </c>
      <c r="U70" s="13">
        <f t="shared" si="1"/>
        <v>192.69205924093166</v>
      </c>
    </row>
    <row r="71" spans="1:21" x14ac:dyDescent="0.25">
      <c r="A71">
        <v>2057</v>
      </c>
      <c r="B71" s="9">
        <v>0</v>
      </c>
      <c r="C71" s="9">
        <v>0</v>
      </c>
      <c r="D71" s="9">
        <v>1209507.4232000001</v>
      </c>
      <c r="E71" s="9">
        <v>1330458.16552</v>
      </c>
      <c r="F71" s="43">
        <v>910.61551605410227</v>
      </c>
      <c r="G71" s="43">
        <v>1364936.9928726831</v>
      </c>
      <c r="H71" s="43">
        <v>48202749.903298803</v>
      </c>
      <c r="I71" s="43">
        <v>2498.5155150586688</v>
      </c>
      <c r="J71" s="9">
        <v>1364936.9928726831</v>
      </c>
      <c r="K71" s="9">
        <v>48202749.903298803</v>
      </c>
      <c r="L71" s="9">
        <v>3409.1310311127709</v>
      </c>
      <c r="M71" s="9">
        <v>2729873.9857453662</v>
      </c>
      <c r="N71" s="9">
        <v>96405499.806597605</v>
      </c>
      <c r="O71" s="9">
        <v>5.8710856738311126</v>
      </c>
      <c r="P71" s="9">
        <v>1637.9243914472195</v>
      </c>
      <c r="Q71" s="9">
        <v>57843.299883958549</v>
      </c>
      <c r="T71" s="13">
        <f t="shared" ref="T71:T134" si="2">F71*28+I71</f>
        <v>27995.749964573533</v>
      </c>
      <c r="U71" s="13">
        <f t="shared" ref="U71:U134" si="3">N71/CONVERT(1,"yr","mn")</f>
        <v>183.29435661760894</v>
      </c>
    </row>
    <row r="72" spans="1:21" x14ac:dyDescent="0.25">
      <c r="A72">
        <v>2058</v>
      </c>
      <c r="B72" s="9">
        <v>0</v>
      </c>
      <c r="C72" s="9">
        <v>0</v>
      </c>
      <c r="D72" s="9">
        <v>1209507.4232000001</v>
      </c>
      <c r="E72" s="9">
        <v>1330458.16552</v>
      </c>
      <c r="F72" s="43">
        <v>866.2042732775642</v>
      </c>
      <c r="G72" s="43">
        <v>1298368.2302100172</v>
      </c>
      <c r="H72" s="43">
        <v>45851874.049866751</v>
      </c>
      <c r="I72" s="43">
        <v>2376.6614754953621</v>
      </c>
      <c r="J72" s="9">
        <v>1298368.2302100172</v>
      </c>
      <c r="K72" s="9">
        <v>45851874.049866751</v>
      </c>
      <c r="L72" s="9">
        <v>3242.8657487729261</v>
      </c>
      <c r="M72" s="9">
        <v>2596736.4604200344</v>
      </c>
      <c r="N72" s="9">
        <v>91703748.099733502</v>
      </c>
      <c r="O72" s="9">
        <v>5.5847494467127543</v>
      </c>
      <c r="P72" s="9">
        <v>1558.0418762520205</v>
      </c>
      <c r="Q72" s="9">
        <v>55022.248859840103</v>
      </c>
      <c r="T72" s="13">
        <f t="shared" si="2"/>
        <v>26630.381127267159</v>
      </c>
      <c r="U72" s="13">
        <f t="shared" si="3"/>
        <v>174.35498535959675</v>
      </c>
    </row>
    <row r="73" spans="1:21" x14ac:dyDescent="0.25">
      <c r="A73">
        <v>2059</v>
      </c>
      <c r="B73" s="9">
        <v>0</v>
      </c>
      <c r="C73" s="9">
        <v>0</v>
      </c>
      <c r="D73" s="9">
        <v>1209507.4232000001</v>
      </c>
      <c r="E73" s="9">
        <v>1330458.16552</v>
      </c>
      <c r="F73" s="43">
        <v>823.95899236987668</v>
      </c>
      <c r="G73" s="43">
        <v>1235046.0644126853</v>
      </c>
      <c r="H73" s="43">
        <v>43615651.764733978</v>
      </c>
      <c r="I73" s="43">
        <v>2260.7503275684712</v>
      </c>
      <c r="J73" s="9">
        <v>1235046.0644126853</v>
      </c>
      <c r="K73" s="9">
        <v>43615651.764733978</v>
      </c>
      <c r="L73" s="9">
        <v>3084.709319938348</v>
      </c>
      <c r="M73" s="9">
        <v>2470092.1288253707</v>
      </c>
      <c r="N73" s="9">
        <v>87231303.529467955</v>
      </c>
      <c r="O73" s="9">
        <v>5.3123780021772546</v>
      </c>
      <c r="P73" s="9">
        <v>1482.0552772952224</v>
      </c>
      <c r="Q73" s="9">
        <v>52338.782117680777</v>
      </c>
      <c r="T73" s="13">
        <f t="shared" si="2"/>
        <v>25331.602113925019</v>
      </c>
      <c r="U73" s="13">
        <f t="shared" si="3"/>
        <v>165.85159238243963</v>
      </c>
    </row>
    <row r="74" spans="1:21" x14ac:dyDescent="0.25">
      <c r="A74">
        <v>2060</v>
      </c>
      <c r="B74" s="9">
        <v>0</v>
      </c>
      <c r="C74" s="9">
        <v>0</v>
      </c>
      <c r="D74" s="9">
        <v>1209507.4232000001</v>
      </c>
      <c r="E74" s="9">
        <v>1330458.16552</v>
      </c>
      <c r="F74" s="43">
        <v>783.77403812418606</v>
      </c>
      <c r="G74" s="43">
        <v>1174812.1570831505</v>
      </c>
      <c r="H74" s="43">
        <v>41488491.327391453</v>
      </c>
      <c r="I74" s="43">
        <v>2150.4922330327577</v>
      </c>
      <c r="J74" s="9">
        <v>1174812.1570831505</v>
      </c>
      <c r="K74" s="9">
        <v>41488491.327391453</v>
      </c>
      <c r="L74" s="9">
        <v>2934.2662711569437</v>
      </c>
      <c r="M74" s="9">
        <v>2349624.3141663009</v>
      </c>
      <c r="N74" s="9">
        <v>82976982.654782906</v>
      </c>
      <c r="O74" s="9">
        <v>5.0532902697413231</v>
      </c>
      <c r="P74" s="9">
        <v>1409.7745884997805</v>
      </c>
      <c r="Q74" s="9">
        <v>49786.189592869749</v>
      </c>
      <c r="T74" s="13">
        <f t="shared" si="2"/>
        <v>24096.165300509969</v>
      </c>
      <c r="U74" s="13">
        <f t="shared" si="3"/>
        <v>157.76291477447506</v>
      </c>
    </row>
    <row r="75" spans="1:21" x14ac:dyDescent="0.25">
      <c r="A75">
        <v>2061</v>
      </c>
      <c r="B75" s="9">
        <v>0</v>
      </c>
      <c r="C75" s="9">
        <v>0</v>
      </c>
      <c r="D75" s="9">
        <v>1209507.4232000001</v>
      </c>
      <c r="E75" s="9">
        <v>1330458.16552</v>
      </c>
      <c r="F75" s="43">
        <v>745.54892722347017</v>
      </c>
      <c r="G75" s="43">
        <v>1117515.8920786476</v>
      </c>
      <c r="H75" s="43">
        <v>39465073.728757441</v>
      </c>
      <c r="I75" s="43">
        <v>2045.6114892210053</v>
      </c>
      <c r="J75" s="9">
        <v>1117515.8920786476</v>
      </c>
      <c r="K75" s="9">
        <v>39465073.728757441</v>
      </c>
      <c r="L75" s="9">
        <v>2791.1604164444752</v>
      </c>
      <c r="M75" s="9">
        <v>2235031.7841572952</v>
      </c>
      <c r="N75" s="9">
        <v>78930147.457514882</v>
      </c>
      <c r="O75" s="9">
        <v>4.8068383951210958</v>
      </c>
      <c r="P75" s="9">
        <v>1341.019070494377</v>
      </c>
      <c r="Q75" s="9">
        <v>47358.088474508921</v>
      </c>
      <c r="T75" s="13">
        <f t="shared" si="2"/>
        <v>22920.981451478172</v>
      </c>
      <c r="U75" s="13">
        <f t="shared" si="3"/>
        <v>150.06872662847914</v>
      </c>
    </row>
    <row r="76" spans="1:21" x14ac:dyDescent="0.25">
      <c r="A76">
        <v>2062</v>
      </c>
      <c r="B76" s="9">
        <v>0</v>
      </c>
      <c r="C76" s="9">
        <v>0</v>
      </c>
      <c r="D76" s="9">
        <v>1209507.4232000001</v>
      </c>
      <c r="E76" s="9">
        <v>1330458.16552</v>
      </c>
      <c r="F76" s="43">
        <v>709.18807697990633</v>
      </c>
      <c r="G76" s="43">
        <v>1063013.9988923741</v>
      </c>
      <c r="H76" s="43">
        <v>37540339.370884188</v>
      </c>
      <c r="I76" s="43">
        <v>1945.8458396437456</v>
      </c>
      <c r="J76" s="9">
        <v>1063013.9988923741</v>
      </c>
      <c r="K76" s="9">
        <v>37540339.370884188</v>
      </c>
      <c r="L76" s="9">
        <v>2655.0339166236517</v>
      </c>
      <c r="M76" s="9">
        <v>2126027.9977847482</v>
      </c>
      <c r="N76" s="9">
        <v>75080678.741768375</v>
      </c>
      <c r="O76" s="9">
        <v>4.572406120258977</v>
      </c>
      <c r="P76" s="9">
        <v>1275.6167986708488</v>
      </c>
      <c r="Q76" s="9">
        <v>45048.407245061018</v>
      </c>
      <c r="T76" s="13">
        <f t="shared" si="2"/>
        <v>21803.111995081123</v>
      </c>
      <c r="U76" s="13">
        <f t="shared" si="3"/>
        <v>142.74978846636319</v>
      </c>
    </row>
    <row r="77" spans="1:21" x14ac:dyDescent="0.25">
      <c r="A77">
        <v>2063</v>
      </c>
      <c r="B77" s="9">
        <v>0</v>
      </c>
      <c r="C77" s="9">
        <v>0</v>
      </c>
      <c r="D77" s="9">
        <v>1209507.4232000001</v>
      </c>
      <c r="E77" s="9">
        <v>1330458.16552</v>
      </c>
      <c r="F77" s="43">
        <v>674.60056632836438</v>
      </c>
      <c r="G77" s="43">
        <v>1011170.1944025957</v>
      </c>
      <c r="H77" s="43">
        <v>35709475.415327668</v>
      </c>
      <c r="I77" s="43">
        <v>1850.945818211429</v>
      </c>
      <c r="J77" s="9">
        <v>1011170.1944025957</v>
      </c>
      <c r="K77" s="9">
        <v>35709475.415327668</v>
      </c>
      <c r="L77" s="9">
        <v>2525.5463845397935</v>
      </c>
      <c r="M77" s="9">
        <v>2022340.3888051915</v>
      </c>
      <c r="N77" s="9">
        <v>71418950.830655336</v>
      </c>
      <c r="O77" s="9">
        <v>4.349407242357489</v>
      </c>
      <c r="P77" s="9">
        <v>1213.4042332831148</v>
      </c>
      <c r="Q77" s="9">
        <v>42851.370498393197</v>
      </c>
      <c r="T77" s="13">
        <f t="shared" si="2"/>
        <v>20739.761675405633</v>
      </c>
      <c r="U77" s="13">
        <f t="shared" si="3"/>
        <v>135.78779913045733</v>
      </c>
    </row>
    <row r="78" spans="1:21" x14ac:dyDescent="0.25">
      <c r="A78">
        <v>2064</v>
      </c>
      <c r="B78" s="9">
        <v>0</v>
      </c>
      <c r="C78" s="9">
        <v>0</v>
      </c>
      <c r="D78" s="9">
        <v>1209507.4232000001</v>
      </c>
      <c r="E78" s="9">
        <v>1330458.16552</v>
      </c>
      <c r="F78" s="43">
        <v>641.69990847638576</v>
      </c>
      <c r="G78" s="43">
        <v>961854.84209385619</v>
      </c>
      <c r="H78" s="43">
        <v>33967903.748544529</v>
      </c>
      <c r="I78" s="43">
        <v>1760.6741254392607</v>
      </c>
      <c r="J78" s="9">
        <v>961854.84209385619</v>
      </c>
      <c r="K78" s="9">
        <v>33967903.748544529</v>
      </c>
      <c r="L78" s="9">
        <v>2402.3740339156461</v>
      </c>
      <c r="M78" s="9">
        <v>1923709.6841877124</v>
      </c>
      <c r="N78" s="9">
        <v>67935807.497089058</v>
      </c>
      <c r="O78" s="9">
        <v>4.1372841480669518</v>
      </c>
      <c r="P78" s="9">
        <v>1154.2258105126273</v>
      </c>
      <c r="Q78" s="9">
        <v>40761.484498253427</v>
      </c>
      <c r="T78" s="13">
        <f t="shared" si="2"/>
        <v>19728.271562778064</v>
      </c>
      <c r="U78" s="13">
        <f t="shared" si="3"/>
        <v>129.16535002108347</v>
      </c>
    </row>
    <row r="79" spans="1:21" x14ac:dyDescent="0.25">
      <c r="A79">
        <v>2065</v>
      </c>
      <c r="B79" s="9">
        <v>0</v>
      </c>
      <c r="C79" s="9">
        <v>0</v>
      </c>
      <c r="D79" s="9">
        <v>1209507.4232000001</v>
      </c>
      <c r="E79" s="9">
        <v>1330458.16552</v>
      </c>
      <c r="F79" s="43">
        <v>610.40383464215336</v>
      </c>
      <c r="G79" s="43">
        <v>914944.62789816409</v>
      </c>
      <c r="H79" s="43">
        <v>32311269.534223665</v>
      </c>
      <c r="I79" s="43">
        <v>1674.8050350748861</v>
      </c>
      <c r="J79" s="9">
        <v>914944.62789816409</v>
      </c>
      <c r="K79" s="9">
        <v>32311269.534223665</v>
      </c>
      <c r="L79" s="9">
        <v>2285.2088697170393</v>
      </c>
      <c r="M79" s="9">
        <v>1829889.2557963282</v>
      </c>
      <c r="N79" s="9">
        <v>64622539.068447329</v>
      </c>
      <c r="O79" s="9">
        <v>3.935506419161654</v>
      </c>
      <c r="P79" s="9">
        <v>1097.9335534777967</v>
      </c>
      <c r="Q79" s="9">
        <v>38773.523441068392</v>
      </c>
      <c r="T79" s="13">
        <f t="shared" si="2"/>
        <v>18766.112405055181</v>
      </c>
      <c r="U79" s="13">
        <f t="shared" si="3"/>
        <v>122.86588156598853</v>
      </c>
    </row>
    <row r="80" spans="1:21" x14ac:dyDescent="0.25">
      <c r="A80">
        <v>2066</v>
      </c>
      <c r="B80" s="9">
        <v>0</v>
      </c>
      <c r="C80" s="9">
        <v>0</v>
      </c>
      <c r="D80" s="9">
        <v>1209507.4232000001</v>
      </c>
      <c r="E80" s="9">
        <v>1330458.16552</v>
      </c>
      <c r="F80" s="43">
        <v>580.63408833968458</v>
      </c>
      <c r="G80" s="43">
        <v>870322.25184559065</v>
      </c>
      <c r="H80" s="43">
        <v>30735430.323927034</v>
      </c>
      <c r="I80" s="43">
        <v>1593.1238296651823</v>
      </c>
      <c r="J80" s="9">
        <v>870322.25184559065</v>
      </c>
      <c r="K80" s="9">
        <v>30735430.323927034</v>
      </c>
      <c r="L80" s="9">
        <v>2173.757918004867</v>
      </c>
      <c r="M80" s="9">
        <v>1740644.5036911813</v>
      </c>
      <c r="N80" s="9">
        <v>61470860.647854067</v>
      </c>
      <c r="O80" s="9">
        <v>3.7435695062180061</v>
      </c>
      <c r="P80" s="9">
        <v>1044.3867022147087</v>
      </c>
      <c r="Q80" s="9">
        <v>36882.516388712436</v>
      </c>
      <c r="T80" s="13">
        <f t="shared" si="2"/>
        <v>17850.878303176349</v>
      </c>
      <c r="U80" s="13">
        <f t="shared" si="3"/>
        <v>116.87364181278818</v>
      </c>
    </row>
    <row r="81" spans="1:21" x14ac:dyDescent="0.25">
      <c r="A81">
        <v>2067</v>
      </c>
      <c r="B81" s="9">
        <v>0</v>
      </c>
      <c r="C81" s="9">
        <v>0</v>
      </c>
      <c r="D81" s="9">
        <v>1209507.4232000001</v>
      </c>
      <c r="E81" s="9">
        <v>1330458.16552</v>
      </c>
      <c r="F81" s="43">
        <v>552.31622969685475</v>
      </c>
      <c r="G81" s="43">
        <v>827876.13475324644</v>
      </c>
      <c r="H81" s="43">
        <v>29236445.698810898</v>
      </c>
      <c r="I81" s="43">
        <v>1515.4262636507844</v>
      </c>
      <c r="J81" s="9">
        <v>827876.13475324644</v>
      </c>
      <c r="K81" s="9">
        <v>29236445.698810898</v>
      </c>
      <c r="L81" s="9">
        <v>2067.7424933476391</v>
      </c>
      <c r="M81" s="9">
        <v>1655752.2695064929</v>
      </c>
      <c r="N81" s="9">
        <v>58472891.397621796</v>
      </c>
      <c r="O81" s="9">
        <v>3.5609934669781751</v>
      </c>
      <c r="P81" s="9">
        <v>993.4513617038956</v>
      </c>
      <c r="Q81" s="9">
        <v>35083.734838573073</v>
      </c>
      <c r="T81" s="13">
        <f t="shared" si="2"/>
        <v>16980.280695162717</v>
      </c>
      <c r="U81" s="13">
        <f t="shared" si="3"/>
        <v>111.17364704088105</v>
      </c>
    </row>
    <row r="82" spans="1:21" x14ac:dyDescent="0.25">
      <c r="A82">
        <v>2068</v>
      </c>
      <c r="B82" s="9">
        <v>0</v>
      </c>
      <c r="C82" s="9">
        <v>0</v>
      </c>
      <c r="D82" s="9">
        <v>1209507.4232000001</v>
      </c>
      <c r="E82" s="9">
        <v>1330458.16552</v>
      </c>
      <c r="F82" s="43">
        <v>525.37944931694324</v>
      </c>
      <c r="G82" s="43">
        <v>787500.13921920606</v>
      </c>
      <c r="H82" s="43">
        <v>27810567.416526262</v>
      </c>
      <c r="I82" s="43">
        <v>1441.5180526458028</v>
      </c>
      <c r="J82" s="9">
        <v>787500.13921920606</v>
      </c>
      <c r="K82" s="9">
        <v>27810567.416526262</v>
      </c>
      <c r="L82" s="9">
        <v>1966.897501962746</v>
      </c>
      <c r="M82" s="9">
        <v>1575000.2784384121</v>
      </c>
      <c r="N82" s="9">
        <v>55621134.833052523</v>
      </c>
      <c r="O82" s="9">
        <v>3.3873217662444519</v>
      </c>
      <c r="P82" s="9">
        <v>945.00016706304723</v>
      </c>
      <c r="Q82" s="9">
        <v>33372.68089983151</v>
      </c>
      <c r="T82" s="13">
        <f t="shared" si="2"/>
        <v>16152.142633520212</v>
      </c>
      <c r="U82" s="13">
        <f t="shared" si="3"/>
        <v>105.75164429434277</v>
      </c>
    </row>
    <row r="83" spans="1:21" x14ac:dyDescent="0.25">
      <c r="A83">
        <v>2069</v>
      </c>
      <c r="B83" s="9">
        <v>0</v>
      </c>
      <c r="C83" s="9">
        <v>0</v>
      </c>
      <c r="D83" s="9">
        <v>1209507.4232000001</v>
      </c>
      <c r="E83" s="9">
        <v>1330458.16552</v>
      </c>
      <c r="F83" s="43">
        <v>499.75639121825805</v>
      </c>
      <c r="G83" s="43">
        <v>749093.30422371766</v>
      </c>
      <c r="H83" s="43">
        <v>26454230.038660586</v>
      </c>
      <c r="I83" s="43">
        <v>1371.2143876256571</v>
      </c>
      <c r="J83" s="9">
        <v>749093.30422371766</v>
      </c>
      <c r="K83" s="9">
        <v>26454230.038660586</v>
      </c>
      <c r="L83" s="9">
        <v>1870.970778843915</v>
      </c>
      <c r="M83" s="9">
        <v>1498186.6084474353</v>
      </c>
      <c r="N83" s="9">
        <v>52908460.077321172</v>
      </c>
      <c r="O83" s="9">
        <v>3.2221201343034522</v>
      </c>
      <c r="P83" s="9">
        <v>898.91196506846109</v>
      </c>
      <c r="Q83" s="9">
        <v>31745.0760463927</v>
      </c>
      <c r="T83" s="13">
        <f t="shared" si="2"/>
        <v>15364.393341736883</v>
      </c>
      <c r="U83" s="13">
        <f t="shared" si="3"/>
        <v>100.5940757421119</v>
      </c>
    </row>
    <row r="84" spans="1:21" x14ac:dyDescent="0.25">
      <c r="A84">
        <v>2070</v>
      </c>
      <c r="B84" s="9">
        <v>0</v>
      </c>
      <c r="C84" s="9">
        <v>0</v>
      </c>
      <c r="D84" s="9">
        <v>1209507.4232000001</v>
      </c>
      <c r="E84" s="9">
        <v>1330458.16552</v>
      </c>
      <c r="F84" s="43">
        <v>475.38298440909733</v>
      </c>
      <c r="G84" s="43">
        <v>712559.59267406526</v>
      </c>
      <c r="H84" s="43">
        <v>25164042.015284613</v>
      </c>
      <c r="I84" s="43">
        <v>1304.3394728082528</v>
      </c>
      <c r="J84" s="9">
        <v>712559.59267406526</v>
      </c>
      <c r="K84" s="9">
        <v>25164042.015284613</v>
      </c>
      <c r="L84" s="9">
        <v>1779.7224572173502</v>
      </c>
      <c r="M84" s="9">
        <v>1425119.1853481305</v>
      </c>
      <c r="N84" s="9">
        <v>50328084.030569226</v>
      </c>
      <c r="O84" s="9">
        <v>3.0649754810256362</v>
      </c>
      <c r="P84" s="9">
        <v>855.07151120887829</v>
      </c>
      <c r="Q84" s="9">
        <v>30196.850418341535</v>
      </c>
      <c r="T84" s="13">
        <f t="shared" si="2"/>
        <v>14615.063036262978</v>
      </c>
      <c r="U84" s="13">
        <f t="shared" si="3"/>
        <v>95.688044776350338</v>
      </c>
    </row>
    <row r="85" spans="1:21" x14ac:dyDescent="0.25">
      <c r="A85">
        <v>2071</v>
      </c>
      <c r="B85" s="9">
        <v>0</v>
      </c>
      <c r="C85" s="9">
        <v>0</v>
      </c>
      <c r="D85" s="9">
        <v>1209507.4232000001</v>
      </c>
      <c r="E85" s="9">
        <v>1330458.16552</v>
      </c>
      <c r="F85" s="43">
        <v>452.19828267689752</v>
      </c>
      <c r="G85" s="43">
        <v>677807.65126181429</v>
      </c>
      <c r="H85" s="43">
        <v>23936777.204310969</v>
      </c>
      <c r="I85" s="43">
        <v>1240.7260860729591</v>
      </c>
      <c r="J85" s="9">
        <v>677807.65126181429</v>
      </c>
      <c r="K85" s="9">
        <v>23936777.204310969</v>
      </c>
      <c r="L85" s="9">
        <v>1692.9243687498565</v>
      </c>
      <c r="M85" s="9">
        <v>1355615.3025236286</v>
      </c>
      <c r="N85" s="9">
        <v>47873554.408621937</v>
      </c>
      <c r="O85" s="9">
        <v>2.915494862924815</v>
      </c>
      <c r="P85" s="9">
        <v>813.36918151417706</v>
      </c>
      <c r="Q85" s="9">
        <v>28724.132645173162</v>
      </c>
      <c r="T85" s="13">
        <f t="shared" si="2"/>
        <v>13902.278001026089</v>
      </c>
      <c r="U85" s="13">
        <f t="shared" si="3"/>
        <v>91.021283764206288</v>
      </c>
    </row>
    <row r="86" spans="1:21" x14ac:dyDescent="0.25">
      <c r="A86">
        <v>2072</v>
      </c>
      <c r="B86" s="9">
        <v>0</v>
      </c>
      <c r="C86" s="9">
        <v>0</v>
      </c>
      <c r="D86" s="9">
        <v>1209507.4232000001</v>
      </c>
      <c r="E86" s="9">
        <v>1330458.16552</v>
      </c>
      <c r="F86" s="43">
        <v>430.14431219095644</v>
      </c>
      <c r="G86" s="43">
        <v>644750.58203195629</v>
      </c>
      <c r="H86" s="43">
        <v>22769366.804458536</v>
      </c>
      <c r="I86" s="43">
        <v>1180.2151608182044</v>
      </c>
      <c r="J86" s="9">
        <v>644750.58203195629</v>
      </c>
      <c r="K86" s="9">
        <v>22769366.804458536</v>
      </c>
      <c r="L86" s="9">
        <v>1610.3594730091606</v>
      </c>
      <c r="M86" s="9">
        <v>1289501.1640639126</v>
      </c>
      <c r="N86" s="9">
        <v>45538733.608917072</v>
      </c>
      <c r="O86" s="9">
        <v>2.7733045005947603</v>
      </c>
      <c r="P86" s="9">
        <v>773.70069843834744</v>
      </c>
      <c r="Q86" s="9">
        <v>27323.240165350238</v>
      </c>
      <c r="T86" s="13">
        <f t="shared" si="2"/>
        <v>13224.255902164985</v>
      </c>
      <c r="U86" s="13">
        <f t="shared" si="3"/>
        <v>86.582123372342139</v>
      </c>
    </row>
    <row r="87" spans="1:21" x14ac:dyDescent="0.25">
      <c r="A87">
        <v>2073</v>
      </c>
      <c r="B87" s="9">
        <v>0</v>
      </c>
      <c r="C87" s="9">
        <v>0</v>
      </c>
      <c r="D87" s="9">
        <v>1209507.4232000001</v>
      </c>
      <c r="E87" s="9">
        <v>1330458.16552</v>
      </c>
      <c r="F87" s="43">
        <v>409.16592653765889</v>
      </c>
      <c r="G87" s="43">
        <v>613305.72509275808</v>
      </c>
      <c r="H87" s="43">
        <v>21658891.68165075</v>
      </c>
      <c r="I87" s="43">
        <v>1122.6553882121179</v>
      </c>
      <c r="J87" s="9">
        <v>613305.72509275808</v>
      </c>
      <c r="K87" s="9">
        <v>21658891.68165075</v>
      </c>
      <c r="L87" s="9">
        <v>1531.8213147497768</v>
      </c>
      <c r="M87" s="9">
        <v>1226611.4501855162</v>
      </c>
      <c r="N87" s="9">
        <v>43317783.363301501</v>
      </c>
      <c r="O87" s="9">
        <v>2.638048844065993</v>
      </c>
      <c r="P87" s="9">
        <v>735.96687011130962</v>
      </c>
      <c r="Q87" s="9">
        <v>25990.670017980898</v>
      </c>
      <c r="T87" s="13">
        <f t="shared" si="2"/>
        <v>12579.301331266568</v>
      </c>
      <c r="U87" s="13">
        <f t="shared" si="3"/>
        <v>82.359463387522823</v>
      </c>
    </row>
    <row r="88" spans="1:21" x14ac:dyDescent="0.25">
      <c r="A88">
        <v>2074</v>
      </c>
      <c r="B88" s="9">
        <v>0</v>
      </c>
      <c r="C88" s="9">
        <v>0</v>
      </c>
      <c r="D88" s="9">
        <v>1209507.4232000001</v>
      </c>
      <c r="E88" s="9">
        <v>1330458.16552</v>
      </c>
      <c r="F88" s="43">
        <v>389.2106688257187</v>
      </c>
      <c r="G88" s="43">
        <v>583394.45192297734</v>
      </c>
      <c r="H88" s="43">
        <v>20602575.069659945</v>
      </c>
      <c r="I88" s="43">
        <v>1067.9028388416384</v>
      </c>
      <c r="J88" s="9">
        <v>583394.45192297734</v>
      </c>
      <c r="K88" s="9">
        <v>20602575.069659945</v>
      </c>
      <c r="L88" s="9">
        <v>1457.113507667357</v>
      </c>
      <c r="M88" s="9">
        <v>1166788.9038459547</v>
      </c>
      <c r="N88" s="9">
        <v>41205150.139319889</v>
      </c>
      <c r="O88" s="9">
        <v>2.5093896837456686</v>
      </c>
      <c r="P88" s="9">
        <v>700.07334230757272</v>
      </c>
      <c r="Q88" s="9">
        <v>24723.090083591927</v>
      </c>
      <c r="T88" s="13">
        <f t="shared" si="2"/>
        <v>11965.801565961763</v>
      </c>
      <c r="U88" s="13">
        <f t="shared" si="3"/>
        <v>78.342744960300948</v>
      </c>
    </row>
    <row r="89" spans="1:21" x14ac:dyDescent="0.25">
      <c r="A89">
        <v>2075</v>
      </c>
      <c r="B89" s="9">
        <v>0</v>
      </c>
      <c r="C89" s="9">
        <v>0</v>
      </c>
      <c r="D89" s="9">
        <v>1209507.4232000001</v>
      </c>
      <c r="E89" s="9">
        <v>1330458.16552</v>
      </c>
      <c r="F89" s="43">
        <v>370.22864051662646</v>
      </c>
      <c r="G89" s="43">
        <v>554941.96875960333</v>
      </c>
      <c r="H89" s="43">
        <v>19597775.626745392</v>
      </c>
      <c r="I89" s="43">
        <v>1015.8206028140107</v>
      </c>
      <c r="J89" s="9">
        <v>554941.96875960333</v>
      </c>
      <c r="K89" s="9">
        <v>19597775.626745392</v>
      </c>
      <c r="L89" s="9">
        <v>1386.0492433306372</v>
      </c>
      <c r="M89" s="9">
        <v>1109883.9375192067</v>
      </c>
      <c r="N89" s="9">
        <v>39195551.253490783</v>
      </c>
      <c r="O89" s="9">
        <v>2.3870053047174213</v>
      </c>
      <c r="P89" s="9">
        <v>665.93036251152398</v>
      </c>
      <c r="Q89" s="9">
        <v>23517.330752094469</v>
      </c>
      <c r="T89" s="13">
        <f t="shared" si="2"/>
        <v>11382.222537279551</v>
      </c>
      <c r="U89" s="13">
        <f t="shared" si="3"/>
        <v>74.521924202393308</v>
      </c>
    </row>
    <row r="90" spans="1:21" x14ac:dyDescent="0.25">
      <c r="A90">
        <v>2076</v>
      </c>
      <c r="B90" s="9">
        <v>0</v>
      </c>
      <c r="C90" s="9">
        <v>0</v>
      </c>
      <c r="D90" s="9">
        <v>1209507.4232000001</v>
      </c>
      <c r="E90" s="9">
        <v>1330458.16552</v>
      </c>
      <c r="F90" s="43">
        <v>352.17237665231227</v>
      </c>
      <c r="G90" s="43">
        <v>527877.12957449059</v>
      </c>
      <c r="H90" s="43">
        <v>18641980.830923133</v>
      </c>
      <c r="I90" s="43">
        <v>966.27844741073966</v>
      </c>
      <c r="J90" s="9">
        <v>527877.12957449059</v>
      </c>
      <c r="K90" s="9">
        <v>18641980.830923133</v>
      </c>
      <c r="L90" s="9">
        <v>1318.4508240630519</v>
      </c>
      <c r="M90" s="9">
        <v>1055754.2591489812</v>
      </c>
      <c r="N90" s="9">
        <v>37283961.661846265</v>
      </c>
      <c r="O90" s="9">
        <v>2.2705896822865039</v>
      </c>
      <c r="P90" s="9">
        <v>633.45255548938871</v>
      </c>
      <c r="Q90" s="9">
        <v>22370.37699710776</v>
      </c>
      <c r="T90" s="13">
        <f t="shared" si="2"/>
        <v>10827.104993675483</v>
      </c>
      <c r="U90" s="13">
        <f t="shared" si="3"/>
        <v>70.887447071728388</v>
      </c>
    </row>
    <row r="91" spans="1:21" x14ac:dyDescent="0.25">
      <c r="A91">
        <v>2077</v>
      </c>
      <c r="B91" s="9">
        <v>0</v>
      </c>
      <c r="C91" s="9">
        <v>0</v>
      </c>
      <c r="D91" s="9">
        <v>1209507.4232000001</v>
      </c>
      <c r="E91" s="9">
        <v>1330458.16552</v>
      </c>
      <c r="F91" s="43">
        <v>334.99672716802769</v>
      </c>
      <c r="G91" s="43">
        <v>502132.25817223155</v>
      </c>
      <c r="H91" s="43">
        <v>17732800.697352357</v>
      </c>
      <c r="I91" s="43">
        <v>919.15249143796143</v>
      </c>
      <c r="J91" s="9">
        <v>502132.25817223155</v>
      </c>
      <c r="K91" s="9">
        <v>17732800.697352357</v>
      </c>
      <c r="L91" s="9">
        <v>1254.1492186059891</v>
      </c>
      <c r="M91" s="9">
        <v>1004264.5163444631</v>
      </c>
      <c r="N91" s="9">
        <v>35465601.394704714</v>
      </c>
      <c r="O91" s="9">
        <v>2.1598517167586504</v>
      </c>
      <c r="P91" s="9">
        <v>602.55870980667783</v>
      </c>
      <c r="Q91" s="9">
        <v>21279.360836822827</v>
      </c>
      <c r="T91" s="13">
        <f t="shared" si="2"/>
        <v>10299.060852142737</v>
      </c>
      <c r="U91" s="13">
        <f t="shared" si="3"/>
        <v>67.430225482365032</v>
      </c>
    </row>
    <row r="92" spans="1:21" x14ac:dyDescent="0.25">
      <c r="A92">
        <v>2078</v>
      </c>
      <c r="B92" s="9">
        <v>0</v>
      </c>
      <c r="C92" s="9">
        <v>0</v>
      </c>
      <c r="D92" s="9">
        <v>1209507.4232000001</v>
      </c>
      <c r="E92" s="9">
        <v>1330458.16552</v>
      </c>
      <c r="F92" s="43">
        <v>318.65874399366572</v>
      </c>
      <c r="G92" s="43">
        <v>477642.97896441584</v>
      </c>
      <c r="H92" s="43">
        <v>16867961.802128345</v>
      </c>
      <c r="I92" s="43">
        <v>874.32489545892963</v>
      </c>
      <c r="J92" s="9">
        <v>477642.97896441584</v>
      </c>
      <c r="K92" s="9">
        <v>16867961.802128345</v>
      </c>
      <c r="L92" s="9">
        <v>1192.9836394525953</v>
      </c>
      <c r="M92" s="9">
        <v>955285.95792883169</v>
      </c>
      <c r="N92" s="9">
        <v>33735923.60425669</v>
      </c>
      <c r="O92" s="9">
        <v>2.0545145055392102</v>
      </c>
      <c r="P92" s="9">
        <v>573.17157475729891</v>
      </c>
      <c r="Q92" s="9">
        <v>20241.55416255401</v>
      </c>
      <c r="T92" s="13">
        <f t="shared" si="2"/>
        <v>9796.7697272815694</v>
      </c>
      <c r="U92" s="13">
        <f t="shared" si="3"/>
        <v>64.141614579543486</v>
      </c>
    </row>
    <row r="93" spans="1:21" x14ac:dyDescent="0.25">
      <c r="A93">
        <v>2079</v>
      </c>
      <c r="B93" s="9">
        <v>0</v>
      </c>
      <c r="C93" s="9">
        <v>0</v>
      </c>
      <c r="D93" s="9">
        <v>1209507.4232000001</v>
      </c>
      <c r="E93" s="9">
        <v>1330458.16552</v>
      </c>
      <c r="F93" s="43">
        <v>303.11757366121498</v>
      </c>
      <c r="G93" s="43">
        <v>454348.0559971279</v>
      </c>
      <c r="H93" s="43">
        <v>16045301.59753857</v>
      </c>
      <c r="I93" s="43">
        <v>831.68356713404444</v>
      </c>
      <c r="J93" s="9">
        <v>454348.0559971279</v>
      </c>
      <c r="K93" s="9">
        <v>16045301.59753857</v>
      </c>
      <c r="L93" s="9">
        <v>1134.8011407952595</v>
      </c>
      <c r="M93" s="9">
        <v>908696.1119942558</v>
      </c>
      <c r="N93" s="9">
        <v>32090603.19507714</v>
      </c>
      <c r="O93" s="9">
        <v>1.954314650732432</v>
      </c>
      <c r="P93" s="9">
        <v>545.21766719655341</v>
      </c>
      <c r="Q93" s="9">
        <v>19254.361917046281</v>
      </c>
      <c r="T93" s="13">
        <f t="shared" si="2"/>
        <v>9318.9756296480646</v>
      </c>
      <c r="U93" s="13">
        <f t="shared" si="3"/>
        <v>61.013391123045743</v>
      </c>
    </row>
    <row r="94" spans="1:21" x14ac:dyDescent="0.25">
      <c r="A94">
        <v>2080</v>
      </c>
      <c r="B94" s="9">
        <v>0</v>
      </c>
      <c r="C94" s="9">
        <v>0</v>
      </c>
      <c r="D94" s="9">
        <v>1209507.4232000001</v>
      </c>
      <c r="E94" s="9">
        <v>1330458.16552</v>
      </c>
      <c r="F94" s="43">
        <v>288.33435514981028</v>
      </c>
      <c r="G94" s="43">
        <v>432189.23982916609</v>
      </c>
      <c r="H94" s="43">
        <v>15262763.004566999</v>
      </c>
      <c r="I94" s="43">
        <v>791.12188093161797</v>
      </c>
      <c r="J94" s="9">
        <v>432189.23982916609</v>
      </c>
      <c r="K94" s="9">
        <v>15262763.004566999</v>
      </c>
      <c r="L94" s="9">
        <v>1079.4562360814282</v>
      </c>
      <c r="M94" s="9">
        <v>864378.47965833219</v>
      </c>
      <c r="N94" s="9">
        <v>30525526.009133998</v>
      </c>
      <c r="O94" s="9">
        <v>1.8590016005095251</v>
      </c>
      <c r="P94" s="9">
        <v>518.62708779499928</v>
      </c>
      <c r="Q94" s="9">
        <v>18315.315605480399</v>
      </c>
      <c r="T94" s="13">
        <f t="shared" si="2"/>
        <v>8864.4838251263063</v>
      </c>
      <c r="U94" s="13">
        <f t="shared" si="3"/>
        <v>58.03773292481177</v>
      </c>
    </row>
    <row r="95" spans="1:21" x14ac:dyDescent="0.25">
      <c r="A95">
        <v>2081</v>
      </c>
      <c r="B95" s="9">
        <v>0</v>
      </c>
      <c r="C95" s="9">
        <v>0</v>
      </c>
      <c r="D95" s="9">
        <v>1209507.4232000001</v>
      </c>
      <c r="E95" s="9">
        <v>1330458.16552</v>
      </c>
      <c r="F95" s="43">
        <v>274.27212271293854</v>
      </c>
      <c r="G95" s="43">
        <v>411111.12187809875</v>
      </c>
      <c r="H95" s="43">
        <v>14518389.269125057</v>
      </c>
      <c r="I95" s="43">
        <v>752.53841150850542</v>
      </c>
      <c r="J95" s="9">
        <v>411111.12187809875</v>
      </c>
      <c r="K95" s="9">
        <v>14518389.269125057</v>
      </c>
      <c r="L95" s="9">
        <v>1026.810534221444</v>
      </c>
      <c r="M95" s="9">
        <v>822222.24375619751</v>
      </c>
      <c r="N95" s="9">
        <v>29036778.538250115</v>
      </c>
      <c r="O95" s="9">
        <v>1.7683370225985817</v>
      </c>
      <c r="P95" s="9">
        <v>493.33334625371845</v>
      </c>
      <c r="Q95" s="9">
        <v>17422.067122950066</v>
      </c>
      <c r="T95" s="13">
        <f t="shared" si="2"/>
        <v>8432.157847470784</v>
      </c>
      <c r="U95" s="13">
        <f t="shared" si="3"/>
        <v>55.20719928939485</v>
      </c>
    </row>
    <row r="96" spans="1:21" x14ac:dyDescent="0.25">
      <c r="A96">
        <v>2082</v>
      </c>
      <c r="B96" s="9">
        <v>0</v>
      </c>
      <c r="C96" s="9">
        <v>0</v>
      </c>
      <c r="D96" s="9">
        <v>1209507.4232000001</v>
      </c>
      <c r="E96" s="9">
        <v>1330458.16552</v>
      </c>
      <c r="F96" s="43">
        <v>260.89571344481772</v>
      </c>
      <c r="G96" s="43">
        <v>391060.99586994672</v>
      </c>
      <c r="H96" s="43">
        <v>13810319.069147168</v>
      </c>
      <c r="I96" s="43">
        <v>715.83668009391704</v>
      </c>
      <c r="J96" s="9">
        <v>391060.99586994672</v>
      </c>
      <c r="K96" s="9">
        <v>13810319.069147168</v>
      </c>
      <c r="L96" s="9">
        <v>976.73239353873464</v>
      </c>
      <c r="M96" s="9">
        <v>782121.99173989345</v>
      </c>
      <c r="N96" s="9">
        <v>27620638.138294335</v>
      </c>
      <c r="O96" s="9">
        <v>1.6820942083297548</v>
      </c>
      <c r="P96" s="9">
        <v>469.27319504393603</v>
      </c>
      <c r="Q96" s="9">
        <v>16572.382882976599</v>
      </c>
      <c r="T96" s="13">
        <f t="shared" si="2"/>
        <v>8020.9166565488122</v>
      </c>
      <c r="U96" s="13">
        <f t="shared" si="3"/>
        <v>52.514712408347279</v>
      </c>
    </row>
    <row r="97" spans="1:21" x14ac:dyDescent="0.25">
      <c r="A97">
        <v>2083</v>
      </c>
      <c r="B97" s="9">
        <v>0</v>
      </c>
      <c r="C97" s="9">
        <v>0</v>
      </c>
      <c r="D97" s="9">
        <v>1209507.4232000001</v>
      </c>
      <c r="E97" s="9">
        <v>1330458.16552</v>
      </c>
      <c r="F97" s="43">
        <v>248.17167935481723</v>
      </c>
      <c r="G97" s="43">
        <v>371988.72604604566</v>
      </c>
      <c r="H97" s="43">
        <v>13136781.860316101</v>
      </c>
      <c r="I97" s="43">
        <v>680.92491324223863</v>
      </c>
      <c r="J97" s="9">
        <v>371988.72604604566</v>
      </c>
      <c r="K97" s="9">
        <v>13136781.860316101</v>
      </c>
      <c r="L97" s="9">
        <v>929.09659259705586</v>
      </c>
      <c r="M97" s="9">
        <v>743977.45209209132</v>
      </c>
      <c r="N97" s="9">
        <v>26273563.720632203</v>
      </c>
      <c r="O97" s="9">
        <v>1.6000575057454973</v>
      </c>
      <c r="P97" s="9">
        <v>446.38647125525478</v>
      </c>
      <c r="Q97" s="9">
        <v>15764.138232379322</v>
      </c>
      <c r="T97" s="13">
        <f t="shared" si="2"/>
        <v>7629.7319351771212</v>
      </c>
      <c r="U97" s="13">
        <f t="shared" si="3"/>
        <v>49.953539662012709</v>
      </c>
    </row>
    <row r="98" spans="1:21" x14ac:dyDescent="0.25">
      <c r="A98">
        <v>2084</v>
      </c>
      <c r="B98" s="9">
        <v>0</v>
      </c>
      <c r="C98" s="9">
        <v>0</v>
      </c>
      <c r="D98" s="9">
        <v>1209507.4232000001</v>
      </c>
      <c r="E98" s="9">
        <v>1330458.16552</v>
      </c>
      <c r="F98" s="43">
        <v>236.06820373005849</v>
      </c>
      <c r="G98" s="43">
        <v>353846.62179753371</v>
      </c>
      <c r="H98" s="43">
        <v>12496093.448779901</v>
      </c>
      <c r="I98" s="43">
        <v>647.71581335161318</v>
      </c>
      <c r="J98" s="9">
        <v>353846.62179753371</v>
      </c>
      <c r="K98" s="9">
        <v>12496093.448779901</v>
      </c>
      <c r="L98" s="9">
        <v>883.78401708167155</v>
      </c>
      <c r="M98" s="9">
        <v>707693.24359506741</v>
      </c>
      <c r="N98" s="9">
        <v>24992186.897559803</v>
      </c>
      <c r="O98" s="9">
        <v>1.5220217803583371</v>
      </c>
      <c r="P98" s="9">
        <v>424.61594615704041</v>
      </c>
      <c r="Q98" s="9">
        <v>14995.312138535881</v>
      </c>
      <c r="T98" s="13">
        <f t="shared" si="2"/>
        <v>7257.6255177932508</v>
      </c>
      <c r="U98" s="13">
        <f t="shared" si="3"/>
        <v>47.517276784469928</v>
      </c>
    </row>
    <row r="99" spans="1:21" x14ac:dyDescent="0.25">
      <c r="A99">
        <v>2085</v>
      </c>
      <c r="B99" s="9">
        <v>0</v>
      </c>
      <c r="C99" s="9">
        <v>0</v>
      </c>
      <c r="D99" s="9">
        <v>1209507.4232000001</v>
      </c>
      <c r="E99" s="9">
        <v>1330458.16552</v>
      </c>
      <c r="F99" s="43">
        <v>224.55502157706084</v>
      </c>
      <c r="G99" s="43">
        <v>336589.31841398979</v>
      </c>
      <c r="H99" s="43">
        <v>11886651.779790049</v>
      </c>
      <c r="I99" s="43">
        <v>616.12634037446685</v>
      </c>
      <c r="J99" s="9">
        <v>336589.31841398979</v>
      </c>
      <c r="K99" s="9">
        <v>11886651.779790049</v>
      </c>
      <c r="L99" s="9">
        <v>840.68136195152772</v>
      </c>
      <c r="M99" s="9">
        <v>673178.63682797959</v>
      </c>
      <c r="N99" s="9">
        <v>23773303.559580099</v>
      </c>
      <c r="O99" s="9">
        <v>1.4477919022078132</v>
      </c>
      <c r="P99" s="9">
        <v>403.90718209678772</v>
      </c>
      <c r="Q99" s="9">
        <v>14263.982135748058</v>
      </c>
      <c r="T99" s="13">
        <f t="shared" si="2"/>
        <v>6903.6669445321704</v>
      </c>
      <c r="U99" s="13">
        <f t="shared" si="3"/>
        <v>45.199831849532472</v>
      </c>
    </row>
    <row r="100" spans="1:21" x14ac:dyDescent="0.25">
      <c r="A100">
        <v>2086</v>
      </c>
      <c r="B100" s="9">
        <v>0</v>
      </c>
      <c r="C100" s="9">
        <v>0</v>
      </c>
      <c r="D100" s="9">
        <v>1209507.4232000001</v>
      </c>
      <c r="E100" s="9">
        <v>1330458.16552</v>
      </c>
      <c r="F100" s="43">
        <v>213.60334394349297</v>
      </c>
      <c r="G100" s="43">
        <v>320173.66364802705</v>
      </c>
      <c r="H100" s="43">
        <v>11306932.931730075</v>
      </c>
      <c r="I100" s="43">
        <v>586.07750417413513</v>
      </c>
      <c r="J100" s="9">
        <v>320173.66364802705</v>
      </c>
      <c r="K100" s="9">
        <v>11306932.931730075</v>
      </c>
      <c r="L100" s="9">
        <v>799.68084811762799</v>
      </c>
      <c r="M100" s="9">
        <v>640347.32729605411</v>
      </c>
      <c r="N100" s="9">
        <v>22613865.86346015</v>
      </c>
      <c r="O100" s="9">
        <v>1.3771822579339319</v>
      </c>
      <c r="P100" s="9">
        <v>384.20839637763243</v>
      </c>
      <c r="Q100" s="9">
        <v>13568.319518076089</v>
      </c>
      <c r="T100" s="13">
        <f t="shared" si="2"/>
        <v>6566.9711345919386</v>
      </c>
      <c r="U100" s="13">
        <f t="shared" si="3"/>
        <v>42.995410037759811</v>
      </c>
    </row>
    <row r="101" spans="1:21" x14ac:dyDescent="0.25">
      <c r="A101">
        <v>2087</v>
      </c>
      <c r="B101" s="9">
        <v>0</v>
      </c>
      <c r="C101" s="9">
        <v>0</v>
      </c>
      <c r="D101" s="9">
        <v>1209507.4232000001</v>
      </c>
      <c r="E101" s="9">
        <v>1330458.16552</v>
      </c>
      <c r="F101" s="43">
        <v>203.1857859307969</v>
      </c>
      <c r="G101" s="43">
        <v>304558.60981219797</v>
      </c>
      <c r="H101" s="43">
        <v>10755487.30551777</v>
      </c>
      <c r="I101" s="43">
        <v>557.49416700837742</v>
      </c>
      <c r="J101" s="9">
        <v>304558.60981219797</v>
      </c>
      <c r="K101" s="9">
        <v>10755487.30551777</v>
      </c>
      <c r="L101" s="9">
        <v>760.6799529391742</v>
      </c>
      <c r="M101" s="9">
        <v>609117.21962439595</v>
      </c>
      <c r="N101" s="9">
        <v>21510974.611035541</v>
      </c>
      <c r="O101" s="9">
        <v>1.3100162866470881</v>
      </c>
      <c r="P101" s="9">
        <v>365.47033177463754</v>
      </c>
      <c r="Q101" s="9">
        <v>12906.584766621325</v>
      </c>
      <c r="T101" s="13">
        <f t="shared" si="2"/>
        <v>6246.6961730706898</v>
      </c>
      <c r="U101" s="13">
        <f t="shared" si="3"/>
        <v>40.898499146390485</v>
      </c>
    </row>
    <row r="102" spans="1:21" x14ac:dyDescent="0.25">
      <c r="A102">
        <v>2088</v>
      </c>
      <c r="B102" s="9">
        <v>0</v>
      </c>
      <c r="C102" s="9">
        <v>0</v>
      </c>
      <c r="D102" s="9">
        <v>1209507.4232000001</v>
      </c>
      <c r="E102" s="9">
        <v>1330458.16552</v>
      </c>
      <c r="F102" s="43">
        <v>193.27629821767724</v>
      </c>
      <c r="G102" s="43">
        <v>289705.11113839463</v>
      </c>
      <c r="H102" s="43">
        <v>10230935.999852406</v>
      </c>
      <c r="I102" s="43">
        <v>530.30485564588378</v>
      </c>
      <c r="J102" s="9">
        <v>289705.11113839463</v>
      </c>
      <c r="K102" s="9">
        <v>10230935.999852406</v>
      </c>
      <c r="L102" s="9">
        <v>723.58115386356098</v>
      </c>
      <c r="M102" s="9">
        <v>579410.22227678925</v>
      </c>
      <c r="N102" s="9">
        <v>20461871.999704812</v>
      </c>
      <c r="O102" s="9">
        <v>1.2461260384338722</v>
      </c>
      <c r="P102" s="9">
        <v>347.64613336607351</v>
      </c>
      <c r="Q102" s="9">
        <v>12277.123199822885</v>
      </c>
      <c r="T102" s="13">
        <f t="shared" si="2"/>
        <v>5942.0412057408457</v>
      </c>
      <c r="U102" s="13">
        <f t="shared" si="3"/>
        <v>38.903855805963971</v>
      </c>
    </row>
    <row r="103" spans="1:21" x14ac:dyDescent="0.25">
      <c r="A103">
        <v>2089</v>
      </c>
      <c r="B103" s="9">
        <v>0</v>
      </c>
      <c r="C103" s="9">
        <v>0</v>
      </c>
      <c r="D103" s="9">
        <v>1209507.4232000001</v>
      </c>
      <c r="E103" s="9">
        <v>1330458.16552</v>
      </c>
      <c r="F103" s="43">
        <v>183.85010192322946</v>
      </c>
      <c r="G103" s="43">
        <v>275576.02614309045</v>
      </c>
      <c r="H103" s="43">
        <v>9731967.363243239</v>
      </c>
      <c r="I103" s="43">
        <v>504.4415826459682</v>
      </c>
      <c r="J103" s="9">
        <v>275576.02614309045</v>
      </c>
      <c r="K103" s="9">
        <v>9731967.363243239</v>
      </c>
      <c r="L103" s="9">
        <v>688.29168456919763</v>
      </c>
      <c r="M103" s="9">
        <v>551152.0522861809</v>
      </c>
      <c r="N103" s="9">
        <v>19463934.726486478</v>
      </c>
      <c r="O103" s="9">
        <v>1.1853517543948064</v>
      </c>
      <c r="P103" s="9">
        <v>330.69123137170851</v>
      </c>
      <c r="Q103" s="9">
        <v>11678.360835891885</v>
      </c>
      <c r="T103" s="13">
        <f t="shared" si="2"/>
        <v>5652.2444364963931</v>
      </c>
      <c r="U103" s="13">
        <f t="shared" si="3"/>
        <v>37.006492369165862</v>
      </c>
    </row>
    <row r="104" spans="1:21" x14ac:dyDescent="0.25">
      <c r="A104">
        <v>2090</v>
      </c>
      <c r="B104" s="9">
        <v>0</v>
      </c>
      <c r="C104" s="9">
        <v>0</v>
      </c>
      <c r="D104" s="9">
        <v>1209507.4232000001</v>
      </c>
      <c r="E104" s="9">
        <v>1330458.16552</v>
      </c>
      <c r="F104" s="43">
        <v>174.88362664683115</v>
      </c>
      <c r="G104" s="43">
        <v>262136.02475428564</v>
      </c>
      <c r="H104" s="43">
        <v>9257333.7141975965</v>
      </c>
      <c r="I104" s="43">
        <v>479.83967635455366</v>
      </c>
      <c r="J104" s="9">
        <v>262136.02475428564</v>
      </c>
      <c r="K104" s="9">
        <v>9257333.7141975965</v>
      </c>
      <c r="L104" s="9">
        <v>654.72330300138481</v>
      </c>
      <c r="M104" s="9">
        <v>524272.04950857128</v>
      </c>
      <c r="N104" s="9">
        <v>18514667.428395193</v>
      </c>
      <c r="O104" s="9">
        <v>1.1275414671638835</v>
      </c>
      <c r="P104" s="9">
        <v>314.56322970514276</v>
      </c>
      <c r="Q104" s="9">
        <v>11108.800457037116</v>
      </c>
      <c r="T104" s="13">
        <f t="shared" si="2"/>
        <v>5376.5812224658257</v>
      </c>
      <c r="U104" s="13">
        <f t="shared" si="3"/>
        <v>35.20166443911171</v>
      </c>
    </row>
    <row r="105" spans="1:21" x14ac:dyDescent="0.25">
      <c r="A105">
        <v>2091</v>
      </c>
      <c r="B105" s="9">
        <v>0</v>
      </c>
      <c r="C105" s="9">
        <v>0</v>
      </c>
      <c r="D105" s="9">
        <v>1209507.4232000001</v>
      </c>
      <c r="E105" s="9">
        <v>1330458.16552</v>
      </c>
      <c r="F105" s="43">
        <v>166.35445152986296</v>
      </c>
      <c r="G105" s="43">
        <v>249351.49996792406</v>
      </c>
      <c r="H105" s="43">
        <v>8805848.2213672381</v>
      </c>
      <c r="I105" s="43">
        <v>456.43761919135096</v>
      </c>
      <c r="J105" s="9">
        <v>249351.49996792406</v>
      </c>
      <c r="K105" s="9">
        <v>8805848.2213672381</v>
      </c>
      <c r="L105" s="9">
        <v>622.79207072121392</v>
      </c>
      <c r="M105" s="9">
        <v>498702.99993584811</v>
      </c>
      <c r="N105" s="9">
        <v>17611696.442734476</v>
      </c>
      <c r="O105" s="9">
        <v>1.0725506209109916</v>
      </c>
      <c r="P105" s="9">
        <v>299.22179996150885</v>
      </c>
      <c r="Q105" s="9">
        <v>10567.017865640684</v>
      </c>
      <c r="T105" s="13">
        <f t="shared" si="2"/>
        <v>5114.3622620275137</v>
      </c>
      <c r="U105" s="13">
        <f t="shared" si="3"/>
        <v>33.484859005883479</v>
      </c>
    </row>
    <row r="106" spans="1:21" x14ac:dyDescent="0.25">
      <c r="A106">
        <v>2092</v>
      </c>
      <c r="B106" s="9">
        <v>0</v>
      </c>
      <c r="C106" s="9">
        <v>0</v>
      </c>
      <c r="D106" s="9">
        <v>1209507.4232000001</v>
      </c>
      <c r="E106" s="9">
        <v>1330458.16552</v>
      </c>
      <c r="F106" s="43">
        <v>158.24124919188347</v>
      </c>
      <c r="G106" s="43">
        <v>237190.48381287823</v>
      </c>
      <c r="H106" s="43">
        <v>8376381.9358517937</v>
      </c>
      <c r="I106" s="43">
        <v>434.17689382386487</v>
      </c>
      <c r="J106" s="9">
        <v>237190.48381287823</v>
      </c>
      <c r="K106" s="9">
        <v>8376381.9358517937</v>
      </c>
      <c r="L106" s="9">
        <v>592.41814301574834</v>
      </c>
      <c r="M106" s="9">
        <v>474380.96762575646</v>
      </c>
      <c r="N106" s="9">
        <v>16752763.871703587</v>
      </c>
      <c r="O106" s="9">
        <v>1.020241709877046</v>
      </c>
      <c r="P106" s="9">
        <v>284.62858057545384</v>
      </c>
      <c r="Q106" s="9">
        <v>10051.658323022151</v>
      </c>
      <c r="T106" s="13">
        <f t="shared" si="2"/>
        <v>4864.9318711966016</v>
      </c>
      <c r="U106" s="13">
        <f t="shared" si="3"/>
        <v>31.851783161654094</v>
      </c>
    </row>
    <row r="107" spans="1:21" x14ac:dyDescent="0.25">
      <c r="A107">
        <v>2093</v>
      </c>
      <c r="B107" s="9">
        <v>0</v>
      </c>
      <c r="C107" s="9">
        <v>0</v>
      </c>
      <c r="D107" s="9">
        <v>1209507.4232000001</v>
      </c>
      <c r="E107" s="9">
        <v>1330458.16552</v>
      </c>
      <c r="F107" s="43">
        <v>150.52373240106937</v>
      </c>
      <c r="G107" s="43">
        <v>225622.56741437007</v>
      </c>
      <c r="H107" s="43">
        <v>7967860.9682384785</v>
      </c>
      <c r="I107" s="43">
        <v>413.00183684358257</v>
      </c>
      <c r="J107" s="9">
        <v>225622.56741437007</v>
      </c>
      <c r="K107" s="9">
        <v>7967860.9682384785</v>
      </c>
      <c r="L107" s="9">
        <v>563.52556924465193</v>
      </c>
      <c r="M107" s="9">
        <v>451245.13482874015</v>
      </c>
      <c r="N107" s="9">
        <v>15935721.936476957</v>
      </c>
      <c r="O107" s="9">
        <v>0.970483934537967</v>
      </c>
      <c r="P107" s="9">
        <v>270.74708089724408</v>
      </c>
      <c r="Q107" s="9">
        <v>9561.4331618861743</v>
      </c>
      <c r="T107" s="13">
        <f t="shared" si="2"/>
        <v>4627.6663440735247</v>
      </c>
      <c r="U107" s="13">
        <f t="shared" si="3"/>
        <v>30.298353366181757</v>
      </c>
    </row>
    <row r="108" spans="1:21" x14ac:dyDescent="0.25">
      <c r="A108">
        <v>2094</v>
      </c>
      <c r="B108" s="9">
        <v>0</v>
      </c>
      <c r="C108" s="9">
        <v>0</v>
      </c>
      <c r="D108" s="9">
        <v>1209507.4232000001</v>
      </c>
      <c r="E108" s="9">
        <v>1330458.16552</v>
      </c>
      <c r="F108" s="43">
        <v>143.18260334556871</v>
      </c>
      <c r="G108" s="43">
        <v>214618.82495594482</v>
      </c>
      <c r="H108" s="43">
        <v>7579263.8033191906</v>
      </c>
      <c r="I108" s="43">
        <v>392.85949957845889</v>
      </c>
      <c r="J108" s="9">
        <v>214618.82495594482</v>
      </c>
      <c r="K108" s="9">
        <v>7579263.8033191906</v>
      </c>
      <c r="L108" s="9">
        <v>536.04210292402752</v>
      </c>
      <c r="M108" s="9">
        <v>429237.64991188963</v>
      </c>
      <c r="N108" s="9">
        <v>15158527.606638381</v>
      </c>
      <c r="O108" s="9">
        <v>0.92315287453773909</v>
      </c>
      <c r="P108" s="9">
        <v>257.54258994713376</v>
      </c>
      <c r="Q108" s="9">
        <v>9095.1165639830288</v>
      </c>
      <c r="T108" s="13">
        <f t="shared" si="2"/>
        <v>4401.972393254383</v>
      </c>
      <c r="U108" s="13">
        <f t="shared" si="3"/>
        <v>28.820685235832347</v>
      </c>
    </row>
    <row r="109" spans="1:21" x14ac:dyDescent="0.25">
      <c r="A109">
        <v>2095</v>
      </c>
      <c r="B109" s="9">
        <v>0</v>
      </c>
      <c r="C109" s="9">
        <v>0</v>
      </c>
      <c r="D109" s="9">
        <v>1209507.4232000001</v>
      </c>
      <c r="E109" s="9">
        <v>1330458.16552</v>
      </c>
      <c r="F109" s="43">
        <v>136.19950537891933</v>
      </c>
      <c r="G109" s="43">
        <v>204151.74134986283</v>
      </c>
      <c r="H109" s="43">
        <v>7209618.745770405</v>
      </c>
      <c r="I109" s="43">
        <v>373.69951569365588</v>
      </c>
      <c r="J109" s="9">
        <v>204151.74134986283</v>
      </c>
      <c r="K109" s="9">
        <v>7209618.745770405</v>
      </c>
      <c r="L109" s="9">
        <v>509.89902107257518</v>
      </c>
      <c r="M109" s="9">
        <v>408303.48269972566</v>
      </c>
      <c r="N109" s="9">
        <v>14419237.49154081</v>
      </c>
      <c r="O109" s="9">
        <v>0.87813017757271328</v>
      </c>
      <c r="P109" s="9">
        <v>244.98208961983536</v>
      </c>
      <c r="Q109" s="9">
        <v>8651.5424949244862</v>
      </c>
      <c r="T109" s="13">
        <f t="shared" si="2"/>
        <v>4187.2856663033972</v>
      </c>
      <c r="U109" s="13">
        <f t="shared" si="3"/>
        <v>27.415083830597023</v>
      </c>
    </row>
    <row r="110" spans="1:21" x14ac:dyDescent="0.25">
      <c r="A110">
        <v>2096</v>
      </c>
      <c r="B110" s="9">
        <v>0</v>
      </c>
      <c r="C110" s="9">
        <v>0</v>
      </c>
      <c r="D110" s="9">
        <v>1209507.4232000001</v>
      </c>
      <c r="E110" s="9">
        <v>1330458.16552</v>
      </c>
      <c r="F110" s="43">
        <v>129.55697711887134</v>
      </c>
      <c r="G110" s="43">
        <v>194195.14343504867</v>
      </c>
      <c r="H110" s="43">
        <v>6858001.4904087428</v>
      </c>
      <c r="I110" s="43">
        <v>355.47397524947183</v>
      </c>
      <c r="J110" s="9">
        <v>194195.14343504867</v>
      </c>
      <c r="K110" s="9">
        <v>6858001.4904087428</v>
      </c>
      <c r="L110" s="9">
        <v>485.03095236834321</v>
      </c>
      <c r="M110" s="9">
        <v>388390.28687009733</v>
      </c>
      <c r="N110" s="9">
        <v>13716002.980817486</v>
      </c>
      <c r="O110" s="9">
        <v>0.83530326344920192</v>
      </c>
      <c r="P110" s="9">
        <v>233.03417212205838</v>
      </c>
      <c r="Q110" s="9">
        <v>8229.6017884904904</v>
      </c>
      <c r="T110" s="13">
        <f t="shared" si="2"/>
        <v>3983.0693345778695</v>
      </c>
      <c r="U110" s="13">
        <f t="shared" si="3"/>
        <v>26.07803441481764</v>
      </c>
    </row>
    <row r="111" spans="1:21" x14ac:dyDescent="0.25">
      <c r="A111">
        <v>2097</v>
      </c>
      <c r="B111" s="9">
        <v>0</v>
      </c>
      <c r="C111" s="9">
        <v>0</v>
      </c>
      <c r="D111" s="9">
        <v>1209507.4232000001</v>
      </c>
      <c r="E111" s="9">
        <v>1330458.16552</v>
      </c>
      <c r="F111" s="43">
        <v>123.23840878483614</v>
      </c>
      <c r="G111" s="43">
        <v>184724.13453055493</v>
      </c>
      <c r="H111" s="43">
        <v>6523532.8109465474</v>
      </c>
      <c r="I111" s="43">
        <v>338.13730490153614</v>
      </c>
      <c r="J111" s="9">
        <v>184724.13453055493</v>
      </c>
      <c r="K111" s="9">
        <v>6523532.8109465474</v>
      </c>
      <c r="L111" s="9">
        <v>461.37571368637225</v>
      </c>
      <c r="M111" s="9">
        <v>369448.26906110987</v>
      </c>
      <c r="N111" s="9">
        <v>13047065.621893095</v>
      </c>
      <c r="O111" s="9">
        <v>0.79456504257435245</v>
      </c>
      <c r="P111" s="9">
        <v>221.66896143666591</v>
      </c>
      <c r="Q111" s="9">
        <v>7828.2393731358561</v>
      </c>
      <c r="T111" s="13">
        <f t="shared" si="2"/>
        <v>3788.812750876948</v>
      </c>
      <c r="U111" s="13">
        <f t="shared" si="3"/>
        <v>24.806193668516798</v>
      </c>
    </row>
    <row r="112" spans="1:21" x14ac:dyDescent="0.25">
      <c r="A112">
        <v>2098</v>
      </c>
      <c r="B112" s="9">
        <v>0</v>
      </c>
      <c r="C112" s="9">
        <v>0</v>
      </c>
      <c r="D112" s="9">
        <v>1209507.4232000001</v>
      </c>
      <c r="E112" s="9">
        <v>1330458.16552</v>
      </c>
      <c r="F112" s="43">
        <v>117.22800066478342</v>
      </c>
      <c r="G112" s="43">
        <v>175715.03218089225</v>
      </c>
      <c r="H112" s="43">
        <v>6205376.361468209</v>
      </c>
      <c r="I112" s="43">
        <v>321.64615394371071</v>
      </c>
      <c r="J112" s="9">
        <v>175715.03218089225</v>
      </c>
      <c r="K112" s="9">
        <v>6205376.361468209</v>
      </c>
      <c r="L112" s="9">
        <v>438.87415460849411</v>
      </c>
      <c r="M112" s="9">
        <v>351430.06436178449</v>
      </c>
      <c r="N112" s="9">
        <v>12410752.722936418</v>
      </c>
      <c r="O112" s="9">
        <v>0.75581364817638674</v>
      </c>
      <c r="P112" s="9">
        <v>210.85803861707069</v>
      </c>
      <c r="Q112" s="9">
        <v>7446.4516337618506</v>
      </c>
      <c r="T112" s="13">
        <f t="shared" si="2"/>
        <v>3604.0301725576464</v>
      </c>
      <c r="U112" s="13">
        <f t="shared" si="3"/>
        <v>23.596381327356486</v>
      </c>
    </row>
    <row r="113" spans="1:21" x14ac:dyDescent="0.25">
      <c r="A113">
        <v>2099</v>
      </c>
      <c r="B113" s="9">
        <v>0</v>
      </c>
      <c r="C113" s="9">
        <v>0</v>
      </c>
      <c r="D113" s="9">
        <v>1209507.4232000001</v>
      </c>
      <c r="E113" s="9">
        <v>1330458.16552</v>
      </c>
      <c r="F113" s="43">
        <v>111.51072360773128</v>
      </c>
      <c r="G113" s="43">
        <v>167145.3089375546</v>
      </c>
      <c r="H113" s="43">
        <v>5902736.5851297406</v>
      </c>
      <c r="I113" s="43">
        <v>305.95928590874405</v>
      </c>
      <c r="J113" s="9">
        <v>167145.3089375546</v>
      </c>
      <c r="K113" s="9">
        <v>5902736.5851297406</v>
      </c>
      <c r="L113" s="9">
        <v>417.47000951647527</v>
      </c>
      <c r="M113" s="9">
        <v>334290.61787510919</v>
      </c>
      <c r="N113" s="9">
        <v>11805473.170259481</v>
      </c>
      <c r="O113" s="9">
        <v>0.71895218158460961</v>
      </c>
      <c r="P113" s="9">
        <v>200.57437072506551</v>
      </c>
      <c r="Q113" s="9">
        <v>7083.2839021556883</v>
      </c>
      <c r="T113" s="13">
        <f t="shared" si="2"/>
        <v>3428.2595469252201</v>
      </c>
      <c r="U113" s="13">
        <f t="shared" si="3"/>
        <v>22.44557223032071</v>
      </c>
    </row>
    <row r="114" spans="1:21" x14ac:dyDescent="0.25">
      <c r="A114">
        <v>2100</v>
      </c>
      <c r="B114" s="9">
        <v>0</v>
      </c>
      <c r="C114" s="9">
        <v>0</v>
      </c>
      <c r="D114" s="9">
        <v>1209507.4232000001</v>
      </c>
      <c r="E114" s="9">
        <v>1330458.16552</v>
      </c>
      <c r="F114" s="43">
        <v>106.0722814430404</v>
      </c>
      <c r="G114" s="43">
        <v>158993.53602866409</v>
      </c>
      <c r="H114" s="43">
        <v>5614856.7248522723</v>
      </c>
      <c r="I114" s="43">
        <v>291.03747545562396</v>
      </c>
      <c r="J114" s="9">
        <v>158993.53602866409</v>
      </c>
      <c r="K114" s="9">
        <v>5614856.7248522723</v>
      </c>
      <c r="L114" s="9">
        <v>397.10975689866433</v>
      </c>
      <c r="M114" s="9">
        <v>317987.07205732819</v>
      </c>
      <c r="N114" s="9">
        <v>11229713.449704545</v>
      </c>
      <c r="O114" s="9">
        <v>0.68388846993226093</v>
      </c>
      <c r="P114" s="9">
        <v>190.79224323439689</v>
      </c>
      <c r="Q114" s="9">
        <v>6737.8280698227254</v>
      </c>
      <c r="T114" s="13">
        <f t="shared" si="2"/>
        <v>3261.0613558607547</v>
      </c>
      <c r="U114" s="13">
        <f t="shared" si="3"/>
        <v>21.350888755237175</v>
      </c>
    </row>
    <row r="115" spans="1:21" x14ac:dyDescent="0.25">
      <c r="A115">
        <v>2101</v>
      </c>
      <c r="B115" s="9">
        <v>0</v>
      </c>
      <c r="C115" s="9">
        <v>0</v>
      </c>
      <c r="D115" s="9">
        <v>1209507.4232000001</v>
      </c>
      <c r="E115" s="9">
        <v>1330458.16552</v>
      </c>
      <c r="F115" s="43">
        <v>100.89907523254109</v>
      </c>
      <c r="G115" s="43">
        <v>151239.32977587971</v>
      </c>
      <c r="H115" s="43">
        <v>5341016.9310351918</v>
      </c>
      <c r="I115" s="43">
        <v>276.84341028579394</v>
      </c>
      <c r="J115" s="9">
        <v>151239.32977587971</v>
      </c>
      <c r="K115" s="9">
        <v>5341016.9310351918</v>
      </c>
      <c r="L115" s="9">
        <v>377.742485518335</v>
      </c>
      <c r="M115" s="9">
        <v>302478.65955175943</v>
      </c>
      <c r="N115" s="9">
        <v>10682033.862070384</v>
      </c>
      <c r="O115" s="9">
        <v>0.65053483567633852</v>
      </c>
      <c r="P115" s="9">
        <v>181.48719573105564</v>
      </c>
      <c r="Q115" s="9">
        <v>6409.2203172422296</v>
      </c>
      <c r="T115" s="13">
        <f t="shared" si="2"/>
        <v>3102.0175167969446</v>
      </c>
      <c r="U115" s="13">
        <f t="shared" si="3"/>
        <v>20.309593623223027</v>
      </c>
    </row>
    <row r="116" spans="1:21" x14ac:dyDescent="0.25">
      <c r="A116">
        <v>2102</v>
      </c>
      <c r="B116" s="9">
        <v>0</v>
      </c>
      <c r="C116" s="9">
        <v>0</v>
      </c>
      <c r="D116" s="9">
        <v>1209507.4232000001</v>
      </c>
      <c r="E116" s="9">
        <v>1330458.16552</v>
      </c>
      <c r="F116" s="43">
        <v>95.978169266104302</v>
      </c>
      <c r="G116" s="43">
        <v>143863.30062458373</v>
      </c>
      <c r="H116" s="43">
        <v>5080532.4615571741</v>
      </c>
      <c r="I116" s="43">
        <v>263.34159784297077</v>
      </c>
      <c r="J116" s="9">
        <v>143863.30062458373</v>
      </c>
      <c r="K116" s="9">
        <v>5080532.4615571741</v>
      </c>
      <c r="L116" s="9">
        <v>359.31976710907503</v>
      </c>
      <c r="M116" s="9">
        <v>287726.60124916746</v>
      </c>
      <c r="N116" s="9">
        <v>10161064.923114348</v>
      </c>
      <c r="O116" s="9">
        <v>0.61880787735806986</v>
      </c>
      <c r="P116" s="9">
        <v>172.63596074950047</v>
      </c>
      <c r="Q116" s="9">
        <v>6096.638953868609</v>
      </c>
      <c r="T116" s="13">
        <f t="shared" si="2"/>
        <v>2950.7303372938914</v>
      </c>
      <c r="U116" s="13">
        <f t="shared" si="3"/>
        <v>19.319083054061807</v>
      </c>
    </row>
    <row r="117" spans="1:21" x14ac:dyDescent="0.25">
      <c r="A117">
        <v>2103</v>
      </c>
      <c r="B117" s="9">
        <v>0</v>
      </c>
      <c r="C117" s="9">
        <v>0</v>
      </c>
      <c r="D117" s="9">
        <v>1209507.4232000001</v>
      </c>
      <c r="E117" s="9">
        <v>1330458.16552</v>
      </c>
      <c r="F117" s="43">
        <v>91.29725871562853</v>
      </c>
      <c r="G117" s="43">
        <v>136847.00465989602</v>
      </c>
      <c r="H117" s="43">
        <v>4832751.9695642274</v>
      </c>
      <c r="I117" s="43">
        <v>250.49827656326758</v>
      </c>
      <c r="J117" s="9">
        <v>136847.00465989602</v>
      </c>
      <c r="K117" s="9">
        <v>4832751.9695642274</v>
      </c>
      <c r="L117" s="9">
        <v>341.79553527889607</v>
      </c>
      <c r="M117" s="9">
        <v>273694.00931979204</v>
      </c>
      <c r="N117" s="9">
        <v>9665503.9391284548</v>
      </c>
      <c r="O117" s="9">
        <v>0.58862826105582544</v>
      </c>
      <c r="P117" s="9">
        <v>164.2164055918752</v>
      </c>
      <c r="Q117" s="9">
        <v>5799.3023634770725</v>
      </c>
      <c r="T117" s="13">
        <f t="shared" si="2"/>
        <v>2806.8215206008663</v>
      </c>
      <c r="U117" s="13">
        <f t="shared" si="3"/>
        <v>18.376880255396713</v>
      </c>
    </row>
    <row r="118" spans="1:21" x14ac:dyDescent="0.25">
      <c r="A118">
        <v>2104</v>
      </c>
      <c r="B118" s="9">
        <v>0</v>
      </c>
      <c r="C118" s="9">
        <v>0</v>
      </c>
      <c r="D118" s="9">
        <v>1209507.4232000001</v>
      </c>
      <c r="E118" s="9">
        <v>1330458.16552</v>
      </c>
      <c r="F118" s="43">
        <v>86.844638866560103</v>
      </c>
      <c r="G118" s="43">
        <v>130172.89748727939</v>
      </c>
      <c r="H118" s="43">
        <v>4597055.8747632718</v>
      </c>
      <c r="I118" s="43">
        <v>238.28133145369767</v>
      </c>
      <c r="J118" s="9">
        <v>130172.89748727939</v>
      </c>
      <c r="K118" s="9">
        <v>4597055.8747632718</v>
      </c>
      <c r="L118" s="9">
        <v>325.12597032025775</v>
      </c>
      <c r="M118" s="9">
        <v>260345.79497455878</v>
      </c>
      <c r="N118" s="9">
        <v>9194111.7495265435</v>
      </c>
      <c r="O118" s="9">
        <v>0.55992052200898879</v>
      </c>
      <c r="P118" s="9">
        <v>156.20747698473525</v>
      </c>
      <c r="Q118" s="9">
        <v>5516.467049715925</v>
      </c>
      <c r="T118" s="13">
        <f t="shared" si="2"/>
        <v>2669.9312197173804</v>
      </c>
      <c r="U118" s="13">
        <f t="shared" si="3"/>
        <v>17.480629229459549</v>
      </c>
    </row>
    <row r="119" spans="1:21" x14ac:dyDescent="0.25">
      <c r="A119">
        <v>2105</v>
      </c>
      <c r="B119" s="9">
        <v>0</v>
      </c>
      <c r="C119" s="9">
        <v>0</v>
      </c>
      <c r="D119" s="9">
        <v>1209507.4232000001</v>
      </c>
      <c r="E119" s="9">
        <v>1330458.16552</v>
      </c>
      <c r="F119" s="43">
        <v>82.609175850010303</v>
      </c>
      <c r="G119" s="43">
        <v>123824.29036241521</v>
      </c>
      <c r="H119" s="43">
        <v>4372854.8141486924</v>
      </c>
      <c r="I119" s="43">
        <v>226.66021378796469</v>
      </c>
      <c r="J119" s="9">
        <v>123824.29036241521</v>
      </c>
      <c r="K119" s="9">
        <v>4372854.8141486924</v>
      </c>
      <c r="L119" s="9">
        <v>309.269389637975</v>
      </c>
      <c r="M119" s="9">
        <v>247648.58072483042</v>
      </c>
      <c r="N119" s="9">
        <v>8745709.6282973848</v>
      </c>
      <c r="O119" s="9">
        <v>0.53261287591674966</v>
      </c>
      <c r="P119" s="9">
        <v>148.58914843489825</v>
      </c>
      <c r="Q119" s="9">
        <v>5247.4257769784317</v>
      </c>
      <c r="T119" s="13">
        <f t="shared" si="2"/>
        <v>2539.7171375882531</v>
      </c>
      <c r="U119" s="13">
        <f t="shared" si="3"/>
        <v>16.628088881849163</v>
      </c>
    </row>
    <row r="120" spans="1:21" x14ac:dyDescent="0.25">
      <c r="A120">
        <v>2106</v>
      </c>
      <c r="B120" s="9">
        <v>0</v>
      </c>
      <c r="C120" s="9">
        <v>0</v>
      </c>
      <c r="D120" s="9">
        <v>1209507.4232000001</v>
      </c>
      <c r="E120" s="9">
        <v>1330458.16552</v>
      </c>
      <c r="F120" s="43">
        <v>78.580278802283601</v>
      </c>
      <c r="G120" s="43">
        <v>117785.30846064955</v>
      </c>
      <c r="H120" s="43">
        <v>4159588.1682878388</v>
      </c>
      <c r="I120" s="43">
        <v>215.60586471873452</v>
      </c>
      <c r="J120" s="9">
        <v>117785.30846064955</v>
      </c>
      <c r="K120" s="9">
        <v>4159588.1682878388</v>
      </c>
      <c r="L120" s="9">
        <v>294.1861435210181</v>
      </c>
      <c r="M120" s="9">
        <v>235570.61692129911</v>
      </c>
      <c r="N120" s="9">
        <v>8319176.3365756776</v>
      </c>
      <c r="O120" s="9">
        <v>0.50663703943996008</v>
      </c>
      <c r="P120" s="9">
        <v>141.34237015277947</v>
      </c>
      <c r="Q120" s="9">
        <v>4991.5058019454063</v>
      </c>
      <c r="T120" s="13">
        <f t="shared" si="2"/>
        <v>2415.8536711826755</v>
      </c>
      <c r="U120" s="13">
        <f t="shared" si="3"/>
        <v>15.817127417628104</v>
      </c>
    </row>
    <row r="121" spans="1:21" x14ac:dyDescent="0.25">
      <c r="A121">
        <v>2107</v>
      </c>
      <c r="B121" s="9">
        <v>0</v>
      </c>
      <c r="C121" s="9">
        <v>0</v>
      </c>
      <c r="D121" s="9">
        <v>1209507.4232000001</v>
      </c>
      <c r="E121" s="9">
        <v>1330458.16552</v>
      </c>
      <c r="F121" s="43">
        <v>74.747873382201874</v>
      </c>
      <c r="G121" s="43">
        <v>112040.85118166274</v>
      </c>
      <c r="H121" s="43">
        <v>3956722.6594804195</v>
      </c>
      <c r="I121" s="43">
        <v>205.0906426153806</v>
      </c>
      <c r="J121" s="9">
        <v>112040.85118166274</v>
      </c>
      <c r="K121" s="9">
        <v>3956722.6594804195</v>
      </c>
      <c r="L121" s="9">
        <v>279.83851599758248</v>
      </c>
      <c r="M121" s="9">
        <v>224081.70236332549</v>
      </c>
      <c r="N121" s="9">
        <v>7913445.318960839</v>
      </c>
      <c r="O121" s="9">
        <v>0.48192805945721873</v>
      </c>
      <c r="P121" s="9">
        <v>134.44902141799528</v>
      </c>
      <c r="Q121" s="9">
        <v>4748.0671913765027</v>
      </c>
      <c r="T121" s="13">
        <f t="shared" si="2"/>
        <v>2298.0310973170331</v>
      </c>
      <c r="U121" s="13">
        <f t="shared" si="3"/>
        <v>15.045717010724845</v>
      </c>
    </row>
    <row r="122" spans="1:21" x14ac:dyDescent="0.25">
      <c r="A122">
        <v>2108</v>
      </c>
      <c r="B122" s="9">
        <v>0</v>
      </c>
      <c r="C122" s="9">
        <v>0</v>
      </c>
      <c r="D122" s="9">
        <v>1209507.4232000001</v>
      </c>
      <c r="E122" s="9">
        <v>1330458.16552</v>
      </c>
      <c r="F122" s="43">
        <v>71.102376580004133</v>
      </c>
      <c r="G122" s="43">
        <v>106576.55439010319</v>
      </c>
      <c r="H122" s="43">
        <v>3763751.0182864941</v>
      </c>
      <c r="I122" s="43">
        <v>195.0882539455101</v>
      </c>
      <c r="J122" s="9">
        <v>106576.55439010319</v>
      </c>
      <c r="K122" s="9">
        <v>3763751.0182864941</v>
      </c>
      <c r="L122" s="9">
        <v>266.19063052551422</v>
      </c>
      <c r="M122" s="9">
        <v>213153.10878020638</v>
      </c>
      <c r="N122" s="9">
        <v>7527502.0365729881</v>
      </c>
      <c r="O122" s="9">
        <v>0.45842415064823611</v>
      </c>
      <c r="P122" s="9">
        <v>127.89186526812382</v>
      </c>
      <c r="Q122" s="9">
        <v>4516.5012219437922</v>
      </c>
      <c r="T122" s="13">
        <f t="shared" si="2"/>
        <v>2185.9547981856258</v>
      </c>
      <c r="U122" s="13">
        <f t="shared" si="3"/>
        <v>14.311928733312397</v>
      </c>
    </row>
    <row r="123" spans="1:21" x14ac:dyDescent="0.25">
      <c r="A123">
        <v>2109</v>
      </c>
      <c r="B123" s="9">
        <v>0</v>
      </c>
      <c r="C123" s="9">
        <v>0</v>
      </c>
      <c r="D123" s="9">
        <v>1209507.4232000001</v>
      </c>
      <c r="E123" s="9">
        <v>1330458.16552</v>
      </c>
      <c r="F123" s="43">
        <v>67.634672754830376</v>
      </c>
      <c r="G123" s="43">
        <v>101378.7544977669</v>
      </c>
      <c r="H123" s="43">
        <v>3580190.715088638</v>
      </c>
      <c r="I123" s="43">
        <v>185.57368752743673</v>
      </c>
      <c r="J123" s="9">
        <v>101378.7544977669</v>
      </c>
      <c r="K123" s="9">
        <v>3580190.715088638</v>
      </c>
      <c r="L123" s="9">
        <v>253.20836028226708</v>
      </c>
      <c r="M123" s="9">
        <v>202757.5089955338</v>
      </c>
      <c r="N123" s="9">
        <v>7160381.430177276</v>
      </c>
      <c r="O123" s="9">
        <v>0.43606654099835024</v>
      </c>
      <c r="P123" s="9">
        <v>121.65450539732028</v>
      </c>
      <c r="Q123" s="9">
        <v>4296.2288581063658</v>
      </c>
      <c r="T123" s="13">
        <f t="shared" si="2"/>
        <v>2079.344524662687</v>
      </c>
      <c r="U123" s="13">
        <f t="shared" si="3"/>
        <v>13.613927732483983</v>
      </c>
    </row>
    <row r="124" spans="1:21" x14ac:dyDescent="0.25">
      <c r="A124">
        <v>2110</v>
      </c>
      <c r="B124" s="9">
        <v>0</v>
      </c>
      <c r="C124" s="9">
        <v>0</v>
      </c>
      <c r="D124" s="9">
        <v>1209507.4232000001</v>
      </c>
      <c r="E124" s="9">
        <v>1330458.16552</v>
      </c>
      <c r="F124" s="43">
        <v>64.336090840871393</v>
      </c>
      <c r="G124" s="43">
        <v>96434.454297509961</v>
      </c>
      <c r="H124" s="43">
        <v>3405582.7535165641</v>
      </c>
      <c r="I124" s="43">
        <v>176.52315198919894</v>
      </c>
      <c r="J124" s="9">
        <v>96434.454297509961</v>
      </c>
      <c r="K124" s="9">
        <v>3405582.7535165641</v>
      </c>
      <c r="L124" s="9">
        <v>240.85924283007031</v>
      </c>
      <c r="M124" s="9">
        <v>192868.90859501992</v>
      </c>
      <c r="N124" s="9">
        <v>6811165.5070331283</v>
      </c>
      <c r="O124" s="9">
        <v>0.41479932483787757</v>
      </c>
      <c r="P124" s="9">
        <v>115.72134515701194</v>
      </c>
      <c r="Q124" s="9">
        <v>4086.6993042198765</v>
      </c>
      <c r="T124" s="13">
        <f t="shared" si="2"/>
        <v>1977.933695533598</v>
      </c>
      <c r="U124" s="13">
        <f t="shared" si="3"/>
        <v>12.949968642165047</v>
      </c>
    </row>
    <row r="125" spans="1:21" x14ac:dyDescent="0.25">
      <c r="A125">
        <v>2111</v>
      </c>
      <c r="B125" s="9">
        <v>0</v>
      </c>
      <c r="C125" s="9">
        <v>0</v>
      </c>
      <c r="D125" s="9">
        <v>1209507.4232000001</v>
      </c>
      <c r="E125" s="9">
        <v>1330458.16552</v>
      </c>
      <c r="F125" s="43">
        <v>61.198382665187765</v>
      </c>
      <c r="G125" s="43">
        <v>91731.290463460813</v>
      </c>
      <c r="H125" s="43">
        <v>3239490.5227171183</v>
      </c>
      <c r="I125" s="43">
        <v>167.91401627773777</v>
      </c>
      <c r="J125" s="9">
        <v>91731.290463460813</v>
      </c>
      <c r="K125" s="9">
        <v>3239490.5227171183</v>
      </c>
      <c r="L125" s="9">
        <v>229.11239894292552</v>
      </c>
      <c r="M125" s="9">
        <v>183462.58092692163</v>
      </c>
      <c r="N125" s="9">
        <v>6478981.0454342365</v>
      </c>
      <c r="O125" s="9">
        <v>0.39456932304881903</v>
      </c>
      <c r="P125" s="9">
        <v>110.07754855615296</v>
      </c>
      <c r="Q125" s="9">
        <v>3887.3886272605414</v>
      </c>
      <c r="T125" s="13">
        <f t="shared" si="2"/>
        <v>1881.4687309029953</v>
      </c>
      <c r="U125" s="13">
        <f t="shared" si="3"/>
        <v>12.318391218788951</v>
      </c>
    </row>
    <row r="126" spans="1:21" x14ac:dyDescent="0.25">
      <c r="A126">
        <v>2112</v>
      </c>
      <c r="B126" s="9">
        <v>0</v>
      </c>
      <c r="C126" s="9">
        <v>0</v>
      </c>
      <c r="D126" s="9">
        <v>1209507.4232000001</v>
      </c>
      <c r="E126" s="9">
        <v>1330458.16552</v>
      </c>
      <c r="F126" s="43">
        <v>58.213702322981035</v>
      </c>
      <c r="G126" s="43">
        <v>87257.502636265679</v>
      </c>
      <c r="H126" s="43">
        <v>3081498.7055997225</v>
      </c>
      <c r="I126" s="43">
        <v>159.72475306947604</v>
      </c>
      <c r="J126" s="9">
        <v>87257.502636265679</v>
      </c>
      <c r="K126" s="9">
        <v>3081498.7055997225</v>
      </c>
      <c r="L126" s="9">
        <v>217.93845539245709</v>
      </c>
      <c r="M126" s="9">
        <v>174515.00527253136</v>
      </c>
      <c r="N126" s="9">
        <v>6162997.4111994449</v>
      </c>
      <c r="O126" s="9">
        <v>0.37532595008936454</v>
      </c>
      <c r="P126" s="9">
        <v>104.7090031635188</v>
      </c>
      <c r="Q126" s="9">
        <v>3697.7984467196661</v>
      </c>
      <c r="T126" s="13">
        <f t="shared" si="2"/>
        <v>1789.7084181129451</v>
      </c>
      <c r="U126" s="13">
        <f t="shared" si="3"/>
        <v>11.717616189823266</v>
      </c>
    </row>
    <row r="127" spans="1:21" x14ac:dyDescent="0.25">
      <c r="A127">
        <v>2113</v>
      </c>
      <c r="B127" s="9">
        <v>0</v>
      </c>
      <c r="C127" s="9">
        <v>0</v>
      </c>
      <c r="D127" s="9">
        <v>1209507.4232000001</v>
      </c>
      <c r="E127" s="9">
        <v>1330458.16552</v>
      </c>
      <c r="F127" s="43">
        <v>55.374586558745129</v>
      </c>
      <c r="G127" s="43">
        <v>83001.904016064538</v>
      </c>
      <c r="H127" s="43">
        <v>2931212.2403273191</v>
      </c>
      <c r="I127" s="43">
        <v>151.93488494079637</v>
      </c>
      <c r="J127" s="9">
        <v>83001.904016064538</v>
      </c>
      <c r="K127" s="9">
        <v>2931212.2403273191</v>
      </c>
      <c r="L127" s="9">
        <v>207.30947149954147</v>
      </c>
      <c r="M127" s="9">
        <v>166003.80803212908</v>
      </c>
      <c r="N127" s="9">
        <v>5862424.4806546383</v>
      </c>
      <c r="O127" s="9">
        <v>0.35702108750368988</v>
      </c>
      <c r="P127" s="9">
        <v>99.602284819277443</v>
      </c>
      <c r="Q127" s="9">
        <v>3517.4546883927828</v>
      </c>
      <c r="T127" s="13">
        <f t="shared" si="2"/>
        <v>1702.4233085856599</v>
      </c>
      <c r="U127" s="13">
        <f t="shared" si="3"/>
        <v>11.146141304765834</v>
      </c>
    </row>
    <row r="128" spans="1:21" x14ac:dyDescent="0.25">
      <c r="A128">
        <v>2114</v>
      </c>
      <c r="B128" s="9">
        <v>0</v>
      </c>
      <c r="C128" s="9">
        <v>0</v>
      </c>
      <c r="D128" s="9">
        <v>1209507.4232000001</v>
      </c>
      <c r="E128" s="9">
        <v>1330458.16552</v>
      </c>
      <c r="F128" s="43">
        <v>52.673936104240099</v>
      </c>
      <c r="G128" s="43">
        <v>78953.853389664568</v>
      </c>
      <c r="H128" s="43">
        <v>2788255.3324560039</v>
      </c>
      <c r="I128" s="43">
        <v>144.52493316381592</v>
      </c>
      <c r="J128" s="9">
        <v>78953.853389664568</v>
      </c>
      <c r="K128" s="9">
        <v>2788255.3324560039</v>
      </c>
      <c r="L128" s="9">
        <v>197.198869268056</v>
      </c>
      <c r="M128" s="9">
        <v>157907.70677932914</v>
      </c>
      <c r="N128" s="9">
        <v>5576510.6649120077</v>
      </c>
      <c r="O128" s="9">
        <v>0.33960896360075399</v>
      </c>
      <c r="P128" s="9">
        <v>94.744624067597471</v>
      </c>
      <c r="Q128" s="9">
        <v>3345.9063989472043</v>
      </c>
      <c r="T128" s="13">
        <f t="shared" si="2"/>
        <v>1619.3951440825385</v>
      </c>
      <c r="U128" s="13">
        <f t="shared" si="3"/>
        <v>10.60253757873604</v>
      </c>
    </row>
    <row r="129" spans="1:21" x14ac:dyDescent="0.25">
      <c r="A129">
        <v>2115</v>
      </c>
      <c r="B129" s="9">
        <v>0</v>
      </c>
      <c r="C129" s="9">
        <v>0</v>
      </c>
      <c r="D129" s="9">
        <v>1209507.4232000001</v>
      </c>
      <c r="E129" s="9">
        <v>1330458.16552</v>
      </c>
      <c r="F129" s="43">
        <v>50.104997926623689</v>
      </c>
      <c r="G129" s="43">
        <v>75103.228521964367</v>
      </c>
      <c r="H129" s="43">
        <v>2652270.5152531713</v>
      </c>
      <c r="I129" s="43">
        <v>137.47636899942074</v>
      </c>
      <c r="J129" s="9">
        <v>75103.228521964367</v>
      </c>
      <c r="K129" s="9">
        <v>2652270.5152531713</v>
      </c>
      <c r="L129" s="9">
        <v>187.58136692604444</v>
      </c>
      <c r="M129" s="9">
        <v>150206.45704392873</v>
      </c>
      <c r="N129" s="9">
        <v>5304541.0305063426</v>
      </c>
      <c r="O129" s="9">
        <v>0.32304603900122908</v>
      </c>
      <c r="P129" s="9">
        <v>90.123874226357231</v>
      </c>
      <c r="Q129" s="9">
        <v>3182.7246183038055</v>
      </c>
      <c r="T129" s="13">
        <f t="shared" si="2"/>
        <v>1540.4163109448841</v>
      </c>
      <c r="U129" s="13">
        <f t="shared" si="3"/>
        <v>10.085445719268277</v>
      </c>
    </row>
    <row r="130" spans="1:21" x14ac:dyDescent="0.25">
      <c r="A130">
        <v>2116</v>
      </c>
      <c r="B130" s="9">
        <v>0</v>
      </c>
      <c r="C130" s="9">
        <v>0</v>
      </c>
      <c r="D130" s="9">
        <v>1209507.4232000001</v>
      </c>
      <c r="E130" s="9">
        <v>1330458.16552</v>
      </c>
      <c r="F130" s="43">
        <v>47.661348342351722</v>
      </c>
      <c r="G130" s="43">
        <v>71440.400845093784</v>
      </c>
      <c r="H130" s="43">
        <v>2522917.7558444869</v>
      </c>
      <c r="I130" s="43">
        <v>130.77156736576683</v>
      </c>
      <c r="J130" s="9">
        <v>71440.400845093784</v>
      </c>
      <c r="K130" s="9">
        <v>2522917.7558444869</v>
      </c>
      <c r="L130" s="9">
        <v>178.43291570811854</v>
      </c>
      <c r="M130" s="9">
        <v>142880.80169018757</v>
      </c>
      <c r="N130" s="9">
        <v>5045835.5116889738</v>
      </c>
      <c r="O130" s="9">
        <v>0.30729089776637447</v>
      </c>
      <c r="P130" s="9">
        <v>85.728481014112532</v>
      </c>
      <c r="Q130" s="9">
        <v>3027.5013070133837</v>
      </c>
      <c r="T130" s="13">
        <f t="shared" si="2"/>
        <v>1465.2893209516151</v>
      </c>
      <c r="U130" s="13">
        <f t="shared" si="3"/>
        <v>9.593572727372754</v>
      </c>
    </row>
    <row r="131" spans="1:21" x14ac:dyDescent="0.25">
      <c r="A131">
        <v>2117</v>
      </c>
      <c r="B131" s="9">
        <v>0</v>
      </c>
      <c r="C131" s="9">
        <v>0</v>
      </c>
      <c r="D131" s="9">
        <v>1209507.4232000001</v>
      </c>
      <c r="E131" s="9">
        <v>1330458.16552</v>
      </c>
      <c r="F131" s="43">
        <v>45.336876954623285</v>
      </c>
      <c r="G131" s="43">
        <v>67956.211381978879</v>
      </c>
      <c r="H131" s="43">
        <v>2399873.604954584</v>
      </c>
      <c r="I131" s="43">
        <v>124.39376276639472</v>
      </c>
      <c r="J131" s="9">
        <v>67956.211381978879</v>
      </c>
      <c r="K131" s="9">
        <v>2399873.604954584</v>
      </c>
      <c r="L131" s="9">
        <v>169.73063972101801</v>
      </c>
      <c r="M131" s="9">
        <v>135912.42276395776</v>
      </c>
      <c r="N131" s="9">
        <v>4799747.2099091681</v>
      </c>
      <c r="O131" s="9">
        <v>0.29230414383661607</v>
      </c>
      <c r="P131" s="9">
        <v>81.54745365837465</v>
      </c>
      <c r="Q131" s="9">
        <v>2879.8483259455006</v>
      </c>
      <c r="T131" s="13">
        <f t="shared" si="2"/>
        <v>1393.8263174958468</v>
      </c>
      <c r="U131" s="13">
        <f t="shared" si="3"/>
        <v>9.1256886643645299</v>
      </c>
    </row>
    <row r="132" spans="1:21" x14ac:dyDescent="0.25">
      <c r="A132">
        <v>2118</v>
      </c>
      <c r="B132" s="9">
        <v>0</v>
      </c>
      <c r="C132" s="9">
        <v>0</v>
      </c>
      <c r="D132" s="9">
        <v>1209507.4232000001</v>
      </c>
      <c r="E132" s="9">
        <v>1330458.16552</v>
      </c>
      <c r="F132" s="43">
        <v>43.125771374205996</v>
      </c>
      <c r="G132" s="43">
        <v>64641.947844128641</v>
      </c>
      <c r="H132" s="43">
        <v>2282830.3881154028</v>
      </c>
      <c r="I132" s="43">
        <v>118.327007367756</v>
      </c>
      <c r="J132" s="9">
        <v>64641.947844128641</v>
      </c>
      <c r="K132" s="9">
        <v>2282830.3881154028</v>
      </c>
      <c r="L132" s="9">
        <v>161.45277874196199</v>
      </c>
      <c r="M132" s="9">
        <v>129283.89568825728</v>
      </c>
      <c r="N132" s="9">
        <v>4565660.7762308056</v>
      </c>
      <c r="O132" s="9">
        <v>0.27804830252087825</v>
      </c>
      <c r="P132" s="9">
        <v>77.570337412954359</v>
      </c>
      <c r="Q132" s="9">
        <v>2739.3964657384831</v>
      </c>
      <c r="T132" s="13">
        <f t="shared" si="2"/>
        <v>1325.8486058455239</v>
      </c>
      <c r="U132" s="13">
        <f t="shared" si="3"/>
        <v>8.6806235763761617</v>
      </c>
    </row>
    <row r="133" spans="1:21" x14ac:dyDescent="0.25">
      <c r="A133">
        <v>2119</v>
      </c>
      <c r="B133" s="9">
        <v>0</v>
      </c>
      <c r="C133" s="9">
        <v>0</v>
      </c>
      <c r="D133" s="9">
        <v>1209507.4232000001</v>
      </c>
      <c r="E133" s="9">
        <v>1330458.16552</v>
      </c>
      <c r="F133" s="43">
        <v>41.022502685435327</v>
      </c>
      <c r="G133" s="43">
        <v>61489.322846375646</v>
      </c>
      <c r="H133" s="43">
        <v>2171495.4363197559</v>
      </c>
      <c r="I133" s="43">
        <v>112.55613112132225</v>
      </c>
      <c r="J133" s="9">
        <v>61489.322846375646</v>
      </c>
      <c r="K133" s="9">
        <v>2171495.4363197559</v>
      </c>
      <c r="L133" s="9">
        <v>153.57863380675758</v>
      </c>
      <c r="M133" s="9">
        <v>122978.64569275129</v>
      </c>
      <c r="N133" s="9">
        <v>4342990.8726395117</v>
      </c>
      <c r="O133" s="9">
        <v>0.26448772679033539</v>
      </c>
      <c r="P133" s="9">
        <v>73.787187415650763</v>
      </c>
      <c r="Q133" s="9">
        <v>2605.7945235837065</v>
      </c>
      <c r="T133" s="13">
        <f t="shared" si="2"/>
        <v>1261.1862063135115</v>
      </c>
      <c r="U133" s="13">
        <f t="shared" si="3"/>
        <v>8.2572645688636239</v>
      </c>
    </row>
    <row r="134" spans="1:21" x14ac:dyDescent="0.25">
      <c r="A134">
        <v>2120</v>
      </c>
      <c r="B134" s="9">
        <v>0</v>
      </c>
      <c r="C134" s="9">
        <v>0</v>
      </c>
      <c r="D134" s="9">
        <v>1209507.4232000001</v>
      </c>
      <c r="E134" s="9">
        <v>1330458.16552</v>
      </c>
      <c r="F134" s="43">
        <v>39.02181162104565</v>
      </c>
      <c r="G134" s="43">
        <v>58490.453184096521</v>
      </c>
      <c r="H134" s="43">
        <v>2065590.3541963685</v>
      </c>
      <c r="I134" s="43">
        <v>107.06670383056229</v>
      </c>
      <c r="J134" s="9">
        <v>58490.453184096521</v>
      </c>
      <c r="K134" s="9">
        <v>2065590.3541963685</v>
      </c>
      <c r="L134" s="9">
        <v>146.08851545160795</v>
      </c>
      <c r="M134" s="9">
        <v>116980.90636819304</v>
      </c>
      <c r="N134" s="9">
        <v>4131180.708392737</v>
      </c>
      <c r="O134" s="9">
        <v>0.25158850814227285</v>
      </c>
      <c r="P134" s="9">
        <v>70.188543820915825</v>
      </c>
      <c r="Q134" s="9">
        <v>2478.708425035642</v>
      </c>
      <c r="T134" s="13">
        <f t="shared" si="2"/>
        <v>1199.6774292198406</v>
      </c>
      <c r="U134" s="13">
        <f t="shared" si="3"/>
        <v>7.8545530237902828</v>
      </c>
    </row>
    <row r="135" spans="1:21" x14ac:dyDescent="0.25">
      <c r="A135">
        <v>2121</v>
      </c>
      <c r="B135" s="9">
        <v>0</v>
      </c>
      <c r="C135" s="9">
        <v>0</v>
      </c>
      <c r="D135" s="9">
        <v>1209507.4232000001</v>
      </c>
      <c r="E135" s="9">
        <v>1330458.16552</v>
      </c>
      <c r="F135" s="43">
        <v>37.118695411262529</v>
      </c>
      <c r="G135" s="43">
        <v>55637.840121094094</v>
      </c>
      <c r="H135" s="43">
        <v>1964850.3238764377</v>
      </c>
      <c r="I135" s="43">
        <v>101.84499906793417</v>
      </c>
      <c r="J135" s="9">
        <v>55637.840121094094</v>
      </c>
      <c r="K135" s="9">
        <v>1964850.3238764377</v>
      </c>
      <c r="L135" s="9">
        <v>138.9636944791967</v>
      </c>
      <c r="M135" s="9">
        <v>111275.68024218819</v>
      </c>
      <c r="N135" s="9">
        <v>3929700.6477528755</v>
      </c>
      <c r="O135" s="9">
        <v>0.23931839181116743</v>
      </c>
      <c r="P135" s="9">
        <v>66.765408145312904</v>
      </c>
      <c r="Q135" s="9">
        <v>2357.8203886517249</v>
      </c>
      <c r="T135" s="13">
        <f t="shared" ref="T135:T145" si="4">F135*28+I135</f>
        <v>1141.1684705832849</v>
      </c>
      <c r="U135" s="13">
        <f t="shared" ref="U135:U145" si="5">N135/CONVERT(1,"yr","mn")</f>
        <v>7.4714819525303735</v>
      </c>
    </row>
    <row r="136" spans="1:21" x14ac:dyDescent="0.25">
      <c r="A136">
        <v>2122</v>
      </c>
      <c r="B136" s="9">
        <v>0</v>
      </c>
      <c r="C136" s="9">
        <v>0</v>
      </c>
      <c r="D136" s="9">
        <v>1209507.4232000001</v>
      </c>
      <c r="E136" s="9">
        <v>1330458.16552</v>
      </c>
      <c r="F136" s="43">
        <v>35.308395274272542</v>
      </c>
      <c r="G136" s="43">
        <v>52924.350638851065</v>
      </c>
      <c r="H136" s="43">
        <v>1869023.4428110253</v>
      </c>
      <c r="I136" s="43">
        <v>96.877959851666759</v>
      </c>
      <c r="J136" s="9">
        <v>52924.350638851065</v>
      </c>
      <c r="K136" s="9">
        <v>1869023.4428110253</v>
      </c>
      <c r="L136" s="9">
        <v>132.18635512593931</v>
      </c>
      <c r="M136" s="9">
        <v>105848.70127770213</v>
      </c>
      <c r="N136" s="9">
        <v>3738046.8856220506</v>
      </c>
      <c r="O136" s="9">
        <v>0.22764669611497315</v>
      </c>
      <c r="P136" s="9">
        <v>63.509220766621276</v>
      </c>
      <c r="Q136" s="9">
        <v>2242.82813137323</v>
      </c>
      <c r="T136" s="13">
        <f t="shared" si="4"/>
        <v>1085.5130275312979</v>
      </c>
      <c r="U136" s="13">
        <f t="shared" si="5"/>
        <v>7.1070934778729384</v>
      </c>
    </row>
    <row r="137" spans="1:21" x14ac:dyDescent="0.25">
      <c r="A137">
        <v>2123</v>
      </c>
      <c r="B137" s="9">
        <v>0</v>
      </c>
      <c r="C137" s="9">
        <v>0</v>
      </c>
      <c r="D137" s="9">
        <v>1209507.4232000001</v>
      </c>
      <c r="E137" s="9">
        <v>1330458.16552</v>
      </c>
      <c r="F137" s="43">
        <v>33.586384516789991</v>
      </c>
      <c r="G137" s="43">
        <v>50343.199600268279</v>
      </c>
      <c r="H137" s="43">
        <v>1777870.0938834741</v>
      </c>
      <c r="I137" s="43">
        <v>92.153165996504228</v>
      </c>
      <c r="J137" s="9">
        <v>50343.199600268279</v>
      </c>
      <c r="K137" s="9">
        <v>1777870.0938834741</v>
      </c>
      <c r="L137" s="9">
        <v>125.73955051329422</v>
      </c>
      <c r="M137" s="9">
        <v>100686.39920053656</v>
      </c>
      <c r="N137" s="9">
        <v>3555740.1877669482</v>
      </c>
      <c r="O137" s="9">
        <v>0.21654423573493478</v>
      </c>
      <c r="P137" s="9">
        <v>60.411839520321926</v>
      </c>
      <c r="Q137" s="9">
        <v>2133.4441126601687</v>
      </c>
      <c r="T137" s="13">
        <f t="shared" si="4"/>
        <v>1032.571932466624</v>
      </c>
      <c r="U137" s="13">
        <f t="shared" si="5"/>
        <v>6.7604764388298504</v>
      </c>
    </row>
    <row r="138" spans="1:21" x14ac:dyDescent="0.25">
      <c r="A138">
        <v>2124</v>
      </c>
      <c r="B138" s="9">
        <v>0</v>
      </c>
      <c r="C138" s="9">
        <v>0</v>
      </c>
      <c r="D138" s="9">
        <v>1209507.4232000001</v>
      </c>
      <c r="E138" s="9">
        <v>1330458.16552</v>
      </c>
      <c r="F138" s="43">
        <v>31.948357214965835</v>
      </c>
      <c r="G138" s="43">
        <v>47887.932783287768</v>
      </c>
      <c r="H138" s="43">
        <v>1691162.3462418073</v>
      </c>
      <c r="I138" s="43">
        <v>87.658803056773479</v>
      </c>
      <c r="J138" s="9">
        <v>47887.932783287768</v>
      </c>
      <c r="K138" s="9">
        <v>1691162.3462418073</v>
      </c>
      <c r="L138" s="9">
        <v>119.6071602717393</v>
      </c>
      <c r="M138" s="9">
        <v>95775.865566575536</v>
      </c>
      <c r="N138" s="9">
        <v>3382324.6924836147</v>
      </c>
      <c r="O138" s="9">
        <v>0.20598324873708893</v>
      </c>
      <c r="P138" s="9">
        <v>57.465519339945317</v>
      </c>
      <c r="Q138" s="9">
        <v>2029.3948154901686</v>
      </c>
      <c r="T138" s="13">
        <f t="shared" si="4"/>
        <v>982.21280507581696</v>
      </c>
      <c r="U138" s="13">
        <f t="shared" si="5"/>
        <v>6.4307641122587551</v>
      </c>
    </row>
    <row r="139" spans="1:21" x14ac:dyDescent="0.25">
      <c r="A139">
        <v>2125</v>
      </c>
      <c r="B139" s="9">
        <v>0</v>
      </c>
      <c r="C139" s="9">
        <v>0</v>
      </c>
      <c r="D139" s="9">
        <v>1209507.4232000001</v>
      </c>
      <c r="E139" s="9">
        <v>1330458.16552</v>
      </c>
      <c r="F139" s="43">
        <v>30.390217447335193</v>
      </c>
      <c r="G139" s="43">
        <v>45552.410741975713</v>
      </c>
      <c r="H139" s="43">
        <v>1608683.3853528723</v>
      </c>
      <c r="I139" s="43">
        <v>83.383632784116088</v>
      </c>
      <c r="J139" s="9">
        <v>45552.410741975713</v>
      </c>
      <c r="K139" s="9">
        <v>1608683.3853528723</v>
      </c>
      <c r="L139" s="9">
        <v>113.77385023145128</v>
      </c>
      <c r="M139" s="9">
        <v>91104.821483951426</v>
      </c>
      <c r="N139" s="9">
        <v>3217366.7707057446</v>
      </c>
      <c r="O139" s="9">
        <v>0.19593732715296858</v>
      </c>
      <c r="P139" s="9">
        <v>54.662892890370848</v>
      </c>
      <c r="Q139" s="9">
        <v>1930.4200624234463</v>
      </c>
      <c r="T139" s="13">
        <f t="shared" si="4"/>
        <v>934.30972130950147</v>
      </c>
      <c r="U139" s="13">
        <f t="shared" si="5"/>
        <v>6.1171320456037428</v>
      </c>
    </row>
    <row r="140" spans="1:21" x14ac:dyDescent="0.25">
      <c r="A140">
        <v>2126</v>
      </c>
      <c r="B140" s="9">
        <v>0</v>
      </c>
      <c r="C140" s="9">
        <v>0</v>
      </c>
      <c r="D140" s="9">
        <v>1209507.4232000001</v>
      </c>
      <c r="E140" s="9">
        <v>1330458.16552</v>
      </c>
      <c r="F140" s="43">
        <v>28.908069052880215</v>
      </c>
      <c r="G140" s="43">
        <v>43330.793454709703</v>
      </c>
      <c r="H140" s="43">
        <v>1530226.9708530731</v>
      </c>
      <c r="I140" s="43">
        <v>79.316965026013619</v>
      </c>
      <c r="J140" s="9">
        <v>43330.793454709703</v>
      </c>
      <c r="K140" s="9">
        <v>1530226.9708530731</v>
      </c>
      <c r="L140" s="9">
        <v>108.22503407889384</v>
      </c>
      <c r="M140" s="9">
        <v>86661.586909419406</v>
      </c>
      <c r="N140" s="9">
        <v>3060453.9417061461</v>
      </c>
      <c r="O140" s="9">
        <v>0.18638135094592648</v>
      </c>
      <c r="P140" s="9">
        <v>51.99695214565164</v>
      </c>
      <c r="Q140" s="9">
        <v>1836.2723650236876</v>
      </c>
      <c r="T140" s="13">
        <f t="shared" si="4"/>
        <v>888.74289850665957</v>
      </c>
      <c r="U140" s="13">
        <f t="shared" si="5"/>
        <v>5.8187959953345239</v>
      </c>
    </row>
    <row r="141" spans="1:21" x14ac:dyDescent="0.25">
      <c r="A141">
        <v>2127</v>
      </c>
      <c r="B141" s="9">
        <v>0</v>
      </c>
      <c r="C141" s="9">
        <v>0</v>
      </c>
      <c r="D141" s="9">
        <v>1209507.4232000001</v>
      </c>
      <c r="E141" s="9">
        <v>1330458.16552</v>
      </c>
      <c r="F141" s="43">
        <v>27.498205888598143</v>
      </c>
      <c r="G141" s="43">
        <v>41217.525721082806</v>
      </c>
      <c r="H141" s="43">
        <v>1455596.9208400392</v>
      </c>
      <c r="I141" s="43">
        <v>75.448630994838183</v>
      </c>
      <c r="J141" s="9">
        <v>41217.525721082806</v>
      </c>
      <c r="K141" s="9">
        <v>1455596.9208400392</v>
      </c>
      <c r="L141" s="9">
        <v>102.94683688343632</v>
      </c>
      <c r="M141" s="9">
        <v>82435.051442165612</v>
      </c>
      <c r="N141" s="9">
        <v>2911193.8416800783</v>
      </c>
      <c r="O141" s="9">
        <v>0.17729142519795918</v>
      </c>
      <c r="P141" s="9">
        <v>49.461030865299364</v>
      </c>
      <c r="Q141" s="9">
        <v>1746.7163050080469</v>
      </c>
      <c r="T141" s="13">
        <f t="shared" si="4"/>
        <v>845.39839587558617</v>
      </c>
      <c r="U141" s="13">
        <f t="shared" si="5"/>
        <v>5.5350099659291168</v>
      </c>
    </row>
    <row r="142" spans="1:21" x14ac:dyDescent="0.25">
      <c r="A142">
        <v>2128</v>
      </c>
      <c r="B142" s="9">
        <v>0</v>
      </c>
      <c r="C142" s="9">
        <v>0</v>
      </c>
      <c r="D142" s="9">
        <v>1209507.4232000001</v>
      </c>
      <c r="E142" s="9">
        <v>1330458.16552</v>
      </c>
      <c r="F142" s="43">
        <v>26.157102562213364</v>
      </c>
      <c r="G142" s="43">
        <v>39207.323271008987</v>
      </c>
      <c r="H142" s="43">
        <v>1384606.6213156823</v>
      </c>
      <c r="I142" s="43">
        <v>71.76895784058668</v>
      </c>
      <c r="J142" s="9">
        <v>39207.323271008987</v>
      </c>
      <c r="K142" s="9">
        <v>1384606.6213156823</v>
      </c>
      <c r="L142" s="9">
        <v>97.926060402800033</v>
      </c>
      <c r="M142" s="9">
        <v>78414.646542017974</v>
      </c>
      <c r="N142" s="9">
        <v>2769213.2426313646</v>
      </c>
      <c r="O142" s="9">
        <v>0.16864482035996617</v>
      </c>
      <c r="P142" s="9">
        <v>47.048787925210782</v>
      </c>
      <c r="Q142" s="9">
        <v>1661.5279455788186</v>
      </c>
      <c r="T142" s="13">
        <f t="shared" si="4"/>
        <v>804.1678295825609</v>
      </c>
      <c r="U142" s="13">
        <f t="shared" si="5"/>
        <v>5.265064344496472</v>
      </c>
    </row>
    <row r="143" spans="1:21" x14ac:dyDescent="0.25">
      <c r="A143">
        <v>2129</v>
      </c>
      <c r="B143" s="9">
        <v>0</v>
      </c>
      <c r="C143" s="9">
        <v>0</v>
      </c>
      <c r="D143" s="9">
        <v>1209507.4232000001</v>
      </c>
      <c r="E143" s="9">
        <v>1330458.16552</v>
      </c>
      <c r="F143" s="43">
        <v>24.881405616860363</v>
      </c>
      <c r="G143" s="43">
        <v>37295.159551295321</v>
      </c>
      <c r="H143" s="43">
        <v>1317078.5595539941</v>
      </c>
      <c r="I143" s="43">
        <v>68.268744463717255</v>
      </c>
      <c r="J143" s="9">
        <v>37295.159551295321</v>
      </c>
      <c r="K143" s="9">
        <v>1317078.5595539941</v>
      </c>
      <c r="L143" s="9">
        <v>93.150150080577617</v>
      </c>
      <c r="M143" s="9">
        <v>74590.319102590642</v>
      </c>
      <c r="N143" s="9">
        <v>2634157.1191079882</v>
      </c>
      <c r="O143" s="9">
        <v>0.16041991541603687</v>
      </c>
      <c r="P143" s="9">
        <v>44.754191461554385</v>
      </c>
      <c r="Q143" s="9">
        <v>1580.494271464793</v>
      </c>
      <c r="T143" s="13">
        <f t="shared" si="4"/>
        <v>764.94810173580731</v>
      </c>
      <c r="U143" s="13">
        <f t="shared" si="5"/>
        <v>5.0082841263746065</v>
      </c>
    </row>
    <row r="144" spans="1:21" x14ac:dyDescent="0.25">
      <c r="A144">
        <v>2130</v>
      </c>
      <c r="B144" s="9">
        <v>0</v>
      </c>
      <c r="C144" s="9">
        <v>0</v>
      </c>
      <c r="D144" s="9">
        <v>1209507.4232000001</v>
      </c>
      <c r="E144" s="9">
        <v>1330458.16552</v>
      </c>
      <c r="F144" s="43">
        <v>23.66792514569492</v>
      </c>
      <c r="G144" s="43">
        <v>35476.25315664096</v>
      </c>
      <c r="H144" s="43">
        <v>1252843.8802267753</v>
      </c>
      <c r="I144" s="43">
        <v>64.939238507608081</v>
      </c>
      <c r="J144" s="9">
        <v>35476.25315664096</v>
      </c>
      <c r="K144" s="9">
        <v>1252843.8802267753</v>
      </c>
      <c r="L144" s="9">
        <v>88.60716365330299</v>
      </c>
      <c r="M144" s="9">
        <v>70952.50631328192</v>
      </c>
      <c r="N144" s="9">
        <v>2505687.7604535506</v>
      </c>
      <c r="O144" s="9">
        <v>0.15259614381964998</v>
      </c>
      <c r="P144" s="9">
        <v>42.571503787969149</v>
      </c>
      <c r="Q144" s="9">
        <v>1503.4126562721303</v>
      </c>
      <c r="T144" s="13">
        <f t="shared" si="4"/>
        <v>727.64114258706581</v>
      </c>
      <c r="U144" s="13">
        <f t="shared" si="5"/>
        <v>4.7640272272673787</v>
      </c>
    </row>
    <row r="145" spans="1:21" x14ac:dyDescent="0.25">
      <c r="A145">
        <v>2131</v>
      </c>
      <c r="B145" s="9">
        <v>0</v>
      </c>
      <c r="C145" s="9">
        <v>0</v>
      </c>
      <c r="D145" s="9">
        <v>1209507.4232000001</v>
      </c>
      <c r="E145" s="9">
        <v>1330458.16552</v>
      </c>
      <c r="F145" s="43">
        <v>22.513626815465354</v>
      </c>
      <c r="G145" s="43">
        <v>33746.055873633217</v>
      </c>
      <c r="H145" s="43">
        <v>1191741.9631773569</v>
      </c>
      <c r="I145" s="43">
        <v>61.772114473106633</v>
      </c>
      <c r="J145" s="9">
        <v>33746.055873633217</v>
      </c>
      <c r="K145" s="9">
        <v>1191741.9631773569</v>
      </c>
      <c r="L145" s="9">
        <v>84.285741288571984</v>
      </c>
      <c r="M145" s="9">
        <v>67492.111747266434</v>
      </c>
      <c r="N145" s="9">
        <v>2383483.9263547137</v>
      </c>
      <c r="O145" s="9">
        <v>0.14515394206659382</v>
      </c>
      <c r="P145" s="9">
        <v>40.495267048359857</v>
      </c>
      <c r="Q145" s="9">
        <v>1430.0903558128282</v>
      </c>
      <c r="T145" s="13">
        <f t="shared" si="4"/>
        <v>692.15366530613653</v>
      </c>
      <c r="U145" s="13">
        <f t="shared" si="5"/>
        <v>4.5316828776992812</v>
      </c>
    </row>
  </sheetData>
  <mergeCells count="2">
    <mergeCell ref="A1:O1"/>
    <mergeCell ref="W8:AB8"/>
  </mergeCells>
  <pageMargins left="0.7" right="0.7" top="0.75" bottom="0.75" header="0.3" footer="0.3"/>
  <pageSetup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6F2C09-4B4A-44F5-BB27-52D282DC11CD}">
  <dimension ref="A1:U38"/>
  <sheetViews>
    <sheetView workbookViewId="0">
      <selection activeCell="O1" sqref="O1:U1"/>
    </sheetView>
  </sheetViews>
  <sheetFormatPr defaultRowHeight="15" x14ac:dyDescent="0.25"/>
  <cols>
    <col min="1" max="1" width="19.42578125" bestFit="1" customWidth="1"/>
    <col min="4" max="4" width="8.85546875" bestFit="1" customWidth="1"/>
    <col min="5" max="5" width="19.42578125" bestFit="1" customWidth="1"/>
    <col min="8" max="8" width="7.42578125" bestFit="1" customWidth="1"/>
    <col min="9" max="9" width="18" bestFit="1" customWidth="1"/>
    <col min="10" max="10" width="11.140625" customWidth="1"/>
    <col min="11" max="11" width="18.7109375" bestFit="1" customWidth="1"/>
    <col min="12" max="12" width="23.140625" bestFit="1" customWidth="1"/>
    <col min="13" max="13" width="10.85546875" style="29" customWidth="1"/>
    <col min="16" max="16" width="11.42578125" customWidth="1"/>
    <col min="17" max="17" width="13.42578125" bestFit="1" customWidth="1"/>
    <col min="18" max="18" width="14.7109375" bestFit="1" customWidth="1"/>
  </cols>
  <sheetData>
    <row r="1" spans="1:21" x14ac:dyDescent="0.25">
      <c r="A1" s="172" t="s">
        <v>293</v>
      </c>
      <c r="B1" s="172"/>
      <c r="C1" s="172"/>
      <c r="D1" s="172"/>
      <c r="E1" s="172"/>
      <c r="F1" s="172"/>
      <c r="G1" s="172"/>
      <c r="H1" s="172"/>
      <c r="I1" s="172"/>
      <c r="J1" s="172"/>
      <c r="K1" s="172"/>
      <c r="L1" s="172"/>
      <c r="O1" s="172" t="s">
        <v>270</v>
      </c>
      <c r="P1" s="172"/>
      <c r="Q1" s="172"/>
      <c r="R1" s="172"/>
      <c r="S1" s="172"/>
      <c r="T1" s="172"/>
      <c r="U1" s="172"/>
    </row>
    <row r="3" spans="1:21" x14ac:dyDescent="0.25">
      <c r="A3" s="224" t="s">
        <v>291</v>
      </c>
      <c r="B3" s="224"/>
      <c r="C3" s="224"/>
      <c r="D3" s="224"/>
      <c r="E3" s="224"/>
      <c r="F3" s="224"/>
      <c r="G3" s="224"/>
      <c r="H3" s="224"/>
      <c r="I3" s="224"/>
      <c r="J3" s="224"/>
      <c r="K3" s="224"/>
      <c r="L3" s="224"/>
    </row>
    <row r="4" spans="1:21" ht="15.75" thickBot="1" x14ac:dyDescent="0.3">
      <c r="A4" s="225"/>
      <c r="B4" s="225"/>
      <c r="C4" s="225"/>
      <c r="D4" s="225"/>
      <c r="E4" s="225"/>
      <c r="F4" s="225"/>
      <c r="G4" s="225"/>
      <c r="H4" s="225"/>
      <c r="I4" s="225"/>
      <c r="J4" s="225"/>
      <c r="K4" s="225"/>
      <c r="L4" s="225"/>
    </row>
    <row r="5" spans="1:21" ht="15.75" x14ac:dyDescent="0.25">
      <c r="A5" s="211" t="s">
        <v>294</v>
      </c>
      <c r="B5" s="212"/>
      <c r="C5" s="212"/>
      <c r="D5" s="213"/>
      <c r="E5" s="214" t="s">
        <v>295</v>
      </c>
      <c r="F5" s="212"/>
      <c r="G5" s="212"/>
      <c r="H5" s="213"/>
      <c r="I5" s="214" t="s">
        <v>296</v>
      </c>
      <c r="J5" s="212"/>
      <c r="K5" s="212"/>
      <c r="L5" s="215"/>
      <c r="P5" s="221" t="s">
        <v>213</v>
      </c>
      <c r="Q5" s="222"/>
      <c r="R5" s="223"/>
    </row>
    <row r="6" spans="1:21" x14ac:dyDescent="0.25">
      <c r="A6" s="216" t="s">
        <v>297</v>
      </c>
      <c r="B6" s="217"/>
      <c r="C6" s="217"/>
      <c r="D6" s="218"/>
      <c r="E6" s="219" t="s">
        <v>298</v>
      </c>
      <c r="F6" s="217"/>
      <c r="G6" s="217"/>
      <c r="H6" s="218"/>
      <c r="I6" s="219" t="s">
        <v>299</v>
      </c>
      <c r="J6" s="217"/>
      <c r="K6" s="217"/>
      <c r="L6" s="220"/>
      <c r="P6" s="6"/>
      <c r="Q6" s="3" t="s">
        <v>96</v>
      </c>
      <c r="R6" s="7" t="s">
        <v>290</v>
      </c>
    </row>
    <row r="7" spans="1:21" x14ac:dyDescent="0.25">
      <c r="A7" s="207" t="s">
        <v>300</v>
      </c>
      <c r="B7" s="208"/>
      <c r="C7" s="209" t="s">
        <v>301</v>
      </c>
      <c r="D7" s="210"/>
      <c r="E7" s="209" t="s">
        <v>300</v>
      </c>
      <c r="F7" s="208"/>
      <c r="G7" s="209" t="s">
        <v>302</v>
      </c>
      <c r="H7" s="210"/>
      <c r="I7" s="209" t="s">
        <v>300</v>
      </c>
      <c r="J7" s="208"/>
      <c r="K7" s="16" t="s">
        <v>301</v>
      </c>
      <c r="L7" s="17" t="s">
        <v>302</v>
      </c>
      <c r="P7" s="6" t="s">
        <v>291</v>
      </c>
      <c r="Q7" s="45">
        <f>A10*10^6</f>
        <v>113530.46238947168</v>
      </c>
      <c r="R7" s="47">
        <f>Q7*5</f>
        <v>567652.31194735842</v>
      </c>
    </row>
    <row r="8" spans="1:21" ht="15.75" customHeight="1" thickBot="1" x14ac:dyDescent="0.3">
      <c r="A8" s="201" t="s">
        <v>303</v>
      </c>
      <c r="B8" s="202"/>
      <c r="C8" s="205" t="s">
        <v>304</v>
      </c>
      <c r="D8" s="202"/>
      <c r="E8" s="205" t="s">
        <v>303</v>
      </c>
      <c r="F8" s="202"/>
      <c r="G8" s="205" t="s">
        <v>305</v>
      </c>
      <c r="H8" s="202"/>
      <c r="I8" s="205" t="s">
        <v>303</v>
      </c>
      <c r="J8" s="202"/>
      <c r="K8" s="191" t="s">
        <v>304</v>
      </c>
      <c r="L8" s="193" t="s">
        <v>306</v>
      </c>
      <c r="P8" s="8" t="s">
        <v>292</v>
      </c>
      <c r="Q8" s="48">
        <f>(A30)*10^6</f>
        <v>73535.975817425729</v>
      </c>
      <c r="R8" s="49">
        <f>Q8*25</f>
        <v>1838399.3954356431</v>
      </c>
    </row>
    <row r="9" spans="1:21" x14ac:dyDescent="0.25">
      <c r="A9" s="203"/>
      <c r="B9" s="204"/>
      <c r="C9" s="206"/>
      <c r="D9" s="204"/>
      <c r="E9" s="206"/>
      <c r="F9" s="204"/>
      <c r="G9" s="206"/>
      <c r="H9" s="204"/>
      <c r="I9" s="206"/>
      <c r="J9" s="204"/>
      <c r="K9" s="192"/>
      <c r="L9" s="194" t="s">
        <v>307</v>
      </c>
    </row>
    <row r="10" spans="1:21" x14ac:dyDescent="0.25">
      <c r="A10" s="195">
        <v>0.11353046238947168</v>
      </c>
      <c r="B10" s="196"/>
      <c r="C10" s="197">
        <v>4469.4217053048496</v>
      </c>
      <c r="D10" s="198"/>
      <c r="E10" s="199">
        <v>1.0008430814093614E-2</v>
      </c>
      <c r="F10" s="200"/>
      <c r="G10" s="197">
        <v>11032.220915006188</v>
      </c>
      <c r="H10" s="198"/>
      <c r="I10" s="199">
        <v>0.12353889320356529</v>
      </c>
      <c r="J10" s="200"/>
      <c r="K10" s="156">
        <v>4469.4217053048496</v>
      </c>
      <c r="L10" s="18">
        <v>11032.220915006188</v>
      </c>
    </row>
    <row r="11" spans="1:21" ht="15" customHeight="1" x14ac:dyDescent="0.25">
      <c r="A11" s="187" t="s">
        <v>308</v>
      </c>
      <c r="B11" s="188"/>
      <c r="C11" s="188"/>
      <c r="D11" s="189"/>
      <c r="E11" s="190" t="s">
        <v>308</v>
      </c>
      <c r="F11" s="188"/>
      <c r="G11" s="188"/>
      <c r="H11" s="189"/>
      <c r="I11" s="19" t="s">
        <v>308</v>
      </c>
      <c r="J11" s="20"/>
      <c r="K11" s="20"/>
      <c r="L11" s="21"/>
    </row>
    <row r="12" spans="1:21" x14ac:dyDescent="0.25">
      <c r="A12" s="22" t="s">
        <v>309</v>
      </c>
      <c r="B12" s="23"/>
      <c r="C12" s="23"/>
      <c r="D12" s="24"/>
      <c r="E12" s="25" t="s">
        <v>309</v>
      </c>
      <c r="F12" s="23"/>
      <c r="G12" s="23"/>
      <c r="H12" s="24"/>
      <c r="I12" s="25" t="s">
        <v>309</v>
      </c>
      <c r="J12" s="26"/>
      <c r="K12" s="26"/>
      <c r="L12" s="27"/>
    </row>
    <row r="13" spans="1:21" ht="15" customHeight="1" x14ac:dyDescent="0.25">
      <c r="A13" s="174" t="s">
        <v>310</v>
      </c>
      <c r="B13" s="175"/>
      <c r="C13" s="175"/>
      <c r="D13" s="186">
        <v>135155.31236841864</v>
      </c>
      <c r="E13" s="180" t="s">
        <v>310</v>
      </c>
      <c r="F13" s="175"/>
      <c r="G13" s="175"/>
      <c r="H13" s="186">
        <v>11914.798588206682</v>
      </c>
      <c r="I13" s="180" t="s">
        <v>310</v>
      </c>
      <c r="J13" s="175"/>
      <c r="K13" s="175"/>
      <c r="L13" s="182">
        <v>147070.11095662534</v>
      </c>
    </row>
    <row r="14" spans="1:21" x14ac:dyDescent="0.25">
      <c r="A14" s="185"/>
      <c r="B14" s="175"/>
      <c r="C14" s="175"/>
      <c r="D14" s="186"/>
      <c r="E14" s="184"/>
      <c r="F14" s="175"/>
      <c r="G14" s="175"/>
      <c r="H14" s="186"/>
      <c r="I14" s="184"/>
      <c r="J14" s="175"/>
      <c r="K14" s="175"/>
      <c r="L14" s="182"/>
    </row>
    <row r="15" spans="1:21" ht="15" customHeight="1" x14ac:dyDescent="0.25">
      <c r="A15" s="174" t="s">
        <v>311</v>
      </c>
      <c r="B15" s="175"/>
      <c r="C15" s="175"/>
      <c r="D15" s="186">
        <v>264024.33113830624</v>
      </c>
      <c r="E15" s="180" t="s">
        <v>311</v>
      </c>
      <c r="F15" s="175"/>
      <c r="G15" s="175"/>
      <c r="H15" s="186">
        <v>23275.420497892126</v>
      </c>
      <c r="I15" s="180" t="s">
        <v>311</v>
      </c>
      <c r="J15" s="175"/>
      <c r="K15" s="175"/>
      <c r="L15" s="182">
        <v>287299.75163619831</v>
      </c>
    </row>
    <row r="16" spans="1:21" x14ac:dyDescent="0.25">
      <c r="A16" s="185"/>
      <c r="B16" s="175"/>
      <c r="C16" s="175"/>
      <c r="D16" s="186"/>
      <c r="E16" s="184"/>
      <c r="F16" s="175"/>
      <c r="G16" s="175"/>
      <c r="H16" s="186"/>
      <c r="I16" s="184"/>
      <c r="J16" s="175"/>
      <c r="K16" s="175"/>
      <c r="L16" s="182"/>
    </row>
    <row r="17" spans="1:12" ht="15" customHeight="1" x14ac:dyDescent="0.25">
      <c r="A17" s="174" t="s">
        <v>312</v>
      </c>
      <c r="B17" s="175"/>
      <c r="C17" s="175"/>
      <c r="D17" s="178">
        <v>12774891.683298264</v>
      </c>
      <c r="E17" s="180" t="s">
        <v>312</v>
      </c>
      <c r="F17" s="175"/>
      <c r="G17" s="175"/>
      <c r="H17" s="178">
        <v>1126187.781489098</v>
      </c>
      <c r="I17" s="180" t="s">
        <v>312</v>
      </c>
      <c r="J17" s="175"/>
      <c r="K17" s="175"/>
      <c r="L17" s="182">
        <v>13901079.46478736</v>
      </c>
    </row>
    <row r="18" spans="1:12" ht="15.75" thickBot="1" x14ac:dyDescent="0.3">
      <c r="A18" s="176"/>
      <c r="B18" s="177"/>
      <c r="C18" s="177"/>
      <c r="D18" s="179"/>
      <c r="E18" s="181"/>
      <c r="F18" s="177"/>
      <c r="G18" s="177"/>
      <c r="H18" s="179"/>
      <c r="I18" s="181"/>
      <c r="J18" s="177"/>
      <c r="K18" s="177"/>
      <c r="L18" s="183"/>
    </row>
    <row r="23" spans="1:12" x14ac:dyDescent="0.25">
      <c r="A23" s="224" t="s">
        <v>292</v>
      </c>
      <c r="B23" s="224"/>
      <c r="C23" s="224"/>
      <c r="D23" s="224"/>
      <c r="E23" s="224"/>
      <c r="F23" s="224"/>
      <c r="G23" s="224"/>
      <c r="H23" s="224"/>
      <c r="I23" s="224"/>
      <c r="J23" s="224"/>
      <c r="K23" s="224"/>
      <c r="L23" s="224"/>
    </row>
    <row r="24" spans="1:12" ht="15.75" thickBot="1" x14ac:dyDescent="0.3">
      <c r="A24" s="225"/>
      <c r="B24" s="225"/>
      <c r="C24" s="225"/>
      <c r="D24" s="225"/>
      <c r="E24" s="225"/>
      <c r="F24" s="225"/>
      <c r="G24" s="225"/>
      <c r="H24" s="225"/>
      <c r="I24" s="225"/>
      <c r="J24" s="225"/>
      <c r="K24" s="225"/>
      <c r="L24" s="225"/>
    </row>
    <row r="25" spans="1:12" x14ac:dyDescent="0.25">
      <c r="A25" s="211" t="s">
        <v>294</v>
      </c>
      <c r="B25" s="212"/>
      <c r="C25" s="212"/>
      <c r="D25" s="213"/>
      <c r="E25" s="214" t="s">
        <v>295</v>
      </c>
      <c r="F25" s="212"/>
      <c r="G25" s="212"/>
      <c r="H25" s="213"/>
      <c r="I25" s="214" t="s">
        <v>296</v>
      </c>
      <c r="J25" s="212"/>
      <c r="K25" s="212"/>
      <c r="L25" s="215"/>
    </row>
    <row r="26" spans="1:12" x14ac:dyDescent="0.25">
      <c r="A26" s="216" t="s">
        <v>297</v>
      </c>
      <c r="B26" s="217"/>
      <c r="C26" s="217"/>
      <c r="D26" s="218"/>
      <c r="E26" s="219" t="s">
        <v>298</v>
      </c>
      <c r="F26" s="217"/>
      <c r="G26" s="217"/>
      <c r="H26" s="218"/>
      <c r="I26" s="219" t="s">
        <v>299</v>
      </c>
      <c r="J26" s="217"/>
      <c r="K26" s="217"/>
      <c r="L26" s="220"/>
    </row>
    <row r="27" spans="1:12" x14ac:dyDescent="0.25">
      <c r="A27" s="207" t="s">
        <v>300</v>
      </c>
      <c r="B27" s="208"/>
      <c r="C27" s="209" t="s">
        <v>301</v>
      </c>
      <c r="D27" s="210"/>
      <c r="E27" s="209" t="s">
        <v>300</v>
      </c>
      <c r="F27" s="208"/>
      <c r="G27" s="209" t="s">
        <v>302</v>
      </c>
      <c r="H27" s="210"/>
      <c r="I27" s="209" t="s">
        <v>300</v>
      </c>
      <c r="J27" s="208"/>
      <c r="K27" s="16" t="s">
        <v>301</v>
      </c>
      <c r="L27" s="17" t="s">
        <v>302</v>
      </c>
    </row>
    <row r="28" spans="1:12" x14ac:dyDescent="0.25">
      <c r="A28" s="201" t="s">
        <v>303</v>
      </c>
      <c r="B28" s="202"/>
      <c r="C28" s="205" t="s">
        <v>304</v>
      </c>
      <c r="D28" s="202"/>
      <c r="E28" s="205" t="s">
        <v>303</v>
      </c>
      <c r="F28" s="202"/>
      <c r="G28" s="205" t="s">
        <v>305</v>
      </c>
      <c r="H28" s="202"/>
      <c r="I28" s="205" t="s">
        <v>303</v>
      </c>
      <c r="J28" s="202"/>
      <c r="K28" s="191" t="s">
        <v>304</v>
      </c>
      <c r="L28" s="193" t="s">
        <v>306</v>
      </c>
    </row>
    <row r="29" spans="1:12" x14ac:dyDescent="0.25">
      <c r="A29" s="203"/>
      <c r="B29" s="204"/>
      <c r="C29" s="206"/>
      <c r="D29" s="204"/>
      <c r="E29" s="206"/>
      <c r="F29" s="204"/>
      <c r="G29" s="206"/>
      <c r="H29" s="204"/>
      <c r="I29" s="206"/>
      <c r="J29" s="204"/>
      <c r="K29" s="192"/>
      <c r="L29" s="194" t="s">
        <v>307</v>
      </c>
    </row>
    <row r="30" spans="1:12" x14ac:dyDescent="0.25">
      <c r="A30" s="195">
        <v>7.3535975817425728E-2</v>
      </c>
      <c r="B30" s="196"/>
      <c r="C30" s="197">
        <v>2894.9348000687251</v>
      </c>
      <c r="D30" s="198"/>
      <c r="E30" s="199">
        <v>6.4826629859988834E-3</v>
      </c>
      <c r="F30" s="200"/>
      <c r="G30" s="197">
        <v>7145.7925330675525</v>
      </c>
      <c r="H30" s="198"/>
      <c r="I30" s="199">
        <v>8.0018638803424608E-2</v>
      </c>
      <c r="J30" s="200"/>
      <c r="K30" s="156">
        <v>2894.9348000687251</v>
      </c>
      <c r="L30" s="18">
        <v>7145.7925330675525</v>
      </c>
    </row>
    <row r="31" spans="1:12" x14ac:dyDescent="0.25">
      <c r="A31" s="187" t="s">
        <v>308</v>
      </c>
      <c r="B31" s="188"/>
      <c r="C31" s="188"/>
      <c r="D31" s="189"/>
      <c r="E31" s="190" t="s">
        <v>308</v>
      </c>
      <c r="F31" s="188"/>
      <c r="G31" s="188"/>
      <c r="H31" s="189"/>
      <c r="I31" s="19" t="s">
        <v>308</v>
      </c>
      <c r="J31" s="20"/>
      <c r="K31" s="20"/>
      <c r="L31" s="21"/>
    </row>
    <row r="32" spans="1:12" x14ac:dyDescent="0.25">
      <c r="A32" s="22" t="s">
        <v>309</v>
      </c>
      <c r="B32" s="23"/>
      <c r="C32" s="23"/>
      <c r="D32" s="24"/>
      <c r="E32" s="25" t="s">
        <v>309</v>
      </c>
      <c r="F32" s="23"/>
      <c r="G32" s="23"/>
      <c r="H32" s="24"/>
      <c r="I32" s="25" t="s">
        <v>309</v>
      </c>
      <c r="J32" s="26"/>
      <c r="K32" s="26"/>
      <c r="L32" s="27"/>
    </row>
    <row r="33" spans="1:12" x14ac:dyDescent="0.25">
      <c r="A33" s="174" t="s">
        <v>310</v>
      </c>
      <c r="B33" s="175"/>
      <c r="C33" s="175"/>
      <c r="D33" s="186">
        <v>87542.828354078243</v>
      </c>
      <c r="E33" s="180" t="s">
        <v>310</v>
      </c>
      <c r="F33" s="175"/>
      <c r="G33" s="175"/>
      <c r="H33" s="186">
        <v>7717.4559357129565</v>
      </c>
      <c r="I33" s="180" t="s">
        <v>310</v>
      </c>
      <c r="J33" s="175"/>
      <c r="K33" s="175"/>
      <c r="L33" s="182">
        <v>95260.284289791205</v>
      </c>
    </row>
    <row r="34" spans="1:12" x14ac:dyDescent="0.25">
      <c r="A34" s="185"/>
      <c r="B34" s="175"/>
      <c r="C34" s="175"/>
      <c r="D34" s="186"/>
      <c r="E34" s="184"/>
      <c r="F34" s="175"/>
      <c r="G34" s="175"/>
      <c r="H34" s="186"/>
      <c r="I34" s="184"/>
      <c r="J34" s="175"/>
      <c r="K34" s="175"/>
      <c r="L34" s="182"/>
    </row>
    <row r="35" spans="1:12" x14ac:dyDescent="0.25">
      <c r="A35" s="174" t="s">
        <v>311</v>
      </c>
      <c r="B35" s="175"/>
      <c r="C35" s="175"/>
      <c r="D35" s="186">
        <v>171013.89724982728</v>
      </c>
      <c r="E35" s="180" t="s">
        <v>311</v>
      </c>
      <c r="F35" s="175"/>
      <c r="G35" s="175"/>
      <c r="H35" s="186">
        <v>15075.960432555545</v>
      </c>
      <c r="I35" s="180" t="s">
        <v>311</v>
      </c>
      <c r="J35" s="175"/>
      <c r="K35" s="175"/>
      <c r="L35" s="182">
        <v>186089.85768238283</v>
      </c>
    </row>
    <row r="36" spans="1:12" x14ac:dyDescent="0.25">
      <c r="A36" s="185"/>
      <c r="B36" s="175"/>
      <c r="C36" s="175"/>
      <c r="D36" s="186"/>
      <c r="E36" s="184"/>
      <c r="F36" s="175"/>
      <c r="G36" s="175"/>
      <c r="H36" s="186"/>
      <c r="I36" s="184"/>
      <c r="J36" s="175"/>
      <c r="K36" s="175"/>
      <c r="L36" s="182"/>
    </row>
    <row r="37" spans="1:12" x14ac:dyDescent="0.25">
      <c r="A37" s="174" t="s">
        <v>312</v>
      </c>
      <c r="B37" s="175"/>
      <c r="C37" s="175"/>
      <c r="D37" s="178">
        <v>8274555.6225301819</v>
      </c>
      <c r="E37" s="180" t="s">
        <v>312</v>
      </c>
      <c r="F37" s="175"/>
      <c r="G37" s="175"/>
      <c r="H37" s="178">
        <v>729454.5950263174</v>
      </c>
      <c r="I37" s="180" t="s">
        <v>312</v>
      </c>
      <c r="J37" s="175"/>
      <c r="K37" s="175"/>
      <c r="L37" s="182">
        <v>9004010.2175564989</v>
      </c>
    </row>
    <row r="38" spans="1:12" ht="15.75" thickBot="1" x14ac:dyDescent="0.3">
      <c r="A38" s="176"/>
      <c r="B38" s="177"/>
      <c r="C38" s="177"/>
      <c r="D38" s="179"/>
      <c r="E38" s="181"/>
      <c r="F38" s="177"/>
      <c r="G38" s="177"/>
      <c r="H38" s="179"/>
      <c r="I38" s="181"/>
      <c r="J38" s="177"/>
      <c r="K38" s="177"/>
      <c r="L38" s="183"/>
    </row>
  </sheetData>
  <mergeCells count="91">
    <mergeCell ref="L17:L18"/>
    <mergeCell ref="A17:C18"/>
    <mergeCell ref="D17:D18"/>
    <mergeCell ref="E17:G18"/>
    <mergeCell ref="H17:H18"/>
    <mergeCell ref="I17:K18"/>
    <mergeCell ref="I13:K14"/>
    <mergeCell ref="L13:L14"/>
    <mergeCell ref="A15:C16"/>
    <mergeCell ref="D15:D16"/>
    <mergeCell ref="E15:G16"/>
    <mergeCell ref="H15:H16"/>
    <mergeCell ref="I15:K16"/>
    <mergeCell ref="L15:L16"/>
    <mergeCell ref="A11:D11"/>
    <mergeCell ref="E11:H11"/>
    <mergeCell ref="A13:C14"/>
    <mergeCell ref="D13:D14"/>
    <mergeCell ref="E13:G14"/>
    <mergeCell ref="H13:H14"/>
    <mergeCell ref="A10:B10"/>
    <mergeCell ref="C10:D10"/>
    <mergeCell ref="E10:F10"/>
    <mergeCell ref="G10:H10"/>
    <mergeCell ref="I10:J10"/>
    <mergeCell ref="E8:F9"/>
    <mergeCell ref="G8:H9"/>
    <mergeCell ref="I8:J9"/>
    <mergeCell ref="K8:K9"/>
    <mergeCell ref="L8:L9"/>
    <mergeCell ref="P5:R5"/>
    <mergeCell ref="A23:L24"/>
    <mergeCell ref="A3:L4"/>
    <mergeCell ref="A5:D5"/>
    <mergeCell ref="E5:H5"/>
    <mergeCell ref="I5:L5"/>
    <mergeCell ref="A6:D6"/>
    <mergeCell ref="E6:H6"/>
    <mergeCell ref="I6:L6"/>
    <mergeCell ref="A7:B7"/>
    <mergeCell ref="C7:D7"/>
    <mergeCell ref="E7:F7"/>
    <mergeCell ref="G7:H7"/>
    <mergeCell ref="I7:J7"/>
    <mergeCell ref="A8:B9"/>
    <mergeCell ref="C8:D9"/>
    <mergeCell ref="A25:D25"/>
    <mergeCell ref="E25:H25"/>
    <mergeCell ref="I25:L25"/>
    <mergeCell ref="A26:D26"/>
    <mergeCell ref="E26:H26"/>
    <mergeCell ref="I26:L26"/>
    <mergeCell ref="A27:B27"/>
    <mergeCell ref="C27:D27"/>
    <mergeCell ref="E27:F27"/>
    <mergeCell ref="G27:H27"/>
    <mergeCell ref="I27:J27"/>
    <mergeCell ref="K28:K29"/>
    <mergeCell ref="L28:L29"/>
    <mergeCell ref="A30:B30"/>
    <mergeCell ref="C30:D30"/>
    <mergeCell ref="E30:F30"/>
    <mergeCell ref="G30:H30"/>
    <mergeCell ref="I30:J30"/>
    <mergeCell ref="A28:B29"/>
    <mergeCell ref="C28:D29"/>
    <mergeCell ref="E28:F29"/>
    <mergeCell ref="G28:H29"/>
    <mergeCell ref="I28:J29"/>
    <mergeCell ref="A31:D31"/>
    <mergeCell ref="E31:H31"/>
    <mergeCell ref="A33:C34"/>
    <mergeCell ref="D33:D34"/>
    <mergeCell ref="E33:G34"/>
    <mergeCell ref="H33:H34"/>
    <mergeCell ref="A1:L1"/>
    <mergeCell ref="O1:U1"/>
    <mergeCell ref="A37:C38"/>
    <mergeCell ref="D37:D38"/>
    <mergeCell ref="E37:G38"/>
    <mergeCell ref="H37:H38"/>
    <mergeCell ref="I37:K38"/>
    <mergeCell ref="L37:L38"/>
    <mergeCell ref="I33:K34"/>
    <mergeCell ref="L33:L34"/>
    <mergeCell ref="A35:C36"/>
    <mergeCell ref="D35:D36"/>
    <mergeCell ref="E35:G36"/>
    <mergeCell ref="H35:H36"/>
    <mergeCell ref="I35:K36"/>
    <mergeCell ref="L35:L36"/>
  </mergeCells>
  <pageMargins left="0.7" right="0.7" top="0.75" bottom="0.75" header="0.3" footer="0.3"/>
  <pageSetup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D0D5B5-926B-49B2-BD0F-83B908CD89DA}">
  <dimension ref="A1:N16"/>
  <sheetViews>
    <sheetView workbookViewId="0">
      <selection activeCell="M5" sqref="M5"/>
    </sheetView>
  </sheetViews>
  <sheetFormatPr defaultRowHeight="15" x14ac:dyDescent="0.25"/>
  <cols>
    <col min="1" max="1" width="41.140625" bestFit="1" customWidth="1"/>
    <col min="2" max="2" width="14.28515625" style="9" bestFit="1" customWidth="1"/>
    <col min="3" max="3" width="15.140625" style="9" bestFit="1" customWidth="1"/>
    <col min="6" max="6" width="26.140625" bestFit="1" customWidth="1"/>
    <col min="10" max="10" width="41.140625" bestFit="1" customWidth="1"/>
    <col min="11" max="11" width="14.28515625" bestFit="1" customWidth="1"/>
    <col min="12" max="12" width="15.140625" bestFit="1" customWidth="1"/>
    <col min="13" max="13" width="15.85546875" customWidth="1"/>
    <col min="14" max="14" width="13.140625" customWidth="1"/>
  </cols>
  <sheetData>
    <row r="1" spans="1:14" ht="15.75" x14ac:dyDescent="0.25">
      <c r="A1" s="221" t="s">
        <v>73</v>
      </c>
      <c r="B1" s="222"/>
      <c r="C1" s="223"/>
      <c r="F1" s="221" t="s">
        <v>313</v>
      </c>
      <c r="G1" s="223"/>
      <c r="J1" s="221" t="s">
        <v>314</v>
      </c>
      <c r="K1" s="222"/>
      <c r="L1" s="222"/>
      <c r="M1" s="222"/>
      <c r="N1" s="223"/>
    </row>
    <row r="2" spans="1:14" ht="16.5" thickBot="1" x14ac:dyDescent="0.3">
      <c r="A2" s="30"/>
      <c r="B2" s="36" t="s">
        <v>315</v>
      </c>
      <c r="C2" s="31" t="s">
        <v>316</v>
      </c>
      <c r="F2" s="8" t="s">
        <v>317</v>
      </c>
      <c r="G2" s="37">
        <v>82794</v>
      </c>
      <c r="J2" s="40"/>
      <c r="K2" s="173" t="s">
        <v>73</v>
      </c>
      <c r="L2" s="173"/>
      <c r="M2" s="173" t="s">
        <v>318</v>
      </c>
      <c r="N2" s="228"/>
    </row>
    <row r="3" spans="1:14" x14ac:dyDescent="0.25">
      <c r="A3" s="6" t="s">
        <v>319</v>
      </c>
      <c r="B3" s="33" t="s">
        <v>172</v>
      </c>
      <c r="C3" s="28">
        <v>27</v>
      </c>
      <c r="J3" s="6"/>
      <c r="K3" s="36" t="s">
        <v>315</v>
      </c>
      <c r="L3" s="38" t="s">
        <v>316</v>
      </c>
      <c r="M3" s="38" t="s">
        <v>320</v>
      </c>
      <c r="N3" s="31" t="s">
        <v>321</v>
      </c>
    </row>
    <row r="4" spans="1:14" x14ac:dyDescent="0.25">
      <c r="A4" s="6" t="s">
        <v>322</v>
      </c>
      <c r="B4" s="34">
        <f>167+87</f>
        <v>254</v>
      </c>
      <c r="C4" s="28">
        <f>B4*28/1000</f>
        <v>7.1120000000000001</v>
      </c>
      <c r="J4" s="6" t="s">
        <v>322</v>
      </c>
      <c r="K4" s="34">
        <f>167+87</f>
        <v>254</v>
      </c>
      <c r="L4" s="33">
        <f>K4*28/1000</f>
        <v>7.1120000000000001</v>
      </c>
      <c r="M4" s="39">
        <f>$G$2*C4</f>
        <v>588830.92799999996</v>
      </c>
      <c r="N4" s="15">
        <f>M4/1000</f>
        <v>588.83092799999997</v>
      </c>
    </row>
    <row r="5" spans="1:14" x14ac:dyDescent="0.25">
      <c r="A5" s="6" t="s">
        <v>323</v>
      </c>
      <c r="B5" s="34">
        <f>167-87</f>
        <v>80</v>
      </c>
      <c r="C5" s="28">
        <f>B5*28/1000</f>
        <v>2.2400000000000002</v>
      </c>
      <c r="F5" t="s">
        <v>324</v>
      </c>
      <c r="J5" s="6" t="s">
        <v>323</v>
      </c>
      <c r="K5" s="34">
        <f>167-87</f>
        <v>80</v>
      </c>
      <c r="L5" s="33">
        <f>K5*28/1000</f>
        <v>2.2400000000000002</v>
      </c>
      <c r="M5" s="39">
        <f>$G$2*C5</f>
        <v>185458.56000000003</v>
      </c>
      <c r="N5" s="15">
        <f>M5/1000</f>
        <v>185.45856000000003</v>
      </c>
    </row>
    <row r="6" spans="1:14" ht="15.75" thickBot="1" x14ac:dyDescent="0.3">
      <c r="A6" s="6" t="s">
        <v>325</v>
      </c>
      <c r="B6" s="34">
        <v>24.6</v>
      </c>
      <c r="C6" s="28">
        <f>B6*28/1000</f>
        <v>0.68880000000000008</v>
      </c>
      <c r="J6" s="229" t="s">
        <v>326</v>
      </c>
      <c r="K6" s="230"/>
      <c r="L6" s="230"/>
      <c r="M6" s="41">
        <f>M4-M5</f>
        <v>403372.3679999999</v>
      </c>
      <c r="N6" s="42">
        <f>N4-N5</f>
        <v>403.37236799999994</v>
      </c>
    </row>
    <row r="7" spans="1:14" ht="15.75" thickBot="1" x14ac:dyDescent="0.3">
      <c r="A7" s="8" t="s">
        <v>327</v>
      </c>
      <c r="B7" s="35">
        <v>4913</v>
      </c>
      <c r="C7" s="32">
        <f>B7*28/1000</f>
        <v>137.56399999999999</v>
      </c>
    </row>
    <row r="8" spans="1:14" ht="15" customHeight="1" x14ac:dyDescent="0.25">
      <c r="A8" s="226" t="s">
        <v>328</v>
      </c>
      <c r="B8" s="226"/>
      <c r="C8" s="226"/>
    </row>
    <row r="9" spans="1:14" x14ac:dyDescent="0.25">
      <c r="A9" s="227"/>
      <c r="B9" s="227"/>
      <c r="C9" s="227"/>
    </row>
    <row r="10" spans="1:14" x14ac:dyDescent="0.25">
      <c r="A10" s="227"/>
      <c r="B10" s="227"/>
      <c r="C10" s="227"/>
    </row>
    <row r="11" spans="1:14" x14ac:dyDescent="0.25">
      <c r="A11" s="227"/>
      <c r="B11" s="227"/>
      <c r="C11" s="227"/>
    </row>
    <row r="12" spans="1:14" x14ac:dyDescent="0.25">
      <c r="A12" s="227"/>
      <c r="B12" s="227"/>
      <c r="C12" s="227"/>
    </row>
    <row r="13" spans="1:14" x14ac:dyDescent="0.25">
      <c r="A13" s="227"/>
      <c r="B13" s="227"/>
      <c r="C13" s="227"/>
    </row>
    <row r="16" spans="1:14" x14ac:dyDescent="0.25">
      <c r="A16" t="s">
        <v>329</v>
      </c>
    </row>
  </sheetData>
  <mergeCells count="7">
    <mergeCell ref="A8:C13"/>
    <mergeCell ref="F1:G1"/>
    <mergeCell ref="J1:N1"/>
    <mergeCell ref="K2:L2"/>
    <mergeCell ref="M2:N2"/>
    <mergeCell ref="J6:L6"/>
    <mergeCell ref="A1:C1"/>
  </mergeCells>
  <pageMargins left="0.7" right="0.7" top="0.75" bottom="0.75" header="0.3" footer="0.3"/>
  <pageSetup orientation="portrait" horizontalDpi="1200" verticalDpi="12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5A5084-D489-4829-B19A-F776A950680B}">
  <dimension ref="A1:H20"/>
  <sheetViews>
    <sheetView workbookViewId="0">
      <selection activeCell="E30" sqref="E30"/>
    </sheetView>
  </sheetViews>
  <sheetFormatPr defaultRowHeight="15" x14ac:dyDescent="0.25"/>
  <cols>
    <col min="1" max="1" width="59.85546875" bestFit="1" customWidth="1"/>
    <col min="2" max="2" width="11.5703125" bestFit="1" customWidth="1"/>
    <col min="3" max="3" width="26.7109375" bestFit="1" customWidth="1"/>
    <col min="5" max="5" width="50.42578125" bestFit="1" customWidth="1"/>
    <col min="7" max="7" width="21.140625" bestFit="1" customWidth="1"/>
    <col min="8" max="8" width="13.28515625" bestFit="1" customWidth="1"/>
  </cols>
  <sheetData>
    <row r="1" spans="1:8" x14ac:dyDescent="0.25">
      <c r="A1" t="s">
        <v>330</v>
      </c>
      <c r="B1" s="62">
        <v>150000</v>
      </c>
      <c r="C1" t="s">
        <v>331</v>
      </c>
    </row>
    <row r="2" spans="1:8" x14ac:dyDescent="0.25">
      <c r="A2" t="s">
        <v>332</v>
      </c>
      <c r="B2" s="63">
        <v>0.05</v>
      </c>
    </row>
    <row r="3" spans="1:8" x14ac:dyDescent="0.25">
      <c r="A3" t="s">
        <v>333</v>
      </c>
      <c r="B3" s="62">
        <v>440572.11872747901</v>
      </c>
      <c r="C3" t="s">
        <v>334</v>
      </c>
      <c r="G3" s="9"/>
      <c r="H3" s="9"/>
    </row>
    <row r="4" spans="1:8" x14ac:dyDescent="0.25">
      <c r="A4" t="s">
        <v>335</v>
      </c>
      <c r="B4">
        <v>0.8</v>
      </c>
      <c r="C4" t="s">
        <v>336</v>
      </c>
      <c r="H4" s="13"/>
    </row>
    <row r="6" spans="1:8" x14ac:dyDescent="0.25">
      <c r="A6" t="s">
        <v>337</v>
      </c>
      <c r="B6" s="62">
        <f>B1*B2</f>
        <v>7500</v>
      </c>
      <c r="C6" t="s">
        <v>331</v>
      </c>
      <c r="G6" s="9"/>
    </row>
    <row r="7" spans="1:8" x14ac:dyDescent="0.25">
      <c r="A7" t="s">
        <v>338</v>
      </c>
      <c r="B7" s="62">
        <f>B3*B2</f>
        <v>22028.605936373951</v>
      </c>
      <c r="C7" t="s">
        <v>205</v>
      </c>
    </row>
    <row r="8" spans="1:8" x14ac:dyDescent="0.25">
      <c r="A8" t="s">
        <v>339</v>
      </c>
      <c r="B8" s="64">
        <f>B7*B4</f>
        <v>17622.884749099161</v>
      </c>
      <c r="C8" t="s">
        <v>331</v>
      </c>
    </row>
    <row r="9" spans="1:8" x14ac:dyDescent="0.25">
      <c r="A9" t="s">
        <v>340</v>
      </c>
      <c r="B9" s="65">
        <f>B6+B8</f>
        <v>25122.884749099161</v>
      </c>
      <c r="C9" t="s">
        <v>341</v>
      </c>
    </row>
    <row r="11" spans="1:8" x14ac:dyDescent="0.25">
      <c r="B11" s="13">
        <f>B9*5</f>
        <v>125614.42374549581</v>
      </c>
      <c r="C11" t="s">
        <v>342</v>
      </c>
    </row>
    <row r="12" spans="1:8" x14ac:dyDescent="0.25">
      <c r="B12" s="13">
        <f>B9*25</f>
        <v>628072.11872747901</v>
      </c>
      <c r="C12" t="s">
        <v>343</v>
      </c>
    </row>
    <row r="16" spans="1:8" x14ac:dyDescent="0.25">
      <c r="A16" t="s">
        <v>150</v>
      </c>
    </row>
    <row r="17" spans="1:1" x14ac:dyDescent="0.25">
      <c r="A17" t="s">
        <v>344</v>
      </c>
    </row>
    <row r="18" spans="1:1" x14ac:dyDescent="0.25">
      <c r="A18" t="s">
        <v>345</v>
      </c>
    </row>
    <row r="20" spans="1:1" x14ac:dyDescent="0.25">
      <c r="A20" s="66"/>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80CA0A-E2E1-4370-8019-3EB8C7071AC2}">
  <dimension ref="A1:E5"/>
  <sheetViews>
    <sheetView topLeftCell="B1" zoomScale="80" zoomScaleNormal="80" workbookViewId="0">
      <selection activeCell="E5" sqref="E5"/>
    </sheetView>
  </sheetViews>
  <sheetFormatPr defaultRowHeight="15" x14ac:dyDescent="0.25"/>
  <cols>
    <col min="1" max="1" width="32.28515625" style="1" bestFit="1" customWidth="1"/>
    <col min="2" max="2" width="53.28515625" style="139" customWidth="1"/>
    <col min="3" max="3" width="48.7109375" style="139" customWidth="1"/>
    <col min="4" max="4" width="89.5703125" style="139" customWidth="1"/>
    <col min="5" max="5" width="89.5703125" style="141" customWidth="1"/>
  </cols>
  <sheetData>
    <row r="1" spans="1:5" x14ac:dyDescent="0.25">
      <c r="A1" s="2" t="s">
        <v>0</v>
      </c>
      <c r="B1" s="140" t="s">
        <v>2</v>
      </c>
      <c r="C1" s="140" t="s">
        <v>51</v>
      </c>
      <c r="D1" s="140" t="s">
        <v>52</v>
      </c>
      <c r="E1" s="152" t="s">
        <v>53</v>
      </c>
    </row>
    <row r="2" spans="1:5" ht="114.75" customHeight="1" x14ac:dyDescent="0.25">
      <c r="A2" s="1" t="s">
        <v>9</v>
      </c>
      <c r="B2" s="155" t="s">
        <v>11</v>
      </c>
      <c r="C2" s="155" t="s">
        <v>54</v>
      </c>
      <c r="D2" s="155" t="s">
        <v>55</v>
      </c>
      <c r="E2" s="155"/>
    </row>
    <row r="3" spans="1:5" ht="409.5" customHeight="1" x14ac:dyDescent="0.25">
      <c r="A3" s="1" t="s">
        <v>37</v>
      </c>
      <c r="B3" s="155" t="s">
        <v>56</v>
      </c>
      <c r="C3" s="155" t="s">
        <v>57</v>
      </c>
      <c r="D3" s="155" t="s">
        <v>58</v>
      </c>
      <c r="E3" s="153"/>
    </row>
    <row r="4" spans="1:5" ht="240" x14ac:dyDescent="0.25">
      <c r="A4" s="1" t="s">
        <v>37</v>
      </c>
      <c r="B4" s="155" t="s">
        <v>59</v>
      </c>
      <c r="C4" s="155" t="s">
        <v>60</v>
      </c>
      <c r="D4" s="155" t="s">
        <v>61</v>
      </c>
      <c r="E4" s="155" t="s">
        <v>62</v>
      </c>
    </row>
    <row r="5" spans="1:5" ht="60" x14ac:dyDescent="0.25">
      <c r="A5" s="1" t="s">
        <v>18</v>
      </c>
      <c r="B5" s="155" t="s">
        <v>63</v>
      </c>
      <c r="C5" s="155" t="s">
        <v>64</v>
      </c>
      <c r="D5" s="155" t="s">
        <v>65</v>
      </c>
      <c r="E5" s="155" t="s">
        <v>66</v>
      </c>
    </row>
  </sheetData>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0C2F85-B0E8-45D2-B1E5-0B1B118628F6}">
  <sheetPr>
    <tabColor theme="9" tint="0.79998168889431442"/>
  </sheetPr>
  <dimension ref="A1:J49"/>
  <sheetViews>
    <sheetView workbookViewId="0">
      <selection activeCell="A30" sqref="A30"/>
    </sheetView>
  </sheetViews>
  <sheetFormatPr defaultRowHeight="15" x14ac:dyDescent="0.25"/>
  <cols>
    <col min="1" max="1" width="13.28515625" bestFit="1" customWidth="1"/>
    <col min="2" max="2" width="10.5703125" customWidth="1"/>
    <col min="3" max="4" width="9.7109375" customWidth="1"/>
    <col min="6" max="6" width="9.5703125" bestFit="1" customWidth="1"/>
  </cols>
  <sheetData>
    <row r="1" spans="1:10" ht="18.75" x14ac:dyDescent="0.3">
      <c r="B1" s="158" t="s">
        <v>67</v>
      </c>
      <c r="C1" s="158"/>
      <c r="D1" s="158"/>
      <c r="E1" s="158"/>
      <c r="F1" s="158"/>
      <c r="G1" s="158"/>
      <c r="H1" s="158"/>
      <c r="I1" s="158"/>
      <c r="J1" s="158"/>
    </row>
    <row r="2" spans="1:10" ht="18.75" x14ac:dyDescent="0.3">
      <c r="B2" s="154"/>
      <c r="C2" s="154"/>
      <c r="D2" s="154"/>
      <c r="E2" s="154"/>
      <c r="F2" s="154"/>
      <c r="G2" s="154"/>
      <c r="H2" s="154"/>
      <c r="I2" s="154"/>
      <c r="J2" s="154"/>
    </row>
    <row r="3" spans="1:10" ht="15" customHeight="1" x14ac:dyDescent="0.25">
      <c r="B3" s="159" t="s">
        <v>68</v>
      </c>
      <c r="C3" s="160"/>
      <c r="D3" s="161"/>
      <c r="F3" s="157" t="s">
        <v>69</v>
      </c>
      <c r="G3" s="157"/>
      <c r="H3" s="157"/>
    </row>
    <row r="4" spans="1:10" x14ac:dyDescent="0.25">
      <c r="B4" s="162"/>
      <c r="C4" s="163"/>
      <c r="D4" s="164"/>
      <c r="F4" s="157"/>
      <c r="G4" s="157"/>
      <c r="H4" s="157"/>
    </row>
    <row r="5" spans="1:10" ht="30" x14ac:dyDescent="0.25">
      <c r="B5" s="86" t="s">
        <v>70</v>
      </c>
      <c r="C5" s="86" t="s">
        <v>71</v>
      </c>
      <c r="D5" s="86" t="s">
        <v>72</v>
      </c>
      <c r="F5" s="86" t="s">
        <v>70</v>
      </c>
      <c r="G5" s="86" t="s">
        <v>71</v>
      </c>
      <c r="H5" s="86" t="s">
        <v>72</v>
      </c>
    </row>
    <row r="6" spans="1:10" x14ac:dyDescent="0.25">
      <c r="B6" s="33">
        <f>B23</f>
        <v>370.57790272281812</v>
      </c>
      <c r="C6" s="113">
        <f>B6*5</f>
        <v>1852.8895136140907</v>
      </c>
      <c r="D6" s="113">
        <f>B6*25</f>
        <v>9264.4475680704527</v>
      </c>
      <c r="F6" s="33">
        <f>B44</f>
        <v>368.9308898218278</v>
      </c>
      <c r="G6" s="113">
        <f>F6*5</f>
        <v>1844.654449109139</v>
      </c>
      <c r="H6" s="113">
        <f>F6*25</f>
        <v>9223.2722455456951</v>
      </c>
    </row>
    <row r="8" spans="1:10" x14ac:dyDescent="0.25">
      <c r="A8" s="111" t="s">
        <v>73</v>
      </c>
    </row>
    <row r="9" spans="1:10" x14ac:dyDescent="0.25">
      <c r="A9" s="9"/>
      <c r="B9" s="88">
        <v>975.3</v>
      </c>
      <c r="C9" t="s">
        <v>74</v>
      </c>
    </row>
    <row r="11" spans="1:10" x14ac:dyDescent="0.25">
      <c r="A11" s="112" t="s">
        <v>75</v>
      </c>
    </row>
    <row r="13" spans="1:10" x14ac:dyDescent="0.25">
      <c r="B13" s="111" t="s">
        <v>5</v>
      </c>
    </row>
    <row r="14" spans="1:10" x14ac:dyDescent="0.25">
      <c r="B14">
        <v>850</v>
      </c>
      <c r="C14" t="s">
        <v>76</v>
      </c>
    </row>
    <row r="15" spans="1:10" x14ac:dyDescent="0.25">
      <c r="B15">
        <v>300</v>
      </c>
      <c r="C15" t="s">
        <v>77</v>
      </c>
    </row>
    <row r="16" spans="1:10" x14ac:dyDescent="0.25">
      <c r="B16">
        <f>B15/4</f>
        <v>75</v>
      </c>
      <c r="C16" t="s">
        <v>78</v>
      </c>
    </row>
    <row r="17" spans="1:5" x14ac:dyDescent="0.25">
      <c r="B17" s="62">
        <f>12*365</f>
        <v>4380</v>
      </c>
      <c r="C17" t="s">
        <v>79</v>
      </c>
    </row>
    <row r="19" spans="1:5" x14ac:dyDescent="0.25">
      <c r="B19" s="111" t="s">
        <v>80</v>
      </c>
    </row>
    <row r="20" spans="1:5" x14ac:dyDescent="0.25">
      <c r="B20">
        <f>B15-B16</f>
        <v>225</v>
      </c>
      <c r="C20" t="s">
        <v>81</v>
      </c>
    </row>
    <row r="21" spans="1:5" x14ac:dyDescent="0.25">
      <c r="B21" s="64">
        <f>B20*B17/1000</f>
        <v>985.5</v>
      </c>
      <c r="C21" t="s">
        <v>82</v>
      </c>
    </row>
    <row r="22" spans="1:5" x14ac:dyDescent="0.25">
      <c r="B22" s="9">
        <f>B21*B14/1000</f>
        <v>837.67499999999995</v>
      </c>
      <c r="C22" t="s">
        <v>83</v>
      </c>
    </row>
    <row r="23" spans="1:5" x14ac:dyDescent="0.25">
      <c r="B23" s="104">
        <f>CONVERT(B22*B9,"lbm","Mg")</f>
        <v>370.57790272281812</v>
      </c>
      <c r="C23" s="105" t="s">
        <v>84</v>
      </c>
      <c r="D23" s="105"/>
      <c r="E23" s="106"/>
    </row>
    <row r="24" spans="1:5" x14ac:dyDescent="0.25">
      <c r="B24" s="128"/>
      <c r="C24" s="129"/>
      <c r="D24" s="129"/>
      <c r="E24" s="129"/>
    </row>
    <row r="25" spans="1:5" x14ac:dyDescent="0.25">
      <c r="B25" s="157" t="s">
        <v>85</v>
      </c>
      <c r="C25" s="157"/>
      <c r="D25" s="157"/>
      <c r="E25" s="129"/>
    </row>
    <row r="26" spans="1:5" x14ac:dyDescent="0.25">
      <c r="B26" s="157"/>
      <c r="C26" s="157"/>
      <c r="D26" s="157"/>
      <c r="E26" s="129"/>
    </row>
    <row r="27" spans="1:5" ht="30" x14ac:dyDescent="0.25">
      <c r="B27" s="86" t="s">
        <v>86</v>
      </c>
      <c r="C27" s="86" t="s">
        <v>71</v>
      </c>
      <c r="D27" s="86" t="s">
        <v>72</v>
      </c>
      <c r="E27" s="129"/>
    </row>
    <row r="28" spans="1:5" x14ac:dyDescent="0.25">
      <c r="B28" s="39">
        <f>B23</f>
        <v>370.57790272281812</v>
      </c>
      <c r="C28" s="113">
        <f>B28*5</f>
        <v>1852.8895136140907</v>
      </c>
      <c r="D28" s="113">
        <f>B28*25</f>
        <v>9264.4475680704527</v>
      </c>
      <c r="E28" s="129"/>
    </row>
    <row r="30" spans="1:5" x14ac:dyDescent="0.25">
      <c r="A30" s="112" t="s">
        <v>87</v>
      </c>
    </row>
    <row r="31" spans="1:5" x14ac:dyDescent="0.25">
      <c r="B31" s="111" t="s">
        <v>5</v>
      </c>
    </row>
    <row r="32" spans="1:5" x14ac:dyDescent="0.25">
      <c r="B32">
        <v>56</v>
      </c>
      <c r="C32" t="s">
        <v>88</v>
      </c>
    </row>
    <row r="33" spans="1:5" x14ac:dyDescent="0.25">
      <c r="B33" s="62">
        <v>17850</v>
      </c>
      <c r="C33" t="s">
        <v>89</v>
      </c>
    </row>
    <row r="34" spans="1:5" x14ac:dyDescent="0.25">
      <c r="B34" s="62">
        <v>2</v>
      </c>
      <c r="C34" t="s">
        <v>90</v>
      </c>
    </row>
    <row r="35" spans="1:5" x14ac:dyDescent="0.25">
      <c r="B35">
        <v>32</v>
      </c>
      <c r="C35" t="s">
        <v>91</v>
      </c>
    </row>
    <row r="36" spans="1:5" x14ac:dyDescent="0.25">
      <c r="B36">
        <f>B35/2</f>
        <v>16</v>
      </c>
      <c r="C36" t="s">
        <v>92</v>
      </c>
    </row>
    <row r="37" spans="1:5" x14ac:dyDescent="0.25">
      <c r="B37">
        <f>365*4</f>
        <v>1460</v>
      </c>
      <c r="C37" t="s">
        <v>79</v>
      </c>
    </row>
    <row r="39" spans="1:5" x14ac:dyDescent="0.25">
      <c r="B39" s="111" t="s">
        <v>80</v>
      </c>
    </row>
    <row r="40" spans="1:5" x14ac:dyDescent="0.25">
      <c r="B40">
        <f>B35-B36</f>
        <v>16</v>
      </c>
      <c r="C40" t="s">
        <v>93</v>
      </c>
    </row>
    <row r="41" spans="1:5" x14ac:dyDescent="0.25">
      <c r="B41" s="64">
        <f>B40*B34</f>
        <v>32</v>
      </c>
      <c r="C41" t="s">
        <v>81</v>
      </c>
    </row>
    <row r="42" spans="1:5" x14ac:dyDescent="0.25">
      <c r="B42" s="13">
        <f>B41*B37/1000</f>
        <v>46.72</v>
      </c>
      <c r="C42" t="s">
        <v>82</v>
      </c>
    </row>
    <row r="43" spans="1:5" x14ac:dyDescent="0.25">
      <c r="B43" s="9">
        <f>B33*B42/1000</f>
        <v>833.952</v>
      </c>
      <c r="C43" t="s">
        <v>83</v>
      </c>
    </row>
    <row r="44" spans="1:5" x14ac:dyDescent="0.25">
      <c r="A44" s="62"/>
      <c r="B44" s="104">
        <f>CONVERT(B43*B9,"lbm","Mg")</f>
        <v>368.9308898218278</v>
      </c>
      <c r="C44" s="105" t="s">
        <v>84</v>
      </c>
      <c r="D44" s="105"/>
      <c r="E44" s="106"/>
    </row>
    <row r="46" spans="1:5" x14ac:dyDescent="0.25">
      <c r="B46" s="157" t="s">
        <v>85</v>
      </c>
      <c r="C46" s="157"/>
      <c r="D46" s="157"/>
    </row>
    <row r="47" spans="1:5" x14ac:dyDescent="0.25">
      <c r="B47" s="157"/>
      <c r="C47" s="157"/>
      <c r="D47" s="157"/>
    </row>
    <row r="48" spans="1:5" ht="30" x14ac:dyDescent="0.25">
      <c r="B48" s="86" t="s">
        <v>86</v>
      </c>
      <c r="C48" s="86" t="s">
        <v>71</v>
      </c>
      <c r="D48" s="86" t="s">
        <v>72</v>
      </c>
    </row>
    <row r="49" spans="2:4" x14ac:dyDescent="0.25">
      <c r="B49" s="39">
        <f>B44</f>
        <v>368.9308898218278</v>
      </c>
      <c r="C49" s="113">
        <f>B49*5</f>
        <v>1844.654449109139</v>
      </c>
      <c r="D49" s="113">
        <f>B49*25</f>
        <v>9223.2722455456951</v>
      </c>
    </row>
  </sheetData>
  <mergeCells count="5">
    <mergeCell ref="B46:D47"/>
    <mergeCell ref="B25:D26"/>
    <mergeCell ref="B1:J1"/>
    <mergeCell ref="F3:H4"/>
    <mergeCell ref="B3:D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CB3A38-A226-456D-8877-D9F5D694560F}">
  <sheetPr>
    <tabColor theme="9" tint="0.79998168889431442"/>
  </sheetPr>
  <dimension ref="A1:I74"/>
  <sheetViews>
    <sheetView workbookViewId="0">
      <selection activeCell="J31" sqref="J31"/>
    </sheetView>
  </sheetViews>
  <sheetFormatPr defaultRowHeight="15" x14ac:dyDescent="0.25"/>
  <cols>
    <col min="1" max="1" width="15.7109375" style="9" customWidth="1"/>
    <col min="2" max="2" width="11.28515625" customWidth="1"/>
    <col min="3" max="3" width="10.5703125" bestFit="1" customWidth="1"/>
    <col min="4" max="4" width="10.5703125" customWidth="1"/>
    <col min="5" max="5" width="2" style="9" bestFit="1" customWidth="1"/>
    <col min="6" max="6" width="9.85546875" bestFit="1" customWidth="1"/>
  </cols>
  <sheetData>
    <row r="1" spans="1:9" ht="18.75" x14ac:dyDescent="0.3">
      <c r="A1" s="158" t="s">
        <v>94</v>
      </c>
      <c r="B1" s="158"/>
      <c r="C1" s="158"/>
      <c r="D1" s="158"/>
      <c r="E1" s="158"/>
      <c r="F1" s="158"/>
      <c r="G1" s="158"/>
      <c r="H1" s="158"/>
      <c r="I1" s="158"/>
    </row>
    <row r="3" spans="1:9" x14ac:dyDescent="0.25">
      <c r="A3" s="165" t="s">
        <v>95</v>
      </c>
      <c r="B3" s="165"/>
      <c r="C3" s="165"/>
    </row>
    <row r="4" spans="1:9" ht="30" x14ac:dyDescent="0.25">
      <c r="A4" s="86" t="s">
        <v>96</v>
      </c>
      <c r="B4" s="86" t="s">
        <v>71</v>
      </c>
      <c r="C4" s="86" t="s">
        <v>72</v>
      </c>
    </row>
    <row r="5" spans="1:9" x14ac:dyDescent="0.25">
      <c r="A5" s="33">
        <f>B40+B64</f>
        <v>29.311166755951518</v>
      </c>
      <c r="B5" s="39">
        <f>A5*5</f>
        <v>146.55583377975759</v>
      </c>
      <c r="C5" s="39">
        <f>A5*25</f>
        <v>732.77916889878793</v>
      </c>
    </row>
    <row r="8" spans="1:9" x14ac:dyDescent="0.25">
      <c r="A8" s="87" t="s">
        <v>97</v>
      </c>
    </row>
    <row r="9" spans="1:9" x14ac:dyDescent="0.25">
      <c r="A9" s="88">
        <v>975.3</v>
      </c>
      <c r="B9" t="s">
        <v>74</v>
      </c>
    </row>
    <row r="10" spans="1:9" x14ac:dyDescent="0.25">
      <c r="A10" s="9">
        <v>53.06</v>
      </c>
      <c r="B10" t="s">
        <v>98</v>
      </c>
    </row>
    <row r="11" spans="1:9" x14ac:dyDescent="0.25">
      <c r="A11" s="94">
        <v>1E-3</v>
      </c>
      <c r="B11" t="s">
        <v>99</v>
      </c>
    </row>
    <row r="12" spans="1:9" x14ac:dyDescent="0.25">
      <c r="A12" s="94">
        <v>1E-4</v>
      </c>
      <c r="B12" t="s">
        <v>100</v>
      </c>
    </row>
    <row r="13" spans="1:9" x14ac:dyDescent="0.25">
      <c r="A13" s="96">
        <v>28</v>
      </c>
      <c r="B13" t="s">
        <v>101</v>
      </c>
    </row>
    <row r="14" spans="1:9" x14ac:dyDescent="0.25">
      <c r="A14" s="96">
        <v>265</v>
      </c>
      <c r="B14" t="s">
        <v>102</v>
      </c>
    </row>
    <row r="16" spans="1:9" x14ac:dyDescent="0.25">
      <c r="A16" s="107" t="s">
        <v>103</v>
      </c>
    </row>
    <row r="17" spans="2:3" x14ac:dyDescent="0.25">
      <c r="B17" s="111" t="s">
        <v>5</v>
      </c>
    </row>
    <row r="18" spans="2:3" x14ac:dyDescent="0.25">
      <c r="B18" s="62">
        <v>8500</v>
      </c>
      <c r="C18" t="s">
        <v>104</v>
      </c>
    </row>
    <row r="19" spans="2:3" x14ac:dyDescent="0.25">
      <c r="B19" s="62">
        <v>400</v>
      </c>
      <c r="C19" t="s">
        <v>105</v>
      </c>
    </row>
    <row r="20" spans="2:3" x14ac:dyDescent="0.25">
      <c r="B20">
        <v>6</v>
      </c>
      <c r="C20" t="s">
        <v>106</v>
      </c>
    </row>
    <row r="21" spans="2:3" x14ac:dyDescent="0.25">
      <c r="B21">
        <v>5</v>
      </c>
      <c r="C21" t="s">
        <v>107</v>
      </c>
    </row>
    <row r="22" spans="2:3" x14ac:dyDescent="0.25">
      <c r="B22" s="63">
        <f>1/3</f>
        <v>0.33333333333333331</v>
      </c>
      <c r="C22" t="s">
        <v>108</v>
      </c>
    </row>
    <row r="23" spans="2:3" x14ac:dyDescent="0.25">
      <c r="B23">
        <v>6.5</v>
      </c>
      <c r="C23" t="s">
        <v>109</v>
      </c>
    </row>
    <row r="24" spans="2:3" x14ac:dyDescent="0.25">
      <c r="B24" s="124">
        <v>15</v>
      </c>
      <c r="C24" t="s">
        <v>110</v>
      </c>
    </row>
    <row r="25" spans="2:3" x14ac:dyDescent="0.25">
      <c r="B25" s="111"/>
      <c r="C25" s="89"/>
    </row>
    <row r="26" spans="2:3" x14ac:dyDescent="0.25">
      <c r="B26" s="111" t="s">
        <v>80</v>
      </c>
    </row>
    <row r="27" spans="2:3" x14ac:dyDescent="0.25">
      <c r="B27" s="9">
        <f>B18/B19</f>
        <v>21.25</v>
      </c>
      <c r="C27" t="s">
        <v>111</v>
      </c>
    </row>
    <row r="28" spans="2:3" x14ac:dyDescent="0.25">
      <c r="B28" s="62">
        <f>B27*12000</f>
        <v>255000</v>
      </c>
      <c r="C28" t="s">
        <v>112</v>
      </c>
    </row>
    <row r="29" spans="2:3" x14ac:dyDescent="0.25">
      <c r="B29" s="9">
        <f>8760*(B20)/12*(1-B22)</f>
        <v>2920.0000000000005</v>
      </c>
      <c r="C29" t="s">
        <v>113</v>
      </c>
    </row>
    <row r="30" spans="2:3" x14ac:dyDescent="0.25">
      <c r="B30" s="9"/>
    </row>
    <row r="31" spans="2:3" x14ac:dyDescent="0.25">
      <c r="B31" s="9"/>
    </row>
    <row r="32" spans="2:3" x14ac:dyDescent="0.25">
      <c r="B32" s="13">
        <f>B28/B23</f>
        <v>39230.769230769234</v>
      </c>
      <c r="C32" t="s">
        <v>114</v>
      </c>
    </row>
    <row r="33" spans="1:6" x14ac:dyDescent="0.25">
      <c r="B33" s="9">
        <f>B32*B29/1000000</f>
        <v>114.55384615384618</v>
      </c>
      <c r="C33" t="s">
        <v>115</v>
      </c>
    </row>
    <row r="34" spans="1:6" x14ac:dyDescent="0.25">
      <c r="B34" s="13"/>
    </row>
    <row r="35" spans="1:6" x14ac:dyDescent="0.25">
      <c r="B35" s="13">
        <f>B28/B24</f>
        <v>17000</v>
      </c>
      <c r="C35" t="s">
        <v>116</v>
      </c>
    </row>
    <row r="36" spans="1:6" x14ac:dyDescent="0.25">
      <c r="B36" s="13">
        <f>B35*B29/1000000</f>
        <v>49.640000000000008</v>
      </c>
      <c r="C36" t="s">
        <v>117</v>
      </c>
    </row>
    <row r="37" spans="1:6" x14ac:dyDescent="0.25">
      <c r="B37" s="13"/>
    </row>
    <row r="38" spans="1:6" x14ac:dyDescent="0.25">
      <c r="B38" s="85"/>
      <c r="C38" s="85"/>
      <c r="E38"/>
    </row>
    <row r="39" spans="1:6" x14ac:dyDescent="0.25">
      <c r="A39"/>
      <c r="B39" s="9">
        <f>B33-B36</f>
        <v>64.91384615384618</v>
      </c>
      <c r="C39" t="s">
        <v>118</v>
      </c>
      <c r="E39"/>
    </row>
    <row r="40" spans="1:6" x14ac:dyDescent="0.25">
      <c r="A40"/>
      <c r="B40" s="104">
        <f>CONVERT(B39*A9,"lbm","Mg")</f>
        <v>28.71714801726683</v>
      </c>
      <c r="C40" s="105" t="s">
        <v>119</v>
      </c>
      <c r="E40"/>
    </row>
    <row r="41" spans="1:6" x14ac:dyDescent="0.25">
      <c r="A41"/>
      <c r="E41"/>
    </row>
    <row r="42" spans="1:6" ht="17.25" x14ac:dyDescent="0.4">
      <c r="A42" s="103" t="s">
        <v>120</v>
      </c>
    </row>
    <row r="43" spans="1:6" x14ac:dyDescent="0.25">
      <c r="B43" s="87" t="s">
        <v>5</v>
      </c>
      <c r="E43"/>
      <c r="F43" s="9"/>
    </row>
    <row r="44" spans="1:6" x14ac:dyDescent="0.25">
      <c r="B44" s="87">
        <v>400</v>
      </c>
      <c r="C44" t="s">
        <v>121</v>
      </c>
      <c r="E44"/>
      <c r="F44" s="9"/>
    </row>
    <row r="45" spans="1:6" x14ac:dyDescent="0.25">
      <c r="B45" s="90">
        <f>AVERAGE(56,70)/100</f>
        <v>0.63</v>
      </c>
      <c r="C45" t="s">
        <v>122</v>
      </c>
      <c r="E45"/>
      <c r="F45" s="9"/>
    </row>
    <row r="46" spans="1:6" x14ac:dyDescent="0.25">
      <c r="B46" s="90">
        <f>AVERAGE(90,98.5)/100</f>
        <v>0.9425</v>
      </c>
      <c r="C46" t="s">
        <v>123</v>
      </c>
      <c r="E46"/>
      <c r="F46" s="9"/>
    </row>
    <row r="47" spans="1:6" x14ac:dyDescent="0.25">
      <c r="B47" s="92">
        <v>5</v>
      </c>
      <c r="C47" t="s">
        <v>107</v>
      </c>
      <c r="E47"/>
      <c r="F47" s="9"/>
    </row>
    <row r="48" spans="1:6" x14ac:dyDescent="0.25">
      <c r="B48" s="91"/>
      <c r="E48"/>
      <c r="F48" s="9"/>
    </row>
    <row r="49" spans="2:7" x14ac:dyDescent="0.25">
      <c r="B49" s="9"/>
      <c r="E49"/>
      <c r="F49" s="9"/>
    </row>
    <row r="50" spans="2:7" x14ac:dyDescent="0.25">
      <c r="B50" s="87" t="s">
        <v>80</v>
      </c>
      <c r="E50"/>
      <c r="F50" s="9"/>
    </row>
    <row r="51" spans="2:7" x14ac:dyDescent="0.25">
      <c r="B51" s="9">
        <f>B18/B44</f>
        <v>21.25</v>
      </c>
      <c r="C51" t="s">
        <v>124</v>
      </c>
      <c r="E51"/>
      <c r="F51" t="s">
        <v>125</v>
      </c>
      <c r="G51" s="64">
        <f>B51*12000</f>
        <v>255000</v>
      </c>
    </row>
    <row r="52" spans="2:7" x14ac:dyDescent="0.25">
      <c r="B52" s="62">
        <f>8760*(B47/12)</f>
        <v>3650</v>
      </c>
      <c r="C52" t="s">
        <v>113</v>
      </c>
      <c r="E52"/>
      <c r="F52" s="9"/>
    </row>
    <row r="53" spans="2:7" x14ac:dyDescent="0.25">
      <c r="B53" s="9"/>
      <c r="E53"/>
      <c r="F53" s="9"/>
    </row>
    <row r="54" spans="2:7" x14ac:dyDescent="0.25">
      <c r="B54" s="62">
        <f>G51*B52/1000000</f>
        <v>930.75</v>
      </c>
      <c r="C54" t="s">
        <v>126</v>
      </c>
      <c r="E54" s="13"/>
    </row>
    <row r="55" spans="2:7" x14ac:dyDescent="0.25">
      <c r="B55" s="9"/>
      <c r="E55"/>
      <c r="F55" s="9"/>
    </row>
    <row r="56" spans="2:7" x14ac:dyDescent="0.25">
      <c r="B56" s="9">
        <f>$B$51/B45</f>
        <v>33.730158730158728</v>
      </c>
      <c r="C56" t="s">
        <v>127</v>
      </c>
      <c r="E56"/>
      <c r="F56" s="9"/>
    </row>
    <row r="57" spans="2:7" x14ac:dyDescent="0.25">
      <c r="B57" s="95">
        <f>$B$51/B46</f>
        <v>22.546419098143236</v>
      </c>
      <c r="C57" t="s">
        <v>128</v>
      </c>
      <c r="E57"/>
      <c r="F57" s="9"/>
    </row>
    <row r="58" spans="2:7" x14ac:dyDescent="0.25">
      <c r="B58" s="9">
        <f>B56-B57</f>
        <v>11.183739632015492</v>
      </c>
      <c r="C58" t="s">
        <v>129</v>
      </c>
      <c r="E58"/>
      <c r="F58" s="9"/>
    </row>
    <row r="59" spans="2:7" x14ac:dyDescent="0.25">
      <c r="B59" s="9"/>
      <c r="E59"/>
      <c r="F59" s="9"/>
    </row>
    <row r="60" spans="2:7" x14ac:dyDescent="0.25">
      <c r="B60" s="9">
        <f>$B$58*A10/1000</f>
        <v>0.59340922487474201</v>
      </c>
      <c r="C60" t="s">
        <v>130</v>
      </c>
      <c r="E60"/>
      <c r="F60" s="9"/>
    </row>
    <row r="61" spans="2:7" x14ac:dyDescent="0.25">
      <c r="B61" s="9">
        <f>$B$58*A11/1000</f>
        <v>1.1183739632015491E-5</v>
      </c>
      <c r="C61" t="s">
        <v>131</v>
      </c>
      <c r="E61"/>
      <c r="F61" s="9"/>
    </row>
    <row r="62" spans="2:7" x14ac:dyDescent="0.25">
      <c r="B62" s="9">
        <f>$B$58*A12/1000</f>
        <v>1.1183739632015492E-6</v>
      </c>
      <c r="C62" t="s">
        <v>132</v>
      </c>
      <c r="E62"/>
      <c r="F62" s="9"/>
    </row>
    <row r="63" spans="2:7" x14ac:dyDescent="0.25">
      <c r="B63" s="9"/>
      <c r="E63"/>
      <c r="F63" s="9"/>
    </row>
    <row r="64" spans="2:7" x14ac:dyDescent="0.25">
      <c r="B64" s="110">
        <f>B60+B61*A13+B62*A14</f>
        <v>0.59401873868468691</v>
      </c>
      <c r="C64" s="93" t="s">
        <v>133</v>
      </c>
      <c r="D64" s="98"/>
      <c r="E64" s="98"/>
      <c r="F64" s="99"/>
      <c r="G64" s="100"/>
    </row>
    <row r="65" spans="1:5" x14ac:dyDescent="0.25">
      <c r="A65"/>
      <c r="E65"/>
    </row>
    <row r="66" spans="1:5" x14ac:dyDescent="0.25">
      <c r="A66"/>
      <c r="E66"/>
    </row>
    <row r="67" spans="1:5" x14ac:dyDescent="0.25">
      <c r="A67"/>
      <c r="E67"/>
    </row>
    <row r="68" spans="1:5" x14ac:dyDescent="0.25">
      <c r="A68"/>
      <c r="E68"/>
    </row>
    <row r="69" spans="1:5" x14ac:dyDescent="0.25">
      <c r="A69"/>
      <c r="E69"/>
    </row>
    <row r="70" spans="1:5" x14ac:dyDescent="0.25">
      <c r="A70"/>
      <c r="E70"/>
    </row>
    <row r="71" spans="1:5" ht="15" customHeight="1" x14ac:dyDescent="0.25">
      <c r="A71"/>
      <c r="E71"/>
    </row>
    <row r="72" spans="1:5" x14ac:dyDescent="0.25">
      <c r="A72"/>
      <c r="E72"/>
    </row>
    <row r="73" spans="1:5" x14ac:dyDescent="0.25">
      <c r="A73"/>
    </row>
    <row r="74" spans="1:5" x14ac:dyDescent="0.25">
      <c r="A74"/>
    </row>
  </sheetData>
  <mergeCells count="2">
    <mergeCell ref="A3:C3"/>
    <mergeCell ref="A1:I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23F7EF-D5D9-44E0-8661-56BDBB1143F0}">
  <sheetPr>
    <tabColor theme="9" tint="0.79998168889431442"/>
  </sheetPr>
  <dimension ref="A1:I100"/>
  <sheetViews>
    <sheetView workbookViewId="0">
      <selection activeCell="I109" sqref="I109"/>
    </sheetView>
  </sheetViews>
  <sheetFormatPr defaultRowHeight="15" x14ac:dyDescent="0.25"/>
  <cols>
    <col min="1" max="1" width="11.5703125" style="9" bestFit="1" customWidth="1"/>
    <col min="2" max="2" width="10.85546875" customWidth="1"/>
    <col min="3" max="3" width="11.5703125" bestFit="1" customWidth="1"/>
    <col min="7" max="8" width="9.5703125" bestFit="1" customWidth="1"/>
  </cols>
  <sheetData>
    <row r="1" spans="1:9" ht="18.75" x14ac:dyDescent="0.3">
      <c r="A1" s="158" t="s">
        <v>94</v>
      </c>
      <c r="B1" s="158"/>
      <c r="C1" s="158"/>
      <c r="D1" s="158"/>
      <c r="E1" s="158"/>
      <c r="F1" s="158"/>
      <c r="G1" s="158"/>
      <c r="H1" s="158"/>
      <c r="I1" s="158"/>
    </row>
    <row r="4" spans="1:9" x14ac:dyDescent="0.25">
      <c r="B4" s="157" t="s">
        <v>134</v>
      </c>
      <c r="C4" s="157"/>
      <c r="D4" s="157"/>
      <c r="F4" s="157" t="s">
        <v>85</v>
      </c>
      <c r="G4" s="157"/>
      <c r="H4" s="157"/>
    </row>
    <row r="5" spans="1:9" x14ac:dyDescent="0.25">
      <c r="B5" s="157"/>
      <c r="C5" s="157"/>
      <c r="D5" s="157"/>
      <c r="F5" s="157"/>
      <c r="G5" s="157"/>
      <c r="H5" s="157"/>
    </row>
    <row r="6" spans="1:9" ht="30" x14ac:dyDescent="0.25">
      <c r="B6" s="86" t="s">
        <v>86</v>
      </c>
      <c r="C6" s="86" t="s">
        <v>71</v>
      </c>
      <c r="D6" s="86" t="s">
        <v>72</v>
      </c>
      <c r="F6" s="86" t="s">
        <v>86</v>
      </c>
      <c r="G6" s="86" t="s">
        <v>71</v>
      </c>
      <c r="H6" s="86" t="s">
        <v>72</v>
      </c>
    </row>
    <row r="7" spans="1:9" x14ac:dyDescent="0.25">
      <c r="B7" s="39">
        <f>B35</f>
        <v>17.061325896584254</v>
      </c>
      <c r="C7" s="39">
        <f>B7*5</f>
        <v>85.306629482921267</v>
      </c>
      <c r="D7" s="39">
        <f>B7*25</f>
        <v>426.53314741460633</v>
      </c>
      <c r="F7" s="39">
        <f>C53+C79+B100</f>
        <v>260.07629023474362</v>
      </c>
      <c r="G7" s="39">
        <f>F7*5</f>
        <v>1300.3814511737182</v>
      </c>
      <c r="H7" s="39">
        <f>F7*25</f>
        <v>6501.9072558685903</v>
      </c>
    </row>
    <row r="9" spans="1:9" x14ac:dyDescent="0.25">
      <c r="A9" s="87" t="s">
        <v>73</v>
      </c>
    </row>
    <row r="10" spans="1:9" x14ac:dyDescent="0.25">
      <c r="B10" s="88">
        <v>975.3</v>
      </c>
      <c r="C10" t="s">
        <v>74</v>
      </c>
    </row>
    <row r="11" spans="1:9" x14ac:dyDescent="0.25">
      <c r="B11" s="9">
        <v>53.06</v>
      </c>
      <c r="C11" t="s">
        <v>98</v>
      </c>
    </row>
    <row r="12" spans="1:9" x14ac:dyDescent="0.25">
      <c r="B12" s="94">
        <v>1E-3</v>
      </c>
      <c r="C12" t="s">
        <v>135</v>
      </c>
    </row>
    <row r="13" spans="1:9" x14ac:dyDescent="0.25">
      <c r="B13" s="94">
        <v>1E-4</v>
      </c>
      <c r="C13" t="s">
        <v>100</v>
      </c>
    </row>
    <row r="14" spans="1:9" x14ac:dyDescent="0.25">
      <c r="B14" s="96">
        <v>28</v>
      </c>
      <c r="C14" t="s">
        <v>101</v>
      </c>
    </row>
    <row r="15" spans="1:9" x14ac:dyDescent="0.25">
      <c r="B15" s="96">
        <v>265</v>
      </c>
      <c r="C15" t="s">
        <v>102</v>
      </c>
    </row>
    <row r="16" spans="1:9" x14ac:dyDescent="0.25">
      <c r="A16" s="96"/>
    </row>
    <row r="17" spans="1:9" x14ac:dyDescent="0.25">
      <c r="A17" s="96"/>
    </row>
    <row r="18" spans="1:9" ht="17.25" x14ac:dyDescent="0.4">
      <c r="A18" s="103" t="s">
        <v>136</v>
      </c>
    </row>
    <row r="19" spans="1:9" x14ac:dyDescent="0.25">
      <c r="B19" s="9"/>
    </row>
    <row r="20" spans="1:9" x14ac:dyDescent="0.25">
      <c r="B20" s="87" t="s">
        <v>5</v>
      </c>
    </row>
    <row r="21" spans="1:9" x14ac:dyDescent="0.25">
      <c r="B21">
        <v>7500</v>
      </c>
      <c r="C21" t="s">
        <v>137</v>
      </c>
    </row>
    <row r="22" spans="1:9" x14ac:dyDescent="0.25">
      <c r="B22" s="62">
        <v>2600</v>
      </c>
      <c r="C22" t="s">
        <v>138</v>
      </c>
    </row>
    <row r="23" spans="1:9" x14ac:dyDescent="0.25">
      <c r="B23">
        <v>500</v>
      </c>
      <c r="C23" t="s">
        <v>139</v>
      </c>
      <c r="I23" s="64">
        <f>B24-B25</f>
        <v>123</v>
      </c>
    </row>
    <row r="24" spans="1:9" x14ac:dyDescent="0.25">
      <c r="B24" s="62">
        <v>150</v>
      </c>
      <c r="C24" t="s">
        <v>140</v>
      </c>
    </row>
    <row r="25" spans="1:9" x14ac:dyDescent="0.25">
      <c r="B25" s="62">
        <v>27</v>
      </c>
      <c r="C25" t="s">
        <v>141</v>
      </c>
    </row>
    <row r="26" spans="1:9" x14ac:dyDescent="0.25">
      <c r="B26" s="62">
        <f>9*5*52</f>
        <v>2340</v>
      </c>
      <c r="C26" t="s">
        <v>142</v>
      </c>
    </row>
    <row r="28" spans="1:9" x14ac:dyDescent="0.25">
      <c r="B28" s="87" t="s">
        <v>80</v>
      </c>
    </row>
    <row r="29" spans="1:9" x14ac:dyDescent="0.25">
      <c r="B29">
        <f>CONVERT(B21,"ft^2","m^2")</f>
        <v>696.77279999999996</v>
      </c>
      <c r="C29" t="s">
        <v>143</v>
      </c>
    </row>
    <row r="30" spans="1:9" x14ac:dyDescent="0.25">
      <c r="B30">
        <f>B29*B23</f>
        <v>348386.39999999997</v>
      </c>
      <c r="C30" t="s">
        <v>144</v>
      </c>
    </row>
    <row r="31" spans="1:9" x14ac:dyDescent="0.25">
      <c r="B31" s="13">
        <f>B30/B22</f>
        <v>133.99476923076921</v>
      </c>
      <c r="C31" t="s">
        <v>145</v>
      </c>
    </row>
    <row r="32" spans="1:9" x14ac:dyDescent="0.25">
      <c r="B32" s="64">
        <f>B24-B25</f>
        <v>123</v>
      </c>
      <c r="C32" t="s">
        <v>81</v>
      </c>
    </row>
    <row r="33" spans="1:5" x14ac:dyDescent="0.25">
      <c r="B33" s="13">
        <f>B32*B26/1000</f>
        <v>287.82</v>
      </c>
      <c r="C33" t="s">
        <v>146</v>
      </c>
    </row>
    <row r="34" spans="1:5" x14ac:dyDescent="0.25">
      <c r="B34">
        <f>B33*B31/1000</f>
        <v>38.566374479999993</v>
      </c>
      <c r="C34" t="s">
        <v>147</v>
      </c>
    </row>
    <row r="35" spans="1:5" x14ac:dyDescent="0.25">
      <c r="B35" s="104">
        <f>CONVERT(B34*$B$10,"lbm","Mg")</f>
        <v>17.061325896584254</v>
      </c>
      <c r="C35" s="105" t="s">
        <v>84</v>
      </c>
      <c r="D35" s="105"/>
      <c r="E35" s="106"/>
    </row>
    <row r="36" spans="1:5" x14ac:dyDescent="0.25">
      <c r="B36" s="13">
        <f>B35*5</f>
        <v>85.306629482921267</v>
      </c>
      <c r="C36" s="13">
        <f>B35*25</f>
        <v>426.53314741460633</v>
      </c>
    </row>
    <row r="38" spans="1:5" ht="17.25" x14ac:dyDescent="0.4">
      <c r="A38" s="102" t="s">
        <v>148</v>
      </c>
      <c r="B38" s="101"/>
      <c r="C38" s="101"/>
    </row>
    <row r="39" spans="1:5" x14ac:dyDescent="0.25">
      <c r="B39" s="58" t="s">
        <v>149</v>
      </c>
    </row>
    <row r="40" spans="1:5" x14ac:dyDescent="0.25">
      <c r="C40" s="87" t="s">
        <v>150</v>
      </c>
    </row>
    <row r="41" spans="1:5" x14ac:dyDescent="0.25">
      <c r="C41" s="62">
        <v>40000</v>
      </c>
      <c r="D41" t="s">
        <v>151</v>
      </c>
    </row>
    <row r="42" spans="1:5" x14ac:dyDescent="0.25">
      <c r="C42" s="62">
        <v>500</v>
      </c>
      <c r="D42" t="s">
        <v>139</v>
      </c>
    </row>
    <row r="43" spans="1:5" x14ac:dyDescent="0.25">
      <c r="C43" s="62">
        <v>2600</v>
      </c>
      <c r="D43" t="s">
        <v>138</v>
      </c>
    </row>
    <row r="44" spans="1:5" x14ac:dyDescent="0.25">
      <c r="C44" s="62">
        <f>60*52</f>
        <v>3120</v>
      </c>
      <c r="D44" t="s">
        <v>152</v>
      </c>
    </row>
    <row r="46" spans="1:5" x14ac:dyDescent="0.25">
      <c r="C46" s="9"/>
    </row>
    <row r="47" spans="1:5" x14ac:dyDescent="0.25">
      <c r="C47" s="87" t="s">
        <v>153</v>
      </c>
    </row>
    <row r="48" spans="1:5" x14ac:dyDescent="0.25">
      <c r="C48" s="62">
        <f>CONVERT(C41,"ft^2","m^2")*C42</f>
        <v>1858060.8</v>
      </c>
      <c r="D48" t="s">
        <v>154</v>
      </c>
    </row>
    <row r="49" spans="2:6" x14ac:dyDescent="0.25">
      <c r="C49" s="9">
        <f>C48/C43</f>
        <v>714.6387692307693</v>
      </c>
      <c r="D49" t="s">
        <v>145</v>
      </c>
    </row>
    <row r="50" spans="2:6" x14ac:dyDescent="0.25">
      <c r="C50" s="62">
        <f>B24-B25</f>
        <v>123</v>
      </c>
      <c r="D50" t="s">
        <v>81</v>
      </c>
    </row>
    <row r="51" spans="2:6" x14ac:dyDescent="0.25">
      <c r="C51" s="9">
        <f>C50*C44/1000</f>
        <v>383.76</v>
      </c>
      <c r="D51" t="s">
        <v>146</v>
      </c>
    </row>
    <row r="52" spans="2:6" x14ac:dyDescent="0.25">
      <c r="C52" s="9">
        <f>C51*C49/1000</f>
        <v>274.24977408000001</v>
      </c>
      <c r="D52" t="s">
        <v>147</v>
      </c>
    </row>
    <row r="53" spans="2:6" x14ac:dyDescent="0.25">
      <c r="C53" s="104">
        <f>CONVERT(C52*$B$10,"lbm","Mg")</f>
        <v>121.32498415348805</v>
      </c>
      <c r="D53" s="105" t="s">
        <v>84</v>
      </c>
      <c r="E53" s="105"/>
      <c r="F53" s="106"/>
    </row>
    <row r="55" spans="2:6" x14ac:dyDescent="0.25">
      <c r="B55" s="87"/>
    </row>
    <row r="56" spans="2:6" x14ac:dyDescent="0.25">
      <c r="B56" s="108" t="s">
        <v>155</v>
      </c>
      <c r="C56" s="108"/>
      <c r="D56" s="108"/>
      <c r="E56" s="108"/>
    </row>
    <row r="57" spans="2:6" x14ac:dyDescent="0.25">
      <c r="C57" s="87" t="s">
        <v>150</v>
      </c>
    </row>
    <row r="58" spans="2:6" x14ac:dyDescent="0.25">
      <c r="C58" s="62">
        <v>400</v>
      </c>
      <c r="D58" t="s">
        <v>156</v>
      </c>
    </row>
    <row r="59" spans="2:6" x14ac:dyDescent="0.25">
      <c r="C59">
        <v>6</v>
      </c>
      <c r="D59" t="s">
        <v>106</v>
      </c>
    </row>
    <row r="60" spans="2:6" x14ac:dyDescent="0.25">
      <c r="C60">
        <v>5</v>
      </c>
      <c r="D60" t="s">
        <v>107</v>
      </c>
    </row>
    <row r="61" spans="2:6" x14ac:dyDescent="0.25">
      <c r="C61" s="63">
        <f>1/3</f>
        <v>0.33333333333333331</v>
      </c>
      <c r="D61" t="s">
        <v>108</v>
      </c>
    </row>
    <row r="62" spans="2:6" x14ac:dyDescent="0.25">
      <c r="C62">
        <v>6.5</v>
      </c>
      <c r="D62" t="s">
        <v>109</v>
      </c>
    </row>
    <row r="63" spans="2:6" x14ac:dyDescent="0.25">
      <c r="C63" s="124">
        <v>15</v>
      </c>
      <c r="D63" t="s">
        <v>110</v>
      </c>
    </row>
    <row r="64" spans="2:6" x14ac:dyDescent="0.25">
      <c r="C64" s="111"/>
    </row>
    <row r="65" spans="3:8" x14ac:dyDescent="0.25">
      <c r="C65" s="111" t="s">
        <v>80</v>
      </c>
    </row>
    <row r="66" spans="3:8" x14ac:dyDescent="0.25">
      <c r="C66" s="9">
        <f>C41/C58</f>
        <v>100</v>
      </c>
      <c r="D66" t="s">
        <v>157</v>
      </c>
    </row>
    <row r="67" spans="3:8" x14ac:dyDescent="0.25">
      <c r="C67" s="62">
        <f>C66*12000</f>
        <v>1200000</v>
      </c>
      <c r="D67" t="s">
        <v>158</v>
      </c>
    </row>
    <row r="68" spans="3:8" x14ac:dyDescent="0.25">
      <c r="C68" s="9">
        <f>8760*(C59)/12*(1-C61)</f>
        <v>2920.0000000000005</v>
      </c>
      <c r="D68" t="s">
        <v>113</v>
      </c>
    </row>
    <row r="69" spans="3:8" x14ac:dyDescent="0.25">
      <c r="C69" s="9"/>
    </row>
    <row r="70" spans="3:8" x14ac:dyDescent="0.25">
      <c r="C70" s="9"/>
    </row>
    <row r="71" spans="3:8" x14ac:dyDescent="0.25">
      <c r="C71" s="13">
        <f>C67/C62</f>
        <v>184615.38461538462</v>
      </c>
      <c r="D71" t="s">
        <v>114</v>
      </c>
    </row>
    <row r="72" spans="3:8" x14ac:dyDescent="0.25">
      <c r="C72" s="9">
        <f>C71*C68/1000000</f>
        <v>539.07692307692309</v>
      </c>
      <c r="D72" t="s">
        <v>115</v>
      </c>
    </row>
    <row r="73" spans="3:8" x14ac:dyDescent="0.25">
      <c r="C73" s="13"/>
    </row>
    <row r="74" spans="3:8" x14ac:dyDescent="0.25">
      <c r="C74" s="13">
        <f>C67/C63</f>
        <v>80000</v>
      </c>
      <c r="D74" t="s">
        <v>116</v>
      </c>
    </row>
    <row r="75" spans="3:8" x14ac:dyDescent="0.25">
      <c r="C75" s="13">
        <f>C74*C68/1000000</f>
        <v>233.60000000000002</v>
      </c>
      <c r="D75" t="s">
        <v>117</v>
      </c>
    </row>
    <row r="76" spans="3:8" x14ac:dyDescent="0.25">
      <c r="C76" s="13"/>
    </row>
    <row r="77" spans="3:8" x14ac:dyDescent="0.25">
      <c r="C77" s="85"/>
      <c r="D77" s="85"/>
    </row>
    <row r="78" spans="3:8" x14ac:dyDescent="0.25">
      <c r="C78" s="9">
        <f>C72-C75</f>
        <v>305.47692307692307</v>
      </c>
      <c r="D78" t="s">
        <v>118</v>
      </c>
    </row>
    <row r="79" spans="3:8" x14ac:dyDescent="0.25">
      <c r="C79" s="104">
        <f>CONVERT(C78*B10,"lbm","Mg")</f>
        <v>135.1395200812556</v>
      </c>
      <c r="D79" s="105" t="s">
        <v>119</v>
      </c>
      <c r="E79" s="98"/>
      <c r="F79" s="100"/>
    </row>
    <row r="80" spans="3:8" x14ac:dyDescent="0.25">
      <c r="C80" s="128"/>
      <c r="D80" s="129"/>
      <c r="E80" s="130"/>
      <c r="F80" s="130"/>
      <c r="G80" s="66"/>
      <c r="H80" s="66"/>
    </row>
    <row r="81" spans="2:7" x14ac:dyDescent="0.25">
      <c r="B81" s="58" t="s">
        <v>120</v>
      </c>
    </row>
    <row r="82" spans="2:7" x14ac:dyDescent="0.25">
      <c r="B82" s="58">
        <v>27.1</v>
      </c>
      <c r="C82" t="s">
        <v>159</v>
      </c>
    </row>
    <row r="83" spans="2:7" x14ac:dyDescent="0.25">
      <c r="B83">
        <v>25.4</v>
      </c>
      <c r="C83" t="s">
        <v>160</v>
      </c>
    </row>
    <row r="84" spans="2:7" x14ac:dyDescent="0.25">
      <c r="B84" s="90">
        <f>AVERAGE(56,70)/100</f>
        <v>0.63</v>
      </c>
      <c r="C84" t="s">
        <v>122</v>
      </c>
    </row>
    <row r="85" spans="2:7" x14ac:dyDescent="0.25">
      <c r="B85" s="90">
        <f>AVERAGE(90,98.5)/100</f>
        <v>0.9425</v>
      </c>
      <c r="C85" t="s">
        <v>123</v>
      </c>
    </row>
    <row r="86" spans="2:7" x14ac:dyDescent="0.25">
      <c r="B86" s="92"/>
    </row>
    <row r="88" spans="2:7" x14ac:dyDescent="0.25">
      <c r="F88" s="9"/>
    </row>
    <row r="89" spans="2:7" x14ac:dyDescent="0.25">
      <c r="B89" s="87" t="s">
        <v>80</v>
      </c>
      <c r="G89" s="64"/>
    </row>
    <row r="90" spans="2:7" x14ac:dyDescent="0.25">
      <c r="B90" s="87">
        <f>B82*$C$41/1000</f>
        <v>1084</v>
      </c>
      <c r="C90" t="s">
        <v>161</v>
      </c>
      <c r="F90" s="9"/>
    </row>
    <row r="91" spans="2:7" x14ac:dyDescent="0.25">
      <c r="B91" s="87">
        <f>B83*$C$41/1000</f>
        <v>1016</v>
      </c>
      <c r="C91" t="s">
        <v>162</v>
      </c>
      <c r="F91" s="9"/>
    </row>
    <row r="92" spans="2:7" x14ac:dyDescent="0.25">
      <c r="B92" s="62"/>
      <c r="E92" s="13"/>
    </row>
    <row r="93" spans="2:7" x14ac:dyDescent="0.25">
      <c r="B93" s="62">
        <f>B90-B91</f>
        <v>68</v>
      </c>
      <c r="C93" t="s">
        <v>163</v>
      </c>
    </row>
    <row r="94" spans="2:7" x14ac:dyDescent="0.25">
      <c r="B94" s="62"/>
    </row>
    <row r="95" spans="2:7" x14ac:dyDescent="0.25">
      <c r="B95" s="9">
        <f>$B$93*B11/1000</f>
        <v>3.6080799999999997</v>
      </c>
      <c r="C95" t="s">
        <v>130</v>
      </c>
    </row>
    <row r="96" spans="2:7" x14ac:dyDescent="0.25">
      <c r="B96" s="9">
        <f>$B$93*B12/1000</f>
        <v>6.7999999999999999E-5</v>
      </c>
      <c r="C96" t="s">
        <v>131</v>
      </c>
    </row>
    <row r="97" spans="2:7" x14ac:dyDescent="0.25">
      <c r="B97" s="9">
        <f>$B$93*B13/1000</f>
        <v>6.8000000000000001E-6</v>
      </c>
      <c r="C97" t="s">
        <v>132</v>
      </c>
    </row>
    <row r="98" spans="2:7" x14ac:dyDescent="0.25">
      <c r="B98" s="9"/>
    </row>
    <row r="99" spans="2:7" x14ac:dyDescent="0.25">
      <c r="B99" s="9"/>
    </row>
    <row r="100" spans="2:7" x14ac:dyDescent="0.25">
      <c r="B100" s="110">
        <f>B95+B96*B14+B97*B15</f>
        <v>3.6117859999999999</v>
      </c>
      <c r="C100" s="109" t="s">
        <v>133</v>
      </c>
      <c r="D100" s="98"/>
      <c r="E100" s="98"/>
      <c r="F100" s="98"/>
      <c r="G100" s="100"/>
    </row>
  </sheetData>
  <mergeCells count="3">
    <mergeCell ref="B4:D5"/>
    <mergeCell ref="F4:H5"/>
    <mergeCell ref="A1:I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B5C5E5-AAE6-41AE-83F0-70355E341AF5}">
  <sheetPr>
    <tabColor theme="9" tint="0.79998168889431442"/>
  </sheetPr>
  <dimension ref="A1:K29"/>
  <sheetViews>
    <sheetView workbookViewId="0">
      <selection activeCell="F28" sqref="F28"/>
    </sheetView>
  </sheetViews>
  <sheetFormatPr defaultRowHeight="15" x14ac:dyDescent="0.25"/>
  <cols>
    <col min="1" max="1" width="14.5703125" bestFit="1" customWidth="1"/>
    <col min="2" max="3" width="21.5703125" bestFit="1" customWidth="1"/>
    <col min="4" max="4" width="16.42578125" bestFit="1" customWidth="1"/>
    <col min="5" max="5" width="16.85546875" bestFit="1" customWidth="1"/>
    <col min="6" max="6" width="14" bestFit="1" customWidth="1"/>
    <col min="7" max="7" width="13.7109375" customWidth="1"/>
    <col min="8" max="8" width="13.42578125" bestFit="1" customWidth="1"/>
    <col min="9" max="10" width="10" bestFit="1" customWidth="1"/>
    <col min="11" max="12" width="12.140625" customWidth="1"/>
    <col min="18" max="18" width="35.140625" bestFit="1" customWidth="1"/>
  </cols>
  <sheetData>
    <row r="1" spans="1:11" ht="75.75" customHeight="1" x14ac:dyDescent="0.25">
      <c r="A1" t="s">
        <v>97</v>
      </c>
      <c r="B1" s="81" t="s">
        <v>164</v>
      </c>
      <c r="C1" s="81" t="s">
        <v>165</v>
      </c>
      <c r="D1" s="81" t="s">
        <v>166</v>
      </c>
      <c r="E1" s="81" t="s">
        <v>167</v>
      </c>
    </row>
    <row r="2" spans="1:11" x14ac:dyDescent="0.25">
      <c r="A2" t="s">
        <v>168</v>
      </c>
      <c r="B2" s="3" t="s">
        <v>165</v>
      </c>
      <c r="C2" s="3" t="s">
        <v>169</v>
      </c>
      <c r="D2" s="80">
        <v>975.3</v>
      </c>
      <c r="E2" s="3">
        <f>CONVERT(D2,"lbm","Mg")</f>
        <v>0.44238863846099996</v>
      </c>
    </row>
    <row r="3" spans="1:11" x14ac:dyDescent="0.25">
      <c r="A3" t="s">
        <v>170</v>
      </c>
      <c r="B3" s="3" t="s">
        <v>171</v>
      </c>
      <c r="C3" s="3" t="s">
        <v>172</v>
      </c>
      <c r="D3" s="3" t="s">
        <v>172</v>
      </c>
      <c r="E3" s="3">
        <f>CONVERT(0.83,"ton","Mg")</f>
        <v>0.75296333419999995</v>
      </c>
    </row>
    <row r="5" spans="1:11" ht="15.75" thickBot="1" x14ac:dyDescent="0.3"/>
    <row r="6" spans="1:11" ht="45.75" thickBot="1" x14ac:dyDescent="0.3">
      <c r="C6" s="69" t="s">
        <v>173</v>
      </c>
      <c r="D6" s="69"/>
      <c r="E6" s="79" t="s">
        <v>174</v>
      </c>
      <c r="F6" s="166" t="s">
        <v>175</v>
      </c>
      <c r="G6" s="167"/>
      <c r="H6" s="168" t="s">
        <v>176</v>
      </c>
      <c r="I6" s="169"/>
      <c r="J6" s="170"/>
      <c r="K6" s="67"/>
    </row>
    <row r="7" spans="1:11" ht="30" x14ac:dyDescent="0.25">
      <c r="C7" s="4" t="s">
        <v>177</v>
      </c>
      <c r="D7" s="52" t="s">
        <v>178</v>
      </c>
      <c r="E7" s="76" t="s">
        <v>179</v>
      </c>
      <c r="F7" s="57" t="s">
        <v>180</v>
      </c>
      <c r="G7" s="5" t="s">
        <v>86</v>
      </c>
      <c r="H7" s="73" t="s">
        <v>96</v>
      </c>
      <c r="I7" s="71" t="s">
        <v>181</v>
      </c>
      <c r="J7" s="72" t="s">
        <v>182</v>
      </c>
      <c r="K7" s="68"/>
    </row>
    <row r="8" spans="1:11" x14ac:dyDescent="0.25">
      <c r="C8" s="6" t="s">
        <v>183</v>
      </c>
      <c r="D8" s="53">
        <v>6.1950000000000003</v>
      </c>
      <c r="E8" s="77">
        <f t="shared" ref="E8:E16" si="0">$E$2*D8</f>
        <v>2.7405976152658948</v>
      </c>
      <c r="F8" s="54"/>
      <c r="G8" s="47"/>
      <c r="H8" s="56" t="s">
        <v>172</v>
      </c>
      <c r="I8" s="3"/>
      <c r="J8" s="7"/>
      <c r="K8" s="69"/>
    </row>
    <row r="9" spans="1:11" x14ac:dyDescent="0.25">
      <c r="C9" s="10" t="s">
        <v>184</v>
      </c>
      <c r="D9" s="50">
        <v>10000</v>
      </c>
      <c r="E9" s="77">
        <f t="shared" si="0"/>
        <v>4423.8863846099994</v>
      </c>
      <c r="F9" s="82">
        <v>7870</v>
      </c>
      <c r="G9" s="47">
        <f t="shared" ref="G9:G16" si="1">CONVERT(F9,"ton","Mg")</f>
        <v>7139.5439037999995</v>
      </c>
      <c r="H9" s="74">
        <f t="shared" ref="H9:H16" si="2">AVERAGE(E9,G9)</f>
        <v>5781.7151442049999</v>
      </c>
      <c r="I9" s="46">
        <f t="shared" ref="I9:I16" si="3">H9*5</f>
        <v>28908.575721025001</v>
      </c>
      <c r="J9" s="47">
        <f t="shared" ref="J9:J16" si="4">H9*25</f>
        <v>144542.87860512501</v>
      </c>
      <c r="K9" s="70"/>
    </row>
    <row r="10" spans="1:11" x14ac:dyDescent="0.25">
      <c r="C10" s="10" t="s">
        <v>185</v>
      </c>
      <c r="D10" s="50">
        <v>22000</v>
      </c>
      <c r="E10" s="77">
        <f t="shared" si="0"/>
        <v>9732.5500461419997</v>
      </c>
      <c r="F10" s="82">
        <v>18420</v>
      </c>
      <c r="G10" s="47">
        <f t="shared" si="1"/>
        <v>16710.342910799998</v>
      </c>
      <c r="H10" s="74">
        <f t="shared" si="2"/>
        <v>13221.446478471</v>
      </c>
      <c r="I10" s="46">
        <f t="shared" si="3"/>
        <v>66107.232392354999</v>
      </c>
      <c r="J10" s="47">
        <f t="shared" si="4"/>
        <v>330536.16196177498</v>
      </c>
      <c r="K10" s="70"/>
    </row>
    <row r="11" spans="1:11" x14ac:dyDescent="0.25">
      <c r="C11" s="10" t="s">
        <v>186</v>
      </c>
      <c r="D11" s="50"/>
      <c r="E11" s="77">
        <f t="shared" si="0"/>
        <v>0</v>
      </c>
      <c r="F11" s="83"/>
      <c r="G11" s="47">
        <f t="shared" si="1"/>
        <v>0</v>
      </c>
      <c r="H11" s="74">
        <f t="shared" si="2"/>
        <v>0</v>
      </c>
      <c r="I11" s="46">
        <f t="shared" si="3"/>
        <v>0</v>
      </c>
      <c r="J11" s="47">
        <f t="shared" si="4"/>
        <v>0</v>
      </c>
      <c r="K11" s="70"/>
    </row>
    <row r="12" spans="1:11" x14ac:dyDescent="0.25">
      <c r="C12" s="6" t="s">
        <v>187</v>
      </c>
      <c r="D12" s="53">
        <f>1125*1000</f>
        <v>1125000</v>
      </c>
      <c r="E12" s="77">
        <f t="shared" si="0"/>
        <v>497687.21826862497</v>
      </c>
      <c r="F12" s="82">
        <v>934040</v>
      </c>
      <c r="G12" s="47">
        <f t="shared" si="1"/>
        <v>847346.83454959991</v>
      </c>
      <c r="H12" s="74">
        <f t="shared" si="2"/>
        <v>672517.02640911238</v>
      </c>
      <c r="I12" s="46">
        <f t="shared" si="3"/>
        <v>3362585.1320455619</v>
      </c>
      <c r="J12" s="47">
        <f t="shared" si="4"/>
        <v>16812925.660227809</v>
      </c>
      <c r="K12" s="69"/>
    </row>
    <row r="13" spans="1:11" x14ac:dyDescent="0.25">
      <c r="B13" t="s">
        <v>188</v>
      </c>
      <c r="C13" s="10" t="s">
        <v>189</v>
      </c>
      <c r="D13" s="50">
        <f>81*1000</f>
        <v>81000</v>
      </c>
      <c r="E13" s="77">
        <f t="shared" si="0"/>
        <v>35833.479715340996</v>
      </c>
      <c r="F13" s="82">
        <v>66950</v>
      </c>
      <c r="G13" s="131">
        <f t="shared" si="1"/>
        <v>60736.018342999996</v>
      </c>
      <c r="H13" s="74">
        <f t="shared" si="2"/>
        <v>48284.749029170496</v>
      </c>
      <c r="I13" s="46">
        <f t="shared" si="3"/>
        <v>241423.74514585247</v>
      </c>
      <c r="J13" s="47">
        <f t="shared" si="4"/>
        <v>1207118.7257292625</v>
      </c>
      <c r="K13" s="70"/>
    </row>
    <row r="14" spans="1:11" x14ac:dyDescent="0.25">
      <c r="C14" s="10" t="s">
        <v>190</v>
      </c>
      <c r="D14" s="50">
        <f>2*1000</f>
        <v>2000</v>
      </c>
      <c r="E14" s="77">
        <f t="shared" si="0"/>
        <v>884.77727692199994</v>
      </c>
      <c r="F14" s="82">
        <v>1860</v>
      </c>
      <c r="G14" s="47">
        <f t="shared" si="1"/>
        <v>1687.3636164</v>
      </c>
      <c r="H14" s="74">
        <f t="shared" si="2"/>
        <v>1286.070446661</v>
      </c>
      <c r="I14" s="46">
        <f t="shared" si="3"/>
        <v>6430.3522333050005</v>
      </c>
      <c r="J14" s="47">
        <f t="shared" si="4"/>
        <v>32151.761166525001</v>
      </c>
      <c r="K14" s="70" t="s">
        <v>191</v>
      </c>
    </row>
    <row r="15" spans="1:11" x14ac:dyDescent="0.25">
      <c r="C15" s="10"/>
      <c r="D15" s="50"/>
      <c r="E15" s="77">
        <f t="shared" si="0"/>
        <v>0</v>
      </c>
      <c r="F15" s="83"/>
      <c r="G15" s="47">
        <f t="shared" si="1"/>
        <v>0</v>
      </c>
      <c r="H15" s="74">
        <f t="shared" si="2"/>
        <v>0</v>
      </c>
      <c r="I15" s="46">
        <f t="shared" si="3"/>
        <v>0</v>
      </c>
      <c r="J15" s="47">
        <f t="shared" si="4"/>
        <v>0</v>
      </c>
      <c r="K15" s="70"/>
    </row>
    <row r="16" spans="1:11" ht="15.75" thickBot="1" x14ac:dyDescent="0.3">
      <c r="C16" s="8"/>
      <c r="D16" s="55"/>
      <c r="E16" s="78">
        <f t="shared" si="0"/>
        <v>0</v>
      </c>
      <c r="F16" s="84"/>
      <c r="G16" s="49">
        <f t="shared" si="1"/>
        <v>0</v>
      </c>
      <c r="H16" s="75">
        <f t="shared" si="2"/>
        <v>0</v>
      </c>
      <c r="I16" s="51">
        <f t="shared" si="3"/>
        <v>0</v>
      </c>
      <c r="J16" s="49">
        <f t="shared" si="4"/>
        <v>0</v>
      </c>
      <c r="K16" s="70"/>
    </row>
    <row r="21" spans="3:5" x14ac:dyDescent="0.25">
      <c r="C21" t="s">
        <v>192</v>
      </c>
    </row>
    <row r="22" spans="3:5" x14ac:dyDescent="0.25">
      <c r="C22" t="s">
        <v>193</v>
      </c>
    </row>
    <row r="23" spans="3:5" x14ac:dyDescent="0.25">
      <c r="C23" t="s">
        <v>194</v>
      </c>
    </row>
    <row r="28" spans="3:5" x14ac:dyDescent="0.25">
      <c r="D28" s="9"/>
      <c r="E28" s="9"/>
    </row>
    <row r="29" spans="3:5" x14ac:dyDescent="0.25">
      <c r="D29" s="132"/>
      <c r="E29" s="132"/>
    </row>
  </sheetData>
  <mergeCells count="2">
    <mergeCell ref="F6:G6"/>
    <mergeCell ref="H6:J6"/>
  </mergeCells>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39AA78-F2CD-41F2-A6C6-3180F765FE6E}">
  <sheetPr>
    <tabColor theme="9" tint="0.79998168889431442"/>
  </sheetPr>
  <dimension ref="A1:H22"/>
  <sheetViews>
    <sheetView workbookViewId="0">
      <selection activeCell="G31" sqref="G31"/>
    </sheetView>
  </sheetViews>
  <sheetFormatPr defaultRowHeight="15" x14ac:dyDescent="0.25"/>
  <cols>
    <col min="1" max="1" width="31.85546875" bestFit="1" customWidth="1"/>
    <col min="2" max="2" width="16.5703125" customWidth="1"/>
    <col min="3" max="3" width="16" customWidth="1"/>
    <col min="4" max="4" width="12.7109375" customWidth="1"/>
    <col min="5" max="5" width="14.42578125" customWidth="1"/>
    <col min="6" max="6" width="14" customWidth="1"/>
    <col min="7" max="7" width="13.7109375" customWidth="1"/>
    <col min="8" max="8" width="15.140625" customWidth="1"/>
  </cols>
  <sheetData>
    <row r="1" spans="1:8" x14ac:dyDescent="0.25">
      <c r="A1" s="58" t="s">
        <v>195</v>
      </c>
      <c r="B1" s="58"/>
      <c r="C1" s="58"/>
      <c r="D1" s="58"/>
      <c r="E1" s="58" t="s">
        <v>196</v>
      </c>
    </row>
    <row r="2" spans="1:8" ht="16.5" x14ac:dyDescent="0.3">
      <c r="A2" t="s">
        <v>197</v>
      </c>
      <c r="B2">
        <v>162</v>
      </c>
      <c r="C2" t="s">
        <v>198</v>
      </c>
      <c r="E2" s="133"/>
    </row>
    <row r="3" spans="1:8" x14ac:dyDescent="0.25">
      <c r="A3" t="s">
        <v>199</v>
      </c>
    </row>
    <row r="4" spans="1:8" x14ac:dyDescent="0.25">
      <c r="A4" t="s">
        <v>200</v>
      </c>
      <c r="B4">
        <v>2</v>
      </c>
      <c r="C4" t="s">
        <v>201</v>
      </c>
    </row>
    <row r="5" spans="1:8" x14ac:dyDescent="0.25">
      <c r="F5" s="61" t="s">
        <v>202</v>
      </c>
      <c r="G5">
        <v>0.83</v>
      </c>
      <c r="H5" t="s">
        <v>203</v>
      </c>
    </row>
    <row r="7" spans="1:8" x14ac:dyDescent="0.25">
      <c r="A7" t="s">
        <v>204</v>
      </c>
      <c r="B7">
        <f>B4*365</f>
        <v>730</v>
      </c>
      <c r="C7" t="s">
        <v>205</v>
      </c>
    </row>
    <row r="9" spans="1:8" x14ac:dyDescent="0.25">
      <c r="A9" t="s">
        <v>206</v>
      </c>
      <c r="B9">
        <f>B7*B2</f>
        <v>118260</v>
      </c>
      <c r="C9" t="s">
        <v>207</v>
      </c>
    </row>
    <row r="10" spans="1:8" x14ac:dyDescent="0.25">
      <c r="B10">
        <f>B9/1000</f>
        <v>118.26</v>
      </c>
      <c r="C10" t="s">
        <v>208</v>
      </c>
    </row>
    <row r="12" spans="1:8" ht="15.75" thickBot="1" x14ac:dyDescent="0.3"/>
    <row r="13" spans="1:8" ht="45.75" thickBot="1" x14ac:dyDescent="0.3">
      <c r="A13" s="69" t="s">
        <v>173</v>
      </c>
      <c r="B13" s="69"/>
      <c r="C13" s="79" t="s">
        <v>174</v>
      </c>
      <c r="D13" s="166" t="s">
        <v>209</v>
      </c>
      <c r="E13" s="167"/>
      <c r="F13" s="168" t="s">
        <v>176</v>
      </c>
      <c r="G13" s="169"/>
      <c r="H13" s="170"/>
    </row>
    <row r="14" spans="1:8" ht="30" x14ac:dyDescent="0.25">
      <c r="A14" s="4" t="s">
        <v>177</v>
      </c>
      <c r="B14" s="52" t="s">
        <v>178</v>
      </c>
      <c r="C14" s="76" t="s">
        <v>179</v>
      </c>
      <c r="D14" s="57" t="s">
        <v>180</v>
      </c>
      <c r="E14" s="5" t="s">
        <v>86</v>
      </c>
      <c r="F14" s="73" t="s">
        <v>96</v>
      </c>
      <c r="G14" s="71" t="s">
        <v>181</v>
      </c>
      <c r="H14" s="72" t="s">
        <v>182</v>
      </c>
    </row>
    <row r="15" spans="1:8" x14ac:dyDescent="0.25">
      <c r="A15" t="str">
        <f>'Solar Calculations'!C13</f>
        <v>36 MW Solar farm</v>
      </c>
      <c r="B15" s="9">
        <f>'Solar Calculations'!D13</f>
        <v>81000</v>
      </c>
      <c r="C15" s="9">
        <f>'Solar Calculations'!E13</f>
        <v>35833.479715340996</v>
      </c>
      <c r="D15" s="9">
        <f>'Solar Calculations'!F13</f>
        <v>66950</v>
      </c>
      <c r="E15" s="9">
        <f>'Solar Calculations'!G13</f>
        <v>60736.018342999996</v>
      </c>
      <c r="F15" s="9">
        <f>'Solar Calculations'!H13</f>
        <v>48284.749029170496</v>
      </c>
      <c r="G15" s="9">
        <f>'Solar Calculations'!I13</f>
        <v>241423.74514585247</v>
      </c>
      <c r="H15" s="9">
        <f>'Solar Calculations'!J13</f>
        <v>1207118.7257292625</v>
      </c>
    </row>
    <row r="16" spans="1:8" x14ac:dyDescent="0.25">
      <c r="B16" s="9">
        <f>81000-B7</f>
        <v>80270</v>
      </c>
      <c r="C16" s="9">
        <f>B16*'Solar Calculations'!E2</f>
        <v>35510.53600926447</v>
      </c>
      <c r="D16" s="9">
        <f>B16*G5</f>
        <v>66624.099999999991</v>
      </c>
      <c r="E16" s="9">
        <f>CONVERT(D16,"ton","Mg")</f>
        <v>60440.366836233989</v>
      </c>
      <c r="F16" s="9">
        <f>(C16+E16)/2</f>
        <v>47975.451422749233</v>
      </c>
      <c r="G16" s="9">
        <f>F16*5</f>
        <v>239877.25711374616</v>
      </c>
      <c r="H16" s="9">
        <f>F16*25</f>
        <v>1199386.2855687309</v>
      </c>
    </row>
    <row r="17" spans="1:8" x14ac:dyDescent="0.25">
      <c r="B17" s="9"/>
      <c r="C17" s="9"/>
      <c r="D17" s="9"/>
      <c r="E17" s="9"/>
      <c r="F17" s="9"/>
      <c r="G17" s="9"/>
      <c r="H17" s="9"/>
    </row>
    <row r="19" spans="1:8" s="58" customFormat="1" x14ac:dyDescent="0.25">
      <c r="A19" s="58" t="s">
        <v>210</v>
      </c>
      <c r="C19" s="134">
        <f t="shared" ref="C19:H19" si="0">C15-$B$10</f>
        <v>35715.219715340994</v>
      </c>
      <c r="D19" s="134">
        <f t="shared" si="0"/>
        <v>66831.740000000005</v>
      </c>
      <c r="E19" s="134">
        <f t="shared" si="0"/>
        <v>60617.758342999994</v>
      </c>
      <c r="F19" s="134">
        <f t="shared" si="0"/>
        <v>48166.489029170494</v>
      </c>
      <c r="G19" s="134">
        <f t="shared" si="0"/>
        <v>241305.48514585246</v>
      </c>
      <c r="H19" s="134">
        <f t="shared" si="0"/>
        <v>1207000.4657292624</v>
      </c>
    </row>
    <row r="21" spans="1:8" x14ac:dyDescent="0.25">
      <c r="B21" t="s">
        <v>211</v>
      </c>
      <c r="C21" s="13">
        <f>C19*5</f>
        <v>178576.09857670497</v>
      </c>
      <c r="D21" s="13"/>
      <c r="E21" s="13">
        <f t="shared" ref="E21" si="1">E19*5</f>
        <v>303088.79171499994</v>
      </c>
      <c r="F21" s="13"/>
      <c r="G21" s="13"/>
      <c r="H21" s="13"/>
    </row>
    <row r="22" spans="1:8" x14ac:dyDescent="0.25">
      <c r="B22" t="s">
        <v>212</v>
      </c>
      <c r="C22" s="13">
        <f>C19*25</f>
        <v>892880.49288352486</v>
      </c>
      <c r="D22" s="13"/>
      <c r="E22" s="13">
        <f t="shared" ref="E22" si="2">E19*25</f>
        <v>1515443.9585749998</v>
      </c>
      <c r="F22" s="13"/>
      <c r="G22" s="13"/>
      <c r="H22" s="13"/>
    </row>
  </sheetData>
  <mergeCells count="2">
    <mergeCell ref="D13:E13"/>
    <mergeCell ref="F13:H1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9E593E-BB95-43B2-A5A0-944100891ABF}">
  <dimension ref="A1:K81"/>
  <sheetViews>
    <sheetView tabSelected="1" workbookViewId="0">
      <selection activeCell="O15" sqref="O15"/>
    </sheetView>
  </sheetViews>
  <sheetFormatPr defaultRowHeight="15" x14ac:dyDescent="0.25"/>
  <cols>
    <col min="2" max="2" width="12" bestFit="1" customWidth="1"/>
  </cols>
  <sheetData>
    <row r="1" spans="1:10" ht="18.75" x14ac:dyDescent="0.3">
      <c r="B1" s="137"/>
      <c r="C1" s="137"/>
      <c r="D1" s="137"/>
      <c r="E1" s="137"/>
      <c r="F1" s="137"/>
      <c r="G1" s="137"/>
      <c r="H1" s="137"/>
      <c r="I1" s="137"/>
      <c r="J1" s="137"/>
    </row>
    <row r="3" spans="1:10" x14ac:dyDescent="0.25">
      <c r="B3" s="159" t="s">
        <v>213</v>
      </c>
      <c r="C3" s="160"/>
      <c r="D3" s="161"/>
    </row>
    <row r="4" spans="1:10" x14ac:dyDescent="0.25">
      <c r="B4" s="162"/>
      <c r="C4" s="163"/>
      <c r="D4" s="164"/>
    </row>
    <row r="5" spans="1:10" ht="30" x14ac:dyDescent="0.25">
      <c r="B5" s="86" t="s">
        <v>70</v>
      </c>
      <c r="C5" s="86" t="s">
        <v>71</v>
      </c>
      <c r="D5" s="86" t="s">
        <v>72</v>
      </c>
    </row>
    <row r="6" spans="1:10" x14ac:dyDescent="0.25">
      <c r="B6" s="33">
        <f>B34+B67</f>
        <v>41.507343705396366</v>
      </c>
      <c r="C6" s="113">
        <f>B6*5</f>
        <v>207.53671852698182</v>
      </c>
      <c r="D6" s="113">
        <f>B6*25</f>
        <v>1037.6835926349092</v>
      </c>
    </row>
    <row r="7" spans="1:10" x14ac:dyDescent="0.25">
      <c r="B7" s="115"/>
      <c r="C7" s="116"/>
      <c r="D7" s="116"/>
    </row>
    <row r="8" spans="1:10" x14ac:dyDescent="0.25">
      <c r="A8" s="87" t="s">
        <v>73</v>
      </c>
      <c r="D8" s="116"/>
    </row>
    <row r="9" spans="1:10" x14ac:dyDescent="0.25">
      <c r="A9" s="9"/>
      <c r="B9" s="88">
        <v>975.3</v>
      </c>
      <c r="C9" t="s">
        <v>74</v>
      </c>
      <c r="D9" s="116"/>
    </row>
    <row r="10" spans="1:10" x14ac:dyDescent="0.25">
      <c r="B10" s="115"/>
      <c r="C10" s="116"/>
      <c r="D10" s="116"/>
    </row>
    <row r="12" spans="1:10" x14ac:dyDescent="0.25">
      <c r="A12" s="114" t="s">
        <v>214</v>
      </c>
    </row>
    <row r="14" spans="1:10" x14ac:dyDescent="0.25">
      <c r="B14" s="111" t="s">
        <v>5</v>
      </c>
    </row>
    <row r="15" spans="1:10" x14ac:dyDescent="0.25">
      <c r="B15">
        <v>12000</v>
      </c>
      <c r="C15" t="s">
        <v>104</v>
      </c>
    </row>
    <row r="16" spans="1:10" x14ac:dyDescent="0.25">
      <c r="B16" s="62">
        <v>400</v>
      </c>
      <c r="C16" t="s">
        <v>156</v>
      </c>
    </row>
    <row r="17" spans="2:3" x14ac:dyDescent="0.25">
      <c r="B17">
        <v>6</v>
      </c>
      <c r="C17" t="s">
        <v>106</v>
      </c>
    </row>
    <row r="18" spans="2:3" x14ac:dyDescent="0.25">
      <c r="B18">
        <v>5</v>
      </c>
      <c r="C18" t="s">
        <v>107</v>
      </c>
    </row>
    <row r="19" spans="2:3" x14ac:dyDescent="0.25">
      <c r="B19" s="63">
        <f>1/3</f>
        <v>0.33333333333333331</v>
      </c>
      <c r="C19" t="s">
        <v>108</v>
      </c>
    </row>
    <row r="20" spans="2:3" x14ac:dyDescent="0.25">
      <c r="B20">
        <v>6.5</v>
      </c>
      <c r="C20" t="s">
        <v>215</v>
      </c>
    </row>
    <row r="21" spans="2:3" x14ac:dyDescent="0.25">
      <c r="B21" s="63">
        <f>AVERAGE(12,33)/100</f>
        <v>0.22500000000000001</v>
      </c>
      <c r="C21" t="s">
        <v>216</v>
      </c>
    </row>
    <row r="22" spans="2:3" x14ac:dyDescent="0.25">
      <c r="B22" s="85"/>
      <c r="C22" s="85"/>
    </row>
    <row r="23" spans="2:3" x14ac:dyDescent="0.25">
      <c r="B23" s="111" t="s">
        <v>80</v>
      </c>
      <c r="C23" s="85"/>
    </row>
    <row r="24" spans="2:3" x14ac:dyDescent="0.25">
      <c r="B24" s="127">
        <f>B15/B16</f>
        <v>30</v>
      </c>
      <c r="C24" t="s">
        <v>111</v>
      </c>
    </row>
    <row r="25" spans="2:3" x14ac:dyDescent="0.25">
      <c r="B25" s="120">
        <f>B24*12000</f>
        <v>360000</v>
      </c>
      <c r="C25" t="s">
        <v>112</v>
      </c>
    </row>
    <row r="26" spans="2:3" x14ac:dyDescent="0.25">
      <c r="B26" s="125">
        <f>8760*(B17+B18)/12*(1-B19)</f>
        <v>5353.3333333333339</v>
      </c>
      <c r="C26" t="s">
        <v>113</v>
      </c>
    </row>
    <row r="27" spans="2:3" x14ac:dyDescent="0.25">
      <c r="B27" s="85"/>
      <c r="C27" s="85"/>
    </row>
    <row r="28" spans="2:3" x14ac:dyDescent="0.25">
      <c r="B28" s="13"/>
    </row>
    <row r="29" spans="2:3" x14ac:dyDescent="0.25">
      <c r="B29" s="13">
        <f>B25/B20</f>
        <v>55384.615384615383</v>
      </c>
      <c r="C29" t="s">
        <v>217</v>
      </c>
    </row>
    <row r="30" spans="2:3" x14ac:dyDescent="0.25">
      <c r="B30" s="9">
        <f>B29*B26/1000000</f>
        <v>296.49230769230769</v>
      </c>
      <c r="C30" t="s">
        <v>218</v>
      </c>
    </row>
    <row r="31" spans="2:3" x14ac:dyDescent="0.25">
      <c r="B31" s="13"/>
    </row>
    <row r="32" spans="2:3" x14ac:dyDescent="0.25">
      <c r="B32" s="85"/>
      <c r="C32" s="85"/>
    </row>
    <row r="33" spans="1:11" x14ac:dyDescent="0.25">
      <c r="B33" s="9">
        <f>B30*B21</f>
        <v>66.71076923076923</v>
      </c>
      <c r="C33" t="s">
        <v>219</v>
      </c>
    </row>
    <row r="34" spans="1:11" x14ac:dyDescent="0.25">
      <c r="B34" s="104">
        <f>CONVERT(B33*$B$9,"lbm","Mg")</f>
        <v>29.512086370685971</v>
      </c>
      <c r="C34" s="105" t="s">
        <v>84</v>
      </c>
    </row>
    <row r="39" spans="1:11" x14ac:dyDescent="0.25">
      <c r="A39" s="114" t="s">
        <v>220</v>
      </c>
    </row>
    <row r="40" spans="1:11" x14ac:dyDescent="0.25">
      <c r="B40" s="111" t="s">
        <v>5</v>
      </c>
    </row>
    <row r="41" spans="1:11" x14ac:dyDescent="0.25">
      <c r="A41" s="138"/>
      <c r="B41" t="s">
        <v>221</v>
      </c>
    </row>
    <row r="42" spans="1:11" x14ac:dyDescent="0.25">
      <c r="A42" s="138"/>
      <c r="B42" t="s">
        <v>222</v>
      </c>
      <c r="H42" s="66">
        <v>64</v>
      </c>
    </row>
    <row r="43" spans="1:11" x14ac:dyDescent="0.25">
      <c r="A43" s="138"/>
      <c r="B43" s="60" t="s">
        <v>223</v>
      </c>
      <c r="H43" s="66">
        <v>136</v>
      </c>
      <c r="I43" t="s">
        <v>224</v>
      </c>
    </row>
    <row r="44" spans="1:11" x14ac:dyDescent="0.25">
      <c r="A44" s="138"/>
      <c r="B44" s="59" t="s">
        <v>225</v>
      </c>
      <c r="H44" s="66"/>
      <c r="K44" t="s">
        <v>226</v>
      </c>
    </row>
    <row r="45" spans="1:11" x14ac:dyDescent="0.25">
      <c r="A45" s="138"/>
      <c r="B45" s="59" t="s">
        <v>227</v>
      </c>
      <c r="H45" s="66"/>
      <c r="K45" t="s">
        <v>228</v>
      </c>
    </row>
    <row r="46" spans="1:11" x14ac:dyDescent="0.25">
      <c r="A46" s="138"/>
      <c r="B46" t="s">
        <v>229</v>
      </c>
      <c r="H46" s="66">
        <v>45</v>
      </c>
      <c r="I46" t="s">
        <v>224</v>
      </c>
    </row>
    <row r="47" spans="1:11" x14ac:dyDescent="0.25">
      <c r="A47" s="138"/>
      <c r="B47" t="s">
        <v>230</v>
      </c>
      <c r="H47" s="66">
        <v>64</v>
      </c>
    </row>
    <row r="48" spans="1:11" x14ac:dyDescent="0.25">
      <c r="A48" s="138"/>
      <c r="J48" t="s">
        <v>231</v>
      </c>
    </row>
    <row r="49" spans="1:10" x14ac:dyDescent="0.25">
      <c r="A49" s="138"/>
    </row>
    <row r="50" spans="1:10" x14ac:dyDescent="0.25">
      <c r="A50" s="138"/>
      <c r="C50" t="s">
        <v>232</v>
      </c>
      <c r="J50" t="s">
        <v>233</v>
      </c>
    </row>
    <row r="51" spans="1:10" x14ac:dyDescent="0.25">
      <c r="A51" s="138"/>
      <c r="C51" t="s">
        <v>234</v>
      </c>
    </row>
    <row r="52" spans="1:10" x14ac:dyDescent="0.25">
      <c r="A52" s="138"/>
      <c r="J52" t="s">
        <v>235</v>
      </c>
    </row>
    <row r="53" spans="1:10" x14ac:dyDescent="0.25">
      <c r="A53" s="138"/>
      <c r="C53" t="s">
        <v>236</v>
      </c>
    </row>
    <row r="54" spans="1:10" x14ac:dyDescent="0.25">
      <c r="A54" s="138"/>
      <c r="B54" s="60" t="s">
        <v>237</v>
      </c>
      <c r="C54" t="s">
        <v>238</v>
      </c>
      <c r="F54" t="s">
        <v>239</v>
      </c>
      <c r="G54" t="s">
        <v>240</v>
      </c>
      <c r="I54" t="s">
        <v>241</v>
      </c>
    </row>
    <row r="55" spans="1:10" x14ac:dyDescent="0.25">
      <c r="A55" s="138"/>
      <c r="B55" s="111"/>
    </row>
    <row r="56" spans="1:10" x14ac:dyDescent="0.25">
      <c r="A56" s="138"/>
      <c r="B56">
        <f>SUM(H42:H47)</f>
        <v>309</v>
      </c>
      <c r="C56" t="s">
        <v>242</v>
      </c>
    </row>
    <row r="57" spans="1:10" x14ac:dyDescent="0.25">
      <c r="A57" s="138"/>
      <c r="B57" s="117">
        <f>B56/6</f>
        <v>51.5</v>
      </c>
      <c r="C57" t="s">
        <v>243</v>
      </c>
    </row>
    <row r="58" spans="1:10" x14ac:dyDescent="0.25">
      <c r="A58" s="138"/>
      <c r="B58" s="117">
        <v>3</v>
      </c>
      <c r="C58" t="s">
        <v>244</v>
      </c>
    </row>
    <row r="59" spans="1:10" x14ac:dyDescent="0.25">
      <c r="A59" s="138"/>
      <c r="B59">
        <v>1500</v>
      </c>
      <c r="C59" t="s">
        <v>245</v>
      </c>
    </row>
    <row r="60" spans="1:10" x14ac:dyDescent="0.25">
      <c r="A60" s="138"/>
      <c r="B60">
        <f>B59/4</f>
        <v>375</v>
      </c>
      <c r="C60" t="s">
        <v>246</v>
      </c>
    </row>
    <row r="61" spans="1:10" x14ac:dyDescent="0.25">
      <c r="A61" s="138"/>
      <c r="B61">
        <f>3*4*13</f>
        <v>156</v>
      </c>
      <c r="C61" t="s">
        <v>247</v>
      </c>
    </row>
    <row r="62" spans="1:10" x14ac:dyDescent="0.25">
      <c r="A62" s="138"/>
    </row>
    <row r="63" spans="1:10" x14ac:dyDescent="0.25">
      <c r="A63" s="138"/>
      <c r="B63" s="111" t="s">
        <v>80</v>
      </c>
      <c r="G63">
        <f>B59-B60</f>
        <v>1125</v>
      </c>
    </row>
    <row r="64" spans="1:10" x14ac:dyDescent="0.25">
      <c r="A64" s="138"/>
      <c r="B64" s="62">
        <f>B59-B60</f>
        <v>1125</v>
      </c>
      <c r="C64" t="s">
        <v>248</v>
      </c>
    </row>
    <row r="65" spans="1:5" x14ac:dyDescent="0.25">
      <c r="A65" s="138"/>
      <c r="B65" s="62">
        <f>B64*B61/1000</f>
        <v>175.5</v>
      </c>
      <c r="C65" t="s">
        <v>249</v>
      </c>
    </row>
    <row r="66" spans="1:5" x14ac:dyDescent="0.25">
      <c r="A66" s="138"/>
      <c r="B66" s="62">
        <f>B65*B57*B58/1000</f>
        <v>27.114750000000001</v>
      </c>
      <c r="C66" t="s">
        <v>83</v>
      </c>
    </row>
    <row r="67" spans="1:5" x14ac:dyDescent="0.25">
      <c r="A67" s="138"/>
      <c r="B67" s="118">
        <f>CONVERT(B66*$B$9,"lbm","Mg")</f>
        <v>11.995257334710399</v>
      </c>
      <c r="C67" s="105" t="s">
        <v>84</v>
      </c>
      <c r="D67" s="105"/>
      <c r="E67" s="106"/>
    </row>
    <row r="68" spans="1:5" x14ac:dyDescent="0.25">
      <c r="A68" s="138"/>
    </row>
    <row r="69" spans="1:5" x14ac:dyDescent="0.25">
      <c r="A69" s="138"/>
    </row>
    <row r="70" spans="1:5" x14ac:dyDescent="0.25">
      <c r="A70" s="138"/>
    </row>
    <row r="71" spans="1:5" x14ac:dyDescent="0.25">
      <c r="A71" s="138"/>
    </row>
    <row r="72" spans="1:5" x14ac:dyDescent="0.25">
      <c r="A72" s="138"/>
    </row>
    <row r="73" spans="1:5" x14ac:dyDescent="0.25">
      <c r="A73" s="138"/>
    </row>
    <row r="74" spans="1:5" x14ac:dyDescent="0.25">
      <c r="A74" s="138"/>
    </row>
    <row r="75" spans="1:5" x14ac:dyDescent="0.25">
      <c r="A75" s="138"/>
    </row>
    <row r="76" spans="1:5" x14ac:dyDescent="0.25">
      <c r="A76" s="138"/>
    </row>
    <row r="77" spans="1:5" x14ac:dyDescent="0.25">
      <c r="A77" s="138"/>
    </row>
    <row r="78" spans="1:5" x14ac:dyDescent="0.25">
      <c r="A78" s="138"/>
    </row>
    <row r="79" spans="1:5" x14ac:dyDescent="0.25">
      <c r="A79" s="138"/>
    </row>
    <row r="80" spans="1:5" x14ac:dyDescent="0.25">
      <c r="A80" s="138"/>
    </row>
    <row r="81" spans="1:1" x14ac:dyDescent="0.25">
      <c r="A81" s="138"/>
    </row>
  </sheetData>
  <mergeCells count="1">
    <mergeCell ref="B3:D4"/>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F66609-816A-4F81-AD63-65E0D07A9B31}">
  <sheetPr>
    <tabColor theme="9" tint="0.79998168889431442"/>
  </sheetPr>
  <dimension ref="A1:I67"/>
  <sheetViews>
    <sheetView workbookViewId="0">
      <selection activeCell="N64" sqref="N64"/>
    </sheetView>
  </sheetViews>
  <sheetFormatPr defaultRowHeight="15" x14ac:dyDescent="0.25"/>
  <cols>
    <col min="2" max="2" width="10" bestFit="1" customWidth="1"/>
    <col min="3" max="3" width="13.7109375" customWidth="1"/>
  </cols>
  <sheetData>
    <row r="1" spans="1:9" ht="18.75" x14ac:dyDescent="0.3">
      <c r="A1" s="158" t="s">
        <v>94</v>
      </c>
      <c r="B1" s="158"/>
      <c r="C1" s="158"/>
      <c r="D1" s="158"/>
      <c r="E1" s="158"/>
      <c r="F1" s="158"/>
      <c r="G1" s="158"/>
      <c r="H1" s="158"/>
      <c r="I1" s="158"/>
    </row>
    <row r="2" spans="1:9" x14ac:dyDescent="0.25">
      <c r="A2" s="9"/>
    </row>
    <row r="3" spans="1:9" x14ac:dyDescent="0.25">
      <c r="A3" s="9"/>
    </row>
    <row r="4" spans="1:9" ht="15" customHeight="1" x14ac:dyDescent="0.25">
      <c r="A4" s="9"/>
      <c r="B4" s="157" t="s">
        <v>250</v>
      </c>
      <c r="C4" s="157"/>
      <c r="D4" s="157"/>
    </row>
    <row r="5" spans="1:9" x14ac:dyDescent="0.25">
      <c r="A5" s="9"/>
      <c r="B5" s="157"/>
      <c r="C5" s="157"/>
      <c r="D5" s="157"/>
    </row>
    <row r="6" spans="1:9" ht="30" x14ac:dyDescent="0.25">
      <c r="A6" s="9"/>
      <c r="B6" s="86" t="s">
        <v>86</v>
      </c>
      <c r="C6" s="86" t="s">
        <v>71</v>
      </c>
      <c r="D6" s="86" t="s">
        <v>72</v>
      </c>
    </row>
    <row r="7" spans="1:9" x14ac:dyDescent="0.25">
      <c r="A7" s="9"/>
      <c r="B7" s="39">
        <f>C43+B64</f>
        <v>14.3434162661498</v>
      </c>
      <c r="C7" s="39">
        <f>B7*5</f>
        <v>71.717081330748996</v>
      </c>
      <c r="D7" s="39">
        <f>B7*25</f>
        <v>358.585406653745</v>
      </c>
    </row>
    <row r="8" spans="1:9" x14ac:dyDescent="0.25">
      <c r="A8" s="9"/>
    </row>
    <row r="9" spans="1:9" x14ac:dyDescent="0.25">
      <c r="A9" s="87" t="s">
        <v>73</v>
      </c>
    </row>
    <row r="10" spans="1:9" x14ac:dyDescent="0.25">
      <c r="A10" s="9"/>
      <c r="B10" s="88">
        <v>975.3</v>
      </c>
      <c r="C10" t="s">
        <v>74</v>
      </c>
    </row>
    <row r="11" spans="1:9" x14ac:dyDescent="0.25">
      <c r="A11" s="9"/>
      <c r="B11" s="9">
        <v>53.06</v>
      </c>
      <c r="C11" t="s">
        <v>98</v>
      </c>
    </row>
    <row r="12" spans="1:9" x14ac:dyDescent="0.25">
      <c r="A12" s="9"/>
      <c r="B12" s="94">
        <v>1E-3</v>
      </c>
      <c r="C12" t="s">
        <v>135</v>
      </c>
    </row>
    <row r="13" spans="1:9" x14ac:dyDescent="0.25">
      <c r="A13" s="9"/>
      <c r="B13" s="94">
        <v>1E-4</v>
      </c>
      <c r="C13" t="s">
        <v>100</v>
      </c>
    </row>
    <row r="14" spans="1:9" x14ac:dyDescent="0.25">
      <c r="A14" s="9"/>
      <c r="B14" s="96">
        <v>28</v>
      </c>
      <c r="C14" t="s">
        <v>101</v>
      </c>
    </row>
    <row r="15" spans="1:9" x14ac:dyDescent="0.25">
      <c r="A15" s="9"/>
      <c r="B15" s="96">
        <v>265</v>
      </c>
      <c r="C15" t="s">
        <v>102</v>
      </c>
    </row>
    <row r="16" spans="1:9" x14ac:dyDescent="0.25">
      <c r="A16" s="96"/>
    </row>
    <row r="17" spans="1:4" x14ac:dyDescent="0.25">
      <c r="A17" s="96"/>
    </row>
    <row r="18" spans="1:4" ht="17.25" x14ac:dyDescent="0.4">
      <c r="A18" s="102" t="s">
        <v>80</v>
      </c>
      <c r="B18" s="101"/>
      <c r="C18" s="101"/>
    </row>
    <row r="19" spans="1:4" x14ac:dyDescent="0.25">
      <c r="A19" s="9"/>
      <c r="B19" s="87" t="s">
        <v>155</v>
      </c>
    </row>
    <row r="20" spans="1:4" x14ac:dyDescent="0.25">
      <c r="A20" s="9"/>
      <c r="C20" s="87" t="s">
        <v>150</v>
      </c>
    </row>
    <row r="21" spans="1:4" x14ac:dyDescent="0.25">
      <c r="A21" s="9"/>
      <c r="C21" s="62">
        <v>4135</v>
      </c>
      <c r="D21" t="s">
        <v>251</v>
      </c>
    </row>
    <row r="22" spans="1:4" x14ac:dyDescent="0.25">
      <c r="A22" s="9"/>
      <c r="C22" s="62">
        <v>400</v>
      </c>
      <c r="D22" t="s">
        <v>156</v>
      </c>
    </row>
    <row r="23" spans="1:4" x14ac:dyDescent="0.25">
      <c r="A23" s="9"/>
      <c r="C23">
        <v>6</v>
      </c>
      <c r="D23" t="s">
        <v>106</v>
      </c>
    </row>
    <row r="24" spans="1:4" x14ac:dyDescent="0.25">
      <c r="A24" s="9"/>
      <c r="C24">
        <v>5</v>
      </c>
      <c r="D24" t="s">
        <v>107</v>
      </c>
    </row>
    <row r="25" spans="1:4" x14ac:dyDescent="0.25">
      <c r="A25" s="9"/>
      <c r="C25" s="63">
        <f>1/3</f>
        <v>0.33333333333333331</v>
      </c>
      <c r="D25" t="s">
        <v>108</v>
      </c>
    </row>
    <row r="26" spans="1:4" x14ac:dyDescent="0.25">
      <c r="A26" s="9"/>
      <c r="C26">
        <v>6.5</v>
      </c>
      <c r="D26" t="s">
        <v>109</v>
      </c>
    </row>
    <row r="27" spans="1:4" x14ac:dyDescent="0.25">
      <c r="A27" s="9"/>
      <c r="C27" s="124">
        <v>15</v>
      </c>
      <c r="D27" t="s">
        <v>110</v>
      </c>
    </row>
    <row r="28" spans="1:4" x14ac:dyDescent="0.25">
      <c r="A28" s="9"/>
      <c r="C28" s="111"/>
    </row>
    <row r="29" spans="1:4" x14ac:dyDescent="0.25">
      <c r="A29" s="9"/>
      <c r="C29" s="111" t="s">
        <v>80</v>
      </c>
    </row>
    <row r="30" spans="1:4" x14ac:dyDescent="0.25">
      <c r="A30" s="9"/>
      <c r="C30" s="9">
        <f>C21/C22</f>
        <v>10.3375</v>
      </c>
      <c r="D30" t="s">
        <v>157</v>
      </c>
    </row>
    <row r="31" spans="1:4" x14ac:dyDescent="0.25">
      <c r="A31" s="9"/>
      <c r="C31" s="62">
        <f>C30*12000</f>
        <v>124050</v>
      </c>
      <c r="D31" t="s">
        <v>158</v>
      </c>
    </row>
    <row r="32" spans="1:4" x14ac:dyDescent="0.25">
      <c r="A32" s="9"/>
      <c r="C32" s="9">
        <f>8760*(C23)/12*(1-C25)</f>
        <v>2920.0000000000005</v>
      </c>
      <c r="D32" t="s">
        <v>113</v>
      </c>
    </row>
    <row r="33" spans="1:6" x14ac:dyDescent="0.25">
      <c r="A33" s="9"/>
      <c r="C33" s="9"/>
    </row>
    <row r="34" spans="1:6" x14ac:dyDescent="0.25">
      <c r="A34" s="9"/>
      <c r="C34" s="9"/>
    </row>
    <row r="35" spans="1:6" x14ac:dyDescent="0.25">
      <c r="A35" s="9"/>
      <c r="C35" s="13">
        <f>C31/C26</f>
        <v>19084.615384615383</v>
      </c>
      <c r="D35" t="s">
        <v>114</v>
      </c>
    </row>
    <row r="36" spans="1:6" x14ac:dyDescent="0.25">
      <c r="A36" s="9"/>
      <c r="C36" s="9">
        <f>C35*C32/1000000</f>
        <v>55.727076923076929</v>
      </c>
      <c r="D36" t="s">
        <v>115</v>
      </c>
    </row>
    <row r="37" spans="1:6" x14ac:dyDescent="0.25">
      <c r="A37" s="9"/>
      <c r="C37" s="13"/>
    </row>
    <row r="38" spans="1:6" x14ac:dyDescent="0.25">
      <c r="A38" s="9"/>
      <c r="C38" s="13">
        <f>C31/C27</f>
        <v>8270</v>
      </c>
      <c r="D38" t="s">
        <v>116</v>
      </c>
    </row>
    <row r="39" spans="1:6" x14ac:dyDescent="0.25">
      <c r="A39" s="9"/>
      <c r="C39" s="13">
        <f>C38*C32/1000000</f>
        <v>24.148400000000002</v>
      </c>
      <c r="D39" t="s">
        <v>117</v>
      </c>
    </row>
    <row r="40" spans="1:6" x14ac:dyDescent="0.25">
      <c r="A40" s="9"/>
      <c r="C40" s="13"/>
    </row>
    <row r="41" spans="1:6" x14ac:dyDescent="0.25">
      <c r="A41" s="9"/>
      <c r="C41" s="85"/>
      <c r="D41" s="85"/>
    </row>
    <row r="42" spans="1:6" x14ac:dyDescent="0.25">
      <c r="A42" s="9"/>
      <c r="C42" s="9">
        <f>C36-C39</f>
        <v>31.578676923076927</v>
      </c>
      <c r="D42" t="s">
        <v>118</v>
      </c>
    </row>
    <row r="43" spans="1:6" x14ac:dyDescent="0.25">
      <c r="A43" s="9"/>
      <c r="C43" s="104">
        <f>CONVERT(C42*B10,"lbm","Mg")</f>
        <v>13.970047888399801</v>
      </c>
      <c r="D43" s="105" t="s">
        <v>119</v>
      </c>
      <c r="E43" s="98"/>
      <c r="F43" s="100"/>
    </row>
    <row r="44" spans="1:6" x14ac:dyDescent="0.25">
      <c r="A44" s="9"/>
      <c r="C44" s="87"/>
      <c r="D44" s="58"/>
    </row>
    <row r="45" spans="1:6" x14ac:dyDescent="0.25">
      <c r="A45" s="9"/>
      <c r="B45" s="58" t="s">
        <v>120</v>
      </c>
    </row>
    <row r="46" spans="1:6" x14ac:dyDescent="0.25">
      <c r="A46" s="9"/>
      <c r="B46" s="58">
        <v>27.1</v>
      </c>
      <c r="C46" t="s">
        <v>159</v>
      </c>
    </row>
    <row r="47" spans="1:6" x14ac:dyDescent="0.25">
      <c r="A47" s="9"/>
      <c r="B47">
        <v>25.4</v>
      </c>
      <c r="C47" t="s">
        <v>160</v>
      </c>
    </row>
    <row r="48" spans="1:6" x14ac:dyDescent="0.25">
      <c r="A48" s="9"/>
      <c r="B48" s="90">
        <f>AVERAGE(56,70)/100</f>
        <v>0.63</v>
      </c>
      <c r="C48" t="s">
        <v>122</v>
      </c>
    </row>
    <row r="49" spans="1:7" x14ac:dyDescent="0.25">
      <c r="A49" s="9"/>
      <c r="B49" s="90">
        <f>AVERAGE(90,98.5)/100</f>
        <v>0.9425</v>
      </c>
      <c r="C49" t="s">
        <v>123</v>
      </c>
    </row>
    <row r="50" spans="1:7" x14ac:dyDescent="0.25">
      <c r="A50" s="9"/>
      <c r="B50" s="92"/>
    </row>
    <row r="51" spans="1:7" x14ac:dyDescent="0.25">
      <c r="A51" s="9"/>
    </row>
    <row r="52" spans="1:7" x14ac:dyDescent="0.25">
      <c r="A52" s="9"/>
      <c r="F52" s="9"/>
    </row>
    <row r="53" spans="1:7" x14ac:dyDescent="0.25">
      <c r="A53" s="9"/>
      <c r="B53" s="87" t="s">
        <v>80</v>
      </c>
      <c r="G53" s="64"/>
    </row>
    <row r="54" spans="1:7" x14ac:dyDescent="0.25">
      <c r="A54" s="9"/>
      <c r="B54" s="87">
        <f>B46*$C$21/1000</f>
        <v>112.0585</v>
      </c>
      <c r="C54" t="s">
        <v>161</v>
      </c>
      <c r="F54" s="9"/>
    </row>
    <row r="55" spans="1:7" x14ac:dyDescent="0.25">
      <c r="A55" s="9"/>
      <c r="B55" s="87">
        <f>B47*$C$21/1000</f>
        <v>105.029</v>
      </c>
      <c r="C55" t="s">
        <v>162</v>
      </c>
      <c r="F55" s="9"/>
    </row>
    <row r="56" spans="1:7" x14ac:dyDescent="0.25">
      <c r="A56" s="9"/>
      <c r="B56" s="62"/>
      <c r="E56" s="13"/>
    </row>
    <row r="57" spans="1:7" x14ac:dyDescent="0.25">
      <c r="A57" s="9"/>
      <c r="B57" s="62">
        <f>B54-B55</f>
        <v>7.0294999999999987</v>
      </c>
      <c r="C57" t="s">
        <v>163</v>
      </c>
    </row>
    <row r="58" spans="1:7" x14ac:dyDescent="0.25">
      <c r="A58" s="9"/>
      <c r="B58" s="62"/>
    </row>
    <row r="59" spans="1:7" x14ac:dyDescent="0.25">
      <c r="A59" s="9"/>
      <c r="B59" s="9">
        <f>$B$57*B11/1000</f>
        <v>0.37298526999999998</v>
      </c>
      <c r="C59" t="s">
        <v>130</v>
      </c>
    </row>
    <row r="60" spans="1:7" x14ac:dyDescent="0.25">
      <c r="A60" s="9"/>
      <c r="B60" s="136">
        <f>$B$57*B12/1000</f>
        <v>7.0294999999999994E-6</v>
      </c>
      <c r="C60" t="s">
        <v>131</v>
      </c>
    </row>
    <row r="61" spans="1:7" x14ac:dyDescent="0.25">
      <c r="A61" s="9"/>
      <c r="B61" s="136">
        <f>$B$57*B13/1000</f>
        <v>7.0294999999999998E-7</v>
      </c>
      <c r="C61" t="s">
        <v>132</v>
      </c>
    </row>
    <row r="62" spans="1:7" x14ac:dyDescent="0.25">
      <c r="A62" s="9"/>
      <c r="B62" s="9"/>
    </row>
    <row r="63" spans="1:7" x14ac:dyDescent="0.25">
      <c r="A63" s="9"/>
      <c r="B63" s="9"/>
    </row>
    <row r="64" spans="1:7" x14ac:dyDescent="0.25">
      <c r="A64" s="9"/>
      <c r="B64" s="97">
        <f>B59+B60*B14+B61*B15</f>
        <v>0.37336837774999998</v>
      </c>
      <c r="C64" s="109" t="s">
        <v>133</v>
      </c>
      <c r="D64" s="98"/>
      <c r="E64" s="98"/>
      <c r="F64" s="98"/>
      <c r="G64" s="100"/>
    </row>
    <row r="65" spans="1:1" x14ac:dyDescent="0.25">
      <c r="A65" s="9"/>
    </row>
    <row r="66" spans="1:1" x14ac:dyDescent="0.25">
      <c r="A66" s="9"/>
    </row>
    <row r="67" spans="1:1" x14ac:dyDescent="0.25">
      <c r="A67" s="9"/>
    </row>
  </sheetData>
  <mergeCells count="2">
    <mergeCell ref="A1:I1"/>
    <mergeCell ref="B4:D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083F4EBCED4D94FA0C103831CD4313F" ma:contentTypeVersion="14" ma:contentTypeDescription="Create a new document." ma:contentTypeScope="" ma:versionID="091431dde2482afe7c856fec802f3681">
  <xsd:schema xmlns:xsd="http://www.w3.org/2001/XMLSchema" xmlns:xs="http://www.w3.org/2001/XMLSchema" xmlns:p="http://schemas.microsoft.com/office/2006/metadata/properties" xmlns:ns2="47a66657-299d-4db7-b4c2-c28b226e9c39" xmlns:ns3="c33e3dd6-5259-49b2-a684-03692f262888" targetNamespace="http://schemas.microsoft.com/office/2006/metadata/properties" ma:root="true" ma:fieldsID="0bf9acdfb33791224492cd557d31d925" ns2:_="" ns3:_="">
    <xsd:import namespace="47a66657-299d-4db7-b4c2-c28b226e9c39"/>
    <xsd:import namespace="c33e3dd6-5259-49b2-a684-03692f262888"/>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a66657-299d-4db7-b4c2-c28b226e9c3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d309bf2f-0431-460d-a93a-990d633b9c5f"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33e3dd6-5259-49b2-a684-03692f262888"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0e5e2dda-2c50-4e90-ab17-d9dc09ae5ff9}" ma:internalName="TaxCatchAll" ma:showField="CatchAllData" ma:web="c33e3dd6-5259-49b2-a684-03692f262888">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7a66657-299d-4db7-b4c2-c28b226e9c39">
      <Terms xmlns="http://schemas.microsoft.com/office/infopath/2007/PartnerControls"/>
    </lcf76f155ced4ddcb4097134ff3c332f>
    <TaxCatchAll xmlns="c33e3dd6-5259-49b2-a684-03692f262888" xsi:nil="true"/>
    <SharedWithUsers xmlns="c33e3dd6-5259-49b2-a684-03692f262888">
      <UserInfo>
        <DisplayName/>
        <AccountId xsi:nil="true"/>
        <AccountType/>
      </UserInfo>
    </SharedWithUsers>
  </documentManagement>
</p:properties>
</file>

<file path=customXml/itemProps1.xml><?xml version="1.0" encoding="utf-8"?>
<ds:datastoreItem xmlns:ds="http://schemas.openxmlformats.org/officeDocument/2006/customXml" ds:itemID="{B3F6CB83-8342-4E6E-B976-FE27DA91348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a66657-299d-4db7-b4c2-c28b226e9c39"/>
    <ds:schemaRef ds:uri="c33e3dd6-5259-49b2-a684-03692f26288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0E491ED-141F-4064-838C-1A6FEF0927CE}">
  <ds:schemaRefs>
    <ds:schemaRef ds:uri="http://schemas.microsoft.com/sharepoint/v3/contenttype/forms"/>
  </ds:schemaRefs>
</ds:datastoreItem>
</file>

<file path=customXml/itemProps3.xml><?xml version="1.0" encoding="utf-8"?>
<ds:datastoreItem xmlns:ds="http://schemas.openxmlformats.org/officeDocument/2006/customXml" ds:itemID="{506EC970-5B71-4529-B586-03EAF9062322}">
  <ds:schemaRefs>
    <ds:schemaRef ds:uri="http://schemas.microsoft.com/office/2006/metadata/properties"/>
    <ds:schemaRef ds:uri="http://schemas.microsoft.com/office/infopath/2007/PartnerControls"/>
    <ds:schemaRef ds:uri="47a66657-299d-4db7-b4c2-c28b226e9c39"/>
    <ds:schemaRef ds:uri="c33e3dd6-5259-49b2-a684-03692f26288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Prelim. Calcs</vt:lpstr>
      <vt:lpstr>EPA Resources</vt:lpstr>
      <vt:lpstr>Norman Campus Lighting</vt:lpstr>
      <vt:lpstr>Muskogee</vt:lpstr>
      <vt:lpstr>Lawton</vt:lpstr>
      <vt:lpstr>Solar Calculations</vt:lpstr>
      <vt:lpstr>Solar w Battery</vt:lpstr>
      <vt:lpstr>Miami</vt:lpstr>
      <vt:lpstr>Forgan</vt:lpstr>
      <vt:lpstr>Texhoma</vt:lpstr>
      <vt:lpstr>Solar Program</vt:lpstr>
      <vt:lpstr>Pauls Valley LandGEM Results</vt:lpstr>
      <vt:lpstr>Pauls Valley LFGE Calc Results</vt:lpstr>
      <vt:lpstr>Anaerobic Digester</vt:lpstr>
      <vt:lpstr>Transmission Upgrades</vt:lpstr>
    </vt:vector>
  </TitlesOfParts>
  <Manager/>
  <Company>Terracon Consultants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Carlton, Rachel V</dc:creator>
  <cp:keywords/>
  <dc:description/>
  <cp:lastModifiedBy>Estrada, Michelle L.</cp:lastModifiedBy>
  <cp:revision/>
  <dcterms:created xsi:type="dcterms:W3CDTF">2024-01-31T17:05:28Z</dcterms:created>
  <dcterms:modified xsi:type="dcterms:W3CDTF">2024-03-27T20:33:29Z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0x0101005083F4EBCED4D94FA0C103831CD4313F</vt:lpwstr>
  </property>
  <property fmtid="{D5CDD505-2E9C-101B-9397-08002B2CF9AE}" pid="3" name="MediaServiceImageTags">
    <vt:lpwstr/>
  </property>
  <property fmtid="{D5CDD505-2E9C-101B-9397-08002B2CF9AE}" pid="4" name="Order">
    <vt:r8>29700</vt:r8>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y fmtid="{D5CDD505-2E9C-101B-9397-08002B2CF9AE}" pid="11" name="ESRI_WORKBOOK_ID">
    <vt:lpwstr>5ae294d7600249f69d24a9595c8dcc93</vt:lpwstr>
  </property>
</Properties>
</file>