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8"/>
  <workbookPr defaultThemeVersion="166925"/>
  <mc:AlternateContent xmlns:mc="http://schemas.openxmlformats.org/markup-compatibility/2006">
    <mc:Choice Requires="x15">
      <x15ac:absPath xmlns:x15ac="http://schemas.microsoft.com/office/spreadsheetml/2010/11/ac" url="https://stateoforegon-my.sharepoint.com/personal/morgan_schafer_deq_oregon_gov/Documents/CPRG/Implementation Grant Application/Technical documentation/"/>
    </mc:Choice>
  </mc:AlternateContent>
  <xr:revisionPtr revIDLastSave="2193" documentId="8_{987AB5BE-4159-4791-BB1C-7479252FA851}" xr6:coauthVersionLast="47" xr6:coauthVersionMax="47" xr10:uidLastSave="{E3B3158D-C2DB-4AF7-B723-272546F99522}"/>
  <bookViews>
    <workbookView xWindow="-120" yWindow="-16320" windowWidth="29040" windowHeight="15840" xr2:uid="{00FD70B5-EEBE-4F1B-AE09-654538DA5D14}"/>
  </bookViews>
  <sheets>
    <sheet name="GHGCumulative_AllMeasures" sheetId="24" r:id="rId1"/>
    <sheet name="GHGAnnual_AllMeasures" sheetId="26" r:id="rId2"/>
    <sheet name="Transpo M1-5 Summary" sheetId="25" r:id="rId3"/>
    <sheet name="M1 Calculations" sheetId="46" r:id="rId4"/>
    <sheet name="M1 Baseline" sheetId="47" r:id="rId5"/>
    <sheet name="M1 Assumptions" sheetId="48" r:id="rId6"/>
    <sheet name="Measure 2 CCR Summary" sheetId="8" r:id="rId7"/>
    <sheet name="M2 CCR CFI AFLEET (2025-2030)" sheetId="9" r:id="rId8"/>
    <sheet name="M2 CCR CFI AFLEET (2031-2050)" sheetId="10" r:id="rId9"/>
    <sheet name="M2 CCR Assumptions" sheetId="11" r:id="rId10"/>
    <sheet name="M3 MHD Rebate" sheetId="44" r:id="rId11"/>
    <sheet name="M4 MHD Grant" sheetId="45" r:id="rId12"/>
    <sheet name="M5 MHD Charger" sheetId="43" r:id="rId13"/>
    <sheet name="Buildings M6-9 Summary" sheetId="13" r:id="rId14"/>
    <sheet name="M6 New Const ETO" sheetId="14" r:id="rId15"/>
    <sheet name="M 6 New Const OHCS" sheetId="16" r:id="rId16"/>
    <sheet name="M7 BPS" sheetId="17" r:id="rId17"/>
    <sheet name="M8 New HPs" sheetId="18" r:id="rId18"/>
    <sheet name="M8 Existing HPs Com" sheetId="19" r:id="rId19"/>
    <sheet name="M8 Existing HPs Rental" sheetId="20" r:id="rId20"/>
    <sheet name="M 9 Res Wz ETO" sheetId="21" r:id="rId21"/>
    <sheet name="M9 Res Wz COU" sheetId="22" r:id="rId22"/>
    <sheet name="M9 Res Wz HH" sheetId="23" r:id="rId23"/>
    <sheet name="BuiltEnviro M10-12 Summary" sheetId="38" r:id="rId24"/>
    <sheet name="M10a Commercial2res" sheetId="39" r:id="rId25"/>
    <sheet name="M10b SmallHousing" sheetId="49" r:id="rId26"/>
    <sheet name="M11 FoodWasteInf" sheetId="41" r:id="rId27"/>
    <sheet name="M12 LandfillMethane" sheetId="42" r:id="rId28"/>
  </sheets>
  <externalReferences>
    <externalReference r:id="rId29"/>
    <externalReference r:id="rId30"/>
    <externalReference r:id="rId31"/>
  </externalReferences>
  <definedNames>
    <definedName name="_xlcn.WorksheetConnection_AFLEET_Tool_2017v16.xlsxIT_Technology1" localSheetId="7" hidden="1">#REF!</definedName>
    <definedName name="_xlcn.WorksheetConnection_AFLEET_Tool_2017v16.xlsxIT_Technology1" hidden="1">#REF!</definedName>
    <definedName name="_xlcn.WorksheetConnection_AFLEET_Tool_2017v16.xlsxMOVES_Vehicles1" localSheetId="7" hidden="1">#REF!</definedName>
    <definedName name="_xlcn.WorksheetConnection_AFLEET_Tool_2017v16.xlsxMOVES_Vehicles1" hidden="1">#REF!</definedName>
    <definedName name="_xlcn.WorksheetConnection_AFLEET_Tool_2017v16.xlsxProduct_Compatibility1" hidden="1">#REF!</definedName>
    <definedName name="_xlcn.WorksheetConnection_AFLEET_Tool_2017v16.xlsxProduct_Specs1" hidden="1">#REF!</definedName>
    <definedName name="_xlcn.WorksheetConnection_AFLEET_Tool_2017v16.xlsxVehicle_Duty_Class1" hidden="1">#REF!</definedName>
    <definedName name="_xlcn.WorksheetConnection_AFLEET_Tool_2017v16.xlsxVehicle_Vocations1" hidden="1">#REF!</definedName>
    <definedName name="Aerial_Lifts">#REF!</definedName>
    <definedName name="AFLEET_look_up_tables">#REF!</definedName>
    <definedName name="AFV_station_utilization">#REF!</definedName>
    <definedName name="Agricultural_Tractors">#REF!</definedName>
    <definedName name="Airport_Support_Equipment">#REF!</definedName>
    <definedName name="alternative_emissions">#REF!</definedName>
    <definedName name="B100_gallon2GGE">#REF!</definedName>
    <definedName name="B20_gallon2GGE">#REF!</definedName>
    <definedName name="BD_blend_level">#REF!</definedName>
    <definedName name="Btu2hp_hr">#REF!</definedName>
    <definedName name="Calculated_Gasoline_LHV">#REF!</definedName>
    <definedName name="Chain_Saws">#REF!</definedName>
    <definedName name="Charging_Efficiency">#REF!</definedName>
    <definedName name="Charging_Fueling_Infrastructure_Data">#REF!</definedName>
    <definedName name="Charging_Fueling_Infrastructure_Inputs" localSheetId="7">'M2 CCR CFI AFLEET (2025-2030)'!$A$6</definedName>
    <definedName name="Charging_Fueling_Infrastructure_Inputs" localSheetId="8">'M2 CCR CFI AFLEET (2031-2050)'!$A$6</definedName>
    <definedName name="Charging_Fueling_Infrastructure_Inputs">#REF!</definedName>
    <definedName name="CNG_GGE2GGE">#REF!</definedName>
    <definedName name="Combination_Unit_Long_Haul_Truck">#REF!</definedName>
    <definedName name="Combination_Unit_Short_Haul_Truck">#REF!</definedName>
    <definedName name="comm2resUnitsCreated" localSheetId="25">[1]commercial2res!$B$12</definedName>
    <definedName name="comm2resUnitsCreated">#REF!</definedName>
    <definedName name="Commercial_Turf_Equipment">#REF!</definedName>
    <definedName name="county_name">#REF!</definedName>
    <definedName name="CPI_year">#REF!</definedName>
    <definedName name="Crawler_Tractor_Dozers">#REF!</definedName>
    <definedName name="DCFC_utilization">#REF!</definedName>
    <definedName name="Diesel_BD_blend_level">#REF!</definedName>
    <definedName name="diesel_gallon2GGE">#REF!</definedName>
    <definedName name="Diesel_RD_blend_level">#REF!</definedName>
    <definedName name="E85_gallon2GGE">#REF!</definedName>
    <definedName name="electricalProportionOfCBI" localSheetId="25">[1]commercial2res!$A$32</definedName>
    <definedName name="electricalProportionOfCBI">#REF!</definedName>
    <definedName name="embCcomm2resALT" localSheetId="25">[1]commercial2res!$A$34</definedName>
    <definedName name="embCcomm2resALT">#REF!</definedName>
    <definedName name="embCcomm2resBAU" localSheetId="25">[1]commercial2res!$A$33</definedName>
    <definedName name="embCcomm2resBAU">#REF!</definedName>
    <definedName name="embCshALT" localSheetId="25">'M10b SmallHousing'!$A$33</definedName>
    <definedName name="embCshALT">#REF!</definedName>
    <definedName name="embCshBAU" localSheetId="25">'M10b SmallHousing'!$A$32</definedName>
    <definedName name="embCshBAU">#REF!</definedName>
    <definedName name="EV_type_LDV">#REF!</definedName>
    <definedName name="EV_type_list">#REF!</definedName>
    <definedName name="Excavators">#REF!</definedName>
    <definedName name="existingFridge" localSheetId="25">'M10b SmallHousing'!#REF!</definedName>
    <definedName name="existingFridge">#REF!</definedName>
    <definedName name="Externality_Cost_Data">#REF!</definedName>
    <definedName name="foodWasteAverted" localSheetId="25">'M10b SmallHousing'!#REF!</definedName>
    <definedName name="foodWasteAverted">#REF!</definedName>
    <definedName name="foodWasteImpact" localSheetId="25">'M10b SmallHousing'!#REF!</definedName>
    <definedName name="foodWasteImpact">#REF!</definedName>
    <definedName name="foodWasteImpactFactor" localSheetId="25">'M10b SmallHousing'!#REF!</definedName>
    <definedName name="foodWasteImpactFactor">#REF!</definedName>
    <definedName name="Forklifts">#REF!</definedName>
    <definedName name="Fuel_Cost_Data">#REF!</definedName>
    <definedName name="Fuel_Types_Abbrev">#REF!</definedName>
    <definedName name="futureYearlyInflation">#REF!</definedName>
    <definedName name="fwAD" localSheetId="25">[1]foodWasteInf!$A$20</definedName>
    <definedName name="fwAD">#REF!</definedName>
    <definedName name="fwCompost" localSheetId="25">[1]foodWasteInf!$A$21</definedName>
    <definedName name="fwCompost">#REF!</definedName>
    <definedName name="fwLandfill" localSheetId="25">[1]foodWasteInf!$A$22</definedName>
    <definedName name="fwLandfill">#REF!</definedName>
    <definedName name="gasoline_gallon2GGE">#REF!</definedName>
    <definedName name="Gasoline_MPGGE_Charging_Calc">#REF!</definedName>
    <definedName name="Golf_Carts">#REF!</definedName>
    <definedName name="gram2pound">#REF!</definedName>
    <definedName name="gram2short_ton">#REF!</definedName>
    <definedName name="greet_specs">#REF!</definedName>
    <definedName name="H2_kg2GGE">#REF!</definedName>
    <definedName name="HDV_list">#REF!</definedName>
    <definedName name="HDV_type">#REF!</definedName>
    <definedName name="housingUnitsCreatedSH" localSheetId="25">'M10b SmallHousing'!$B$12</definedName>
    <definedName name="housingUnitsCreatedSH">#REF!</definedName>
    <definedName name="idling_data">#REF!</definedName>
    <definedName name="incCommAlt" localSheetId="25">[1]commercial2res!$A$31</definedName>
    <definedName name="incCommAlt">#REF!</definedName>
    <definedName name="incCommBAU" localSheetId="25">[1]commercial2res!$A$30</definedName>
    <definedName name="incCommBAU">#REF!</definedName>
    <definedName name="incomeSHalt" localSheetId="25">'M10b SmallHousing'!$A$31</definedName>
    <definedName name="incomeSHalt">#REF!</definedName>
    <definedName name="incomeSHbau" localSheetId="25">'M10b SmallHousing'!$A$30</definedName>
    <definedName name="incomeSHbau">#REF!</definedName>
    <definedName name="Infrastructure_Cost_Data">#REF!</definedName>
    <definedName name="initPopDenCommAlt" localSheetId="25">[1]commercial2res!$A$24</definedName>
    <definedName name="initPopDenCommAlt">#REF!</definedName>
    <definedName name="initPopDenCommBAU" localSheetId="25">[1]commercial2res!$A$23</definedName>
    <definedName name="initPopDenCommBAU">#REF!</definedName>
    <definedName name="initPopDenSHalt" localSheetId="25">'M10b SmallHousing'!$A$24</definedName>
    <definedName name="initPopDenSHalt">#REF!</definedName>
    <definedName name="initPopDenSHbau" localSheetId="25">'M10b SmallHousing'!$A$23</definedName>
    <definedName name="initPopDenSHbau">#REF!</definedName>
    <definedName name="Insurance_Damage_HDV">#REF!</definedName>
    <definedName name="Insurance_Damage_LDV">#REF!</definedName>
    <definedName name="Insurance_Damage_LU">#REF!</definedName>
    <definedName name="Insurance_Liability_HDV">#REF!</definedName>
    <definedName name="Insurance_Liability_LDV">#REF!</definedName>
    <definedName name="Insurance_Liability_LU">#REF!</definedName>
    <definedName name="IR_battery_type">#REF!</definedName>
    <definedName name="Key_Inputs" localSheetId="7">'M2 CCR CFI AFLEET (2025-2030)'!$A$3</definedName>
    <definedName name="Key_Inputs" localSheetId="8">'M2 CCR CFI AFLEET (2031-2050)'!$A$3</definedName>
    <definedName name="Key_Inputs">#REF!</definedName>
    <definedName name="kWh2GGE">#REF!</definedName>
    <definedName name="L2_utilization">#REF!</definedName>
    <definedName name="Lawn_Garden_Tractors">#REF!</definedName>
    <definedName name="Lawn_Mowers">#REF!</definedName>
    <definedName name="LDV_list">#REF!</definedName>
    <definedName name="LDV_type">#REF!</definedName>
    <definedName name="Leafblowers_Vacuums">#REF!</definedName>
    <definedName name="License_Registration_Base_LU">#REF!</definedName>
    <definedName name="License_Registration_HD_AFV_LU">#REF!</definedName>
    <definedName name="License_Registration_LD_AFV_LU">#REF!</definedName>
    <definedName name="Light_Commercial_Truck">#REF!</definedName>
    <definedName name="LNG_gallon2GGE">#REF!</definedName>
    <definedName name="LOCAL_MYSQL_DATE_FORMAT" localSheetId="7"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8"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tion_costs">#REF!</definedName>
    <definedName name="location_stations">#REF!</definedName>
    <definedName name="LPG_gallon2GGE">#REF!</definedName>
    <definedName name="LU_OffRd_Fuel_Types">#REF!</definedName>
    <definedName name="LU_OnRd_Fuel_Economy">#REF!</definedName>
    <definedName name="LU_OnRd_Fuel_Types">#REF!</definedName>
    <definedName name="LU_OnRd_MOVES_Category">#REF!</definedName>
    <definedName name="LU_OnRd_VMT">#REF!</definedName>
    <definedName name="modernFridge" localSheetId="25">'M10b SmallHousing'!#REF!</definedName>
    <definedName name="modernFridge">#REF!</definedName>
    <definedName name="moves_list">#REF!</definedName>
    <definedName name="national_EF_fuel_types">#REF!</definedName>
    <definedName name="national_EF_pollutant_names">#REF!</definedName>
    <definedName name="national_EF_vehicle_types">#REF!</definedName>
    <definedName name="national_emissions">#REF!</definedName>
    <definedName name="nerc_region">#REF!</definedName>
    <definedName name="nerc_region_state_only">#REF!</definedName>
    <definedName name="nonroad_list">#REF!</definedName>
    <definedName name="Off_Road_Data">#REF!</definedName>
    <definedName name="padd">#REF!</definedName>
    <definedName name="padd_private_cost">#REF!</definedName>
    <definedName name="padd_private_fuel">#REF!</definedName>
    <definedName name="padd_public_cost">#REF!</definedName>
    <definedName name="padd_public_fuel">#REF!</definedName>
    <definedName name="padd_states">#REF!</definedName>
    <definedName name="Passenger_Car">#REF!</definedName>
    <definedName name="Passenger_Truck">#REF!</definedName>
    <definedName name="personsPerHHcomm" localSheetId="25">[1]commercial2res!$A$20</definedName>
    <definedName name="personsPerHHcomm">#REF!</definedName>
    <definedName name="personsPHHsmallHousing" localSheetId="25">'M10b SmallHousing'!$A$20</definedName>
    <definedName name="personsPHHsmallHousing">#REF!</definedName>
    <definedName name="private_cost_gge">#REF!</definedName>
    <definedName name="private_fuel_gge">#REF!</definedName>
    <definedName name="private_national_gge">#REF!</definedName>
    <definedName name="private_stations">#REF!</definedName>
    <definedName name="private_stations_fuel">#REF!</definedName>
    <definedName name="public_cost_gge">#REF!</definedName>
    <definedName name="public_fuel_gge">#REF!</definedName>
    <definedName name="public_national_gge">#REF!</definedName>
    <definedName name="public_stations">#REF!</definedName>
    <definedName name="public_stations_fuel">#REF!</definedName>
    <definedName name="RD_blend_level">#REF!</definedName>
    <definedName name="RD100_gallon2GGE">#REF!</definedName>
    <definedName name="RD20_gallon2GGE">#REF!</definedName>
    <definedName name="refrigeratorQuantity" localSheetId="25">'M10b SmallHousing'!#REF!</definedName>
    <definedName name="refrigeratorQuantity">#REF!</definedName>
    <definedName name="Refuse_Truck">#REF!</definedName>
    <definedName name="Rollers">#REF!</definedName>
    <definedName name="roomsCommAlt" localSheetId="25">[1]commercial2res!$A$28</definedName>
    <definedName name="roomsCommAlt">#REF!</definedName>
    <definedName name="roomsCommBAU" localSheetId="25">[1]commercial2res!$A$27</definedName>
    <definedName name="roomsCommBAU">#REF!</definedName>
    <definedName name="roomsPHshAlt" localSheetId="25">'M10b SmallHousing'!$A$28</definedName>
    <definedName name="roomsPHshAlt">#REF!</definedName>
    <definedName name="roomsPHshBAU" localSheetId="25">'M10b SmallHousing'!$A$27</definedName>
    <definedName name="roomsPHshBAU">#REF!</definedName>
    <definedName name="Rubber_Tire_Loaders">#REF!</definedName>
    <definedName name="School_Bus">#REF!</definedName>
    <definedName name="Single_Unit_Long_Haul_Truck">#REF!</definedName>
    <definedName name="Single_Unit_Short_Haul_Truck">#REF!</definedName>
    <definedName name="Skid_Steer_Loaders">#REF!</definedName>
    <definedName name="Snowblowers">#REF!</definedName>
    <definedName name="state_emissions">#REF!</definedName>
    <definedName name="state_list">#REF!</definedName>
    <definedName name="state_name" localSheetId="7">'M2 CCR CFI AFLEET (2025-2030)'!$C$4</definedName>
    <definedName name="state_name" localSheetId="8">'M2 CCR CFI AFLEET (2031-2050)'!$C$4</definedName>
    <definedName name="state_name">#REF!</definedName>
    <definedName name="Sweepers_Scrubbers">#REF!</definedName>
    <definedName name="Terminal_Tractors">#REF!</definedName>
    <definedName name="Tractors_Loaders_Backhoes">#REF!</definedName>
    <definedName name="Transit_Bus">#REF!</definedName>
    <definedName name="Trimmers_Edgers_Brush_Cutter">#REF!</definedName>
    <definedName name="user_defined_mix">#REF!</definedName>
    <definedName name="Vehicle_Cost_Data">#REF!</definedName>
    <definedName name="vphhCommAlt" localSheetId="25">[1]commercial2res!$A$26</definedName>
    <definedName name="vphhCommAlt">#REF!</definedName>
    <definedName name="vphhCommBAU" localSheetId="25">[1]commercial2res!$A$25</definedName>
    <definedName name="vphhCommBAU">#REF!</definedName>
    <definedName name="vphhSHalt" localSheetId="25">'M10b SmallHousing'!$A$26</definedName>
    <definedName name="vphhSHalt">#REF!</definedName>
    <definedName name="vphSHbau" localSheetId="25">'M10b SmallHousing'!$A$25</definedName>
    <definedName name="vphSHbau">#REF!</definedName>
    <definedName name="Weighted_PEV_MPGGE">#REF!</definedName>
    <definedName name="yardAD">#REF!</definedName>
    <definedName name="yardCompost" localSheetId="25">[1]foodWasteInf!$A$24</definedName>
    <definedName name="yardCompost">#REF!</definedName>
    <definedName name="yardLandfill" localSheetId="25">[1]foodWasteInf!$A$25</definedName>
    <definedName name="yardLandfill">#REF!</definedName>
    <definedName name="Yes_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24" l="1"/>
  <c r="C10" i="24"/>
  <c r="E16" i="24"/>
  <c r="F16" i="24"/>
  <c r="B16" i="24"/>
  <c r="F9" i="24"/>
  <c r="E9" i="24"/>
  <c r="F17" i="39"/>
  <c r="F16" i="39"/>
  <c r="F14" i="39"/>
  <c r="F13" i="39"/>
  <c r="F14" i="49"/>
  <c r="F13" i="49"/>
  <c r="B52" i="43"/>
  <c r="E5" i="24"/>
  <c r="D10" i="24"/>
  <c r="D16" i="24"/>
  <c r="D6" i="13"/>
  <c r="D4" i="19"/>
  <c r="H6" i="14"/>
  <c r="I6" i="14"/>
  <c r="D5" i="14"/>
  <c r="C16" i="24"/>
  <c r="D39" i="21"/>
  <c r="E39" i="21"/>
  <c r="E38" i="21" s="1"/>
  <c r="F39" i="21"/>
  <c r="G39" i="21"/>
  <c r="G38" i="21" s="1"/>
  <c r="H39" i="21"/>
  <c r="H38" i="21" s="1"/>
  <c r="I39" i="21"/>
  <c r="I38" i="21" s="1"/>
  <c r="J39" i="21"/>
  <c r="J38" i="21" s="1"/>
  <c r="K39" i="21"/>
  <c r="K38" i="21" s="1"/>
  <c r="L39" i="21"/>
  <c r="L38" i="21" s="1"/>
  <c r="M39" i="21"/>
  <c r="N39" i="21"/>
  <c r="O39" i="21"/>
  <c r="O38" i="21" s="1"/>
  <c r="P39" i="21"/>
  <c r="P38" i="21" s="1"/>
  <c r="Q39" i="21"/>
  <c r="Q38" i="21" s="1"/>
  <c r="R39" i="21"/>
  <c r="R38" i="21" s="1"/>
  <c r="S39" i="21"/>
  <c r="S38" i="21" s="1"/>
  <c r="T39" i="21"/>
  <c r="U39" i="21"/>
  <c r="U38" i="21" s="1"/>
  <c r="V39" i="21"/>
  <c r="W39" i="21"/>
  <c r="X39" i="21"/>
  <c r="Y39" i="21"/>
  <c r="Y38" i="21" s="1"/>
  <c r="Z39" i="21"/>
  <c r="Z38" i="21" s="1"/>
  <c r="AA39" i="21"/>
  <c r="AA38" i="21" s="1"/>
  <c r="AB39" i="21"/>
  <c r="AB38" i="21" s="1"/>
  <c r="AC39" i="21"/>
  <c r="D40" i="21"/>
  <c r="E40" i="21"/>
  <c r="F40" i="21"/>
  <c r="G40" i="21"/>
  <c r="H40" i="21"/>
  <c r="I40" i="21"/>
  <c r="J40" i="21"/>
  <c r="K40" i="21"/>
  <c r="L40" i="21"/>
  <c r="M40" i="21"/>
  <c r="N40" i="21"/>
  <c r="O40" i="21"/>
  <c r="P40" i="21"/>
  <c r="Q40" i="21"/>
  <c r="R40" i="21"/>
  <c r="S40" i="21"/>
  <c r="T40" i="21"/>
  <c r="U40" i="21"/>
  <c r="V40" i="21"/>
  <c r="W40" i="21"/>
  <c r="X40" i="21"/>
  <c r="Y40" i="21"/>
  <c r="Z40" i="21"/>
  <c r="AA40" i="21"/>
  <c r="AB40" i="21"/>
  <c r="AC40" i="21"/>
  <c r="D41" i="21"/>
  <c r="E41" i="21"/>
  <c r="F41" i="21"/>
  <c r="G41" i="21"/>
  <c r="H41" i="21"/>
  <c r="I41" i="21"/>
  <c r="J41" i="21"/>
  <c r="K41" i="21"/>
  <c r="L41" i="21"/>
  <c r="M41" i="21"/>
  <c r="N41" i="21"/>
  <c r="O41" i="21"/>
  <c r="P41" i="21"/>
  <c r="Q41" i="21"/>
  <c r="R41" i="21"/>
  <c r="S41" i="21"/>
  <c r="T41" i="21"/>
  <c r="U41" i="21"/>
  <c r="V41" i="21"/>
  <c r="W41" i="21"/>
  <c r="X41" i="21"/>
  <c r="Y41" i="21"/>
  <c r="Z41" i="21"/>
  <c r="AA41" i="21"/>
  <c r="AB41" i="21"/>
  <c r="AC41" i="21"/>
  <c r="D42" i="21"/>
  <c r="E42" i="21"/>
  <c r="F42" i="21"/>
  <c r="G42" i="21"/>
  <c r="H42" i="21"/>
  <c r="I42" i="21"/>
  <c r="J42" i="21"/>
  <c r="K42" i="21"/>
  <c r="L42" i="21"/>
  <c r="M42" i="21"/>
  <c r="N42" i="21"/>
  <c r="O42" i="21"/>
  <c r="P42" i="21"/>
  <c r="Q42" i="21"/>
  <c r="R42" i="21"/>
  <c r="S42" i="21"/>
  <c r="T42" i="21"/>
  <c r="U42" i="21"/>
  <c r="V42" i="21"/>
  <c r="W42" i="21"/>
  <c r="X42" i="21"/>
  <c r="Y42" i="21"/>
  <c r="Z42" i="21"/>
  <c r="AA42" i="21"/>
  <c r="AB42" i="21"/>
  <c r="AC42" i="21"/>
  <c r="D43" i="21"/>
  <c r="E43" i="21"/>
  <c r="F43" i="21"/>
  <c r="G43" i="21"/>
  <c r="H43" i="21"/>
  <c r="I43" i="21"/>
  <c r="J43" i="21"/>
  <c r="K43" i="21"/>
  <c r="L43" i="21"/>
  <c r="M43" i="21"/>
  <c r="N43" i="21"/>
  <c r="O43" i="21"/>
  <c r="P43" i="21"/>
  <c r="Q43" i="21"/>
  <c r="R43" i="21"/>
  <c r="S43" i="21"/>
  <c r="T43" i="21"/>
  <c r="U43" i="21"/>
  <c r="V43" i="21"/>
  <c r="W43" i="21"/>
  <c r="X43" i="21"/>
  <c r="Y43" i="21"/>
  <c r="Z43" i="21"/>
  <c r="AA43" i="21"/>
  <c r="AB43" i="21"/>
  <c r="AC43" i="21"/>
  <c r="D44" i="21"/>
  <c r="E44" i="21"/>
  <c r="F44" i="21"/>
  <c r="G44" i="21"/>
  <c r="H44" i="21"/>
  <c r="I44" i="21"/>
  <c r="J44" i="21"/>
  <c r="K44" i="21"/>
  <c r="L44" i="21"/>
  <c r="M44" i="21"/>
  <c r="N44" i="21"/>
  <c r="O44" i="21"/>
  <c r="P44" i="21"/>
  <c r="Q44" i="21"/>
  <c r="R44" i="21"/>
  <c r="S44" i="21"/>
  <c r="T44" i="21"/>
  <c r="U44" i="21"/>
  <c r="V44" i="21"/>
  <c r="W44" i="21"/>
  <c r="X44" i="21"/>
  <c r="Y44" i="21"/>
  <c r="Z44" i="21"/>
  <c r="AA44" i="21"/>
  <c r="AB44" i="21"/>
  <c r="AC44" i="21"/>
  <c r="D45" i="21"/>
  <c r="E45" i="21"/>
  <c r="F45" i="21"/>
  <c r="G45" i="21"/>
  <c r="H45" i="21"/>
  <c r="I45" i="21"/>
  <c r="J45" i="21"/>
  <c r="K45" i="21"/>
  <c r="L45" i="21"/>
  <c r="M45" i="21"/>
  <c r="N45" i="21"/>
  <c r="O45" i="21"/>
  <c r="P45" i="21"/>
  <c r="Q45" i="21"/>
  <c r="R45" i="21"/>
  <c r="S45" i="21"/>
  <c r="T45" i="21"/>
  <c r="U45" i="21"/>
  <c r="V45" i="21"/>
  <c r="W45" i="21"/>
  <c r="X45" i="21"/>
  <c r="Y45" i="21"/>
  <c r="Z45" i="21"/>
  <c r="AA45" i="21"/>
  <c r="AB45" i="21"/>
  <c r="AC45" i="21"/>
  <c r="D46" i="21"/>
  <c r="E46" i="21"/>
  <c r="F46" i="21"/>
  <c r="G46" i="21"/>
  <c r="H46" i="21"/>
  <c r="I46" i="21"/>
  <c r="J46" i="21"/>
  <c r="K46" i="21"/>
  <c r="L46" i="21"/>
  <c r="M46" i="21"/>
  <c r="N46" i="21"/>
  <c r="O46" i="21"/>
  <c r="P46" i="21"/>
  <c r="Q46" i="21"/>
  <c r="R46" i="21"/>
  <c r="S46" i="21"/>
  <c r="T46" i="21"/>
  <c r="U46" i="21"/>
  <c r="V46" i="21"/>
  <c r="W46" i="21"/>
  <c r="X46" i="21"/>
  <c r="Y46" i="21"/>
  <c r="Z46" i="21"/>
  <c r="AA46" i="21"/>
  <c r="AB46" i="21"/>
  <c r="AC46" i="21"/>
  <c r="B27" i="21"/>
  <c r="C27" i="21"/>
  <c r="B28" i="21"/>
  <c r="B39" i="21" s="1"/>
  <c r="C28" i="21"/>
  <c r="B29" i="21"/>
  <c r="B40" i="21" s="1"/>
  <c r="C29" i="21"/>
  <c r="B30" i="21"/>
  <c r="B41" i="21" s="1"/>
  <c r="C30" i="21"/>
  <c r="B31" i="21"/>
  <c r="C31" i="21"/>
  <c r="B32" i="21"/>
  <c r="B42" i="21" s="1"/>
  <c r="C32" i="21"/>
  <c r="B33" i="21"/>
  <c r="B43" i="21" s="1"/>
  <c r="C33" i="21"/>
  <c r="C43" i="21" s="1"/>
  <c r="B34" i="21"/>
  <c r="B45" i="21" s="1"/>
  <c r="C34" i="21"/>
  <c r="C44" i="21" s="1"/>
  <c r="B35" i="21"/>
  <c r="B44" i="21" s="1"/>
  <c r="C35" i="21"/>
  <c r="C45" i="21" s="1"/>
  <c r="B36" i="21"/>
  <c r="B46" i="21" s="1"/>
  <c r="C36" i="21"/>
  <c r="E25" i="21"/>
  <c r="F25" i="21"/>
  <c r="G25" i="21"/>
  <c r="H25" i="21"/>
  <c r="I25" i="21"/>
  <c r="J25" i="21"/>
  <c r="K25" i="21"/>
  <c r="L25" i="21"/>
  <c r="M25" i="21"/>
  <c r="N25" i="21"/>
  <c r="O25" i="21"/>
  <c r="P25" i="21"/>
  <c r="Q25" i="21"/>
  <c r="R25" i="21"/>
  <c r="S25" i="21"/>
  <c r="T25" i="21"/>
  <c r="U25" i="21"/>
  <c r="V25" i="21"/>
  <c r="W25" i="21"/>
  <c r="X25" i="21"/>
  <c r="Y25" i="21"/>
  <c r="Z25" i="21"/>
  <c r="AA25" i="21"/>
  <c r="AB25" i="21"/>
  <c r="AC25" i="21"/>
  <c r="H15" i="21"/>
  <c r="I15" i="21"/>
  <c r="J15" i="21"/>
  <c r="K15" i="21" s="1"/>
  <c r="L15" i="21" s="1"/>
  <c r="M15" i="21" s="1"/>
  <c r="N15" i="21" s="1"/>
  <c r="O15" i="21" s="1"/>
  <c r="P15" i="21" s="1"/>
  <c r="Q15" i="21" s="1"/>
  <c r="R15" i="21" s="1"/>
  <c r="S15" i="21" s="1"/>
  <c r="T15" i="21" s="1"/>
  <c r="U15" i="21" s="1"/>
  <c r="V15" i="21" s="1"/>
  <c r="W15" i="21" s="1"/>
  <c r="X15" i="21" s="1"/>
  <c r="Y15" i="21" s="1"/>
  <c r="Z15" i="21" s="1"/>
  <c r="AA15" i="21" s="1"/>
  <c r="AB15" i="21" s="1"/>
  <c r="AC15" i="21" s="1"/>
  <c r="D4" i="21"/>
  <c r="G4" i="21" s="1"/>
  <c r="D5" i="21"/>
  <c r="B5" i="21" s="1"/>
  <c r="H6" i="21"/>
  <c r="I6" i="21"/>
  <c r="D11" i="21"/>
  <c r="E11" i="21"/>
  <c r="F11" i="21"/>
  <c r="G11" i="21"/>
  <c r="H11" i="21"/>
  <c r="I11" i="21"/>
  <c r="J11" i="21"/>
  <c r="K11" i="21"/>
  <c r="L11" i="21"/>
  <c r="N11" i="21"/>
  <c r="O11" i="21"/>
  <c r="P11" i="21"/>
  <c r="T11" i="21"/>
  <c r="U11" i="21"/>
  <c r="V11" i="21"/>
  <c r="W11" i="21"/>
  <c r="X11" i="21"/>
  <c r="Y11" i="21"/>
  <c r="Z11" i="21"/>
  <c r="AA11" i="21"/>
  <c r="A12" i="13"/>
  <c r="B12" i="13"/>
  <c r="C12" i="13"/>
  <c r="E12" i="13"/>
  <c r="F12" i="13"/>
  <c r="I12" i="13"/>
  <c r="A13" i="13"/>
  <c r="B13" i="13"/>
  <c r="C13" i="13"/>
  <c r="D13" i="13"/>
  <c r="D5" i="13" s="1"/>
  <c r="E13" i="13"/>
  <c r="F13" i="13"/>
  <c r="I13" i="13"/>
  <c r="A14" i="13"/>
  <c r="B14" i="13"/>
  <c r="C14" i="13"/>
  <c r="E14" i="13"/>
  <c r="F14" i="13"/>
  <c r="I14" i="13"/>
  <c r="J14" i="13" s="1"/>
  <c r="A15" i="13"/>
  <c r="B15" i="13"/>
  <c r="B6" i="13" s="1"/>
  <c r="C15" i="13"/>
  <c r="C6" i="13" s="1"/>
  <c r="E15" i="13"/>
  <c r="F15" i="13"/>
  <c r="G15" i="13"/>
  <c r="G6" i="13" s="1"/>
  <c r="H15" i="13"/>
  <c r="I15" i="13"/>
  <c r="A16" i="13"/>
  <c r="B16" i="13"/>
  <c r="C16" i="13"/>
  <c r="D16" i="13"/>
  <c r="E16" i="13"/>
  <c r="F16" i="13"/>
  <c r="I16" i="13"/>
  <c r="A17" i="13"/>
  <c r="B17" i="13"/>
  <c r="C17" i="13"/>
  <c r="D17" i="13"/>
  <c r="E17" i="13"/>
  <c r="F17" i="13"/>
  <c r="I17" i="13"/>
  <c r="A18" i="13"/>
  <c r="B18" i="13"/>
  <c r="C18" i="13"/>
  <c r="D18" i="13"/>
  <c r="E18" i="13"/>
  <c r="F18" i="13"/>
  <c r="I18" i="13"/>
  <c r="A19" i="13"/>
  <c r="B19" i="13"/>
  <c r="C19" i="13"/>
  <c r="E19" i="13"/>
  <c r="F19" i="13"/>
  <c r="I19" i="13"/>
  <c r="A20" i="13"/>
  <c r="B20" i="13"/>
  <c r="C20" i="13"/>
  <c r="D20" i="13"/>
  <c r="E20" i="13"/>
  <c r="F20" i="13"/>
  <c r="I20" i="13"/>
  <c r="A21" i="13"/>
  <c r="B21" i="13"/>
  <c r="C21" i="13"/>
  <c r="D21" i="13"/>
  <c r="E21" i="13"/>
  <c r="F21" i="13"/>
  <c r="I21" i="13"/>
  <c r="G5" i="13"/>
  <c r="H5" i="13" s="1"/>
  <c r="I6" i="13"/>
  <c r="G7" i="13"/>
  <c r="H7" i="13" s="1"/>
  <c r="G8" i="13"/>
  <c r="H8" i="13" s="1"/>
  <c r="D39" i="14"/>
  <c r="D11" i="14" s="1"/>
  <c r="E39" i="14"/>
  <c r="E11" i="14" s="1"/>
  <c r="F39" i="14"/>
  <c r="G39" i="14"/>
  <c r="H39" i="14"/>
  <c r="H11" i="14" s="1"/>
  <c r="I39" i="14"/>
  <c r="J39" i="14"/>
  <c r="K39" i="14"/>
  <c r="L39" i="14"/>
  <c r="L11" i="14" s="1"/>
  <c r="M39" i="14"/>
  <c r="N39" i="14"/>
  <c r="O39" i="14"/>
  <c r="P39" i="14"/>
  <c r="Q39" i="14"/>
  <c r="R39" i="14"/>
  <c r="R11" i="14" s="1"/>
  <c r="S39" i="14"/>
  <c r="T39" i="14"/>
  <c r="U39" i="14"/>
  <c r="U11" i="14" s="1"/>
  <c r="V39" i="14"/>
  <c r="V11" i="14" s="1"/>
  <c r="W39" i="14"/>
  <c r="X39" i="14"/>
  <c r="X11" i="14" s="1"/>
  <c r="Y39" i="14"/>
  <c r="Y11" i="14" s="1"/>
  <c r="Z39" i="14"/>
  <c r="AA39" i="14"/>
  <c r="AB39" i="14"/>
  <c r="AB11" i="14" s="1"/>
  <c r="AC39" i="14"/>
  <c r="AC11" i="14" s="1"/>
  <c r="D40" i="14"/>
  <c r="E40" i="14"/>
  <c r="F40" i="14"/>
  <c r="G40" i="14"/>
  <c r="H40" i="14"/>
  <c r="I40" i="14"/>
  <c r="J40" i="14"/>
  <c r="K40" i="14"/>
  <c r="L40" i="14"/>
  <c r="M40" i="14"/>
  <c r="N40" i="14"/>
  <c r="O40" i="14"/>
  <c r="P40" i="14"/>
  <c r="Q40" i="14"/>
  <c r="R40" i="14"/>
  <c r="S40" i="14"/>
  <c r="T40" i="14"/>
  <c r="U40" i="14"/>
  <c r="V40" i="14"/>
  <c r="W40" i="14"/>
  <c r="X40" i="14"/>
  <c r="Y40" i="14"/>
  <c r="Z40" i="14"/>
  <c r="AA40" i="14"/>
  <c r="AB40" i="14"/>
  <c r="AC40" i="14"/>
  <c r="D41" i="14"/>
  <c r="E41" i="14"/>
  <c r="F41" i="14"/>
  <c r="G41" i="14"/>
  <c r="H41" i="14"/>
  <c r="I41" i="14"/>
  <c r="J41" i="14"/>
  <c r="K41" i="14"/>
  <c r="L41" i="14"/>
  <c r="M41" i="14"/>
  <c r="N41" i="14"/>
  <c r="O41" i="14"/>
  <c r="P41" i="14"/>
  <c r="Q41" i="14"/>
  <c r="R41" i="14"/>
  <c r="S41" i="14"/>
  <c r="T41" i="14"/>
  <c r="U41" i="14"/>
  <c r="V41" i="14"/>
  <c r="W41" i="14"/>
  <c r="X41" i="14"/>
  <c r="Y41" i="14"/>
  <c r="Z41" i="14"/>
  <c r="AA41" i="14"/>
  <c r="AB41" i="14"/>
  <c r="AC41" i="14"/>
  <c r="D42" i="14"/>
  <c r="E42" i="14"/>
  <c r="F42" i="14"/>
  <c r="G42" i="14"/>
  <c r="H42" i="14"/>
  <c r="I42" i="14"/>
  <c r="J42" i="14"/>
  <c r="K42" i="14"/>
  <c r="L42" i="14"/>
  <c r="M42" i="14"/>
  <c r="N42" i="14"/>
  <c r="O42" i="14"/>
  <c r="P42" i="14"/>
  <c r="Q42" i="14"/>
  <c r="R42" i="14"/>
  <c r="S42" i="14"/>
  <c r="T42" i="14"/>
  <c r="U42" i="14"/>
  <c r="V42" i="14"/>
  <c r="W42" i="14"/>
  <c r="X42" i="14"/>
  <c r="Y42" i="14"/>
  <c r="Z42" i="14"/>
  <c r="AA42" i="14"/>
  <c r="AB42" i="14"/>
  <c r="AC42" i="14"/>
  <c r="D43" i="14"/>
  <c r="E43" i="14"/>
  <c r="F43" i="14"/>
  <c r="G43" i="14"/>
  <c r="H43" i="14"/>
  <c r="I43" i="14"/>
  <c r="J43" i="14"/>
  <c r="K43" i="14"/>
  <c r="L43" i="14"/>
  <c r="M43" i="14"/>
  <c r="N43" i="14"/>
  <c r="O43" i="14"/>
  <c r="P43" i="14"/>
  <c r="Q43" i="14"/>
  <c r="R43" i="14"/>
  <c r="S43" i="14"/>
  <c r="T43" i="14"/>
  <c r="U43" i="14"/>
  <c r="V43" i="14"/>
  <c r="W43" i="14"/>
  <c r="X43" i="14"/>
  <c r="Y43" i="14"/>
  <c r="Z43" i="14"/>
  <c r="AA43" i="14"/>
  <c r="AB43" i="14"/>
  <c r="AC43" i="14"/>
  <c r="D44" i="14"/>
  <c r="E44" i="14"/>
  <c r="F44" i="14"/>
  <c r="G44" i="14"/>
  <c r="H44" i="14"/>
  <c r="I44" i="14"/>
  <c r="J44" i="14"/>
  <c r="K44" i="14"/>
  <c r="L44" i="14"/>
  <c r="M44" i="14"/>
  <c r="N44" i="14"/>
  <c r="O44" i="14"/>
  <c r="P44" i="14"/>
  <c r="Q44" i="14"/>
  <c r="R44" i="14"/>
  <c r="S44" i="14"/>
  <c r="T44" i="14"/>
  <c r="U44" i="14"/>
  <c r="V44" i="14"/>
  <c r="W44" i="14"/>
  <c r="X44" i="14"/>
  <c r="Y44" i="14"/>
  <c r="Z44" i="14"/>
  <c r="AA44" i="14"/>
  <c r="AB44" i="14"/>
  <c r="AC44" i="14"/>
  <c r="D45" i="14"/>
  <c r="E45" i="14"/>
  <c r="F45" i="14"/>
  <c r="G45" i="14"/>
  <c r="H45" i="14"/>
  <c r="I45" i="14"/>
  <c r="J45" i="14"/>
  <c r="K45" i="14"/>
  <c r="L45" i="14"/>
  <c r="M45" i="14"/>
  <c r="N45" i="14"/>
  <c r="O45" i="14"/>
  <c r="P45" i="14"/>
  <c r="Q45" i="14"/>
  <c r="R45" i="14"/>
  <c r="S45" i="14"/>
  <c r="T45" i="14"/>
  <c r="U45" i="14"/>
  <c r="V45" i="14"/>
  <c r="W45" i="14"/>
  <c r="X45" i="14"/>
  <c r="Y45" i="14"/>
  <c r="Z45" i="14"/>
  <c r="AA45" i="14"/>
  <c r="AB45" i="14"/>
  <c r="AC45" i="14"/>
  <c r="D46" i="14"/>
  <c r="E46" i="14"/>
  <c r="F46" i="14"/>
  <c r="G46" i="14"/>
  <c r="H46" i="14"/>
  <c r="I46" i="14"/>
  <c r="J46" i="14"/>
  <c r="K46" i="14"/>
  <c r="L46" i="14"/>
  <c r="M46" i="14"/>
  <c r="N46" i="14"/>
  <c r="O46" i="14"/>
  <c r="P46" i="14"/>
  <c r="Q46" i="14"/>
  <c r="R46" i="14"/>
  <c r="S46" i="14"/>
  <c r="T46" i="14"/>
  <c r="U46" i="14"/>
  <c r="V46" i="14"/>
  <c r="W46" i="14"/>
  <c r="X46" i="14"/>
  <c r="Y46" i="14"/>
  <c r="Z46" i="14"/>
  <c r="AA46" i="14"/>
  <c r="AB46" i="14"/>
  <c r="AC46" i="14"/>
  <c r="B27" i="14"/>
  <c r="C27" i="14"/>
  <c r="B28" i="14"/>
  <c r="C28" i="14"/>
  <c r="B29" i="14"/>
  <c r="C29" i="14"/>
  <c r="B30" i="14"/>
  <c r="C30" i="14"/>
  <c r="B31" i="14"/>
  <c r="C31" i="14"/>
  <c r="B32" i="14"/>
  <c r="C32" i="14"/>
  <c r="B33" i="14"/>
  <c r="C33" i="14"/>
  <c r="B34" i="14"/>
  <c r="C34" i="14"/>
  <c r="B35" i="14"/>
  <c r="B44" i="14" s="1"/>
  <c r="C35" i="14"/>
  <c r="B36" i="14"/>
  <c r="C36" i="14"/>
  <c r="H15" i="14"/>
  <c r="I15" i="14" s="1"/>
  <c r="J15" i="14" s="1"/>
  <c r="K15" i="14" s="1"/>
  <c r="L15" i="14" s="1"/>
  <c r="M15" i="14" s="1"/>
  <c r="N15" i="14" s="1"/>
  <c r="O15" i="14" s="1"/>
  <c r="P15" i="14" s="1"/>
  <c r="Q15" i="14" s="1"/>
  <c r="R15" i="14" s="1"/>
  <c r="S15" i="14" s="1"/>
  <c r="T15" i="14" s="1"/>
  <c r="U15" i="14" s="1"/>
  <c r="V15" i="14" s="1"/>
  <c r="W15" i="14" s="1"/>
  <c r="X15" i="14" s="1"/>
  <c r="Y15" i="14" s="1"/>
  <c r="Z15" i="14" s="1"/>
  <c r="AA15" i="14" s="1"/>
  <c r="AB15" i="14" s="1"/>
  <c r="AC15" i="14" s="1"/>
  <c r="D4" i="14"/>
  <c r="E4" i="14" s="1"/>
  <c r="E15" i="14" s="1"/>
  <c r="B5" i="14"/>
  <c r="K11" i="14"/>
  <c r="O11" i="14"/>
  <c r="Q11" i="14"/>
  <c r="S11" i="14"/>
  <c r="AA11" i="14"/>
  <c r="AB16" i="26"/>
  <c r="AK6" i="49"/>
  <c r="G21" i="49"/>
  <c r="G22" i="49"/>
  <c r="G20" i="49"/>
  <c r="AM4" i="39"/>
  <c r="H23" i="49"/>
  <c r="J23" i="49"/>
  <c r="N23" i="49"/>
  <c r="P23" i="49"/>
  <c r="Q23" i="49"/>
  <c r="R23" i="49"/>
  <c r="S23" i="49"/>
  <c r="T23" i="49"/>
  <c r="W23" i="49"/>
  <c r="Z23" i="49"/>
  <c r="AB23" i="49"/>
  <c r="AC23" i="49"/>
  <c r="AD23" i="49"/>
  <c r="AE23" i="49"/>
  <c r="AF23" i="49"/>
  <c r="AI23" i="49"/>
  <c r="N24" i="49"/>
  <c r="P24" i="49"/>
  <c r="Q24" i="49"/>
  <c r="R24" i="49"/>
  <c r="S24" i="49"/>
  <c r="T24" i="49"/>
  <c r="W24" i="49"/>
  <c r="Z24" i="49"/>
  <c r="AB24" i="49"/>
  <c r="AC24" i="49"/>
  <c r="AD24" i="49"/>
  <c r="AE24" i="49"/>
  <c r="AF24" i="49"/>
  <c r="AI24" i="49"/>
  <c r="N25" i="49"/>
  <c r="P25" i="49"/>
  <c r="Q25" i="49"/>
  <c r="R25" i="49"/>
  <c r="S25" i="49"/>
  <c r="T25" i="49"/>
  <c r="W25" i="49"/>
  <c r="Z25" i="49"/>
  <c r="AB25" i="49"/>
  <c r="AC25" i="49"/>
  <c r="AD25" i="49"/>
  <c r="AE25" i="49"/>
  <c r="AF25" i="49"/>
  <c r="AI25" i="49"/>
  <c r="N26" i="49"/>
  <c r="P26" i="49"/>
  <c r="Q26" i="49"/>
  <c r="R26" i="49"/>
  <c r="S26" i="49"/>
  <c r="T26" i="49"/>
  <c r="W26" i="49"/>
  <c r="Z26" i="49"/>
  <c r="AB26" i="49"/>
  <c r="AC26" i="49"/>
  <c r="AD26" i="49"/>
  <c r="AE26" i="49"/>
  <c r="AF26" i="49"/>
  <c r="AI26" i="49"/>
  <c r="N27" i="49"/>
  <c r="P27" i="49"/>
  <c r="Q27" i="49"/>
  <c r="R27" i="49"/>
  <c r="S27" i="49"/>
  <c r="T27" i="49"/>
  <c r="W27" i="49"/>
  <c r="Z27" i="49"/>
  <c r="AB27" i="49"/>
  <c r="AC27" i="49"/>
  <c r="AD27" i="49"/>
  <c r="AE27" i="49"/>
  <c r="AF27" i="49"/>
  <c r="AI27" i="49"/>
  <c r="N28" i="49"/>
  <c r="P28" i="49"/>
  <c r="Q28" i="49"/>
  <c r="R28" i="49"/>
  <c r="S28" i="49"/>
  <c r="T28" i="49"/>
  <c r="W28" i="49"/>
  <c r="Z28" i="49"/>
  <c r="AB28" i="49"/>
  <c r="AC28" i="49"/>
  <c r="AD28" i="49"/>
  <c r="AE28" i="49"/>
  <c r="AF28" i="49"/>
  <c r="AI28" i="49"/>
  <c r="N29" i="49"/>
  <c r="P29" i="49"/>
  <c r="Q29" i="49"/>
  <c r="R29" i="49"/>
  <c r="S29" i="49"/>
  <c r="T29" i="49"/>
  <c r="W29" i="49"/>
  <c r="Z29" i="49"/>
  <c r="AB29" i="49"/>
  <c r="AC29" i="49"/>
  <c r="AD29" i="49"/>
  <c r="AE29" i="49"/>
  <c r="AF29" i="49"/>
  <c r="AI29" i="49"/>
  <c r="A30" i="49"/>
  <c r="N30" i="49"/>
  <c r="O30" i="49"/>
  <c r="P30" i="49"/>
  <c r="Q30" i="49"/>
  <c r="R30" i="49"/>
  <c r="S30" i="49"/>
  <c r="T30" i="49"/>
  <c r="U30" i="49"/>
  <c r="V30" i="49"/>
  <c r="W30" i="49"/>
  <c r="X30" i="49"/>
  <c r="I30" i="49" s="1"/>
  <c r="D30" i="49" s="1"/>
  <c r="Z30" i="49"/>
  <c r="AB30" i="49"/>
  <c r="AC30" i="49"/>
  <c r="AD30" i="49"/>
  <c r="AE30" i="49"/>
  <c r="AF30" i="49"/>
  <c r="AI30" i="49"/>
  <c r="A31" i="49"/>
  <c r="N31" i="49"/>
  <c r="O31" i="49"/>
  <c r="P31" i="49"/>
  <c r="Q31" i="49"/>
  <c r="R31" i="49"/>
  <c r="S31" i="49"/>
  <c r="T31" i="49"/>
  <c r="U31" i="49"/>
  <c r="V31" i="49"/>
  <c r="W31" i="49"/>
  <c r="X31" i="49"/>
  <c r="I31" i="49" s="1"/>
  <c r="D31" i="49" s="1"/>
  <c r="Z31" i="49"/>
  <c r="AA31" i="49"/>
  <c r="AB31" i="49"/>
  <c r="AC31" i="49"/>
  <c r="AD31" i="49"/>
  <c r="AE31" i="49"/>
  <c r="AF31" i="49"/>
  <c r="AG31" i="49"/>
  <c r="AH31" i="49"/>
  <c r="AI31" i="49"/>
  <c r="AJ31" i="49"/>
  <c r="K31" i="49" s="1"/>
  <c r="E31" i="49" s="1"/>
  <c r="N32" i="49"/>
  <c r="O32" i="49"/>
  <c r="P32" i="49"/>
  <c r="Q32" i="49"/>
  <c r="R32" i="49"/>
  <c r="S32" i="49"/>
  <c r="T32" i="49"/>
  <c r="U32" i="49"/>
  <c r="V32" i="49"/>
  <c r="W32" i="49"/>
  <c r="X32" i="49"/>
  <c r="I32" i="49" s="1"/>
  <c r="D32" i="49" s="1"/>
  <c r="Z32" i="49"/>
  <c r="AA32" i="49"/>
  <c r="AB32" i="49"/>
  <c r="AC32" i="49"/>
  <c r="AD32" i="49"/>
  <c r="AE32" i="49"/>
  <c r="AF32" i="49"/>
  <c r="AG32" i="49"/>
  <c r="AH32" i="49"/>
  <c r="AI32" i="49"/>
  <c r="AJ32" i="49"/>
  <c r="K32" i="49" s="1"/>
  <c r="E32" i="49" s="1"/>
  <c r="N33" i="49"/>
  <c r="O33" i="49"/>
  <c r="P33" i="49"/>
  <c r="Q33" i="49"/>
  <c r="R33" i="49"/>
  <c r="S33" i="49"/>
  <c r="T33" i="49"/>
  <c r="U33" i="49"/>
  <c r="V33" i="49"/>
  <c r="W33" i="49"/>
  <c r="X33" i="49"/>
  <c r="I33" i="49" s="1"/>
  <c r="D33" i="49" s="1"/>
  <c r="Z33" i="49"/>
  <c r="AA33" i="49"/>
  <c r="AB33" i="49"/>
  <c r="AC33" i="49"/>
  <c r="AD33" i="49"/>
  <c r="AE33" i="49"/>
  <c r="AF33" i="49"/>
  <c r="AG33" i="49"/>
  <c r="AH33" i="49"/>
  <c r="AI33" i="49"/>
  <c r="AJ33" i="49"/>
  <c r="K33" i="49" s="1"/>
  <c r="E33" i="49" s="1"/>
  <c r="N34" i="49"/>
  <c r="O34" i="49"/>
  <c r="P34" i="49"/>
  <c r="Q34" i="49"/>
  <c r="R34" i="49"/>
  <c r="S34" i="49"/>
  <c r="T34" i="49"/>
  <c r="U34" i="49"/>
  <c r="V34" i="49"/>
  <c r="W34" i="49"/>
  <c r="X34" i="49"/>
  <c r="I34" i="49" s="1"/>
  <c r="D34" i="49" s="1"/>
  <c r="Z34" i="49"/>
  <c r="AA34" i="49"/>
  <c r="AB34" i="49"/>
  <c r="AC34" i="49"/>
  <c r="AD34" i="49"/>
  <c r="AE34" i="49"/>
  <c r="AF34" i="49"/>
  <c r="AG34" i="49"/>
  <c r="AH34" i="49"/>
  <c r="AI34" i="49"/>
  <c r="AJ34" i="49"/>
  <c r="K34" i="49" s="1"/>
  <c r="E34" i="49" s="1"/>
  <c r="N35" i="49"/>
  <c r="O35" i="49"/>
  <c r="P35" i="49"/>
  <c r="Q35" i="49"/>
  <c r="R35" i="49"/>
  <c r="S35" i="49"/>
  <c r="T35" i="49"/>
  <c r="U35" i="49"/>
  <c r="V35" i="49"/>
  <c r="W35" i="49"/>
  <c r="X35" i="49"/>
  <c r="I35" i="49" s="1"/>
  <c r="D35" i="49" s="1"/>
  <c r="Z35" i="49"/>
  <c r="AA35" i="49"/>
  <c r="AB35" i="49"/>
  <c r="AC35" i="49"/>
  <c r="AD35" i="49"/>
  <c r="AE35" i="49"/>
  <c r="AF35" i="49"/>
  <c r="AG35" i="49"/>
  <c r="AH35" i="49"/>
  <c r="AI35" i="49"/>
  <c r="AJ35" i="49"/>
  <c r="K35" i="49" s="1"/>
  <c r="E35" i="49" s="1"/>
  <c r="N36" i="49"/>
  <c r="O36" i="49"/>
  <c r="P36" i="49"/>
  <c r="Q36" i="49"/>
  <c r="R36" i="49"/>
  <c r="S36" i="49"/>
  <c r="T36" i="49"/>
  <c r="U36" i="49"/>
  <c r="V36" i="49"/>
  <c r="W36" i="49"/>
  <c r="X36" i="49"/>
  <c r="I36" i="49" s="1"/>
  <c r="D36" i="49" s="1"/>
  <c r="Z36" i="49"/>
  <c r="AA36" i="49"/>
  <c r="AB36" i="49"/>
  <c r="AC36" i="49"/>
  <c r="AD36" i="49"/>
  <c r="AE36" i="49"/>
  <c r="AF36" i="49"/>
  <c r="AG36" i="49"/>
  <c r="AH36" i="49"/>
  <c r="AI36" i="49"/>
  <c r="AJ36" i="49"/>
  <c r="K36" i="49" s="1"/>
  <c r="E36" i="49" s="1"/>
  <c r="N37" i="49"/>
  <c r="O37" i="49"/>
  <c r="P37" i="49"/>
  <c r="Q37" i="49"/>
  <c r="R37" i="49"/>
  <c r="S37" i="49"/>
  <c r="T37" i="49"/>
  <c r="U37" i="49"/>
  <c r="V37" i="49"/>
  <c r="W37" i="49"/>
  <c r="X37" i="49"/>
  <c r="I37" i="49" s="1"/>
  <c r="D37" i="49" s="1"/>
  <c r="Z37" i="49"/>
  <c r="AA37" i="49"/>
  <c r="AB37" i="49"/>
  <c r="AC37" i="49"/>
  <c r="AD37" i="49"/>
  <c r="AE37" i="49"/>
  <c r="AF37" i="49"/>
  <c r="AG37" i="49"/>
  <c r="AH37" i="49"/>
  <c r="AI37" i="49"/>
  <c r="AJ37" i="49"/>
  <c r="K37" i="49" s="1"/>
  <c r="E37" i="49" s="1"/>
  <c r="N38" i="49"/>
  <c r="O38" i="49"/>
  <c r="P38" i="49"/>
  <c r="Q38" i="49"/>
  <c r="R38" i="49"/>
  <c r="S38" i="49"/>
  <c r="T38" i="49"/>
  <c r="U38" i="49"/>
  <c r="V38" i="49"/>
  <c r="W38" i="49"/>
  <c r="X38" i="49"/>
  <c r="I38" i="49" s="1"/>
  <c r="D38" i="49" s="1"/>
  <c r="Z38" i="49"/>
  <c r="AA38" i="49"/>
  <c r="AB38" i="49"/>
  <c r="AC38" i="49"/>
  <c r="AD38" i="49"/>
  <c r="AE38" i="49"/>
  <c r="AF38" i="49"/>
  <c r="AG38" i="49"/>
  <c r="AH38" i="49"/>
  <c r="AI38" i="49"/>
  <c r="AJ38" i="49"/>
  <c r="K38" i="49" s="1"/>
  <c r="E38" i="49" s="1"/>
  <c r="N39" i="49"/>
  <c r="O39" i="49"/>
  <c r="P39" i="49"/>
  <c r="Q39" i="49"/>
  <c r="R39" i="49"/>
  <c r="S39" i="49"/>
  <c r="T39" i="49"/>
  <c r="U39" i="49"/>
  <c r="V39" i="49"/>
  <c r="W39" i="49"/>
  <c r="X39" i="49"/>
  <c r="I39" i="49" s="1"/>
  <c r="D39" i="49" s="1"/>
  <c r="Z39" i="49"/>
  <c r="AA39" i="49"/>
  <c r="AB39" i="49"/>
  <c r="AC39" i="49"/>
  <c r="AD39" i="49"/>
  <c r="AE39" i="49"/>
  <c r="AF39" i="49"/>
  <c r="AG39" i="49"/>
  <c r="AH39" i="49"/>
  <c r="AI39" i="49"/>
  <c r="AJ39" i="49"/>
  <c r="K39" i="49" s="1"/>
  <c r="E39" i="49" s="1"/>
  <c r="N40" i="49"/>
  <c r="O40" i="49"/>
  <c r="P40" i="49"/>
  <c r="Q40" i="49"/>
  <c r="R40" i="49"/>
  <c r="S40" i="49"/>
  <c r="T40" i="49"/>
  <c r="U40" i="49"/>
  <c r="V40" i="49"/>
  <c r="W40" i="49"/>
  <c r="X40" i="49"/>
  <c r="I40" i="49" s="1"/>
  <c r="D40" i="49" s="1"/>
  <c r="Z40" i="49"/>
  <c r="AA40" i="49"/>
  <c r="AB40" i="49"/>
  <c r="AC40" i="49"/>
  <c r="AD40" i="49"/>
  <c r="AE40" i="49"/>
  <c r="AF40" i="49"/>
  <c r="AG40" i="49"/>
  <c r="AH40" i="49"/>
  <c r="AI40" i="49"/>
  <c r="AJ40" i="49"/>
  <c r="K40" i="49" s="1"/>
  <c r="E40" i="49" s="1"/>
  <c r="N41" i="49"/>
  <c r="O41" i="49"/>
  <c r="P41" i="49"/>
  <c r="Q41" i="49"/>
  <c r="R41" i="49"/>
  <c r="S41" i="49"/>
  <c r="T41" i="49"/>
  <c r="U41" i="49"/>
  <c r="V41" i="49"/>
  <c r="W41" i="49"/>
  <c r="X41" i="49"/>
  <c r="I41" i="49" s="1"/>
  <c r="D41" i="49" s="1"/>
  <c r="Z41" i="49"/>
  <c r="AA41" i="49"/>
  <c r="AB41" i="49"/>
  <c r="AC41" i="49"/>
  <c r="AD41" i="49"/>
  <c r="AE41" i="49"/>
  <c r="AF41" i="49"/>
  <c r="AG41" i="49"/>
  <c r="AH41" i="49"/>
  <c r="AI41" i="49"/>
  <c r="AJ41" i="49"/>
  <c r="K41" i="49" s="1"/>
  <c r="E41" i="49" s="1"/>
  <c r="N42" i="49"/>
  <c r="O42" i="49"/>
  <c r="P42" i="49"/>
  <c r="Q42" i="49"/>
  <c r="R42" i="49"/>
  <c r="S42" i="49"/>
  <c r="T42" i="49"/>
  <c r="U42" i="49"/>
  <c r="V42" i="49"/>
  <c r="W42" i="49"/>
  <c r="X42" i="49"/>
  <c r="I42" i="49" s="1"/>
  <c r="D42" i="49" s="1"/>
  <c r="Z42" i="49"/>
  <c r="AA42" i="49"/>
  <c r="AB42" i="49"/>
  <c r="AC42" i="49"/>
  <c r="AD42" i="49"/>
  <c r="AE42" i="49"/>
  <c r="AF42" i="49"/>
  <c r="AG42" i="49"/>
  <c r="AH42" i="49"/>
  <c r="AI42" i="49"/>
  <c r="AJ42" i="49"/>
  <c r="K42" i="49" s="1"/>
  <c r="E42" i="49" s="1"/>
  <c r="N43" i="49"/>
  <c r="O43" i="49"/>
  <c r="P43" i="49"/>
  <c r="Q43" i="49"/>
  <c r="R43" i="49"/>
  <c r="S43" i="49"/>
  <c r="T43" i="49"/>
  <c r="U43" i="49"/>
  <c r="V43" i="49"/>
  <c r="W43" i="49"/>
  <c r="X43" i="49"/>
  <c r="I43" i="49" s="1"/>
  <c r="D43" i="49" s="1"/>
  <c r="Z43" i="49"/>
  <c r="AA43" i="49"/>
  <c r="AB43" i="49"/>
  <c r="AC43" i="49"/>
  <c r="AD43" i="49"/>
  <c r="AE43" i="49"/>
  <c r="AF43" i="49"/>
  <c r="AG43" i="49"/>
  <c r="AH43" i="49"/>
  <c r="AI43" i="49"/>
  <c r="AJ43" i="49"/>
  <c r="K43" i="49" s="1"/>
  <c r="E43" i="49" s="1"/>
  <c r="N44" i="49"/>
  <c r="O44" i="49"/>
  <c r="P44" i="49"/>
  <c r="Q44" i="49"/>
  <c r="R44" i="49"/>
  <c r="S44" i="49"/>
  <c r="T44" i="49"/>
  <c r="U44" i="49"/>
  <c r="V44" i="49"/>
  <c r="W44" i="49"/>
  <c r="X44" i="49"/>
  <c r="I44" i="49" s="1"/>
  <c r="D44" i="49" s="1"/>
  <c r="Z44" i="49"/>
  <c r="AA44" i="49"/>
  <c r="AB44" i="49"/>
  <c r="AC44" i="49"/>
  <c r="AD44" i="49"/>
  <c r="AE44" i="49"/>
  <c r="AF44" i="49"/>
  <c r="AG44" i="49"/>
  <c r="AH44" i="49"/>
  <c r="AI44" i="49"/>
  <c r="AJ44" i="49"/>
  <c r="K44" i="49" s="1"/>
  <c r="E44" i="49" s="1"/>
  <c r="N45" i="49"/>
  <c r="O45" i="49"/>
  <c r="P45" i="49"/>
  <c r="Q45" i="49"/>
  <c r="R45" i="49"/>
  <c r="S45" i="49"/>
  <c r="T45" i="49"/>
  <c r="U45" i="49"/>
  <c r="V45" i="49"/>
  <c r="W45" i="49"/>
  <c r="X45" i="49"/>
  <c r="I45" i="49" s="1"/>
  <c r="D45" i="49" s="1"/>
  <c r="Z45" i="49"/>
  <c r="AA45" i="49"/>
  <c r="AB45" i="49"/>
  <c r="AC45" i="49"/>
  <c r="AD45" i="49"/>
  <c r="AE45" i="49"/>
  <c r="AF45" i="49"/>
  <c r="AG45" i="49"/>
  <c r="AH45" i="49"/>
  <c r="AI45" i="49"/>
  <c r="AJ45" i="49"/>
  <c r="K45" i="49" s="1"/>
  <c r="E45" i="49" s="1"/>
  <c r="B14" i="49"/>
  <c r="C21" i="24"/>
  <c r="C17" i="26"/>
  <c r="D17" i="26"/>
  <c r="E17" i="26"/>
  <c r="F17" i="26"/>
  <c r="G17" i="26"/>
  <c r="H17" i="26"/>
  <c r="I17" i="26"/>
  <c r="J17" i="26"/>
  <c r="K17" i="26"/>
  <c r="L17" i="26"/>
  <c r="M17" i="26"/>
  <c r="N17" i="26"/>
  <c r="O17" i="26"/>
  <c r="P17" i="26"/>
  <c r="Q17" i="26"/>
  <c r="R17" i="26"/>
  <c r="S17" i="26"/>
  <c r="T17" i="26"/>
  <c r="U17" i="26"/>
  <c r="V17" i="26"/>
  <c r="W17" i="26"/>
  <c r="X17" i="26"/>
  <c r="Y17" i="26"/>
  <c r="Z17" i="26"/>
  <c r="AA17" i="26"/>
  <c r="B17" i="26"/>
  <c r="AB17" i="26" s="1"/>
  <c r="AV22" i="41"/>
  <c r="D21" i="24"/>
  <c r="B21" i="24"/>
  <c r="B5" i="25"/>
  <c r="B6" i="25"/>
  <c r="C6" i="25"/>
  <c r="B7" i="25"/>
  <c r="C7" i="25"/>
  <c r="B8" i="25"/>
  <c r="C8" i="25"/>
  <c r="C4" i="25"/>
  <c r="B4" i="25"/>
  <c r="B9" i="25" s="1"/>
  <c r="N8" i="46"/>
  <c r="AL2" i="46"/>
  <c r="AK2" i="46"/>
  <c r="AJ2" i="46"/>
  <c r="AI2" i="46"/>
  <c r="AH2" i="46"/>
  <c r="AG2" i="46"/>
  <c r="AF2" i="46"/>
  <c r="AE2" i="46"/>
  <c r="AL5" i="46"/>
  <c r="AK5" i="46"/>
  <c r="AJ5" i="46"/>
  <c r="AI5" i="46"/>
  <c r="AH5" i="46"/>
  <c r="AG5" i="46"/>
  <c r="AF5" i="46"/>
  <c r="AE5" i="46"/>
  <c r="AD5" i="46"/>
  <c r="AC5" i="46"/>
  <c r="AB5" i="46"/>
  <c r="AA5" i="46"/>
  <c r="Z5" i="46"/>
  <c r="Y5" i="46"/>
  <c r="X5" i="46"/>
  <c r="W5" i="46"/>
  <c r="V5" i="46"/>
  <c r="U5" i="46"/>
  <c r="T5" i="46"/>
  <c r="S5" i="46"/>
  <c r="AD2" i="46"/>
  <c r="AC2" i="46"/>
  <c r="AB2" i="46"/>
  <c r="AA2" i="46"/>
  <c r="Z2" i="46"/>
  <c r="Y2" i="46"/>
  <c r="X2" i="46"/>
  <c r="W2" i="46"/>
  <c r="V2" i="46"/>
  <c r="U2" i="46"/>
  <c r="T2" i="46"/>
  <c r="S2" i="46"/>
  <c r="M2" i="46"/>
  <c r="N2" i="46"/>
  <c r="O2" i="46"/>
  <c r="P2" i="46"/>
  <c r="C6" i="24"/>
  <c r="F33" i="46"/>
  <c r="F32" i="46"/>
  <c r="R5" i="46"/>
  <c r="Q5" i="46"/>
  <c r="P5" i="46"/>
  <c r="O5" i="46"/>
  <c r="N5" i="46"/>
  <c r="M5" i="46"/>
  <c r="M6" i="46" s="1"/>
  <c r="R2" i="46"/>
  <c r="Q2" i="46"/>
  <c r="O8" i="46"/>
  <c r="P8" i="46"/>
  <c r="Q8" i="46"/>
  <c r="R8" i="46"/>
  <c r="S8" i="46"/>
  <c r="T8" i="46"/>
  <c r="U8" i="46"/>
  <c r="V8" i="46"/>
  <c r="W8" i="46"/>
  <c r="X8" i="46"/>
  <c r="Y8" i="46"/>
  <c r="Z8" i="46"/>
  <c r="AA8" i="46"/>
  <c r="AB8" i="46"/>
  <c r="AC8" i="46"/>
  <c r="AD8" i="46"/>
  <c r="AE8" i="46"/>
  <c r="AF8" i="46"/>
  <c r="AG8" i="46"/>
  <c r="AH8" i="46"/>
  <c r="AI8" i="46"/>
  <c r="AJ8" i="46"/>
  <c r="AK8" i="46"/>
  <c r="AL8" i="46"/>
  <c r="M8" i="46"/>
  <c r="B10" i="24"/>
  <c r="E10" i="24" s="1"/>
  <c r="E8" i="24"/>
  <c r="E7" i="24"/>
  <c r="F6" i="24"/>
  <c r="E6" i="24"/>
  <c r="F5" i="24"/>
  <c r="N6" i="46"/>
  <c r="O6" i="46"/>
  <c r="P6" i="46"/>
  <c r="Q6" i="46"/>
  <c r="R6" i="46"/>
  <c r="S6" i="46"/>
  <c r="T6" i="46"/>
  <c r="U6" i="46"/>
  <c r="V6" i="46"/>
  <c r="W6" i="46"/>
  <c r="X6" i="46"/>
  <c r="Y6" i="46"/>
  <c r="Z6" i="46"/>
  <c r="AA6" i="46"/>
  <c r="AB6" i="46"/>
  <c r="AC6" i="46"/>
  <c r="AD6" i="46"/>
  <c r="AE6" i="46"/>
  <c r="AF6" i="46"/>
  <c r="AG6" i="46"/>
  <c r="AH6" i="46"/>
  <c r="AI6" i="46"/>
  <c r="AJ6" i="46"/>
  <c r="AK6" i="46"/>
  <c r="AL6" i="46"/>
  <c r="N3" i="46"/>
  <c r="O3" i="46"/>
  <c r="P3" i="46"/>
  <c r="Q3" i="46"/>
  <c r="R3" i="46"/>
  <c r="S3" i="46"/>
  <c r="T3" i="46"/>
  <c r="U3" i="46"/>
  <c r="V3" i="46"/>
  <c r="V9" i="46" s="1"/>
  <c r="K5" i="26" s="1"/>
  <c r="W3" i="46"/>
  <c r="X3" i="46"/>
  <c r="Y3" i="46"/>
  <c r="Z3" i="46"/>
  <c r="AA3" i="46"/>
  <c r="AB3" i="46"/>
  <c r="AC3" i="46"/>
  <c r="AD3" i="46"/>
  <c r="AE3" i="46"/>
  <c r="AF3" i="46"/>
  <c r="AG3" i="46"/>
  <c r="AH3" i="46"/>
  <c r="AI3" i="46"/>
  <c r="AJ3" i="46"/>
  <c r="AK3" i="46"/>
  <c r="AL3" i="46"/>
  <c r="M3" i="46"/>
  <c r="M9" i="46" s="1"/>
  <c r="X9" i="46"/>
  <c r="M5" i="26" s="1"/>
  <c r="T9" i="46"/>
  <c r="I5" i="26" s="1"/>
  <c r="P9" i="46"/>
  <c r="E5" i="26" s="1"/>
  <c r="AF9" i="46"/>
  <c r="U5" i="26" s="1"/>
  <c r="Q9" i="46"/>
  <c r="F5" i="26" s="1"/>
  <c r="E4" i="47"/>
  <c r="E5" i="47"/>
  <c r="E6" i="47"/>
  <c r="E7" i="47"/>
  <c r="E8" i="47"/>
  <c r="E9" i="47"/>
  <c r="E10" i="47"/>
  <c r="E11" i="47"/>
  <c r="E12" i="47"/>
  <c r="E13" i="47"/>
  <c r="E14" i="47"/>
  <c r="E15" i="47"/>
  <c r="E16" i="47"/>
  <c r="E17" i="47"/>
  <c r="E18" i="47"/>
  <c r="E19" i="47"/>
  <c r="E20" i="47"/>
  <c r="E21" i="47"/>
  <c r="E22" i="47"/>
  <c r="E23" i="47"/>
  <c r="E24" i="47"/>
  <c r="E25" i="47"/>
  <c r="E26" i="47"/>
  <c r="E27" i="47"/>
  <c r="E28" i="47"/>
  <c r="E29" i="47"/>
  <c r="E4" i="46"/>
  <c r="E5" i="46"/>
  <c r="E6" i="46"/>
  <c r="E7" i="46"/>
  <c r="E8" i="46"/>
  <c r="E9" i="46"/>
  <c r="E10" i="46"/>
  <c r="E11" i="46"/>
  <c r="E12" i="46"/>
  <c r="E13" i="46"/>
  <c r="E14" i="46"/>
  <c r="E15" i="46"/>
  <c r="E16" i="46"/>
  <c r="E17" i="46"/>
  <c r="E18" i="46"/>
  <c r="E19" i="46"/>
  <c r="E20" i="46"/>
  <c r="E21" i="46"/>
  <c r="E22" i="46"/>
  <c r="E23" i="46"/>
  <c r="E24" i="46"/>
  <c r="E25" i="46"/>
  <c r="E26" i="46"/>
  <c r="E27" i="46"/>
  <c r="E28" i="46"/>
  <c r="E29" i="46"/>
  <c r="E38" i="43"/>
  <c r="H18" i="26"/>
  <c r="G47" i="39"/>
  <c r="G21" i="39"/>
  <c r="G23" i="39"/>
  <c r="G24" i="39"/>
  <c r="G25" i="39"/>
  <c r="G26" i="39"/>
  <c r="G27" i="39"/>
  <c r="G28" i="39"/>
  <c r="G29" i="39"/>
  <c r="G30" i="39"/>
  <c r="G31" i="39"/>
  <c r="G32" i="39"/>
  <c r="G33" i="39"/>
  <c r="G34" i="39"/>
  <c r="G35" i="39"/>
  <c r="G36" i="39"/>
  <c r="G37" i="39"/>
  <c r="G38" i="39"/>
  <c r="G39" i="39"/>
  <c r="G40" i="39"/>
  <c r="G41" i="39"/>
  <c r="G42" i="39"/>
  <c r="G43" i="39"/>
  <c r="G44" i="39"/>
  <c r="G45" i="39"/>
  <c r="G22" i="39"/>
  <c r="AA18" i="26"/>
  <c r="Z18" i="26"/>
  <c r="Y18" i="26"/>
  <c r="X18" i="26"/>
  <c r="W18" i="26"/>
  <c r="V18" i="26"/>
  <c r="U18" i="26"/>
  <c r="T18" i="26"/>
  <c r="S18" i="26"/>
  <c r="R18" i="26"/>
  <c r="Q18" i="26"/>
  <c r="P18" i="26"/>
  <c r="O18" i="26"/>
  <c r="N18" i="26"/>
  <c r="M18" i="26"/>
  <c r="L18" i="26"/>
  <c r="K18" i="26"/>
  <c r="J18" i="26"/>
  <c r="I18" i="26"/>
  <c r="G18" i="26"/>
  <c r="F18" i="26"/>
  <c r="E18" i="26"/>
  <c r="D18" i="26"/>
  <c r="C18" i="26"/>
  <c r="B18" i="26"/>
  <c r="AB18" i="26" s="1"/>
  <c r="F48" i="42"/>
  <c r="S22" i="41"/>
  <c r="S23" i="41"/>
  <c r="S24" i="41"/>
  <c r="S25" i="41"/>
  <c r="S26" i="41"/>
  <c r="S27" i="41"/>
  <c r="S28" i="41"/>
  <c r="S29" i="41"/>
  <c r="S30" i="41"/>
  <c r="S31" i="41"/>
  <c r="S32" i="41"/>
  <c r="S33" i="41"/>
  <c r="S34" i="41"/>
  <c r="S35" i="41"/>
  <c r="S36" i="41"/>
  <c r="S37" i="41"/>
  <c r="S38" i="41"/>
  <c r="S39" i="41"/>
  <c r="S40" i="41"/>
  <c r="S41" i="41"/>
  <c r="S42" i="41"/>
  <c r="S43" i="41"/>
  <c r="S44" i="41"/>
  <c r="S45" i="41"/>
  <c r="S21" i="41"/>
  <c r="S20" i="41"/>
  <c r="S47" i="41" s="1"/>
  <c r="O6" i="26"/>
  <c r="P6" i="26"/>
  <c r="Q6" i="26"/>
  <c r="R6" i="26"/>
  <c r="S6" i="26"/>
  <c r="T6" i="26"/>
  <c r="U6" i="26"/>
  <c r="V6" i="26"/>
  <c r="W6" i="26"/>
  <c r="X6" i="26"/>
  <c r="Y6" i="26"/>
  <c r="Z6" i="26"/>
  <c r="AA6" i="26"/>
  <c r="H6" i="26"/>
  <c r="I6" i="26"/>
  <c r="J6" i="26"/>
  <c r="K6" i="26"/>
  <c r="L6" i="26"/>
  <c r="M6" i="26"/>
  <c r="N6" i="26"/>
  <c r="G6" i="26"/>
  <c r="E6" i="26"/>
  <c r="F6" i="26"/>
  <c r="D6" i="26"/>
  <c r="C6" i="26"/>
  <c r="AB6" i="26" s="1"/>
  <c r="C45" i="45"/>
  <c r="B45" i="45"/>
  <c r="C44" i="45"/>
  <c r="B44" i="45"/>
  <c r="C43" i="45"/>
  <c r="B43" i="45"/>
  <c r="C42" i="45"/>
  <c r="B42" i="45"/>
  <c r="AB27" i="45"/>
  <c r="AA27" i="45"/>
  <c r="Z27" i="45"/>
  <c r="Y27" i="45"/>
  <c r="X27" i="45"/>
  <c r="W27" i="45"/>
  <c r="V27" i="45"/>
  <c r="U27" i="45"/>
  <c r="T27" i="45"/>
  <c r="S27" i="45"/>
  <c r="R27" i="45"/>
  <c r="Q27" i="45"/>
  <c r="P27" i="45"/>
  <c r="O27" i="45"/>
  <c r="N27" i="45"/>
  <c r="M27" i="45"/>
  <c r="L27" i="45"/>
  <c r="K27" i="45"/>
  <c r="J27" i="45"/>
  <c r="I27" i="45"/>
  <c r="H27" i="45"/>
  <c r="G27" i="45"/>
  <c r="F27" i="45"/>
  <c r="E27" i="45"/>
  <c r="D27" i="45"/>
  <c r="C27" i="45"/>
  <c r="M12" i="45"/>
  <c r="H12" i="45"/>
  <c r="AB11" i="45"/>
  <c r="AB12" i="45" s="1"/>
  <c r="M11" i="45"/>
  <c r="H11" i="45"/>
  <c r="F4" i="45"/>
  <c r="D4" i="45"/>
  <c r="E4" i="45" s="1"/>
  <c r="C4" i="45"/>
  <c r="G4" i="45" s="1"/>
  <c r="H4" i="45" s="1"/>
  <c r="F3" i="45"/>
  <c r="D3" i="45"/>
  <c r="E3" i="45" s="1"/>
  <c r="C3" i="45"/>
  <c r="G3" i="45" s="1"/>
  <c r="H3" i="45" s="1"/>
  <c r="D2" i="45"/>
  <c r="C2" i="45"/>
  <c r="C44" i="44"/>
  <c r="B44" i="44"/>
  <c r="C43" i="44"/>
  <c r="B43" i="44"/>
  <c r="C42" i="44"/>
  <c r="B42" i="44"/>
  <c r="C41" i="44"/>
  <c r="B41" i="44"/>
  <c r="AB27" i="44"/>
  <c r="AA27" i="44"/>
  <c r="Z27" i="44"/>
  <c r="D27" i="44"/>
  <c r="C27" i="44"/>
  <c r="E26" i="44"/>
  <c r="E25" i="44"/>
  <c r="E27" i="44" s="1"/>
  <c r="AB12" i="44"/>
  <c r="H12" i="44"/>
  <c r="AB11" i="44"/>
  <c r="M11" i="44"/>
  <c r="M12" i="44" s="1"/>
  <c r="H11" i="44"/>
  <c r="F4" i="44"/>
  <c r="D4" i="44"/>
  <c r="E4" i="44" s="1"/>
  <c r="C4" i="44"/>
  <c r="G4" i="44" s="1"/>
  <c r="H4" i="44" s="1"/>
  <c r="F3" i="44"/>
  <c r="D3" i="44"/>
  <c r="E3" i="44" s="1"/>
  <c r="C3" i="44"/>
  <c r="G3" i="44" s="1"/>
  <c r="H3" i="44" s="1"/>
  <c r="D2" i="44"/>
  <c r="C2" i="44"/>
  <c r="H105" i="43"/>
  <c r="B105" i="43"/>
  <c r="C105" i="43" s="1"/>
  <c r="H104" i="43"/>
  <c r="I104" i="43" s="1"/>
  <c r="B104" i="43"/>
  <c r="C104" i="43" s="1"/>
  <c r="H103" i="43"/>
  <c r="I103" i="43" s="1"/>
  <c r="J103" i="43" s="1"/>
  <c r="B103" i="43"/>
  <c r="C103" i="43" s="1"/>
  <c r="H102" i="43"/>
  <c r="I102" i="43" s="1"/>
  <c r="B102" i="43"/>
  <c r="C102" i="43" s="1"/>
  <c r="D102" i="43" s="1"/>
  <c r="H101" i="43"/>
  <c r="B101" i="43"/>
  <c r="C101" i="43" s="1"/>
  <c r="D101" i="43" s="1"/>
  <c r="E101" i="43" s="1"/>
  <c r="H100" i="43"/>
  <c r="I100" i="43" s="1"/>
  <c r="B100" i="43"/>
  <c r="C100" i="43" s="1"/>
  <c r="D100" i="43" s="1"/>
  <c r="E100" i="43" s="1"/>
  <c r="A97" i="43"/>
  <c r="A96" i="43"/>
  <c r="A95" i="43"/>
  <c r="A94" i="43"/>
  <c r="A93" i="43"/>
  <c r="A92" i="43"/>
  <c r="H79" i="43"/>
  <c r="I79" i="43" s="1"/>
  <c r="J79" i="43" s="1"/>
  <c r="B79" i="43"/>
  <c r="C79" i="43" s="1"/>
  <c r="C71" i="43" s="1"/>
  <c r="H78" i="43"/>
  <c r="I78" i="43" s="1"/>
  <c r="J78" i="43" s="1"/>
  <c r="K78" i="43" s="1"/>
  <c r="L78" i="43" s="1"/>
  <c r="M78" i="43" s="1"/>
  <c r="B78" i="43"/>
  <c r="C78" i="43" s="1"/>
  <c r="D78" i="43" s="1"/>
  <c r="D70" i="43" s="1"/>
  <c r="H77" i="43"/>
  <c r="I77" i="43" s="1"/>
  <c r="B77" i="43"/>
  <c r="C77" i="43" s="1"/>
  <c r="D77" i="43" s="1"/>
  <c r="D69" i="43" s="1"/>
  <c r="H76" i="43"/>
  <c r="I76" i="43" s="1"/>
  <c r="B76" i="43"/>
  <c r="C76" i="43" s="1"/>
  <c r="D76" i="43" s="1"/>
  <c r="E76" i="43" s="1"/>
  <c r="F76" i="43" s="1"/>
  <c r="G76" i="43" s="1"/>
  <c r="H75" i="43"/>
  <c r="I75" i="43" s="1"/>
  <c r="J75" i="43" s="1"/>
  <c r="B75" i="43"/>
  <c r="C75" i="43" s="1"/>
  <c r="H74" i="43"/>
  <c r="I74" i="43" s="1"/>
  <c r="J74" i="43" s="1"/>
  <c r="K74" i="43" s="1"/>
  <c r="L74" i="43" s="1"/>
  <c r="B74" i="43"/>
  <c r="C74" i="43" s="1"/>
  <c r="D74" i="43" s="1"/>
  <c r="A71" i="43"/>
  <c r="A70" i="43"/>
  <c r="A69" i="43"/>
  <c r="A68" i="43"/>
  <c r="A67" i="43"/>
  <c r="C66" i="43"/>
  <c r="A66" i="43"/>
  <c r="H95" i="43"/>
  <c r="E37" i="43"/>
  <c r="B21" i="43"/>
  <c r="B15" i="43"/>
  <c r="N8" i="43"/>
  <c r="O8" i="43" s="1"/>
  <c r="H19" i="43" s="1"/>
  <c r="M8" i="43"/>
  <c r="F8" i="43"/>
  <c r="G8" i="43" s="1"/>
  <c r="C19" i="43" s="1"/>
  <c r="D8" i="43"/>
  <c r="N7" i="43"/>
  <c r="O7" i="43" s="1"/>
  <c r="L7" i="43"/>
  <c r="M7" i="43" s="1"/>
  <c r="F7" i="43"/>
  <c r="G7" i="43" s="1"/>
  <c r="D7" i="43"/>
  <c r="E7" i="43" s="1"/>
  <c r="B9" i="42"/>
  <c r="B16" i="42" s="1"/>
  <c r="B10" i="42"/>
  <c r="B17" i="42" s="1"/>
  <c r="E20" i="42"/>
  <c r="E21" i="42"/>
  <c r="E22" i="42"/>
  <c r="E23" i="42"/>
  <c r="E24" i="42"/>
  <c r="E25" i="42"/>
  <c r="E26" i="42"/>
  <c r="E27" i="42"/>
  <c r="E28" i="42"/>
  <c r="E29" i="42"/>
  <c r="E30" i="42"/>
  <c r="E31" i="42"/>
  <c r="E32" i="42"/>
  <c r="E33" i="42"/>
  <c r="E34" i="42"/>
  <c r="E35" i="42"/>
  <c r="E36" i="42"/>
  <c r="E37" i="42"/>
  <c r="E38" i="42"/>
  <c r="E39" i="42"/>
  <c r="E40" i="42"/>
  <c r="E41" i="42"/>
  <c r="E42" i="42"/>
  <c r="E43" i="42"/>
  <c r="E44" i="42"/>
  <c r="E45" i="42"/>
  <c r="D23" i="24" l="1"/>
  <c r="C5" i="25"/>
  <c r="B23" i="24"/>
  <c r="F21" i="24"/>
  <c r="E21" i="24"/>
  <c r="D8" i="13"/>
  <c r="J20" i="13"/>
  <c r="J18" i="13"/>
  <c r="I5" i="13"/>
  <c r="E5" i="14"/>
  <c r="E6" i="14" s="1"/>
  <c r="D6" i="14"/>
  <c r="I8" i="13"/>
  <c r="G9" i="13"/>
  <c r="J21" i="13"/>
  <c r="J15" i="13"/>
  <c r="D7" i="13"/>
  <c r="C7" i="13"/>
  <c r="G22" i="13"/>
  <c r="C22" i="13"/>
  <c r="B22" i="13"/>
  <c r="B7" i="13"/>
  <c r="E7" i="13" s="1"/>
  <c r="J8" i="13"/>
  <c r="I7" i="13"/>
  <c r="J7" i="13" s="1"/>
  <c r="C8" i="13"/>
  <c r="J12" i="13"/>
  <c r="B8" i="13"/>
  <c r="B5" i="13"/>
  <c r="E5" i="13" s="1"/>
  <c r="C5" i="13"/>
  <c r="F5" i="13" s="1"/>
  <c r="J13" i="13"/>
  <c r="AB11" i="21"/>
  <c r="AC38" i="21"/>
  <c r="M38" i="21"/>
  <c r="Q11" i="21"/>
  <c r="S11" i="21"/>
  <c r="D9" i="21"/>
  <c r="D10" i="21" s="1"/>
  <c r="C42" i="21"/>
  <c r="R11" i="21"/>
  <c r="N38" i="21"/>
  <c r="C41" i="21"/>
  <c r="AC11" i="21"/>
  <c r="M11" i="21"/>
  <c r="F4" i="21"/>
  <c r="F15" i="21" s="1"/>
  <c r="C40" i="21"/>
  <c r="E4" i="21"/>
  <c r="E15" i="21" s="1"/>
  <c r="X38" i="21"/>
  <c r="C46" i="21"/>
  <c r="C39" i="21"/>
  <c r="W38" i="21"/>
  <c r="V38" i="21"/>
  <c r="F38" i="21"/>
  <c r="T38" i="21"/>
  <c r="G5" i="14"/>
  <c r="F5" i="14"/>
  <c r="C45" i="14"/>
  <c r="M38" i="14"/>
  <c r="M11" i="14"/>
  <c r="N38" i="14"/>
  <c r="Z38" i="14"/>
  <c r="P38" i="14"/>
  <c r="J38" i="14"/>
  <c r="F38" i="14"/>
  <c r="AB38" i="14"/>
  <c r="C44" i="14"/>
  <c r="S38" i="14"/>
  <c r="C43" i="14"/>
  <c r="C42" i="14"/>
  <c r="B42" i="14"/>
  <c r="C41" i="14"/>
  <c r="B41" i="14"/>
  <c r="C40" i="14"/>
  <c r="C46" i="14"/>
  <c r="C39" i="14"/>
  <c r="P11" i="14"/>
  <c r="Y38" i="14"/>
  <c r="I38" i="14"/>
  <c r="W38" i="14"/>
  <c r="G38" i="14"/>
  <c r="I11" i="14"/>
  <c r="T38" i="14"/>
  <c r="G11" i="14"/>
  <c r="R38" i="14"/>
  <c r="F11" i="14"/>
  <c r="Q38" i="14"/>
  <c r="W11" i="14"/>
  <c r="L38" i="14"/>
  <c r="B40" i="14"/>
  <c r="X38" i="14"/>
  <c r="H38" i="14"/>
  <c r="B46" i="14"/>
  <c r="B39" i="14"/>
  <c r="V38" i="14"/>
  <c r="N11" i="14"/>
  <c r="E9" i="14"/>
  <c r="E10" i="14" s="1"/>
  <c r="U38" i="14"/>
  <c r="E38" i="14"/>
  <c r="D9" i="14"/>
  <c r="D10" i="14" s="1"/>
  <c r="B11" i="26" s="1"/>
  <c r="B45" i="14"/>
  <c r="Z11" i="14"/>
  <c r="J11" i="14"/>
  <c r="G4" i="14"/>
  <c r="F4" i="14"/>
  <c r="B43" i="14"/>
  <c r="O38" i="14"/>
  <c r="AC38" i="14"/>
  <c r="T11" i="14"/>
  <c r="AA38" i="14"/>
  <c r="K38" i="14"/>
  <c r="G15" i="21"/>
  <c r="I22" i="13"/>
  <c r="J19" i="13"/>
  <c r="J16" i="13"/>
  <c r="D6" i="21"/>
  <c r="J5" i="13"/>
  <c r="G5" i="21"/>
  <c r="G6" i="21" s="1"/>
  <c r="F5" i="21"/>
  <c r="D22" i="13"/>
  <c r="E5" i="21"/>
  <c r="H6" i="13"/>
  <c r="J17" i="13"/>
  <c r="D16" i="21"/>
  <c r="D17" i="21"/>
  <c r="D18" i="21"/>
  <c r="D19" i="21"/>
  <c r="D20" i="21"/>
  <c r="D15" i="21"/>
  <c r="D15" i="14"/>
  <c r="F45" i="49"/>
  <c r="G45" i="49" s="1"/>
  <c r="F44" i="49"/>
  <c r="G44" i="49" s="1"/>
  <c r="F43" i="49"/>
  <c r="G43" i="49" s="1"/>
  <c r="F42" i="49"/>
  <c r="G42" i="49" s="1"/>
  <c r="F41" i="49"/>
  <c r="G41" i="49" s="1"/>
  <c r="F40" i="49"/>
  <c r="G40" i="49" s="1"/>
  <c r="F39" i="49"/>
  <c r="G39" i="49" s="1"/>
  <c r="F38" i="49"/>
  <c r="G38" i="49" s="1"/>
  <c r="F37" i="49"/>
  <c r="G37" i="49" s="1"/>
  <c r="F36" i="49"/>
  <c r="G36" i="49" s="1"/>
  <c r="F35" i="49"/>
  <c r="G35" i="49" s="1"/>
  <c r="F34" i="49"/>
  <c r="G34" i="49" s="1"/>
  <c r="F33" i="49"/>
  <c r="G33" i="49" s="1"/>
  <c r="F32" i="49"/>
  <c r="G32" i="49" s="1"/>
  <c r="F31" i="49"/>
  <c r="G31" i="49" s="1"/>
  <c r="AA23" i="49"/>
  <c r="AG23" i="49" s="1"/>
  <c r="AA24" i="49"/>
  <c r="AG24" i="49" s="1"/>
  <c r="AA25" i="49"/>
  <c r="AG25" i="49" s="1"/>
  <c r="AA26" i="49"/>
  <c r="AG26" i="49" s="1"/>
  <c r="AA27" i="49"/>
  <c r="AG27" i="49" s="1"/>
  <c r="AA28" i="49"/>
  <c r="AG28" i="49" s="1"/>
  <c r="AA29" i="49"/>
  <c r="AG29" i="49" s="1"/>
  <c r="AA30" i="49"/>
  <c r="AG30" i="49" s="1"/>
  <c r="O23" i="49"/>
  <c r="U23" i="49" s="1"/>
  <c r="O24" i="49"/>
  <c r="U24" i="49" s="1"/>
  <c r="O25" i="49"/>
  <c r="U25" i="49" s="1"/>
  <c r="O26" i="49"/>
  <c r="U26" i="49" s="1"/>
  <c r="O27" i="49"/>
  <c r="U27" i="49" s="1"/>
  <c r="O28" i="49"/>
  <c r="U28" i="49" s="1"/>
  <c r="O29" i="49"/>
  <c r="U29" i="49" s="1"/>
  <c r="D68" i="43"/>
  <c r="D93" i="43"/>
  <c r="C94" i="43"/>
  <c r="C92" i="43"/>
  <c r="C70" i="43"/>
  <c r="D92" i="43"/>
  <c r="E68" i="43"/>
  <c r="C93" i="43"/>
  <c r="C9" i="25"/>
  <c r="C20" i="43"/>
  <c r="F20" i="43"/>
  <c r="E20" i="43"/>
  <c r="D20" i="43"/>
  <c r="E8" i="43"/>
  <c r="Q20" i="43"/>
  <c r="N20" i="43"/>
  <c r="B49" i="43"/>
  <c r="I71" i="43"/>
  <c r="J70" i="43"/>
  <c r="I70" i="43"/>
  <c r="H70" i="43"/>
  <c r="H69" i="43"/>
  <c r="F68" i="43"/>
  <c r="H67" i="43"/>
  <c r="J66" i="43"/>
  <c r="J67" i="43"/>
  <c r="J71" i="43"/>
  <c r="F10" i="24"/>
  <c r="AG9" i="46"/>
  <c r="V5" i="26" s="1"/>
  <c r="Y9" i="46"/>
  <c r="N5" i="26" s="1"/>
  <c r="R10" i="46"/>
  <c r="AL10" i="46"/>
  <c r="AL9" i="46"/>
  <c r="AA5" i="26" s="1"/>
  <c r="AD9" i="46"/>
  <c r="S5" i="26" s="1"/>
  <c r="N9" i="46"/>
  <c r="AK9" i="46"/>
  <c r="Z5" i="26" s="1"/>
  <c r="U9" i="46"/>
  <c r="J5" i="26" s="1"/>
  <c r="AC9" i="46"/>
  <c r="R5" i="26" s="1"/>
  <c r="AI9" i="46"/>
  <c r="X5" i="26" s="1"/>
  <c r="AA9" i="46"/>
  <c r="P5" i="26" s="1"/>
  <c r="S9" i="46"/>
  <c r="H5" i="26" s="1"/>
  <c r="AH9" i="46"/>
  <c r="W5" i="26" s="1"/>
  <c r="Z9" i="46"/>
  <c r="O5" i="26" s="1"/>
  <c r="R9" i="46"/>
  <c r="G5" i="26" s="1"/>
  <c r="AJ9" i="46"/>
  <c r="Y5" i="26" s="1"/>
  <c r="AB9" i="46"/>
  <c r="Q5" i="26" s="1"/>
  <c r="AE9" i="46"/>
  <c r="T5" i="26" s="1"/>
  <c r="W9" i="46"/>
  <c r="L5" i="26" s="1"/>
  <c r="O9" i="46"/>
  <c r="D5" i="26" s="1"/>
  <c r="I68" i="43"/>
  <c r="J76" i="43"/>
  <c r="C95" i="43"/>
  <c r="D103" i="43"/>
  <c r="D95" i="43" s="1"/>
  <c r="V16" i="44"/>
  <c r="F16" i="44"/>
  <c r="F21" i="44" s="1"/>
  <c r="V15" i="45"/>
  <c r="N15" i="45"/>
  <c r="F15" i="45"/>
  <c r="I15" i="45"/>
  <c r="I20" i="45" s="1"/>
  <c r="I29" i="45" s="1"/>
  <c r="G15" i="45"/>
  <c r="G20" i="45" s="1"/>
  <c r="G29" i="45" s="1"/>
  <c r="U15" i="45"/>
  <c r="U20" i="45" s="1"/>
  <c r="U29" i="45" s="1"/>
  <c r="M15" i="45"/>
  <c r="M20" i="45" s="1"/>
  <c r="M29" i="45" s="1"/>
  <c r="E15" i="45"/>
  <c r="E20" i="45" s="1"/>
  <c r="E29" i="45" s="1"/>
  <c r="AB15" i="45"/>
  <c r="T15" i="45"/>
  <c r="T20" i="45" s="1"/>
  <c r="T29" i="45" s="1"/>
  <c r="L15" i="45"/>
  <c r="L20" i="45" s="1"/>
  <c r="L29" i="45" s="1"/>
  <c r="D15" i="45"/>
  <c r="D20" i="45" s="1"/>
  <c r="D29" i="45" s="1"/>
  <c r="W15" i="45"/>
  <c r="W20" i="45" s="1"/>
  <c r="W29" i="45" s="1"/>
  <c r="AA15" i="45"/>
  <c r="AA20" i="45" s="1"/>
  <c r="AA29" i="45" s="1"/>
  <c r="S15" i="45"/>
  <c r="S20" i="45" s="1"/>
  <c r="S29" i="45" s="1"/>
  <c r="K15" i="45"/>
  <c r="K20" i="45" s="1"/>
  <c r="K29" i="45" s="1"/>
  <c r="C15" i="45"/>
  <c r="C20" i="45" s="1"/>
  <c r="C29" i="45" s="1"/>
  <c r="Y15" i="45"/>
  <c r="Z15" i="45"/>
  <c r="R15" i="45"/>
  <c r="J15" i="45"/>
  <c r="J20" i="45" s="1"/>
  <c r="J29" i="45" s="1"/>
  <c r="Q15" i="45"/>
  <c r="Q20" i="45" s="1"/>
  <c r="Q29" i="45" s="1"/>
  <c r="X15" i="45"/>
  <c r="X20" i="45" s="1"/>
  <c r="X29" i="45" s="1"/>
  <c r="P15" i="45"/>
  <c r="H15" i="45"/>
  <c r="H20" i="45" s="1"/>
  <c r="H29" i="45" s="1"/>
  <c r="O15" i="45"/>
  <c r="AB16" i="45"/>
  <c r="T16" i="45"/>
  <c r="L16" i="45"/>
  <c r="L21" i="45" s="1"/>
  <c r="L30" i="45" s="1"/>
  <c r="D16" i="45"/>
  <c r="D21" i="45" s="1"/>
  <c r="D30" i="45" s="1"/>
  <c r="O16" i="45"/>
  <c r="O21" i="45" s="1"/>
  <c r="O30" i="45" s="1"/>
  <c r="U16" i="45"/>
  <c r="U21" i="45" s="1"/>
  <c r="U30" i="45" s="1"/>
  <c r="AA16" i="45"/>
  <c r="AA21" i="45" s="1"/>
  <c r="AA30" i="45" s="1"/>
  <c r="S16" i="45"/>
  <c r="S21" i="45" s="1"/>
  <c r="S30" i="45" s="1"/>
  <c r="K16" i="45"/>
  <c r="K21" i="45" s="1"/>
  <c r="K30" i="45" s="1"/>
  <c r="C16" i="45"/>
  <c r="C21" i="45" s="1"/>
  <c r="C30" i="45" s="1"/>
  <c r="Z16" i="45"/>
  <c r="Z21" i="45" s="1"/>
  <c r="Z30" i="45" s="1"/>
  <c r="R16" i="45"/>
  <c r="R21" i="45" s="1"/>
  <c r="R30" i="45" s="1"/>
  <c r="J16" i="45"/>
  <c r="J21" i="45" s="1"/>
  <c r="J30" i="45" s="1"/>
  <c r="G16" i="45"/>
  <c r="Y16" i="45"/>
  <c r="Y21" i="45" s="1"/>
  <c r="Y30" i="45" s="1"/>
  <c r="Q16" i="45"/>
  <c r="Q21" i="45" s="1"/>
  <c r="Q30" i="45" s="1"/>
  <c r="I16" i="45"/>
  <c r="I21" i="45" s="1"/>
  <c r="I30" i="45" s="1"/>
  <c r="M16" i="45"/>
  <c r="M21" i="45" s="1"/>
  <c r="M30" i="45" s="1"/>
  <c r="X16" i="45"/>
  <c r="X21" i="45" s="1"/>
  <c r="X30" i="45" s="1"/>
  <c r="P16" i="45"/>
  <c r="P21" i="45" s="1"/>
  <c r="P30" i="45" s="1"/>
  <c r="H16" i="45"/>
  <c r="H21" i="45" s="1"/>
  <c r="H30" i="45" s="1"/>
  <c r="W16" i="45"/>
  <c r="W21" i="45" s="1"/>
  <c r="W30" i="45" s="1"/>
  <c r="E16" i="45"/>
  <c r="V16" i="45"/>
  <c r="N16" i="45"/>
  <c r="F16" i="45"/>
  <c r="Z20" i="45"/>
  <c r="Z29" i="45" s="1"/>
  <c r="AB20" i="45"/>
  <c r="AB29" i="45" s="1"/>
  <c r="F20" i="45"/>
  <c r="F29" i="45" s="1"/>
  <c r="N20" i="45"/>
  <c r="N29" i="45" s="1"/>
  <c r="V20" i="45"/>
  <c r="V29" i="45" s="1"/>
  <c r="T21" i="45"/>
  <c r="T30" i="45" s="1"/>
  <c r="AB21" i="45"/>
  <c r="AB30" i="45" s="1"/>
  <c r="O20" i="45"/>
  <c r="O29" i="45" s="1"/>
  <c r="E21" i="45"/>
  <c r="E30" i="45" s="1"/>
  <c r="P20" i="45"/>
  <c r="P29" i="45" s="1"/>
  <c r="F21" i="45"/>
  <c r="F30" i="45" s="1"/>
  <c r="N21" i="45"/>
  <c r="N30" i="45" s="1"/>
  <c r="V21" i="45"/>
  <c r="V30" i="45" s="1"/>
  <c r="Y20" i="45"/>
  <c r="Y29" i="45" s="1"/>
  <c r="Y31" i="45" s="1"/>
  <c r="X8" i="26" s="1"/>
  <c r="G21" i="45"/>
  <c r="G30" i="45" s="1"/>
  <c r="R20" i="45"/>
  <c r="R29" i="45" s="1"/>
  <c r="W15" i="44"/>
  <c r="W20" i="44" s="1"/>
  <c r="O15" i="44"/>
  <c r="O20" i="44" s="1"/>
  <c r="G15" i="44"/>
  <c r="G20" i="44" s="1"/>
  <c r="V15" i="44"/>
  <c r="V20" i="44" s="1"/>
  <c r="N15" i="44"/>
  <c r="N20" i="44" s="1"/>
  <c r="F15" i="44"/>
  <c r="F20" i="44" s="1"/>
  <c r="AB15" i="44"/>
  <c r="AB20" i="44" s="1"/>
  <c r="AB29" i="44" s="1"/>
  <c r="T15" i="44"/>
  <c r="T20" i="44" s="1"/>
  <c r="L15" i="44"/>
  <c r="L20" i="44" s="1"/>
  <c r="D15" i="44"/>
  <c r="D20" i="44" s="1"/>
  <c r="D29" i="44" s="1"/>
  <c r="R15" i="44"/>
  <c r="R20" i="44" s="1"/>
  <c r="Y15" i="44"/>
  <c r="Y20" i="44" s="1"/>
  <c r="I15" i="44"/>
  <c r="I20" i="44" s="1"/>
  <c r="AA15" i="44"/>
  <c r="S15" i="44"/>
  <c r="K15" i="44"/>
  <c r="K20" i="44" s="1"/>
  <c r="C15" i="44"/>
  <c r="Z15" i="44"/>
  <c r="Z20" i="44" s="1"/>
  <c r="Z29" i="44" s="1"/>
  <c r="J15" i="44"/>
  <c r="J20" i="44" s="1"/>
  <c r="Q15" i="44"/>
  <c r="Q20" i="44" s="1"/>
  <c r="U16" i="44"/>
  <c r="M16" i="44"/>
  <c r="M21" i="44" s="1"/>
  <c r="E16" i="44"/>
  <c r="E21" i="44" s="1"/>
  <c r="E30" i="44" s="1"/>
  <c r="AB16" i="44"/>
  <c r="AB21" i="44" s="1"/>
  <c r="AB30" i="44" s="1"/>
  <c r="T16" i="44"/>
  <c r="L16" i="44"/>
  <c r="L21" i="44" s="1"/>
  <c r="D16" i="44"/>
  <c r="D21" i="44" s="1"/>
  <c r="D30" i="44" s="1"/>
  <c r="S16" i="44"/>
  <c r="S21" i="44" s="1"/>
  <c r="C16" i="44"/>
  <c r="C21" i="44" s="1"/>
  <c r="C30" i="44" s="1"/>
  <c r="AA16" i="44"/>
  <c r="AA21" i="44" s="1"/>
  <c r="AA30" i="44" s="1"/>
  <c r="K16" i="44"/>
  <c r="K21" i="44" s="1"/>
  <c r="Z16" i="44"/>
  <c r="Z21" i="44" s="1"/>
  <c r="Z30" i="44" s="1"/>
  <c r="R16" i="44"/>
  <c r="R21" i="44" s="1"/>
  <c r="J16" i="44"/>
  <c r="J21" i="44" s="1"/>
  <c r="P16" i="44"/>
  <c r="P21" i="44" s="1"/>
  <c r="O16" i="44"/>
  <c r="O21" i="44" s="1"/>
  <c r="Y16" i="44"/>
  <c r="Y21" i="44" s="1"/>
  <c r="Q16" i="44"/>
  <c r="Q21" i="44" s="1"/>
  <c r="I16" i="44"/>
  <c r="I21" i="44" s="1"/>
  <c r="X16" i="44"/>
  <c r="X21" i="44" s="1"/>
  <c r="H16" i="44"/>
  <c r="H21" i="44" s="1"/>
  <c r="W16" i="44"/>
  <c r="W21" i="44" s="1"/>
  <c r="G16" i="44"/>
  <c r="G21" i="44" s="1"/>
  <c r="N16" i="44"/>
  <c r="E15" i="44"/>
  <c r="E20" i="44" s="1"/>
  <c r="E29" i="44" s="1"/>
  <c r="AA20" i="44"/>
  <c r="AA29" i="44" s="1"/>
  <c r="P15" i="44"/>
  <c r="P20" i="44" s="1"/>
  <c r="M15" i="44"/>
  <c r="M20" i="44" s="1"/>
  <c r="U15" i="44"/>
  <c r="U20" i="44" s="1"/>
  <c r="H15" i="44"/>
  <c r="H20" i="44" s="1"/>
  <c r="X15" i="44"/>
  <c r="X20" i="44" s="1"/>
  <c r="F26" i="44"/>
  <c r="U21" i="44"/>
  <c r="T21" i="44"/>
  <c r="N21" i="44"/>
  <c r="V21" i="44"/>
  <c r="F25" i="44"/>
  <c r="C20" i="44"/>
  <c r="C29" i="44" s="1"/>
  <c r="C31" i="44" s="1"/>
  <c r="S20" i="44"/>
  <c r="I19" i="43"/>
  <c r="M74" i="43"/>
  <c r="L66" i="43"/>
  <c r="F14" i="43"/>
  <c r="E14" i="43"/>
  <c r="G14" i="43"/>
  <c r="D14" i="43"/>
  <c r="C14" i="43"/>
  <c r="Y14" i="43"/>
  <c r="Q14" i="43"/>
  <c r="I14" i="43"/>
  <c r="X14" i="43"/>
  <c r="P14" i="43"/>
  <c r="H14" i="43"/>
  <c r="V14" i="43"/>
  <c r="N14" i="43"/>
  <c r="U14" i="43"/>
  <c r="M14" i="43"/>
  <c r="AA14" i="43"/>
  <c r="K14" i="43"/>
  <c r="Z14" i="43"/>
  <c r="J14" i="43"/>
  <c r="L14" i="43"/>
  <c r="W14" i="43"/>
  <c r="S14" i="43"/>
  <c r="O14" i="43"/>
  <c r="T14" i="43"/>
  <c r="R14" i="43"/>
  <c r="D19" i="43"/>
  <c r="C21" i="43"/>
  <c r="C22" i="43" s="1"/>
  <c r="E74" i="43"/>
  <c r="D66" i="43"/>
  <c r="C67" i="43"/>
  <c r="D75" i="43"/>
  <c r="AA20" i="43"/>
  <c r="S20" i="43"/>
  <c r="K20" i="43"/>
  <c r="Z20" i="43"/>
  <c r="R20" i="43"/>
  <c r="J20" i="43"/>
  <c r="X20" i="43"/>
  <c r="P20" i="43"/>
  <c r="H20" i="43"/>
  <c r="H21" i="43" s="1"/>
  <c r="H22" i="43" s="1"/>
  <c r="H9" i="26" s="1"/>
  <c r="W20" i="43"/>
  <c r="O20" i="43"/>
  <c r="C13" i="43"/>
  <c r="G9" i="43"/>
  <c r="U20" i="43"/>
  <c r="K66" i="43"/>
  <c r="E78" i="43"/>
  <c r="H93" i="43"/>
  <c r="B27" i="43"/>
  <c r="M70" i="43"/>
  <c r="N78" i="43"/>
  <c r="T20" i="43"/>
  <c r="F101" i="43"/>
  <c r="E93" i="43"/>
  <c r="V20" i="43"/>
  <c r="N9" i="43"/>
  <c r="I20" i="43"/>
  <c r="Y20" i="43"/>
  <c r="K75" i="43"/>
  <c r="I95" i="43"/>
  <c r="I101" i="43"/>
  <c r="K103" i="43"/>
  <c r="J95" i="43"/>
  <c r="O9" i="43"/>
  <c r="H13" i="43"/>
  <c r="L20" i="43"/>
  <c r="H94" i="43"/>
  <c r="J77" i="43"/>
  <c r="I69" i="43"/>
  <c r="M20" i="43"/>
  <c r="D79" i="43"/>
  <c r="F100" i="43"/>
  <c r="E92" i="43"/>
  <c r="E102" i="43"/>
  <c r="D94" i="43"/>
  <c r="I92" i="43"/>
  <c r="J100" i="43"/>
  <c r="D104" i="43"/>
  <c r="C96" i="43"/>
  <c r="I96" i="43"/>
  <c r="F9" i="43"/>
  <c r="G20" i="43"/>
  <c r="G68" i="43"/>
  <c r="K70" i="43"/>
  <c r="J104" i="43"/>
  <c r="C97" i="43"/>
  <c r="D105" i="43"/>
  <c r="H68" i="43"/>
  <c r="L70" i="43"/>
  <c r="H71" i="43"/>
  <c r="I94" i="43"/>
  <c r="J102" i="43"/>
  <c r="H97" i="43"/>
  <c r="H66" i="43"/>
  <c r="I67" i="43"/>
  <c r="C69" i="43"/>
  <c r="E77" i="43"/>
  <c r="K79" i="43"/>
  <c r="E103" i="43"/>
  <c r="I105" i="43"/>
  <c r="I66" i="43"/>
  <c r="C68" i="43"/>
  <c r="B85" i="43" s="1"/>
  <c r="H92" i="43"/>
  <c r="H96" i="43"/>
  <c r="F8" i="24"/>
  <c r="F7" i="24"/>
  <c r="D4" i="23"/>
  <c r="E4" i="23" s="1"/>
  <c r="E9" i="23" s="1"/>
  <c r="D5" i="23"/>
  <c r="H6" i="23"/>
  <c r="I6" i="23"/>
  <c r="B27" i="23"/>
  <c r="C27" i="23"/>
  <c r="B28" i="23"/>
  <c r="B39" i="23" s="1"/>
  <c r="C28" i="23"/>
  <c r="C39" i="23" s="1"/>
  <c r="B29" i="23"/>
  <c r="B40" i="23" s="1"/>
  <c r="C29" i="23"/>
  <c r="C40" i="23" s="1"/>
  <c r="B30" i="23"/>
  <c r="B41" i="23" s="1"/>
  <c r="C30" i="23"/>
  <c r="B31" i="23"/>
  <c r="C31" i="23"/>
  <c r="B32" i="23"/>
  <c r="B42" i="23" s="1"/>
  <c r="C32" i="23"/>
  <c r="C42" i="23" s="1"/>
  <c r="B33" i="23"/>
  <c r="B43" i="23" s="1"/>
  <c r="C33" i="23"/>
  <c r="C43" i="23" s="1"/>
  <c r="B34" i="23"/>
  <c r="B45" i="23" s="1"/>
  <c r="C34" i="23"/>
  <c r="C44" i="23" s="1"/>
  <c r="B35" i="23"/>
  <c r="C35" i="23"/>
  <c r="B36" i="23"/>
  <c r="C36" i="23"/>
  <c r="C46" i="23" s="1"/>
  <c r="D39" i="23"/>
  <c r="D11" i="23" s="1"/>
  <c r="E39" i="23"/>
  <c r="E11" i="23" s="1"/>
  <c r="F39" i="23"/>
  <c r="F11" i="23" s="1"/>
  <c r="G39" i="23"/>
  <c r="G11" i="23" s="1"/>
  <c r="H39" i="23"/>
  <c r="H11" i="23" s="1"/>
  <c r="I39" i="23"/>
  <c r="I11" i="23" s="1"/>
  <c r="J39" i="23"/>
  <c r="J11" i="23" s="1"/>
  <c r="K39" i="23"/>
  <c r="K11" i="23" s="1"/>
  <c r="L39" i="23"/>
  <c r="L11" i="23" s="1"/>
  <c r="M39" i="23"/>
  <c r="M11" i="23" s="1"/>
  <c r="N39" i="23"/>
  <c r="N11" i="23" s="1"/>
  <c r="O39" i="23"/>
  <c r="O11" i="23" s="1"/>
  <c r="P39" i="23"/>
  <c r="P11" i="23" s="1"/>
  <c r="Q39" i="23"/>
  <c r="Q11" i="23" s="1"/>
  <c r="R39" i="23"/>
  <c r="R11" i="23" s="1"/>
  <c r="S39" i="23"/>
  <c r="S11" i="23" s="1"/>
  <c r="T39" i="23"/>
  <c r="T11" i="23" s="1"/>
  <c r="U39" i="23"/>
  <c r="U11" i="23" s="1"/>
  <c r="V39" i="23"/>
  <c r="V11" i="23" s="1"/>
  <c r="W39" i="23"/>
  <c r="W11" i="23" s="1"/>
  <c r="X39" i="23"/>
  <c r="X11" i="23" s="1"/>
  <c r="Y39" i="23"/>
  <c r="Y11" i="23" s="1"/>
  <c r="Z39" i="23"/>
  <c r="Z11" i="23" s="1"/>
  <c r="AA39" i="23"/>
  <c r="AA11" i="23" s="1"/>
  <c r="AB39" i="23"/>
  <c r="AB11" i="23" s="1"/>
  <c r="AC39" i="23"/>
  <c r="AC11" i="23" s="1"/>
  <c r="D40" i="23"/>
  <c r="E40" i="23"/>
  <c r="F40" i="23"/>
  <c r="G40" i="23"/>
  <c r="H40" i="23"/>
  <c r="I40" i="23"/>
  <c r="J40" i="23"/>
  <c r="K40" i="23"/>
  <c r="L40" i="23"/>
  <c r="M40" i="23"/>
  <c r="N40" i="23"/>
  <c r="O40" i="23"/>
  <c r="P40" i="23"/>
  <c r="Q40" i="23"/>
  <c r="R40" i="23"/>
  <c r="S40" i="23"/>
  <c r="T40" i="23"/>
  <c r="U40" i="23"/>
  <c r="V40" i="23"/>
  <c r="W40" i="23"/>
  <c r="X40" i="23"/>
  <c r="Y40" i="23"/>
  <c r="Z40" i="23"/>
  <c r="AA40" i="23"/>
  <c r="AB40" i="23"/>
  <c r="AC40" i="23"/>
  <c r="C41" i="23"/>
  <c r="D41" i="23"/>
  <c r="E41" i="23"/>
  <c r="F41" i="23"/>
  <c r="G41" i="23"/>
  <c r="H41" i="23"/>
  <c r="H15" i="23" s="1"/>
  <c r="I15" i="23" s="1"/>
  <c r="J15" i="23" s="1"/>
  <c r="K15" i="23" s="1"/>
  <c r="L15" i="23" s="1"/>
  <c r="M15" i="23" s="1"/>
  <c r="N15" i="23" s="1"/>
  <c r="O15" i="23" s="1"/>
  <c r="P15" i="23" s="1"/>
  <c r="Q15" i="23" s="1"/>
  <c r="R15" i="23" s="1"/>
  <c r="S15" i="23" s="1"/>
  <c r="T15" i="23" s="1"/>
  <c r="U15" i="23" s="1"/>
  <c r="V15" i="23" s="1"/>
  <c r="W15" i="23" s="1"/>
  <c r="X15" i="23" s="1"/>
  <c r="Y15" i="23" s="1"/>
  <c r="Z15" i="23" s="1"/>
  <c r="AA15" i="23" s="1"/>
  <c r="AB15" i="23" s="1"/>
  <c r="AC15" i="23" s="1"/>
  <c r="I41" i="23"/>
  <c r="J41" i="23"/>
  <c r="K41" i="23"/>
  <c r="L41" i="23"/>
  <c r="M41" i="23"/>
  <c r="N41" i="23"/>
  <c r="O41" i="23"/>
  <c r="P41" i="23"/>
  <c r="Q41" i="23"/>
  <c r="R41" i="23"/>
  <c r="S41" i="23"/>
  <c r="T41" i="23"/>
  <c r="U41" i="23"/>
  <c r="V41" i="23"/>
  <c r="W41" i="23"/>
  <c r="X41" i="23"/>
  <c r="Y41" i="23"/>
  <c r="Z41" i="23"/>
  <c r="AA41" i="23"/>
  <c r="AB41" i="23"/>
  <c r="AC41" i="23"/>
  <c r="D42" i="23"/>
  <c r="E42" i="23"/>
  <c r="F42" i="23"/>
  <c r="G42" i="23"/>
  <c r="H42" i="23"/>
  <c r="I42" i="23"/>
  <c r="J42" i="23"/>
  <c r="K42" i="23"/>
  <c r="L42" i="23"/>
  <c r="M42" i="23"/>
  <c r="N42" i="23"/>
  <c r="O42" i="23"/>
  <c r="P42" i="23"/>
  <c r="Q42" i="23"/>
  <c r="R42" i="23"/>
  <c r="S42" i="23"/>
  <c r="T42" i="23"/>
  <c r="U42" i="23"/>
  <c r="V42" i="23"/>
  <c r="W42" i="23"/>
  <c r="X42" i="23"/>
  <c r="Y42" i="23"/>
  <c r="Z42" i="23"/>
  <c r="AA42" i="23"/>
  <c r="AB42" i="23"/>
  <c r="AC42" i="23"/>
  <c r="D43" i="23"/>
  <c r="E43" i="23"/>
  <c r="F43" i="23"/>
  <c r="G43" i="23"/>
  <c r="H43" i="23"/>
  <c r="I43" i="23"/>
  <c r="J43" i="23"/>
  <c r="K43" i="23"/>
  <c r="L43" i="23"/>
  <c r="M43" i="23"/>
  <c r="N43" i="23"/>
  <c r="O43" i="23"/>
  <c r="P43" i="23"/>
  <c r="Q43" i="23"/>
  <c r="R43" i="23"/>
  <c r="S43" i="23"/>
  <c r="T43" i="23"/>
  <c r="U43" i="23"/>
  <c r="V43" i="23"/>
  <c r="W43" i="23"/>
  <c r="X43" i="23"/>
  <c r="Y43" i="23"/>
  <c r="Z43" i="23"/>
  <c r="AA43" i="23"/>
  <c r="AB43" i="23"/>
  <c r="AC43" i="23"/>
  <c r="B44" i="23"/>
  <c r="D44" i="23"/>
  <c r="E44" i="23"/>
  <c r="F44" i="23"/>
  <c r="G44" i="23"/>
  <c r="H44" i="23"/>
  <c r="I44" i="23"/>
  <c r="J44" i="23"/>
  <c r="K44" i="23"/>
  <c r="L44" i="23"/>
  <c r="M44" i="23"/>
  <c r="N44" i="23"/>
  <c r="O44" i="23"/>
  <c r="P44" i="23"/>
  <c r="Q44" i="23"/>
  <c r="R44" i="23"/>
  <c r="S44" i="23"/>
  <c r="T44" i="23"/>
  <c r="U44" i="23"/>
  <c r="V44" i="23"/>
  <c r="W44" i="23"/>
  <c r="X44" i="23"/>
  <c r="Y44" i="23"/>
  <c r="Z44" i="23"/>
  <c r="AA44" i="23"/>
  <c r="AB44" i="23"/>
  <c r="AC44" i="23"/>
  <c r="C45" i="23"/>
  <c r="D45" i="23"/>
  <c r="E45" i="23"/>
  <c r="F45" i="23"/>
  <c r="G45" i="23"/>
  <c r="H45" i="23"/>
  <c r="I45" i="23"/>
  <c r="J45" i="23"/>
  <c r="K45" i="23"/>
  <c r="L45" i="23"/>
  <c r="M45" i="23"/>
  <c r="N45" i="23"/>
  <c r="O45" i="23"/>
  <c r="P45" i="23"/>
  <c r="Q45" i="23"/>
  <c r="R45" i="23"/>
  <c r="S45" i="23"/>
  <c r="T45" i="23"/>
  <c r="U45" i="23"/>
  <c r="V45" i="23"/>
  <c r="W45" i="23"/>
  <c r="X45" i="23"/>
  <c r="Y45" i="23"/>
  <c r="Z45" i="23"/>
  <c r="AA45" i="23"/>
  <c r="AB45" i="23"/>
  <c r="AC45" i="23"/>
  <c r="B46" i="23"/>
  <c r="D46" i="23"/>
  <c r="E46" i="23"/>
  <c r="F46" i="23"/>
  <c r="G46" i="23"/>
  <c r="H46" i="23"/>
  <c r="I46" i="23"/>
  <c r="J46" i="23"/>
  <c r="K46" i="23"/>
  <c r="L46" i="23"/>
  <c r="M46" i="23"/>
  <c r="N46" i="23"/>
  <c r="O46" i="23"/>
  <c r="P46" i="23"/>
  <c r="Q46" i="23"/>
  <c r="R46" i="23"/>
  <c r="S46" i="23"/>
  <c r="T46" i="23"/>
  <c r="U46" i="23"/>
  <c r="V46" i="23"/>
  <c r="W46" i="23"/>
  <c r="X46" i="23"/>
  <c r="Y46" i="23"/>
  <c r="Z46" i="23"/>
  <c r="AA46" i="23"/>
  <c r="AB46" i="23"/>
  <c r="AC46" i="23"/>
  <c r="D4" i="22"/>
  <c r="E4" i="22" s="1"/>
  <c r="D5" i="22"/>
  <c r="B5" i="22" s="1"/>
  <c r="H6" i="22"/>
  <c r="I6" i="22"/>
  <c r="S11" i="22"/>
  <c r="B27" i="22"/>
  <c r="B46" i="22" s="1"/>
  <c r="C27" i="22"/>
  <c r="B28" i="22"/>
  <c r="C28" i="22"/>
  <c r="B29" i="22"/>
  <c r="C29" i="22"/>
  <c r="B30" i="22"/>
  <c r="C30" i="22"/>
  <c r="C41" i="22" s="1"/>
  <c r="B31" i="22"/>
  <c r="C31" i="22"/>
  <c r="B32" i="22"/>
  <c r="C32" i="22"/>
  <c r="C42" i="22" s="1"/>
  <c r="B33" i="22"/>
  <c r="B43" i="22" s="1"/>
  <c r="C33" i="22"/>
  <c r="B34" i="22"/>
  <c r="C34" i="22"/>
  <c r="C44" i="22" s="1"/>
  <c r="B35" i="22"/>
  <c r="B44" i="22" s="1"/>
  <c r="C35" i="22"/>
  <c r="C45" i="22" s="1"/>
  <c r="B36" i="22"/>
  <c r="C36" i="22"/>
  <c r="C46" i="22" s="1"/>
  <c r="D39" i="22"/>
  <c r="D11" i="22" s="1"/>
  <c r="E39" i="22"/>
  <c r="E11" i="22" s="1"/>
  <c r="F39" i="22"/>
  <c r="F11" i="22" s="1"/>
  <c r="G39" i="22"/>
  <c r="G11" i="22" s="1"/>
  <c r="H39" i="22"/>
  <c r="H11" i="22" s="1"/>
  <c r="I39" i="22"/>
  <c r="I11" i="22" s="1"/>
  <c r="J39" i="22"/>
  <c r="J11" i="22" s="1"/>
  <c r="K39" i="22"/>
  <c r="K11" i="22" s="1"/>
  <c r="L39" i="22"/>
  <c r="L11" i="22" s="1"/>
  <c r="M39" i="22"/>
  <c r="M11" i="22" s="1"/>
  <c r="N39" i="22"/>
  <c r="N11" i="22" s="1"/>
  <c r="O39" i="22"/>
  <c r="O11" i="22" s="1"/>
  <c r="P39" i="22"/>
  <c r="P11" i="22" s="1"/>
  <c r="Q39" i="22"/>
  <c r="Q11" i="22" s="1"/>
  <c r="R39" i="22"/>
  <c r="R11" i="22" s="1"/>
  <c r="S39" i="22"/>
  <c r="T39" i="22"/>
  <c r="T11" i="22" s="1"/>
  <c r="U39" i="22"/>
  <c r="U11" i="22" s="1"/>
  <c r="V39" i="22"/>
  <c r="V11" i="22" s="1"/>
  <c r="W39" i="22"/>
  <c r="W11" i="22" s="1"/>
  <c r="X39" i="22"/>
  <c r="X11" i="22" s="1"/>
  <c r="Y39" i="22"/>
  <c r="Y11" i="22" s="1"/>
  <c r="Z39" i="22"/>
  <c r="Z11" i="22" s="1"/>
  <c r="AA39" i="22"/>
  <c r="AA11" i="22" s="1"/>
  <c r="AB39" i="22"/>
  <c r="AB11" i="22" s="1"/>
  <c r="AC39" i="22"/>
  <c r="AC11" i="22" s="1"/>
  <c r="C40" i="22"/>
  <c r="D40" i="22"/>
  <c r="E40" i="22"/>
  <c r="F40" i="22"/>
  <c r="G40" i="22"/>
  <c r="H40" i="22"/>
  <c r="I40" i="22"/>
  <c r="J40" i="22"/>
  <c r="K40" i="22"/>
  <c r="L40" i="22"/>
  <c r="M40" i="22"/>
  <c r="N40" i="22"/>
  <c r="O40" i="22"/>
  <c r="P40" i="22"/>
  <c r="Q40" i="22"/>
  <c r="R40" i="22"/>
  <c r="S40" i="22"/>
  <c r="T40" i="22"/>
  <c r="U40" i="22"/>
  <c r="V40" i="22"/>
  <c r="W40" i="22"/>
  <c r="X40" i="22"/>
  <c r="Y40" i="22"/>
  <c r="Z40" i="22"/>
  <c r="AA40" i="22"/>
  <c r="AB40" i="22"/>
  <c r="AC40" i="22"/>
  <c r="D41" i="22"/>
  <c r="E41" i="22"/>
  <c r="F41" i="22"/>
  <c r="G41" i="22"/>
  <c r="H41" i="22"/>
  <c r="H15" i="22" s="1"/>
  <c r="I15" i="22" s="1"/>
  <c r="J15" i="22" s="1"/>
  <c r="K15" i="22" s="1"/>
  <c r="L15" i="22" s="1"/>
  <c r="M15" i="22" s="1"/>
  <c r="N15" i="22" s="1"/>
  <c r="O15" i="22" s="1"/>
  <c r="P15" i="22" s="1"/>
  <c r="Q15" i="22" s="1"/>
  <c r="R15" i="22" s="1"/>
  <c r="S15" i="22" s="1"/>
  <c r="T15" i="22" s="1"/>
  <c r="U15" i="22" s="1"/>
  <c r="V15" i="22" s="1"/>
  <c r="W15" i="22" s="1"/>
  <c r="X15" i="22" s="1"/>
  <c r="Y15" i="22" s="1"/>
  <c r="Z15" i="22" s="1"/>
  <c r="AA15" i="22" s="1"/>
  <c r="AB15" i="22" s="1"/>
  <c r="AC15" i="22" s="1"/>
  <c r="I41" i="22"/>
  <c r="J41" i="22"/>
  <c r="K41" i="22"/>
  <c r="L41" i="22"/>
  <c r="M41" i="22"/>
  <c r="N41" i="22"/>
  <c r="O41" i="22"/>
  <c r="P41" i="22"/>
  <c r="Q41" i="22"/>
  <c r="R41" i="22"/>
  <c r="S41" i="22"/>
  <c r="T41" i="22"/>
  <c r="U41" i="22"/>
  <c r="V41" i="22"/>
  <c r="W41" i="22"/>
  <c r="X41" i="22"/>
  <c r="Y41" i="22"/>
  <c r="Z41" i="22"/>
  <c r="AA41" i="22"/>
  <c r="AB41" i="22"/>
  <c r="AC41" i="22"/>
  <c r="D42" i="22"/>
  <c r="E42" i="22"/>
  <c r="F42" i="22"/>
  <c r="G42" i="22"/>
  <c r="H42" i="22"/>
  <c r="I42" i="22"/>
  <c r="J42" i="22"/>
  <c r="K42" i="22"/>
  <c r="L42" i="22"/>
  <c r="M42" i="22"/>
  <c r="N42" i="22"/>
  <c r="O42" i="22"/>
  <c r="P42" i="22"/>
  <c r="Q42" i="22"/>
  <c r="R42" i="22"/>
  <c r="S42" i="22"/>
  <c r="T42" i="22"/>
  <c r="U42" i="22"/>
  <c r="V42" i="22"/>
  <c r="W42" i="22"/>
  <c r="X42" i="22"/>
  <c r="Y42" i="22"/>
  <c r="Z42" i="22"/>
  <c r="AA42" i="22"/>
  <c r="AB42" i="22"/>
  <c r="AC42" i="22"/>
  <c r="D43" i="22"/>
  <c r="E43" i="22"/>
  <c r="F43" i="22"/>
  <c r="G43" i="22"/>
  <c r="H43" i="22"/>
  <c r="I43" i="22"/>
  <c r="J43" i="22"/>
  <c r="K43" i="22"/>
  <c r="L43" i="22"/>
  <c r="M43" i="22"/>
  <c r="N43" i="22"/>
  <c r="O43" i="22"/>
  <c r="P43" i="22"/>
  <c r="Q43" i="22"/>
  <c r="R43" i="22"/>
  <c r="S43" i="22"/>
  <c r="T43" i="22"/>
  <c r="U43" i="22"/>
  <c r="V43" i="22"/>
  <c r="W43" i="22"/>
  <c r="X43" i="22"/>
  <c r="Y43" i="22"/>
  <c r="Z43" i="22"/>
  <c r="AA43" i="22"/>
  <c r="AB43" i="22"/>
  <c r="AC43" i="22"/>
  <c r="D44" i="22"/>
  <c r="E44" i="22"/>
  <c r="F44" i="22"/>
  <c r="G44" i="22"/>
  <c r="H44" i="22"/>
  <c r="I44" i="22"/>
  <c r="J44" i="22"/>
  <c r="K44" i="22"/>
  <c r="L44" i="22"/>
  <c r="M44" i="22"/>
  <c r="N44" i="22"/>
  <c r="O44" i="22"/>
  <c r="P44" i="22"/>
  <c r="Q44" i="22"/>
  <c r="R44" i="22"/>
  <c r="S44" i="22"/>
  <c r="T44" i="22"/>
  <c r="U44" i="22"/>
  <c r="V44" i="22"/>
  <c r="W44" i="22"/>
  <c r="X44" i="22"/>
  <c r="Y44" i="22"/>
  <c r="Z44" i="22"/>
  <c r="AA44" i="22"/>
  <c r="AB44" i="22"/>
  <c r="AC44" i="22"/>
  <c r="D45" i="22"/>
  <c r="E45" i="22"/>
  <c r="F45" i="22"/>
  <c r="G45" i="22"/>
  <c r="H45" i="22"/>
  <c r="I45" i="22"/>
  <c r="J45" i="22"/>
  <c r="K45" i="22"/>
  <c r="L45" i="22"/>
  <c r="M45" i="22"/>
  <c r="N45" i="22"/>
  <c r="O45" i="22"/>
  <c r="P45" i="22"/>
  <c r="Q45" i="22"/>
  <c r="R45" i="22"/>
  <c r="S45" i="22"/>
  <c r="T45" i="22"/>
  <c r="U45" i="22"/>
  <c r="V45" i="22"/>
  <c r="W45" i="22"/>
  <c r="X45" i="22"/>
  <c r="Y45" i="22"/>
  <c r="Z45" i="22"/>
  <c r="AA45" i="22"/>
  <c r="AB45" i="22"/>
  <c r="AC45" i="22"/>
  <c r="D46" i="22"/>
  <c r="E46" i="22"/>
  <c r="F46" i="22"/>
  <c r="G46" i="22"/>
  <c r="H46" i="22"/>
  <c r="I46" i="22"/>
  <c r="J46" i="22"/>
  <c r="K46" i="22"/>
  <c r="L46" i="22"/>
  <c r="M46" i="22"/>
  <c r="N46" i="22"/>
  <c r="O46" i="22"/>
  <c r="P46" i="22"/>
  <c r="Q46" i="22"/>
  <c r="R46" i="22"/>
  <c r="S46" i="22"/>
  <c r="T46" i="22"/>
  <c r="U46" i="22"/>
  <c r="V46" i="22"/>
  <c r="W46" i="22"/>
  <c r="X46" i="22"/>
  <c r="Y46" i="22"/>
  <c r="Z46" i="22"/>
  <c r="AA46" i="22"/>
  <c r="AB46" i="22"/>
  <c r="AC46" i="22"/>
  <c r="D4" i="20"/>
  <c r="E4" i="20" s="1"/>
  <c r="D5" i="20"/>
  <c r="H6" i="20"/>
  <c r="I6" i="20"/>
  <c r="B32" i="20"/>
  <c r="C32" i="20"/>
  <c r="B33" i="20"/>
  <c r="B44" i="20" s="1"/>
  <c r="C33" i="20"/>
  <c r="C44" i="20" s="1"/>
  <c r="D34" i="20"/>
  <c r="D45" i="20" s="1"/>
  <c r="E34" i="20"/>
  <c r="E45" i="20" s="1"/>
  <c r="F34" i="20"/>
  <c r="F45" i="20" s="1"/>
  <c r="G34" i="20"/>
  <c r="H34" i="20"/>
  <c r="H45" i="20" s="1"/>
  <c r="I34" i="20"/>
  <c r="J34" i="20"/>
  <c r="J45" i="20" s="1"/>
  <c r="K34" i="20"/>
  <c r="L34" i="20"/>
  <c r="L45" i="20" s="1"/>
  <c r="M34" i="20"/>
  <c r="M45" i="20" s="1"/>
  <c r="N34" i="20"/>
  <c r="N45" i="20" s="1"/>
  <c r="O34" i="20"/>
  <c r="P34" i="20"/>
  <c r="P45" i="20" s="1"/>
  <c r="Q34" i="20"/>
  <c r="Q45" i="20" s="1"/>
  <c r="R34" i="20"/>
  <c r="S34" i="20"/>
  <c r="S45" i="20" s="1"/>
  <c r="T34" i="20"/>
  <c r="T45" i="20" s="1"/>
  <c r="U34" i="20"/>
  <c r="U45" i="20" s="1"/>
  <c r="V34" i="20"/>
  <c r="V45" i="20" s="1"/>
  <c r="W34" i="20"/>
  <c r="X34" i="20"/>
  <c r="X45" i="20" s="1"/>
  <c r="Y34" i="20"/>
  <c r="Y45" i="20" s="1"/>
  <c r="Z34" i="20"/>
  <c r="Z45" i="20" s="1"/>
  <c r="AA34" i="20"/>
  <c r="AB34" i="20"/>
  <c r="AB45" i="20" s="1"/>
  <c r="AC34" i="20"/>
  <c r="C34" i="20" s="1"/>
  <c r="C45" i="20" s="1"/>
  <c r="B35" i="20"/>
  <c r="B46" i="20" s="1"/>
  <c r="C35" i="20"/>
  <c r="B36" i="20"/>
  <c r="C36" i="20"/>
  <c r="B37" i="20"/>
  <c r="B47" i="20" s="1"/>
  <c r="C37" i="20"/>
  <c r="C47" i="20" s="1"/>
  <c r="B38" i="20"/>
  <c r="C38" i="20"/>
  <c r="B39" i="20"/>
  <c r="B50" i="20" s="1"/>
  <c r="C39" i="20"/>
  <c r="B40" i="20"/>
  <c r="B49" i="20" s="1"/>
  <c r="C40" i="20"/>
  <c r="C50" i="20" s="1"/>
  <c r="B41" i="20"/>
  <c r="B51" i="20" s="1"/>
  <c r="C41" i="20"/>
  <c r="D44" i="20"/>
  <c r="E44" i="20"/>
  <c r="E11" i="20" s="1"/>
  <c r="F44" i="20"/>
  <c r="F11" i="20" s="1"/>
  <c r="G44" i="20"/>
  <c r="G11" i="20" s="1"/>
  <c r="H44" i="20"/>
  <c r="H11" i="20" s="1"/>
  <c r="I44" i="20"/>
  <c r="I11" i="20" s="1"/>
  <c r="J44" i="20"/>
  <c r="J11" i="20" s="1"/>
  <c r="K44" i="20"/>
  <c r="K11" i="20" s="1"/>
  <c r="L44" i="20"/>
  <c r="L11" i="20" s="1"/>
  <c r="M44" i="20"/>
  <c r="M11" i="20" s="1"/>
  <c r="N44" i="20"/>
  <c r="N11" i="20" s="1"/>
  <c r="O44" i="20"/>
  <c r="O11" i="20" s="1"/>
  <c r="P44" i="20"/>
  <c r="P11" i="20" s="1"/>
  <c r="Q44" i="20"/>
  <c r="Q11" i="20" s="1"/>
  <c r="R44" i="20"/>
  <c r="R11" i="20" s="1"/>
  <c r="S44" i="20"/>
  <c r="S11" i="20" s="1"/>
  <c r="T44" i="20"/>
  <c r="T11" i="20" s="1"/>
  <c r="U44" i="20"/>
  <c r="U11" i="20" s="1"/>
  <c r="V44" i="20"/>
  <c r="V11" i="20" s="1"/>
  <c r="W44" i="20"/>
  <c r="W11" i="20" s="1"/>
  <c r="X44" i="20"/>
  <c r="X11" i="20" s="1"/>
  <c r="Y44" i="20"/>
  <c r="Y11" i="20" s="1"/>
  <c r="Z44" i="20"/>
  <c r="Z11" i="20" s="1"/>
  <c r="AA44" i="20"/>
  <c r="AA11" i="20" s="1"/>
  <c r="AB44" i="20"/>
  <c r="AB11" i="20" s="1"/>
  <c r="AC44" i="20"/>
  <c r="AC11" i="20" s="1"/>
  <c r="G45" i="20"/>
  <c r="K45" i="20"/>
  <c r="O45" i="20"/>
  <c r="R45" i="20"/>
  <c r="W45" i="20"/>
  <c r="AA45" i="20"/>
  <c r="C46" i="20"/>
  <c r="D46" i="20"/>
  <c r="E46" i="20"/>
  <c r="F46" i="20"/>
  <c r="G46" i="20"/>
  <c r="H46" i="20"/>
  <c r="H15" i="20" s="1"/>
  <c r="I15" i="20" s="1"/>
  <c r="J15" i="20" s="1"/>
  <c r="K15" i="20" s="1"/>
  <c r="L15" i="20" s="1"/>
  <c r="M15" i="20" s="1"/>
  <c r="N15" i="20" s="1"/>
  <c r="O15" i="20" s="1"/>
  <c r="P15" i="20" s="1"/>
  <c r="Q15" i="20" s="1"/>
  <c r="R15" i="20" s="1"/>
  <c r="S15" i="20" s="1"/>
  <c r="T15" i="20" s="1"/>
  <c r="U15" i="20" s="1"/>
  <c r="V15" i="20" s="1"/>
  <c r="W15" i="20" s="1"/>
  <c r="X15" i="20" s="1"/>
  <c r="Y15" i="20" s="1"/>
  <c r="Z15" i="20" s="1"/>
  <c r="AA15" i="20" s="1"/>
  <c r="AB15" i="20" s="1"/>
  <c r="AC15" i="20" s="1"/>
  <c r="I46" i="20"/>
  <c r="J46" i="20"/>
  <c r="K46" i="20"/>
  <c r="L46" i="20"/>
  <c r="M46" i="20"/>
  <c r="N46" i="20"/>
  <c r="O46" i="20"/>
  <c r="P46" i="20"/>
  <c r="Q46" i="20"/>
  <c r="R46" i="20"/>
  <c r="S46" i="20"/>
  <c r="T46" i="20"/>
  <c r="U46" i="20"/>
  <c r="V46" i="20"/>
  <c r="W46" i="20"/>
  <c r="X46" i="20"/>
  <c r="Y46" i="20"/>
  <c r="Z46" i="20"/>
  <c r="AA46" i="20"/>
  <c r="AB46" i="20"/>
  <c r="AC46" i="20"/>
  <c r="D47" i="20"/>
  <c r="E47" i="20"/>
  <c r="F47" i="20"/>
  <c r="G47" i="20"/>
  <c r="H47" i="20"/>
  <c r="I47" i="20"/>
  <c r="J47" i="20"/>
  <c r="K47" i="20"/>
  <c r="L47" i="20"/>
  <c r="M47" i="20"/>
  <c r="N47" i="20"/>
  <c r="O47" i="20"/>
  <c r="P47" i="20"/>
  <c r="Q47" i="20"/>
  <c r="R47" i="20"/>
  <c r="S47" i="20"/>
  <c r="T47" i="20"/>
  <c r="U47" i="20"/>
  <c r="V47" i="20"/>
  <c r="W47" i="20"/>
  <c r="X47" i="20"/>
  <c r="Y47" i="20"/>
  <c r="Z47" i="20"/>
  <c r="AA47" i="20"/>
  <c r="AB47" i="20"/>
  <c r="AC47" i="20"/>
  <c r="C48" i="20"/>
  <c r="D48" i="20"/>
  <c r="E48" i="20"/>
  <c r="F48" i="20"/>
  <c r="G48" i="20"/>
  <c r="H48" i="20"/>
  <c r="I48" i="20"/>
  <c r="J48" i="20"/>
  <c r="K48" i="20"/>
  <c r="L48" i="20"/>
  <c r="M48" i="20"/>
  <c r="N48" i="20"/>
  <c r="O48" i="20"/>
  <c r="P48" i="20"/>
  <c r="Q48" i="20"/>
  <c r="R48" i="20"/>
  <c r="S48" i="20"/>
  <c r="T48" i="20"/>
  <c r="U48" i="20"/>
  <c r="V48" i="20"/>
  <c r="W48" i="20"/>
  <c r="X48" i="20"/>
  <c r="Y48" i="20"/>
  <c r="Z48" i="20"/>
  <c r="AA48" i="20"/>
  <c r="AB48" i="20"/>
  <c r="AC48" i="20"/>
  <c r="C49" i="20"/>
  <c r="D49" i="20"/>
  <c r="E49" i="20"/>
  <c r="F49" i="20"/>
  <c r="G49" i="20"/>
  <c r="H49" i="20"/>
  <c r="I49" i="20"/>
  <c r="J49" i="20"/>
  <c r="K49" i="20"/>
  <c r="L49" i="20"/>
  <c r="M49" i="20"/>
  <c r="N49" i="20"/>
  <c r="O49" i="20"/>
  <c r="P49" i="20"/>
  <c r="Q49" i="20"/>
  <c r="R49" i="20"/>
  <c r="S49" i="20"/>
  <c r="T49" i="20"/>
  <c r="U49" i="20"/>
  <c r="V49" i="20"/>
  <c r="W49" i="20"/>
  <c r="X49" i="20"/>
  <c r="Y49" i="20"/>
  <c r="Z49" i="20"/>
  <c r="AA49" i="20"/>
  <c r="AB49" i="20"/>
  <c r="AC49" i="20"/>
  <c r="D50" i="20"/>
  <c r="E50" i="20"/>
  <c r="F50" i="20"/>
  <c r="G50" i="20"/>
  <c r="H50" i="20"/>
  <c r="I50" i="20"/>
  <c r="J50" i="20"/>
  <c r="K50" i="20"/>
  <c r="L50" i="20"/>
  <c r="M50" i="20"/>
  <c r="N50" i="20"/>
  <c r="O50" i="20"/>
  <c r="P50" i="20"/>
  <c r="Q50" i="20"/>
  <c r="R50" i="20"/>
  <c r="S50" i="20"/>
  <c r="T50" i="20"/>
  <c r="U50" i="20"/>
  <c r="V50" i="20"/>
  <c r="W50" i="20"/>
  <c r="X50" i="20"/>
  <c r="Y50" i="20"/>
  <c r="Z50" i="20"/>
  <c r="AA50" i="20"/>
  <c r="AB50" i="20"/>
  <c r="AC50" i="20"/>
  <c r="C51" i="20"/>
  <c r="D51" i="20"/>
  <c r="E51" i="20"/>
  <c r="F51" i="20"/>
  <c r="G51" i="20"/>
  <c r="H51" i="20"/>
  <c r="I51" i="20"/>
  <c r="J51" i="20"/>
  <c r="K51" i="20"/>
  <c r="L51" i="20"/>
  <c r="M51" i="20"/>
  <c r="N51" i="20"/>
  <c r="O51" i="20"/>
  <c r="P51" i="20"/>
  <c r="Q51" i="20"/>
  <c r="R51" i="20"/>
  <c r="S51" i="20"/>
  <c r="T51" i="20"/>
  <c r="U51" i="20"/>
  <c r="V51" i="20"/>
  <c r="W51" i="20"/>
  <c r="X51" i="20"/>
  <c r="Y51" i="20"/>
  <c r="Z51" i="20"/>
  <c r="AA51" i="20"/>
  <c r="AB51" i="20"/>
  <c r="AC51" i="20"/>
  <c r="G4" i="19"/>
  <c r="D5" i="19"/>
  <c r="B5" i="19" s="1"/>
  <c r="E5" i="19"/>
  <c r="G5" i="19"/>
  <c r="H6" i="19"/>
  <c r="I6" i="19"/>
  <c r="E32" i="19"/>
  <c r="F32" i="19"/>
  <c r="G32" i="19"/>
  <c r="H32" i="19"/>
  <c r="I32" i="19"/>
  <c r="J32" i="19"/>
  <c r="K32" i="19"/>
  <c r="L32" i="19"/>
  <c r="M32" i="19"/>
  <c r="N32" i="19"/>
  <c r="O32" i="19"/>
  <c r="P32" i="19"/>
  <c r="Q32" i="19"/>
  <c r="R32" i="19"/>
  <c r="S32" i="19"/>
  <c r="T32" i="19"/>
  <c r="U32" i="19"/>
  <c r="V32" i="19"/>
  <c r="W32" i="19"/>
  <c r="X32" i="19"/>
  <c r="Y32" i="19"/>
  <c r="Z32" i="19"/>
  <c r="AA32" i="19"/>
  <c r="AB32" i="19"/>
  <c r="AC32" i="19"/>
  <c r="E33" i="19"/>
  <c r="F33" i="19"/>
  <c r="G33" i="19"/>
  <c r="H33" i="19"/>
  <c r="I33" i="19"/>
  <c r="J33" i="19"/>
  <c r="K33" i="19"/>
  <c r="L33" i="19"/>
  <c r="M33" i="19"/>
  <c r="N33" i="19"/>
  <c r="O33" i="19"/>
  <c r="P33" i="19"/>
  <c r="Q33" i="19"/>
  <c r="R33" i="19"/>
  <c r="S33" i="19"/>
  <c r="T33" i="19"/>
  <c r="U33" i="19"/>
  <c r="V33" i="19"/>
  <c r="W33" i="19"/>
  <c r="X33" i="19"/>
  <c r="Y33" i="19"/>
  <c r="Z33" i="19"/>
  <c r="AA33" i="19"/>
  <c r="AB33" i="19"/>
  <c r="AC33" i="19"/>
  <c r="B35" i="19"/>
  <c r="C35" i="19"/>
  <c r="B36" i="19"/>
  <c r="C36" i="19"/>
  <c r="C37" i="19"/>
  <c r="D37" i="19"/>
  <c r="D48" i="19" s="1"/>
  <c r="E37" i="19"/>
  <c r="E48" i="19" s="1"/>
  <c r="F37" i="19"/>
  <c r="F48" i="19" s="1"/>
  <c r="G37" i="19"/>
  <c r="G48" i="19" s="1"/>
  <c r="H37" i="19"/>
  <c r="I37" i="19"/>
  <c r="J37" i="19"/>
  <c r="K37" i="19"/>
  <c r="L37" i="19"/>
  <c r="M37" i="19"/>
  <c r="M31" i="19" s="1"/>
  <c r="N37" i="19"/>
  <c r="N31" i="19" s="1"/>
  <c r="O37" i="19"/>
  <c r="O48" i="19" s="1"/>
  <c r="P37" i="19"/>
  <c r="Q37" i="19"/>
  <c r="R37" i="19"/>
  <c r="S37" i="19"/>
  <c r="S48" i="19" s="1"/>
  <c r="T37" i="19"/>
  <c r="T48" i="19" s="1"/>
  <c r="U37" i="19"/>
  <c r="U31" i="19" s="1"/>
  <c r="V37" i="19"/>
  <c r="V31" i="19" s="1"/>
  <c r="W37" i="19"/>
  <c r="W48" i="19" s="1"/>
  <c r="X37" i="19"/>
  <c r="Y37" i="19"/>
  <c r="Z37" i="19"/>
  <c r="AA37" i="19"/>
  <c r="AB31" i="19" s="1"/>
  <c r="AB37" i="19"/>
  <c r="AC37" i="19"/>
  <c r="AC31" i="19" s="1"/>
  <c r="B38" i="19"/>
  <c r="C38" i="19"/>
  <c r="C49" i="19" s="1"/>
  <c r="B39" i="19"/>
  <c r="C39" i="19"/>
  <c r="B40" i="19"/>
  <c r="C40" i="19"/>
  <c r="C50" i="19" s="1"/>
  <c r="B41" i="19"/>
  <c r="B51" i="19" s="1"/>
  <c r="C41" i="19"/>
  <c r="B42" i="19"/>
  <c r="B53" i="19" s="1"/>
  <c r="C42" i="19"/>
  <c r="C52" i="19" s="1"/>
  <c r="B43" i="19"/>
  <c r="C43" i="19"/>
  <c r="B44" i="19"/>
  <c r="C44" i="19"/>
  <c r="D47" i="19"/>
  <c r="D11" i="19" s="1"/>
  <c r="E47" i="19"/>
  <c r="E11" i="19" s="1"/>
  <c r="F47" i="19"/>
  <c r="F11" i="19" s="1"/>
  <c r="G47" i="19"/>
  <c r="G11" i="19" s="1"/>
  <c r="H47" i="19"/>
  <c r="H11" i="19" s="1"/>
  <c r="I47" i="19"/>
  <c r="I11" i="19" s="1"/>
  <c r="J47" i="19"/>
  <c r="J11" i="19" s="1"/>
  <c r="K47" i="19"/>
  <c r="K11" i="19" s="1"/>
  <c r="L47" i="19"/>
  <c r="L11" i="19" s="1"/>
  <c r="M47" i="19"/>
  <c r="M11" i="19" s="1"/>
  <c r="N47" i="19"/>
  <c r="N11" i="19" s="1"/>
  <c r="O47" i="19"/>
  <c r="O11" i="19" s="1"/>
  <c r="P47" i="19"/>
  <c r="P11" i="19" s="1"/>
  <c r="Q47" i="19"/>
  <c r="Q11" i="19" s="1"/>
  <c r="R47" i="19"/>
  <c r="R11" i="19" s="1"/>
  <c r="S47" i="19"/>
  <c r="S11" i="19" s="1"/>
  <c r="T47" i="19"/>
  <c r="T11" i="19" s="1"/>
  <c r="U47" i="19"/>
  <c r="U11" i="19" s="1"/>
  <c r="V47" i="19"/>
  <c r="V11" i="19" s="1"/>
  <c r="W47" i="19"/>
  <c r="W11" i="19" s="1"/>
  <c r="X47" i="19"/>
  <c r="X11" i="19" s="1"/>
  <c r="Y47" i="19"/>
  <c r="Y11" i="19" s="1"/>
  <c r="Z47" i="19"/>
  <c r="Z11" i="19" s="1"/>
  <c r="AA47" i="19"/>
  <c r="AA11" i="19" s="1"/>
  <c r="AB47" i="19"/>
  <c r="AB11" i="19" s="1"/>
  <c r="AC47" i="19"/>
  <c r="AC11" i="19" s="1"/>
  <c r="C48" i="19"/>
  <c r="K48" i="19"/>
  <c r="L48" i="19"/>
  <c r="M48" i="19"/>
  <c r="AB48" i="19"/>
  <c r="AC48" i="19"/>
  <c r="D49" i="19"/>
  <c r="D15" i="19" s="1"/>
  <c r="E49" i="19"/>
  <c r="F49" i="19"/>
  <c r="G49" i="19"/>
  <c r="H49" i="19"/>
  <c r="H15" i="19" s="1"/>
  <c r="I15" i="19" s="1"/>
  <c r="J15" i="19" s="1"/>
  <c r="K15" i="19" s="1"/>
  <c r="L15" i="19" s="1"/>
  <c r="M15" i="19" s="1"/>
  <c r="N15" i="19" s="1"/>
  <c r="O15" i="19" s="1"/>
  <c r="P15" i="19" s="1"/>
  <c r="Q15" i="19" s="1"/>
  <c r="R15" i="19" s="1"/>
  <c r="S15" i="19" s="1"/>
  <c r="T15" i="19" s="1"/>
  <c r="U15" i="19" s="1"/>
  <c r="V15" i="19" s="1"/>
  <c r="W15" i="19" s="1"/>
  <c r="X15" i="19" s="1"/>
  <c r="Y15" i="19" s="1"/>
  <c r="Z15" i="19" s="1"/>
  <c r="AA15" i="19" s="1"/>
  <c r="AB15" i="19" s="1"/>
  <c r="AC15" i="19" s="1"/>
  <c r="I49" i="19"/>
  <c r="J49" i="19"/>
  <c r="K49" i="19"/>
  <c r="L49" i="19"/>
  <c r="M49" i="19"/>
  <c r="N49" i="19"/>
  <c r="O49" i="19"/>
  <c r="P49" i="19"/>
  <c r="Q49" i="19"/>
  <c r="R49" i="19"/>
  <c r="S49" i="19"/>
  <c r="T49" i="19"/>
  <c r="U49" i="19"/>
  <c r="V49" i="19"/>
  <c r="W49" i="19"/>
  <c r="X49" i="19"/>
  <c r="Y49" i="19"/>
  <c r="Z49" i="19"/>
  <c r="AA49" i="19"/>
  <c r="AB49" i="19"/>
  <c r="AC49" i="19"/>
  <c r="D50" i="19"/>
  <c r="E50" i="19"/>
  <c r="F50" i="19"/>
  <c r="G50" i="19"/>
  <c r="H50" i="19"/>
  <c r="I50" i="19"/>
  <c r="J50" i="19"/>
  <c r="K50" i="19"/>
  <c r="L50" i="19"/>
  <c r="M50" i="19"/>
  <c r="N50" i="19"/>
  <c r="O50" i="19"/>
  <c r="P50" i="19"/>
  <c r="Q50" i="19"/>
  <c r="R50" i="19"/>
  <c r="S50" i="19"/>
  <c r="T50" i="19"/>
  <c r="U50" i="19"/>
  <c r="V50" i="19"/>
  <c r="W50" i="19"/>
  <c r="X50" i="19"/>
  <c r="Y50" i="19"/>
  <c r="Z50" i="19"/>
  <c r="AA50" i="19"/>
  <c r="AB50" i="19"/>
  <c r="AC50" i="19"/>
  <c r="D51" i="19"/>
  <c r="E51" i="19"/>
  <c r="F51" i="19"/>
  <c r="G51" i="19"/>
  <c r="H51" i="19"/>
  <c r="I51" i="19"/>
  <c r="J51" i="19"/>
  <c r="K51" i="19"/>
  <c r="L51" i="19"/>
  <c r="M51" i="19"/>
  <c r="N51" i="19"/>
  <c r="O51" i="19"/>
  <c r="P51" i="19"/>
  <c r="Q51" i="19"/>
  <c r="R51" i="19"/>
  <c r="S51" i="19"/>
  <c r="T51" i="19"/>
  <c r="U51" i="19"/>
  <c r="V51" i="19"/>
  <c r="W51" i="19"/>
  <c r="X51" i="19"/>
  <c r="Y51" i="19"/>
  <c r="Z51" i="19"/>
  <c r="AA51" i="19"/>
  <c r="AB51" i="19"/>
  <c r="AC51" i="19"/>
  <c r="B52" i="19"/>
  <c r="D52" i="19"/>
  <c r="E52" i="19"/>
  <c r="F52" i="19"/>
  <c r="G52" i="19"/>
  <c r="H52" i="19"/>
  <c r="I52" i="19"/>
  <c r="J52" i="19"/>
  <c r="K52" i="19"/>
  <c r="L52" i="19"/>
  <c r="M52" i="19"/>
  <c r="N52" i="19"/>
  <c r="O52" i="19"/>
  <c r="P52" i="19"/>
  <c r="Q52" i="19"/>
  <c r="R52" i="19"/>
  <c r="S52" i="19"/>
  <c r="T52" i="19"/>
  <c r="U52" i="19"/>
  <c r="V52" i="19"/>
  <c r="W52" i="19"/>
  <c r="X52" i="19"/>
  <c r="Y52" i="19"/>
  <c r="Z52" i="19"/>
  <c r="AA52" i="19"/>
  <c r="AB52" i="19"/>
  <c r="AC52" i="19"/>
  <c r="D53" i="19"/>
  <c r="E53" i="19"/>
  <c r="F53" i="19"/>
  <c r="G53" i="19"/>
  <c r="H53" i="19"/>
  <c r="I53" i="19"/>
  <c r="J53" i="19"/>
  <c r="K53" i="19"/>
  <c r="L53" i="19"/>
  <c r="M53" i="19"/>
  <c r="N53" i="19"/>
  <c r="O53" i="19"/>
  <c r="P53" i="19"/>
  <c r="Q53" i="19"/>
  <c r="R53" i="19"/>
  <c r="S53" i="19"/>
  <c r="T53" i="19"/>
  <c r="U53" i="19"/>
  <c r="V53" i="19"/>
  <c r="W53" i="19"/>
  <c r="X53" i="19"/>
  <c r="Y53" i="19"/>
  <c r="Z53" i="19"/>
  <c r="AA53" i="19"/>
  <c r="AB53" i="19"/>
  <c r="AC53" i="19"/>
  <c r="C54" i="19"/>
  <c r="D54" i="19"/>
  <c r="E54" i="19"/>
  <c r="F54" i="19"/>
  <c r="G54" i="19"/>
  <c r="H54" i="19"/>
  <c r="I54" i="19"/>
  <c r="J54" i="19"/>
  <c r="K54" i="19"/>
  <c r="L54" i="19"/>
  <c r="M54" i="19"/>
  <c r="N54" i="19"/>
  <c r="O54" i="19"/>
  <c r="P54" i="19"/>
  <c r="Q54" i="19"/>
  <c r="R54" i="19"/>
  <c r="S54" i="19"/>
  <c r="T54" i="19"/>
  <c r="U54" i="19"/>
  <c r="V54" i="19"/>
  <c r="W54" i="19"/>
  <c r="X54" i="19"/>
  <c r="Y54" i="19"/>
  <c r="Z54" i="19"/>
  <c r="AA54" i="19"/>
  <c r="AB54" i="19"/>
  <c r="AC54" i="19"/>
  <c r="D4" i="18"/>
  <c r="G4" i="18" s="1"/>
  <c r="D5" i="18"/>
  <c r="H6" i="18"/>
  <c r="I6" i="18"/>
  <c r="M25" i="18"/>
  <c r="B30" i="18"/>
  <c r="C30" i="18"/>
  <c r="B31" i="18"/>
  <c r="C31" i="18"/>
  <c r="D32" i="18"/>
  <c r="D43" i="18" s="1"/>
  <c r="E32" i="18"/>
  <c r="E43" i="18" s="1"/>
  <c r="F32" i="18"/>
  <c r="G32" i="18"/>
  <c r="G43" i="18" s="1"/>
  <c r="H32" i="18"/>
  <c r="H43" i="18" s="1"/>
  <c r="I32" i="18"/>
  <c r="B32" i="18" s="1"/>
  <c r="B43" i="18" s="1"/>
  <c r="J32" i="18"/>
  <c r="J43" i="18" s="1"/>
  <c r="K32" i="18"/>
  <c r="K43" i="18" s="1"/>
  <c r="L32" i="18"/>
  <c r="L43" i="18" s="1"/>
  <c r="M32" i="18"/>
  <c r="M43" i="18" s="1"/>
  <c r="N32" i="18"/>
  <c r="N43" i="18" s="1"/>
  <c r="O32" i="18"/>
  <c r="P32" i="18"/>
  <c r="P43" i="18" s="1"/>
  <c r="Q32" i="18"/>
  <c r="R32" i="18"/>
  <c r="S32" i="18"/>
  <c r="S43" i="18" s="1"/>
  <c r="T32" i="18"/>
  <c r="T43" i="18" s="1"/>
  <c r="U32" i="18"/>
  <c r="U43" i="18" s="1"/>
  <c r="V32" i="18"/>
  <c r="V43" i="18" s="1"/>
  <c r="W32" i="18"/>
  <c r="W43" i="18" s="1"/>
  <c r="X32" i="18"/>
  <c r="X43" i="18" s="1"/>
  <c r="Y32" i="18"/>
  <c r="Z32" i="18"/>
  <c r="Z43" i="18" s="1"/>
  <c r="AA32" i="18"/>
  <c r="AA43" i="18" s="1"/>
  <c r="AB32" i="18"/>
  <c r="AB43" i="18" s="1"/>
  <c r="AC32" i="18"/>
  <c r="B33" i="18"/>
  <c r="C33" i="18"/>
  <c r="C44" i="18" s="1"/>
  <c r="B34" i="18"/>
  <c r="C34" i="18"/>
  <c r="B35" i="18"/>
  <c r="B45" i="18" s="1"/>
  <c r="C35" i="18"/>
  <c r="C45" i="18" s="1"/>
  <c r="B36" i="18"/>
  <c r="B46" i="18" s="1"/>
  <c r="C36" i="18"/>
  <c r="B37" i="18"/>
  <c r="B48" i="18" s="1"/>
  <c r="C37" i="18"/>
  <c r="B38" i="18"/>
  <c r="B47" i="18" s="1"/>
  <c r="C38" i="18"/>
  <c r="C48" i="18" s="1"/>
  <c r="B39" i="18"/>
  <c r="B49" i="18" s="1"/>
  <c r="C39" i="18"/>
  <c r="C49" i="18" s="1"/>
  <c r="E41" i="18"/>
  <c r="J41" i="18"/>
  <c r="D42" i="18"/>
  <c r="D11" i="18" s="1"/>
  <c r="E42" i="18"/>
  <c r="F42" i="18"/>
  <c r="G42" i="18"/>
  <c r="H42" i="18"/>
  <c r="I42" i="18"/>
  <c r="I11" i="18" s="1"/>
  <c r="J42" i="18"/>
  <c r="J11" i="18" s="1"/>
  <c r="K42" i="18"/>
  <c r="K41" i="18" s="1"/>
  <c r="L42" i="18"/>
  <c r="L11" i="18" s="1"/>
  <c r="M42" i="18"/>
  <c r="M11" i="18" s="1"/>
  <c r="N42" i="18"/>
  <c r="O42" i="18"/>
  <c r="P42" i="18"/>
  <c r="Q42" i="18"/>
  <c r="Q11" i="18" s="1"/>
  <c r="R42" i="18"/>
  <c r="R11" i="18" s="1"/>
  <c r="S42" i="18"/>
  <c r="S11" i="18" s="1"/>
  <c r="T42" i="18"/>
  <c r="T11" i="18" s="1"/>
  <c r="U42" i="18"/>
  <c r="U11" i="18" s="1"/>
  <c r="V42" i="18"/>
  <c r="W42" i="18"/>
  <c r="X42" i="18"/>
  <c r="Y42" i="18"/>
  <c r="Y11" i="18" s="1"/>
  <c r="Z42" i="18"/>
  <c r="Z11" i="18" s="1"/>
  <c r="AA42" i="18"/>
  <c r="AA11" i="18" s="1"/>
  <c r="AB42" i="18"/>
  <c r="AB11" i="18" s="1"/>
  <c r="AC42" i="18"/>
  <c r="AC11" i="18" s="1"/>
  <c r="B44" i="18"/>
  <c r="D44" i="18"/>
  <c r="E44" i="18"/>
  <c r="F44" i="18"/>
  <c r="G44" i="18"/>
  <c r="H44" i="18"/>
  <c r="H15" i="18" s="1"/>
  <c r="I15" i="18" s="1"/>
  <c r="J15" i="18" s="1"/>
  <c r="K15" i="18" s="1"/>
  <c r="L15" i="18" s="1"/>
  <c r="M15" i="18" s="1"/>
  <c r="N15" i="18" s="1"/>
  <c r="O15" i="18" s="1"/>
  <c r="P15" i="18" s="1"/>
  <c r="Q15" i="18" s="1"/>
  <c r="R15" i="18" s="1"/>
  <c r="S15" i="18" s="1"/>
  <c r="T15" i="18" s="1"/>
  <c r="U15" i="18" s="1"/>
  <c r="V15" i="18" s="1"/>
  <c r="W15" i="18" s="1"/>
  <c r="X15" i="18" s="1"/>
  <c r="Y15" i="18" s="1"/>
  <c r="Z15" i="18" s="1"/>
  <c r="AA15" i="18" s="1"/>
  <c r="AB15" i="18" s="1"/>
  <c r="AC15" i="18" s="1"/>
  <c r="I44" i="18"/>
  <c r="J44" i="18"/>
  <c r="K44" i="18"/>
  <c r="L44" i="18"/>
  <c r="M44" i="18"/>
  <c r="N44" i="18"/>
  <c r="O44" i="18"/>
  <c r="P44" i="18"/>
  <c r="Q44" i="18"/>
  <c r="R44" i="18"/>
  <c r="S44" i="18"/>
  <c r="T44" i="18"/>
  <c r="U44" i="18"/>
  <c r="V44" i="18"/>
  <c r="W44" i="18"/>
  <c r="X44" i="18"/>
  <c r="Y44" i="18"/>
  <c r="Z44" i="18"/>
  <c r="AA44" i="18"/>
  <c r="AB44" i="18"/>
  <c r="AC44" i="18"/>
  <c r="D45" i="18"/>
  <c r="E45" i="18"/>
  <c r="F45" i="18"/>
  <c r="G45" i="18"/>
  <c r="H45" i="18"/>
  <c r="I45" i="18"/>
  <c r="J45" i="18"/>
  <c r="K45" i="18"/>
  <c r="L45" i="18"/>
  <c r="M45" i="18"/>
  <c r="N45" i="18"/>
  <c r="O45" i="18"/>
  <c r="P45" i="18"/>
  <c r="Q45" i="18"/>
  <c r="R45" i="18"/>
  <c r="S45" i="18"/>
  <c r="T45" i="18"/>
  <c r="U45" i="18"/>
  <c r="V45" i="18"/>
  <c r="W45" i="18"/>
  <c r="X45" i="18"/>
  <c r="Y45" i="18"/>
  <c r="Z45" i="18"/>
  <c r="AA45" i="18"/>
  <c r="AB45" i="18"/>
  <c r="AC45" i="18"/>
  <c r="C46" i="18"/>
  <c r="D46" i="18"/>
  <c r="E46" i="18"/>
  <c r="F46" i="18"/>
  <c r="G46" i="18"/>
  <c r="H46" i="18"/>
  <c r="I46" i="18"/>
  <c r="J46" i="18"/>
  <c r="K46" i="18"/>
  <c r="L46" i="18"/>
  <c r="M46" i="18"/>
  <c r="N46" i="18"/>
  <c r="O46" i="18"/>
  <c r="P46" i="18"/>
  <c r="Q46" i="18"/>
  <c r="R46" i="18"/>
  <c r="S46" i="18"/>
  <c r="T46" i="18"/>
  <c r="U46" i="18"/>
  <c r="V46" i="18"/>
  <c r="W46" i="18"/>
  <c r="X46" i="18"/>
  <c r="Y46" i="18"/>
  <c r="Z46" i="18"/>
  <c r="AA46" i="18"/>
  <c r="AB46" i="18"/>
  <c r="AC46" i="18"/>
  <c r="C47" i="18"/>
  <c r="D47" i="18"/>
  <c r="E47" i="18"/>
  <c r="F47" i="18"/>
  <c r="G47" i="18"/>
  <c r="H47" i="18"/>
  <c r="I47" i="18"/>
  <c r="J47" i="18"/>
  <c r="K47" i="18"/>
  <c r="L47" i="18"/>
  <c r="M47" i="18"/>
  <c r="N47" i="18"/>
  <c r="O47" i="18"/>
  <c r="P47" i="18"/>
  <c r="Q47" i="18"/>
  <c r="R47" i="18"/>
  <c r="S47" i="18"/>
  <c r="T47" i="18"/>
  <c r="U47" i="18"/>
  <c r="V47" i="18"/>
  <c r="W47" i="18"/>
  <c r="X47" i="18"/>
  <c r="Y47" i="18"/>
  <c r="Z47" i="18"/>
  <c r="AA47" i="18"/>
  <c r="AB47" i="18"/>
  <c r="AC47" i="18"/>
  <c r="D48" i="18"/>
  <c r="E48" i="18"/>
  <c r="F48" i="18"/>
  <c r="G48" i="18"/>
  <c r="H48" i="18"/>
  <c r="I48" i="18"/>
  <c r="J48" i="18"/>
  <c r="K48" i="18"/>
  <c r="L48" i="18"/>
  <c r="M48" i="18"/>
  <c r="N48" i="18"/>
  <c r="O48" i="18"/>
  <c r="P48" i="18"/>
  <c r="Q48" i="18"/>
  <c r="R48" i="18"/>
  <c r="S48" i="18"/>
  <c r="T48" i="18"/>
  <c r="U48" i="18"/>
  <c r="V48" i="18"/>
  <c r="W48" i="18"/>
  <c r="X48" i="18"/>
  <c r="Y48" i="18"/>
  <c r="Z48" i="18"/>
  <c r="AA48" i="18"/>
  <c r="AB48" i="18"/>
  <c r="AC48" i="18"/>
  <c r="D49" i="18"/>
  <c r="E49" i="18"/>
  <c r="F49" i="18"/>
  <c r="G49" i="18"/>
  <c r="H49" i="18"/>
  <c r="I49" i="18"/>
  <c r="J49" i="18"/>
  <c r="K49" i="18"/>
  <c r="L49" i="18"/>
  <c r="M49" i="18"/>
  <c r="N49" i="18"/>
  <c r="O49" i="18"/>
  <c r="P49" i="18"/>
  <c r="Q49" i="18"/>
  <c r="R49" i="18"/>
  <c r="S49" i="18"/>
  <c r="T49" i="18"/>
  <c r="U49" i="18"/>
  <c r="V49" i="18"/>
  <c r="W49" i="18"/>
  <c r="X49" i="18"/>
  <c r="Y49" i="18"/>
  <c r="Z49" i="18"/>
  <c r="AA49" i="18"/>
  <c r="AB49" i="18"/>
  <c r="AC49" i="18"/>
  <c r="I6" i="17"/>
  <c r="D27" i="17"/>
  <c r="E27" i="17" s="1"/>
  <c r="C29" i="17"/>
  <c r="D29" i="17" s="1"/>
  <c r="E29" i="17" s="1"/>
  <c r="Q38" i="17" s="1"/>
  <c r="C31" i="17"/>
  <c r="D31" i="17"/>
  <c r="E31" i="17" s="1"/>
  <c r="B35" i="17"/>
  <c r="B33" i="17" s="1"/>
  <c r="D33" i="17" s="1"/>
  <c r="E33" i="17" s="1"/>
  <c r="M33" i="17"/>
  <c r="C39" i="17"/>
  <c r="D39" i="17"/>
  <c r="C40" i="17"/>
  <c r="M29" i="17" s="1"/>
  <c r="D40" i="17"/>
  <c r="C41" i="17"/>
  <c r="M31" i="17" s="1"/>
  <c r="D41" i="17"/>
  <c r="M41" i="17"/>
  <c r="N41" i="17"/>
  <c r="M44" i="17"/>
  <c r="N44" i="17"/>
  <c r="M45" i="17"/>
  <c r="N45" i="17"/>
  <c r="M46" i="17"/>
  <c r="N46" i="17"/>
  <c r="M47" i="17"/>
  <c r="N47" i="17"/>
  <c r="G51" i="17"/>
  <c r="B55" i="17"/>
  <c r="C55" i="17"/>
  <c r="B56" i="17"/>
  <c r="B67" i="17" s="1"/>
  <c r="C56" i="17"/>
  <c r="B57" i="17"/>
  <c r="B68" i="17" s="1"/>
  <c r="C57" i="17"/>
  <c r="B58" i="17"/>
  <c r="C58" i="17"/>
  <c r="B59" i="17"/>
  <c r="C59" i="17"/>
  <c r="B60" i="17"/>
  <c r="C60" i="17"/>
  <c r="B61" i="17"/>
  <c r="C61" i="17"/>
  <c r="B62" i="17"/>
  <c r="B73" i="17" s="1"/>
  <c r="C62" i="17"/>
  <c r="B63" i="17"/>
  <c r="B72" i="17" s="1"/>
  <c r="C63" i="17"/>
  <c r="C73" i="17" s="1"/>
  <c r="B64" i="17"/>
  <c r="C64" i="17"/>
  <c r="R66" i="17"/>
  <c r="S66" i="17"/>
  <c r="D67" i="17"/>
  <c r="E67" i="17"/>
  <c r="E66" i="17" s="1"/>
  <c r="F67" i="17"/>
  <c r="F66" i="17" s="1"/>
  <c r="G67" i="17"/>
  <c r="G66" i="17" s="1"/>
  <c r="H67" i="17"/>
  <c r="H65" i="17" s="1"/>
  <c r="I67" i="17"/>
  <c r="I65" i="17" s="1"/>
  <c r="J67" i="17"/>
  <c r="K67" i="17"/>
  <c r="K66" i="17" s="1"/>
  <c r="L67" i="17"/>
  <c r="L66" i="17" s="1"/>
  <c r="M67" i="17"/>
  <c r="M66" i="17" s="1"/>
  <c r="N67" i="17"/>
  <c r="N66" i="17" s="1"/>
  <c r="O67" i="17"/>
  <c r="P67" i="17"/>
  <c r="Q67" i="17"/>
  <c r="R67" i="17"/>
  <c r="S67" i="17"/>
  <c r="T67" i="17"/>
  <c r="T66" i="17" s="1"/>
  <c r="U67" i="17"/>
  <c r="U66" i="17" s="1"/>
  <c r="V67" i="17"/>
  <c r="V66" i="17" s="1"/>
  <c r="W67" i="17"/>
  <c r="W66" i="17" s="1"/>
  <c r="X67" i="17"/>
  <c r="X66" i="17" s="1"/>
  <c r="Y67" i="17"/>
  <c r="Y66" i="17" s="1"/>
  <c r="Z67" i="17"/>
  <c r="Z66" i="17" s="1"/>
  <c r="AA67" i="17"/>
  <c r="AA66" i="17" s="1"/>
  <c r="AB67" i="17"/>
  <c r="AB66" i="17" s="1"/>
  <c r="AC67" i="17"/>
  <c r="AC66" i="17" s="1"/>
  <c r="D68" i="17"/>
  <c r="E68" i="17"/>
  <c r="F68" i="17"/>
  <c r="G68" i="17"/>
  <c r="H68" i="17"/>
  <c r="I68" i="17"/>
  <c r="J68" i="17"/>
  <c r="K68" i="17"/>
  <c r="L68" i="17"/>
  <c r="M68" i="17"/>
  <c r="N68" i="17"/>
  <c r="O68" i="17"/>
  <c r="P68" i="17"/>
  <c r="Q68" i="17"/>
  <c r="R68" i="17"/>
  <c r="S68" i="17"/>
  <c r="T68" i="17"/>
  <c r="U68" i="17"/>
  <c r="V68" i="17"/>
  <c r="W68" i="17"/>
  <c r="X68" i="17"/>
  <c r="Y68" i="17"/>
  <c r="Z68" i="17"/>
  <c r="AA68" i="17"/>
  <c r="AB68" i="17"/>
  <c r="AC68" i="17"/>
  <c r="D69" i="17"/>
  <c r="E69" i="17"/>
  <c r="F69" i="17"/>
  <c r="G69" i="17"/>
  <c r="H69" i="17"/>
  <c r="I69" i="17"/>
  <c r="J69" i="17"/>
  <c r="K69" i="17"/>
  <c r="L69" i="17"/>
  <c r="M69" i="17"/>
  <c r="N69" i="17"/>
  <c r="O69" i="17"/>
  <c r="P69" i="17"/>
  <c r="Q69" i="17"/>
  <c r="R69" i="17"/>
  <c r="S69" i="17"/>
  <c r="T69" i="17"/>
  <c r="U69" i="17"/>
  <c r="V69" i="17"/>
  <c r="W69" i="17"/>
  <c r="X69" i="17"/>
  <c r="Y69" i="17"/>
  <c r="Z69" i="17"/>
  <c r="AA69" i="17"/>
  <c r="AB69" i="17"/>
  <c r="AC69" i="17"/>
  <c r="D70" i="17"/>
  <c r="E70" i="17"/>
  <c r="F70" i="17"/>
  <c r="G70" i="17"/>
  <c r="H70" i="17"/>
  <c r="I70" i="17"/>
  <c r="J70" i="17"/>
  <c r="K70" i="17"/>
  <c r="L70" i="17"/>
  <c r="M70" i="17"/>
  <c r="N70" i="17"/>
  <c r="O70" i="17"/>
  <c r="P70" i="17"/>
  <c r="Q70" i="17"/>
  <c r="R70" i="17"/>
  <c r="S70" i="17"/>
  <c r="T70" i="17"/>
  <c r="U70" i="17"/>
  <c r="V70" i="17"/>
  <c r="W70" i="17"/>
  <c r="X70" i="17"/>
  <c r="Y70" i="17"/>
  <c r="Z70" i="17"/>
  <c r="AA70" i="17"/>
  <c r="AB70" i="17"/>
  <c r="AC70" i="17"/>
  <c r="D71" i="17"/>
  <c r="E71" i="17"/>
  <c r="F71" i="17"/>
  <c r="G71" i="17"/>
  <c r="H71" i="17"/>
  <c r="I71" i="17"/>
  <c r="J71" i="17"/>
  <c r="K71" i="17"/>
  <c r="L71" i="17"/>
  <c r="M71" i="17"/>
  <c r="N71" i="17"/>
  <c r="O71" i="17"/>
  <c r="P71" i="17"/>
  <c r="Q71" i="17"/>
  <c r="R71" i="17"/>
  <c r="S71" i="17"/>
  <c r="T71" i="17"/>
  <c r="U71" i="17"/>
  <c r="V71" i="17"/>
  <c r="W71" i="17"/>
  <c r="X71" i="17"/>
  <c r="Y71" i="17"/>
  <c r="Z71" i="17"/>
  <c r="AA71" i="17"/>
  <c r="AB71" i="17"/>
  <c r="AC71" i="17"/>
  <c r="D72" i="17"/>
  <c r="E72" i="17"/>
  <c r="F72" i="17"/>
  <c r="G72" i="17"/>
  <c r="H72" i="17"/>
  <c r="I72" i="17"/>
  <c r="J72" i="17"/>
  <c r="K72" i="17"/>
  <c r="L72" i="17"/>
  <c r="M72" i="17"/>
  <c r="N72" i="17"/>
  <c r="O72" i="17"/>
  <c r="P72" i="17"/>
  <c r="Q72" i="17"/>
  <c r="R72" i="17"/>
  <c r="S72" i="17"/>
  <c r="T72" i="17"/>
  <c r="U72" i="17"/>
  <c r="V72" i="17"/>
  <c r="W72" i="17"/>
  <c r="X72" i="17"/>
  <c r="Y72" i="17"/>
  <c r="Z72" i="17"/>
  <c r="AA72" i="17"/>
  <c r="AB72" i="17"/>
  <c r="AC72" i="17"/>
  <c r="D73" i="17"/>
  <c r="E73" i="17"/>
  <c r="F73" i="17"/>
  <c r="G73" i="17"/>
  <c r="H73" i="17"/>
  <c r="I73" i="17"/>
  <c r="J73" i="17"/>
  <c r="K73" i="17"/>
  <c r="L73" i="17"/>
  <c r="M73" i="17"/>
  <c r="N73" i="17"/>
  <c r="O73" i="17"/>
  <c r="P73" i="17"/>
  <c r="Q73" i="17"/>
  <c r="R73" i="17"/>
  <c r="S73" i="17"/>
  <c r="T73" i="17"/>
  <c r="U73" i="17"/>
  <c r="V73" i="17"/>
  <c r="W73" i="17"/>
  <c r="X73" i="17"/>
  <c r="Y73" i="17"/>
  <c r="Z73" i="17"/>
  <c r="AA73" i="17"/>
  <c r="AB73" i="17"/>
  <c r="AC73" i="17"/>
  <c r="B74" i="17"/>
  <c r="D74" i="17"/>
  <c r="E74" i="17"/>
  <c r="F74" i="17"/>
  <c r="G74" i="17"/>
  <c r="H74" i="17"/>
  <c r="I74" i="17"/>
  <c r="J74" i="17"/>
  <c r="K74" i="17"/>
  <c r="L74" i="17"/>
  <c r="M74" i="17"/>
  <c r="N74" i="17"/>
  <c r="O74" i="17"/>
  <c r="P74" i="17"/>
  <c r="Q74" i="17"/>
  <c r="R74" i="17"/>
  <c r="S74" i="17"/>
  <c r="T74" i="17"/>
  <c r="U74" i="17"/>
  <c r="V74" i="17"/>
  <c r="W74" i="17"/>
  <c r="X74" i="17"/>
  <c r="Y74" i="17"/>
  <c r="Z74" i="17"/>
  <c r="AA74" i="17"/>
  <c r="AB74" i="17"/>
  <c r="AC74" i="17"/>
  <c r="D4" i="16"/>
  <c r="G4" i="16" s="1"/>
  <c r="G15" i="16" s="1"/>
  <c r="D5" i="16"/>
  <c r="H6" i="16"/>
  <c r="I6" i="16"/>
  <c r="B27" i="16"/>
  <c r="C27" i="16"/>
  <c r="B28" i="16"/>
  <c r="C28" i="16"/>
  <c r="C39" i="16" s="1"/>
  <c r="B29" i="16"/>
  <c r="C29" i="16"/>
  <c r="C40" i="16" s="1"/>
  <c r="B30" i="16"/>
  <c r="C30" i="16"/>
  <c r="C41" i="16" s="1"/>
  <c r="B31" i="16"/>
  <c r="C31" i="16"/>
  <c r="B32" i="16"/>
  <c r="C32" i="16"/>
  <c r="C42" i="16" s="1"/>
  <c r="B33" i="16"/>
  <c r="C33" i="16"/>
  <c r="C43" i="16" s="1"/>
  <c r="B34" i="16"/>
  <c r="B45" i="16" s="1"/>
  <c r="C34" i="16"/>
  <c r="B35" i="16"/>
  <c r="B44" i="16" s="1"/>
  <c r="C35" i="16"/>
  <c r="B36" i="16"/>
  <c r="C36" i="16"/>
  <c r="C46" i="16" s="1"/>
  <c r="D39" i="16"/>
  <c r="D11" i="16" s="1"/>
  <c r="E39" i="16"/>
  <c r="E11" i="16" s="1"/>
  <c r="F39" i="16"/>
  <c r="F11" i="16" s="1"/>
  <c r="G39" i="16"/>
  <c r="G11" i="16" s="1"/>
  <c r="H39" i="16"/>
  <c r="H11" i="16" s="1"/>
  <c r="I39" i="16"/>
  <c r="I11" i="16" s="1"/>
  <c r="J39" i="16"/>
  <c r="J11" i="16" s="1"/>
  <c r="K39" i="16"/>
  <c r="K11" i="16" s="1"/>
  <c r="L39" i="16"/>
  <c r="L11" i="16" s="1"/>
  <c r="M39" i="16"/>
  <c r="M11" i="16" s="1"/>
  <c r="N39" i="16"/>
  <c r="N11" i="16" s="1"/>
  <c r="O39" i="16"/>
  <c r="O11" i="16" s="1"/>
  <c r="P39" i="16"/>
  <c r="P11" i="16" s="1"/>
  <c r="Q39" i="16"/>
  <c r="Q11" i="16" s="1"/>
  <c r="R39" i="16"/>
  <c r="R11" i="16" s="1"/>
  <c r="S39" i="16"/>
  <c r="S11" i="16" s="1"/>
  <c r="T39" i="16"/>
  <c r="T11" i="16" s="1"/>
  <c r="U39" i="16"/>
  <c r="U11" i="16" s="1"/>
  <c r="V39" i="16"/>
  <c r="V11" i="16" s="1"/>
  <c r="W39" i="16"/>
  <c r="W11" i="16" s="1"/>
  <c r="X39" i="16"/>
  <c r="X11" i="16" s="1"/>
  <c r="Y39" i="16"/>
  <c r="Y11" i="16" s="1"/>
  <c r="Z39" i="16"/>
  <c r="Z11" i="16" s="1"/>
  <c r="AA39" i="16"/>
  <c r="AA11" i="16" s="1"/>
  <c r="AB39" i="16"/>
  <c r="AB11" i="16" s="1"/>
  <c r="AC39" i="16"/>
  <c r="AC11" i="16" s="1"/>
  <c r="D40" i="16"/>
  <c r="E40" i="16"/>
  <c r="F40" i="16"/>
  <c r="G40" i="16"/>
  <c r="H40" i="16"/>
  <c r="I40" i="16"/>
  <c r="J40" i="16"/>
  <c r="K40" i="16"/>
  <c r="L40" i="16"/>
  <c r="M40" i="16"/>
  <c r="N40" i="16"/>
  <c r="O40" i="16"/>
  <c r="P40" i="16"/>
  <c r="Q40" i="16"/>
  <c r="R40" i="16"/>
  <c r="S40" i="16"/>
  <c r="T40" i="16"/>
  <c r="U40" i="16"/>
  <c r="V40" i="16"/>
  <c r="W40" i="16"/>
  <c r="X40" i="16"/>
  <c r="Y40" i="16"/>
  <c r="Z40" i="16"/>
  <c r="AA40" i="16"/>
  <c r="AB40" i="16"/>
  <c r="AC40" i="16"/>
  <c r="D41" i="16"/>
  <c r="E41" i="16"/>
  <c r="F41" i="16"/>
  <c r="G41" i="16"/>
  <c r="H41" i="16"/>
  <c r="H15" i="16" s="1"/>
  <c r="I15" i="16" s="1"/>
  <c r="J15" i="16" s="1"/>
  <c r="K15" i="16" s="1"/>
  <c r="L15" i="16" s="1"/>
  <c r="M15" i="16" s="1"/>
  <c r="N15" i="16" s="1"/>
  <c r="O15" i="16" s="1"/>
  <c r="P15" i="16" s="1"/>
  <c r="Q15" i="16" s="1"/>
  <c r="R15" i="16" s="1"/>
  <c r="S15" i="16" s="1"/>
  <c r="T15" i="16" s="1"/>
  <c r="U15" i="16" s="1"/>
  <c r="V15" i="16" s="1"/>
  <c r="W15" i="16" s="1"/>
  <c r="X15" i="16" s="1"/>
  <c r="Y15" i="16" s="1"/>
  <c r="Z15" i="16" s="1"/>
  <c r="AA15" i="16" s="1"/>
  <c r="AB15" i="16" s="1"/>
  <c r="AC15" i="16" s="1"/>
  <c r="I41" i="16"/>
  <c r="J41" i="16"/>
  <c r="K41" i="16"/>
  <c r="L41" i="16"/>
  <c r="M41" i="16"/>
  <c r="N41" i="16"/>
  <c r="O41" i="16"/>
  <c r="P41" i="16"/>
  <c r="Q41" i="16"/>
  <c r="R41" i="16"/>
  <c r="S41" i="16"/>
  <c r="T41" i="16"/>
  <c r="U41" i="16"/>
  <c r="V41" i="16"/>
  <c r="W41" i="16"/>
  <c r="X41" i="16"/>
  <c r="Y41" i="16"/>
  <c r="Z41" i="16"/>
  <c r="AA41" i="16"/>
  <c r="AB41" i="16"/>
  <c r="AC41" i="16"/>
  <c r="D42" i="16"/>
  <c r="E42" i="16"/>
  <c r="F42" i="16"/>
  <c r="G42" i="16"/>
  <c r="H42" i="16"/>
  <c r="I42" i="16"/>
  <c r="J42" i="16"/>
  <c r="K42" i="16"/>
  <c r="L42" i="16"/>
  <c r="M42" i="16"/>
  <c r="N42" i="16"/>
  <c r="O42" i="16"/>
  <c r="P42" i="16"/>
  <c r="Q42" i="16"/>
  <c r="R42" i="16"/>
  <c r="S42" i="16"/>
  <c r="T42" i="16"/>
  <c r="U42" i="16"/>
  <c r="V42" i="16"/>
  <c r="W42" i="16"/>
  <c r="X42" i="16"/>
  <c r="Y42" i="16"/>
  <c r="Z42" i="16"/>
  <c r="AA42" i="16"/>
  <c r="AB42" i="16"/>
  <c r="AC42" i="16"/>
  <c r="B43" i="16"/>
  <c r="D43" i="16"/>
  <c r="E43" i="16"/>
  <c r="F43" i="16"/>
  <c r="G43" i="16"/>
  <c r="H43" i="16"/>
  <c r="I43" i="16"/>
  <c r="J43" i="16"/>
  <c r="K43" i="16"/>
  <c r="L43" i="16"/>
  <c r="M43" i="16"/>
  <c r="N43" i="16"/>
  <c r="O43" i="16"/>
  <c r="P43" i="16"/>
  <c r="Q43" i="16"/>
  <c r="R43" i="16"/>
  <c r="S43" i="16"/>
  <c r="T43" i="16"/>
  <c r="U43" i="16"/>
  <c r="V43" i="16"/>
  <c r="W43" i="16"/>
  <c r="X43" i="16"/>
  <c r="Y43" i="16"/>
  <c r="Z43" i="16"/>
  <c r="AA43" i="16"/>
  <c r="AB43" i="16"/>
  <c r="AC43" i="16"/>
  <c r="C44" i="16"/>
  <c r="D44" i="16"/>
  <c r="E44" i="16"/>
  <c r="F44" i="16"/>
  <c r="G44" i="16"/>
  <c r="H44" i="16"/>
  <c r="I44" i="16"/>
  <c r="J44" i="16"/>
  <c r="K44" i="16"/>
  <c r="L44" i="16"/>
  <c r="M44" i="16"/>
  <c r="N44" i="16"/>
  <c r="O44" i="16"/>
  <c r="P44" i="16"/>
  <c r="Q44" i="16"/>
  <c r="R44" i="16"/>
  <c r="S44" i="16"/>
  <c r="T44" i="16"/>
  <c r="U44" i="16"/>
  <c r="V44" i="16"/>
  <c r="W44" i="16"/>
  <c r="X44" i="16"/>
  <c r="Y44" i="16"/>
  <c r="Z44" i="16"/>
  <c r="AA44" i="16"/>
  <c r="AB44" i="16"/>
  <c r="AC44" i="16"/>
  <c r="C45" i="16"/>
  <c r="D45" i="16"/>
  <c r="E45" i="16"/>
  <c r="F45" i="16"/>
  <c r="G45" i="16"/>
  <c r="H45" i="16"/>
  <c r="I45" i="16"/>
  <c r="J45" i="16"/>
  <c r="K45" i="16"/>
  <c r="L45" i="16"/>
  <c r="M45" i="16"/>
  <c r="N45" i="16"/>
  <c r="O45" i="16"/>
  <c r="P45" i="16"/>
  <c r="Q45" i="16"/>
  <c r="R45" i="16"/>
  <c r="S45" i="16"/>
  <c r="T45" i="16"/>
  <c r="U45" i="16"/>
  <c r="V45" i="16"/>
  <c r="W45" i="16"/>
  <c r="X45" i="16"/>
  <c r="Y45" i="16"/>
  <c r="Z45" i="16"/>
  <c r="AA45" i="16"/>
  <c r="AB45" i="16"/>
  <c r="AC45" i="16"/>
  <c r="D46" i="16"/>
  <c r="E46" i="16"/>
  <c r="F46" i="16"/>
  <c r="G46" i="16"/>
  <c r="H46" i="16"/>
  <c r="I46" i="16"/>
  <c r="J46" i="16"/>
  <c r="K46" i="16"/>
  <c r="L46" i="16"/>
  <c r="M46" i="16"/>
  <c r="N46" i="16"/>
  <c r="O46" i="16"/>
  <c r="P46" i="16"/>
  <c r="Q46" i="16"/>
  <c r="R46" i="16"/>
  <c r="S46" i="16"/>
  <c r="T46" i="16"/>
  <c r="U46" i="16"/>
  <c r="V46" i="16"/>
  <c r="W46" i="16"/>
  <c r="X46" i="16"/>
  <c r="Y46" i="16"/>
  <c r="Z46" i="16"/>
  <c r="AA46" i="16"/>
  <c r="AB46" i="16"/>
  <c r="AC46" i="16"/>
  <c r="K9" i="10"/>
  <c r="P9" i="10"/>
  <c r="K10" i="10"/>
  <c r="P10" i="10"/>
  <c r="K11" i="10"/>
  <c r="P11" i="10"/>
  <c r="K12" i="10"/>
  <c r="P12" i="10"/>
  <c r="K13" i="10"/>
  <c r="P13" i="10"/>
  <c r="K14" i="10"/>
  <c r="P14" i="10"/>
  <c r="G38" i="10"/>
  <c r="I38" i="10"/>
  <c r="K9" i="9"/>
  <c r="P9" i="9"/>
  <c r="K10" i="9"/>
  <c r="P10" i="9"/>
  <c r="K11" i="9"/>
  <c r="P11" i="9"/>
  <c r="K12" i="9"/>
  <c r="P12" i="9"/>
  <c r="K13" i="9"/>
  <c r="P13" i="9"/>
  <c r="K14" i="9"/>
  <c r="P14" i="9"/>
  <c r="F6" i="14" l="1"/>
  <c r="G6" i="14"/>
  <c r="I9" i="13"/>
  <c r="F8" i="13"/>
  <c r="F7" i="13"/>
  <c r="D15" i="22"/>
  <c r="D9" i="13"/>
  <c r="E19" i="23"/>
  <c r="E8" i="13"/>
  <c r="E15" i="20"/>
  <c r="D15" i="20"/>
  <c r="C9" i="13"/>
  <c r="B9" i="13"/>
  <c r="G5" i="22"/>
  <c r="F5" i="22"/>
  <c r="D15" i="23"/>
  <c r="D9" i="23"/>
  <c r="D20" i="23" s="1"/>
  <c r="E15" i="23"/>
  <c r="E17" i="23"/>
  <c r="E10" i="23"/>
  <c r="E18" i="23"/>
  <c r="E16" i="23"/>
  <c r="G4" i="23"/>
  <c r="F4" i="23"/>
  <c r="F9" i="23" s="1"/>
  <c r="F10" i="23" s="1"/>
  <c r="E20" i="23"/>
  <c r="E5" i="22"/>
  <c r="B40" i="22"/>
  <c r="B45" i="22"/>
  <c r="E6" i="22"/>
  <c r="E15" i="22"/>
  <c r="B41" i="22"/>
  <c r="B42" i="22"/>
  <c r="B39" i="22"/>
  <c r="D9" i="22"/>
  <c r="D20" i="22" s="1"/>
  <c r="E9" i="21"/>
  <c r="E10" i="21" s="1"/>
  <c r="B4" i="21"/>
  <c r="I9" i="21"/>
  <c r="H9" i="21"/>
  <c r="H19" i="21" s="1"/>
  <c r="G9" i="21"/>
  <c r="H18" i="21"/>
  <c r="H17" i="21"/>
  <c r="E19" i="21"/>
  <c r="F9" i="21"/>
  <c r="E6" i="21"/>
  <c r="H16" i="21"/>
  <c r="G20" i="21"/>
  <c r="F6" i="21"/>
  <c r="B6" i="21" s="1"/>
  <c r="G19" i="21"/>
  <c r="G18" i="21"/>
  <c r="D9" i="20"/>
  <c r="D16" i="20" s="1"/>
  <c r="B48" i="20"/>
  <c r="G4" i="20"/>
  <c r="F4" i="20"/>
  <c r="F9" i="20" s="1"/>
  <c r="F20" i="20" s="1"/>
  <c r="B47" i="19"/>
  <c r="E4" i="19"/>
  <c r="U48" i="19"/>
  <c r="P31" i="19"/>
  <c r="C51" i="19"/>
  <c r="B49" i="19"/>
  <c r="I30" i="19"/>
  <c r="N48" i="19"/>
  <c r="L31" i="19"/>
  <c r="W31" i="19"/>
  <c r="T31" i="19"/>
  <c r="B54" i="19"/>
  <c r="F31" i="19"/>
  <c r="E31" i="19"/>
  <c r="D9" i="19"/>
  <c r="D10" i="19" s="1"/>
  <c r="O31" i="19"/>
  <c r="G6" i="19"/>
  <c r="F5" i="19"/>
  <c r="AA48" i="19"/>
  <c r="V48" i="19"/>
  <c r="B50" i="19"/>
  <c r="C47" i="19"/>
  <c r="G31" i="19"/>
  <c r="G15" i="19"/>
  <c r="C53" i="19"/>
  <c r="X31" i="19"/>
  <c r="H31" i="19"/>
  <c r="T41" i="18"/>
  <c r="AA41" i="18"/>
  <c r="F4" i="18"/>
  <c r="Z41" i="18"/>
  <c r="E4" i="18"/>
  <c r="E9" i="18" s="1"/>
  <c r="E20" i="18" s="1"/>
  <c r="M41" i="18"/>
  <c r="K11" i="18"/>
  <c r="O43" i="18"/>
  <c r="AC41" i="18"/>
  <c r="B42" i="18"/>
  <c r="G15" i="18"/>
  <c r="AB41" i="18"/>
  <c r="D15" i="18"/>
  <c r="F43" i="18"/>
  <c r="U41" i="18"/>
  <c r="C32" i="18"/>
  <c r="C43" i="18" s="1"/>
  <c r="AC43" i="18"/>
  <c r="S41" i="18"/>
  <c r="R41" i="18"/>
  <c r="C42" i="18"/>
  <c r="D9" i="18"/>
  <c r="D10" i="18" s="1"/>
  <c r="L41" i="18"/>
  <c r="B71" i="17"/>
  <c r="B70" i="17"/>
  <c r="B69" i="17"/>
  <c r="P66" i="17"/>
  <c r="J66" i="17"/>
  <c r="O66" i="17"/>
  <c r="M48" i="17"/>
  <c r="N48" i="17"/>
  <c r="Q66" i="17"/>
  <c r="B46" i="16"/>
  <c r="B40" i="16"/>
  <c r="B39" i="16"/>
  <c r="B42" i="16"/>
  <c r="F4" i="16"/>
  <c r="E4" i="16"/>
  <c r="E15" i="16" s="1"/>
  <c r="D15" i="16"/>
  <c r="D9" i="16"/>
  <c r="D16" i="16" s="1"/>
  <c r="B41" i="16"/>
  <c r="B4" i="14"/>
  <c r="D20" i="14"/>
  <c r="D19" i="14"/>
  <c r="D18" i="14"/>
  <c r="D17" i="14"/>
  <c r="E20" i="14"/>
  <c r="E19" i="14"/>
  <c r="E18" i="14"/>
  <c r="E17" i="14"/>
  <c r="E16" i="14"/>
  <c r="D16" i="14"/>
  <c r="F15" i="14"/>
  <c r="F9" i="14"/>
  <c r="G15" i="14"/>
  <c r="G9" i="14"/>
  <c r="H9" i="14"/>
  <c r="I9" i="14"/>
  <c r="E18" i="21"/>
  <c r="I10" i="21"/>
  <c r="J9" i="21"/>
  <c r="E17" i="21"/>
  <c r="E16" i="21"/>
  <c r="I20" i="21"/>
  <c r="F20" i="21"/>
  <c r="I19" i="21"/>
  <c r="I18" i="21"/>
  <c r="I17" i="21"/>
  <c r="I16" i="21"/>
  <c r="J22" i="13"/>
  <c r="E22" i="13"/>
  <c r="F22" i="13"/>
  <c r="E6" i="13"/>
  <c r="F6" i="13"/>
  <c r="J6" i="13"/>
  <c r="E20" i="21"/>
  <c r="B15" i="21"/>
  <c r="C15" i="21"/>
  <c r="F5" i="20"/>
  <c r="B5" i="20"/>
  <c r="V29" i="49"/>
  <c r="X29" i="49"/>
  <c r="I29" i="49" s="1"/>
  <c r="D29" i="49" s="1"/>
  <c r="V28" i="49"/>
  <c r="X28" i="49"/>
  <c r="I28" i="49" s="1"/>
  <c r="D28" i="49" s="1"/>
  <c r="V27" i="49"/>
  <c r="X27" i="49"/>
  <c r="I27" i="49" s="1"/>
  <c r="D27" i="49" s="1"/>
  <c r="V26" i="49"/>
  <c r="X26" i="49"/>
  <c r="I26" i="49" s="1"/>
  <c r="D26" i="49" s="1"/>
  <c r="V25" i="49"/>
  <c r="X25" i="49"/>
  <c r="I25" i="49" s="1"/>
  <c r="D25" i="49" s="1"/>
  <c r="V24" i="49"/>
  <c r="X24" i="49"/>
  <c r="I24" i="49" s="1"/>
  <c r="D24" i="49" s="1"/>
  <c r="V23" i="49"/>
  <c r="X23" i="49"/>
  <c r="I23" i="49" s="1"/>
  <c r="D23" i="49" s="1"/>
  <c r="AH30" i="49"/>
  <c r="AJ30" i="49"/>
  <c r="K30" i="49" s="1"/>
  <c r="E30" i="49" s="1"/>
  <c r="F30" i="49" s="1"/>
  <c r="G30" i="49" s="1"/>
  <c r="AH29" i="49"/>
  <c r="AJ29" i="49"/>
  <c r="K29" i="49" s="1"/>
  <c r="E29" i="49" s="1"/>
  <c r="AH28" i="49"/>
  <c r="AJ28" i="49"/>
  <c r="K28" i="49" s="1"/>
  <c r="E28" i="49" s="1"/>
  <c r="AH27" i="49"/>
  <c r="AJ27" i="49"/>
  <c r="K27" i="49" s="1"/>
  <c r="E27" i="49" s="1"/>
  <c r="AH26" i="49"/>
  <c r="AJ26" i="49"/>
  <c r="K26" i="49" s="1"/>
  <c r="E26" i="49" s="1"/>
  <c r="AH25" i="49"/>
  <c r="AJ25" i="49"/>
  <c r="K25" i="49" s="1"/>
  <c r="E25" i="49" s="1"/>
  <c r="AH24" i="49"/>
  <c r="AJ24" i="49"/>
  <c r="K24" i="49" s="1"/>
  <c r="E24" i="49" s="1"/>
  <c r="AH23" i="49"/>
  <c r="AJ23" i="49"/>
  <c r="K23" i="49" s="1"/>
  <c r="E23" i="49" s="1"/>
  <c r="I31" i="45"/>
  <c r="H8" i="26" s="1"/>
  <c r="R11" i="46"/>
  <c r="B5" i="26"/>
  <c r="AL11" i="46"/>
  <c r="C5" i="26"/>
  <c r="C9" i="26"/>
  <c r="F23" i="24"/>
  <c r="E23" i="24"/>
  <c r="F31" i="45"/>
  <c r="E8" i="26" s="1"/>
  <c r="T31" i="45"/>
  <c r="S8" i="26" s="1"/>
  <c r="X31" i="45"/>
  <c r="W8" i="26" s="1"/>
  <c r="Q31" i="45"/>
  <c r="P8" i="26" s="1"/>
  <c r="K31" i="45"/>
  <c r="J8" i="26" s="1"/>
  <c r="S31" i="45"/>
  <c r="R8" i="26" s="1"/>
  <c r="AA31" i="45"/>
  <c r="Z8" i="26" s="1"/>
  <c r="W31" i="45"/>
  <c r="V8" i="26" s="1"/>
  <c r="M31" i="45"/>
  <c r="L8" i="26" s="1"/>
  <c r="G31" i="45"/>
  <c r="F8" i="26" s="1"/>
  <c r="K76" i="43"/>
  <c r="J68" i="43"/>
  <c r="J31" i="45"/>
  <c r="I8" i="26" s="1"/>
  <c r="R31" i="45"/>
  <c r="Q8" i="26" s="1"/>
  <c r="V31" i="45"/>
  <c r="U8" i="26" s="1"/>
  <c r="L31" i="45"/>
  <c r="K8" i="26" s="1"/>
  <c r="N31" i="45"/>
  <c r="M8" i="26" s="1"/>
  <c r="D31" i="45"/>
  <c r="C8" i="26" s="1"/>
  <c r="U31" i="45"/>
  <c r="T8" i="26" s="1"/>
  <c r="Z31" i="45"/>
  <c r="Y8" i="26" s="1"/>
  <c r="O31" i="45"/>
  <c r="N8" i="26" s="1"/>
  <c r="P31" i="45"/>
  <c r="O8" i="26" s="1"/>
  <c r="H31" i="45"/>
  <c r="G8" i="26" s="1"/>
  <c r="AB31" i="45"/>
  <c r="AA8" i="26" s="1"/>
  <c r="C31" i="45"/>
  <c r="E31" i="45"/>
  <c r="D8" i="26" s="1"/>
  <c r="G25" i="44"/>
  <c r="F29" i="44"/>
  <c r="F27" i="44"/>
  <c r="AB31" i="44"/>
  <c r="AA7" i="26" s="1"/>
  <c r="E31" i="44"/>
  <c r="D7" i="26" s="1"/>
  <c r="AA31" i="44"/>
  <c r="Z7" i="26" s="1"/>
  <c r="F30" i="44"/>
  <c r="G26" i="44"/>
  <c r="Z31" i="44"/>
  <c r="Y7" i="26" s="1"/>
  <c r="D31" i="44"/>
  <c r="C7" i="26" s="1"/>
  <c r="M66" i="43"/>
  <c r="N74" i="43"/>
  <c r="F103" i="43"/>
  <c r="E95" i="43"/>
  <c r="K102" i="43"/>
  <c r="J94" i="43"/>
  <c r="E105" i="43"/>
  <c r="D97" i="43"/>
  <c r="E94" i="43"/>
  <c r="F102" i="43"/>
  <c r="K77" i="43"/>
  <c r="J69" i="43"/>
  <c r="N70" i="43"/>
  <c r="O78" i="43"/>
  <c r="F77" i="43"/>
  <c r="E69" i="43"/>
  <c r="J96" i="43"/>
  <c r="K104" i="43"/>
  <c r="G100" i="43"/>
  <c r="G92" i="43" s="1"/>
  <c r="F92" i="43"/>
  <c r="B109" i="43" s="1"/>
  <c r="K95" i="43"/>
  <c r="L103" i="43"/>
  <c r="C15" i="43"/>
  <c r="D13" i="43"/>
  <c r="B42" i="43"/>
  <c r="K71" i="43"/>
  <c r="L79" i="43"/>
  <c r="E104" i="43"/>
  <c r="D96" i="43"/>
  <c r="J101" i="43"/>
  <c r="I93" i="43"/>
  <c r="E19" i="43"/>
  <c r="D21" i="43"/>
  <c r="D22" i="43" s="1"/>
  <c r="J92" i="43"/>
  <c r="K100" i="43"/>
  <c r="D71" i="43"/>
  <c r="E79" i="43"/>
  <c r="G101" i="43"/>
  <c r="G93" i="43" s="1"/>
  <c r="F93" i="43"/>
  <c r="J105" i="43"/>
  <c r="I97" i="43"/>
  <c r="E66" i="43"/>
  <c r="F74" i="43"/>
  <c r="K67" i="43"/>
  <c r="L75" i="43"/>
  <c r="I21" i="43"/>
  <c r="I22" i="43" s="1"/>
  <c r="I9" i="26" s="1"/>
  <c r="J19" i="43"/>
  <c r="H15" i="43"/>
  <c r="I13" i="43"/>
  <c r="E70" i="43"/>
  <c r="F78" i="43"/>
  <c r="E75" i="43"/>
  <c r="D67" i="43"/>
  <c r="Y31" i="19"/>
  <c r="Y48" i="19"/>
  <c r="Q31" i="19"/>
  <c r="Q48" i="19"/>
  <c r="I31" i="19"/>
  <c r="I48" i="19"/>
  <c r="B37" i="19"/>
  <c r="B48" i="19" s="1"/>
  <c r="I40" i="17"/>
  <c r="Q40" i="17"/>
  <c r="H4" i="17"/>
  <c r="H6" i="17" s="1"/>
  <c r="C69" i="17"/>
  <c r="C71" i="17"/>
  <c r="C68" i="17"/>
  <c r="C72" i="17"/>
  <c r="D35" i="17"/>
  <c r="I39" i="17"/>
  <c r="Q39" i="17"/>
  <c r="I37" i="17"/>
  <c r="I44" i="17" s="1"/>
  <c r="E35" i="17"/>
  <c r="E5" i="18"/>
  <c r="F5" i="18"/>
  <c r="G5" i="18"/>
  <c r="G6" i="18" s="1"/>
  <c r="D6" i="18"/>
  <c r="B5" i="18"/>
  <c r="Q37" i="17"/>
  <c r="I38" i="17"/>
  <c r="C74" i="17"/>
  <c r="C70" i="17"/>
  <c r="C67" i="17"/>
  <c r="R43" i="18"/>
  <c r="E5" i="16"/>
  <c r="F5" i="16"/>
  <c r="G5" i="16"/>
  <c r="G6" i="16" s="1"/>
  <c r="D6" i="16"/>
  <c r="B5" i="16"/>
  <c r="Y43" i="18"/>
  <c r="Q43" i="18"/>
  <c r="I43" i="18"/>
  <c r="Y41" i="18"/>
  <c r="Q41" i="18"/>
  <c r="I41" i="18"/>
  <c r="X41" i="18"/>
  <c r="X11" i="18"/>
  <c r="P41" i="18"/>
  <c r="P11" i="18"/>
  <c r="H41" i="18"/>
  <c r="H11" i="18"/>
  <c r="D32" i="19"/>
  <c r="W41" i="18"/>
  <c r="W11" i="18"/>
  <c r="O41" i="18"/>
  <c r="O11" i="18"/>
  <c r="G41" i="18"/>
  <c r="G11" i="18"/>
  <c r="V41" i="18"/>
  <c r="V11" i="18"/>
  <c r="N41" i="18"/>
  <c r="N11" i="18"/>
  <c r="F41" i="18"/>
  <c r="F11" i="18"/>
  <c r="Z31" i="19"/>
  <c r="AA31" i="19"/>
  <c r="Z48" i="19"/>
  <c r="R31" i="19"/>
  <c r="S31" i="19"/>
  <c r="R48" i="19"/>
  <c r="J31" i="19"/>
  <c r="K31" i="19"/>
  <c r="J48" i="19"/>
  <c r="D30" i="19"/>
  <c r="B34" i="20"/>
  <c r="B45" i="20" s="1"/>
  <c r="I45" i="20"/>
  <c r="X48" i="19"/>
  <c r="P48" i="19"/>
  <c r="H48" i="19"/>
  <c r="E11" i="18"/>
  <c r="E9" i="19"/>
  <c r="D6" i="19"/>
  <c r="F4" i="19"/>
  <c r="D11" i="20"/>
  <c r="F5" i="23"/>
  <c r="G5" i="23"/>
  <c r="G6" i="23" s="1"/>
  <c r="D6" i="23"/>
  <c r="E5" i="23"/>
  <c r="E6" i="23" s="1"/>
  <c r="B5" i="23"/>
  <c r="AC45" i="20"/>
  <c r="E5" i="20"/>
  <c r="E6" i="20" s="1"/>
  <c r="E9" i="20"/>
  <c r="D6" i="20"/>
  <c r="G5" i="20"/>
  <c r="D6" i="22"/>
  <c r="C39" i="22"/>
  <c r="C43" i="22"/>
  <c r="F4" i="22"/>
  <c r="E9" i="22"/>
  <c r="G4" i="22"/>
  <c r="F38" i="10"/>
  <c r="C38" i="9"/>
  <c r="I38" i="9"/>
  <c r="D38" i="10"/>
  <c r="F38" i="9"/>
  <c r="E38" i="9"/>
  <c r="H38" i="10"/>
  <c r="F9" i="13" l="1"/>
  <c r="E9" i="13"/>
  <c r="D10" i="20"/>
  <c r="G6" i="20"/>
  <c r="G9" i="18"/>
  <c r="G10" i="18" s="1"/>
  <c r="F6" i="16"/>
  <c r="E6" i="16"/>
  <c r="E15" i="18"/>
  <c r="B4" i="16"/>
  <c r="G9" i="16"/>
  <c r="G20" i="16" s="1"/>
  <c r="E9" i="16"/>
  <c r="E18" i="16" s="1"/>
  <c r="D10" i="23"/>
  <c r="I9" i="16"/>
  <c r="I17" i="16" s="1"/>
  <c r="D16" i="23"/>
  <c r="H9" i="18"/>
  <c r="H10" i="18" s="1"/>
  <c r="F15" i="16"/>
  <c r="B15" i="16" s="1"/>
  <c r="D19" i="23"/>
  <c r="I9" i="18"/>
  <c r="I17" i="18" s="1"/>
  <c r="D18" i="23"/>
  <c r="F6" i="18"/>
  <c r="E6" i="18"/>
  <c r="H9" i="16"/>
  <c r="H18" i="16" s="1"/>
  <c r="F6" i="20"/>
  <c r="B4" i="18"/>
  <c r="F10" i="20"/>
  <c r="E6" i="19"/>
  <c r="B4" i="19"/>
  <c r="F20" i="23"/>
  <c r="D19" i="20"/>
  <c r="F19" i="23"/>
  <c r="B4" i="23"/>
  <c r="D17" i="23"/>
  <c r="H9" i="23"/>
  <c r="H18" i="23" s="1"/>
  <c r="G9" i="23"/>
  <c r="I9" i="23"/>
  <c r="F16" i="23"/>
  <c r="F18" i="23"/>
  <c r="F17" i="23"/>
  <c r="F6" i="23"/>
  <c r="B6" i="23" s="1"/>
  <c r="F15" i="23"/>
  <c r="G15" i="23"/>
  <c r="D10" i="22"/>
  <c r="B14" i="26" s="1"/>
  <c r="B19" i="26" s="1"/>
  <c r="D17" i="22"/>
  <c r="D19" i="22"/>
  <c r="D16" i="22"/>
  <c r="D18" i="22"/>
  <c r="G10" i="21"/>
  <c r="G17" i="21"/>
  <c r="G16" i="21"/>
  <c r="H10" i="21"/>
  <c r="H20" i="21"/>
  <c r="F10" i="21"/>
  <c r="F16" i="21"/>
  <c r="B16" i="21" s="1"/>
  <c r="F17" i="21"/>
  <c r="B17" i="21" s="1"/>
  <c r="F18" i="21"/>
  <c r="B18" i="21" s="1"/>
  <c r="F19" i="21"/>
  <c r="B19" i="21" s="1"/>
  <c r="B20" i="21"/>
  <c r="F16" i="20"/>
  <c r="F19" i="20"/>
  <c r="G9" i="20"/>
  <c r="G20" i="20" s="1"/>
  <c r="F15" i="20"/>
  <c r="F18" i="20"/>
  <c r="F17" i="20"/>
  <c r="G15" i="20"/>
  <c r="D17" i="20"/>
  <c r="B4" i="20"/>
  <c r="D18" i="20"/>
  <c r="D20" i="20"/>
  <c r="I9" i="20"/>
  <c r="J9" i="20" s="1"/>
  <c r="H9" i="20"/>
  <c r="H17" i="20" s="1"/>
  <c r="D17" i="19"/>
  <c r="D20" i="19"/>
  <c r="D16" i="19"/>
  <c r="D19" i="19"/>
  <c r="D18" i="19"/>
  <c r="E15" i="19"/>
  <c r="G16" i="18"/>
  <c r="G17" i="18"/>
  <c r="F9" i="18"/>
  <c r="E16" i="18"/>
  <c r="F15" i="18"/>
  <c r="C15" i="18" s="1"/>
  <c r="G19" i="18"/>
  <c r="G18" i="18"/>
  <c r="E19" i="18"/>
  <c r="E10" i="18"/>
  <c r="E18" i="18"/>
  <c r="E17" i="18"/>
  <c r="D18" i="18"/>
  <c r="D17" i="18"/>
  <c r="D19" i="18"/>
  <c r="D20" i="18"/>
  <c r="G20" i="18"/>
  <c r="D16" i="18"/>
  <c r="H15" i="17"/>
  <c r="I15" i="17" s="1"/>
  <c r="J15" i="17" s="1"/>
  <c r="K15" i="17" s="1"/>
  <c r="L15" i="17" s="1"/>
  <c r="M15" i="17" s="1"/>
  <c r="N15" i="17" s="1"/>
  <c r="O15" i="17" s="1"/>
  <c r="P15" i="17" s="1"/>
  <c r="Q15" i="17" s="1"/>
  <c r="R15" i="17" s="1"/>
  <c r="S15" i="17" s="1"/>
  <c r="T15" i="17" s="1"/>
  <c r="U15" i="17" s="1"/>
  <c r="V15" i="17" s="1"/>
  <c r="W15" i="17" s="1"/>
  <c r="X15" i="17" s="1"/>
  <c r="Y15" i="17" s="1"/>
  <c r="Z15" i="17" s="1"/>
  <c r="AA15" i="17" s="1"/>
  <c r="AB15" i="17" s="1"/>
  <c r="AC15" i="17" s="1"/>
  <c r="D19" i="16"/>
  <c r="E16" i="16"/>
  <c r="E17" i="16"/>
  <c r="E10" i="16"/>
  <c r="C11" i="26" s="1"/>
  <c r="F9" i="16"/>
  <c r="D17" i="16"/>
  <c r="D10" i="16"/>
  <c r="D18" i="16"/>
  <c r="D20" i="16"/>
  <c r="H20" i="16"/>
  <c r="B15" i="14"/>
  <c r="B6" i="14"/>
  <c r="C15" i="14"/>
  <c r="I10" i="14"/>
  <c r="I16" i="14"/>
  <c r="I17" i="14"/>
  <c r="I18" i="14"/>
  <c r="I19" i="14"/>
  <c r="J9" i="14"/>
  <c r="I20" i="14"/>
  <c r="H10" i="14"/>
  <c r="H16" i="14"/>
  <c r="H17" i="14"/>
  <c r="H18" i="14"/>
  <c r="H19" i="14"/>
  <c r="H20" i="14"/>
  <c r="G10" i="14"/>
  <c r="G16" i="14"/>
  <c r="G17" i="14"/>
  <c r="G18" i="14"/>
  <c r="G19" i="14"/>
  <c r="G20" i="14"/>
  <c r="F10" i="14"/>
  <c r="F17" i="14"/>
  <c r="F18" i="14"/>
  <c r="F19" i="14"/>
  <c r="F20" i="14"/>
  <c r="F16" i="14"/>
  <c r="J10" i="21"/>
  <c r="K9" i="21"/>
  <c r="J16" i="21"/>
  <c r="J17" i="21"/>
  <c r="J18" i="21"/>
  <c r="J19" i="21"/>
  <c r="J20" i="21"/>
  <c r="R10" i="21"/>
  <c r="V10" i="21"/>
  <c r="W10" i="21"/>
  <c r="X10" i="21"/>
  <c r="Z10" i="21"/>
  <c r="S10" i="21"/>
  <c r="T10" i="21"/>
  <c r="U10" i="21"/>
  <c r="K10" i="21"/>
  <c r="AA10" i="21"/>
  <c r="L10" i="21"/>
  <c r="AB10" i="21"/>
  <c r="M10" i="21"/>
  <c r="AC10" i="21"/>
  <c r="Y10" i="21"/>
  <c r="N10" i="21"/>
  <c r="O10" i="21"/>
  <c r="P10" i="21"/>
  <c r="Q10" i="21"/>
  <c r="B10" i="21"/>
  <c r="G15" i="22"/>
  <c r="G6" i="22"/>
  <c r="E19" i="22"/>
  <c r="E17" i="22"/>
  <c r="B4" i="22"/>
  <c r="F15" i="22"/>
  <c r="C15" i="22" s="1"/>
  <c r="E17" i="20"/>
  <c r="E20" i="20"/>
  <c r="E18" i="20"/>
  <c r="H9" i="19"/>
  <c r="H19" i="19" s="1"/>
  <c r="I9" i="19"/>
  <c r="J9" i="19" s="1"/>
  <c r="B13" i="26"/>
  <c r="AB5" i="26"/>
  <c r="F23" i="49"/>
  <c r="G23" i="49" s="1"/>
  <c r="F24" i="49"/>
  <c r="G24" i="49" s="1"/>
  <c r="F25" i="49"/>
  <c r="G25" i="49" s="1"/>
  <c r="F26" i="49"/>
  <c r="G26" i="49" s="1"/>
  <c r="F27" i="49"/>
  <c r="G27" i="49" s="1"/>
  <c r="F28" i="49"/>
  <c r="G28" i="49" s="1"/>
  <c r="F29" i="49"/>
  <c r="G29" i="49" s="1"/>
  <c r="AB8" i="26"/>
  <c r="D9" i="26"/>
  <c r="L76" i="43"/>
  <c r="K68" i="43"/>
  <c r="C34" i="45"/>
  <c r="C37" i="45" s="1"/>
  <c r="B34" i="45"/>
  <c r="B37" i="45" s="1"/>
  <c r="F31" i="44"/>
  <c r="E7" i="26" s="1"/>
  <c r="H25" i="44"/>
  <c r="G27" i="44"/>
  <c r="G29" i="44"/>
  <c r="G30" i="44"/>
  <c r="H26" i="44"/>
  <c r="F105" i="43"/>
  <c r="E97" i="43"/>
  <c r="G74" i="43"/>
  <c r="G66" i="43" s="1"/>
  <c r="F66" i="43"/>
  <c r="B83" i="43" s="1"/>
  <c r="B56" i="43" s="1"/>
  <c r="D56" i="43" s="1"/>
  <c r="F75" i="43"/>
  <c r="E67" i="43"/>
  <c r="K19" i="43"/>
  <c r="J21" i="43"/>
  <c r="J22" i="43" s="1"/>
  <c r="J9" i="26" s="1"/>
  <c r="F79" i="43"/>
  <c r="E71" i="43"/>
  <c r="K101" i="43"/>
  <c r="J93" i="43"/>
  <c r="P78" i="43"/>
  <c r="O70" i="43"/>
  <c r="G78" i="43"/>
  <c r="G70" i="43" s="1"/>
  <c r="F70" i="43"/>
  <c r="B87" i="43" s="1"/>
  <c r="L102" i="43"/>
  <c r="K94" i="43"/>
  <c r="J97" i="43"/>
  <c r="K105" i="43"/>
  <c r="L100" i="43"/>
  <c r="K92" i="43"/>
  <c r="L104" i="43"/>
  <c r="K96" i="43"/>
  <c r="J13" i="43"/>
  <c r="I15" i="43"/>
  <c r="I27" i="43" s="1"/>
  <c r="M75" i="43"/>
  <c r="L67" i="43"/>
  <c r="E96" i="43"/>
  <c r="F104" i="43"/>
  <c r="D15" i="43"/>
  <c r="E13" i="43"/>
  <c r="L77" i="43"/>
  <c r="K69" i="43"/>
  <c r="G103" i="43"/>
  <c r="G95" i="43" s="1"/>
  <c r="F95" i="43"/>
  <c r="B112" i="43" s="1"/>
  <c r="H27" i="43"/>
  <c r="B41" i="43"/>
  <c r="C27" i="43"/>
  <c r="F94" i="43"/>
  <c r="G102" i="43"/>
  <c r="G94" i="43" s="1"/>
  <c r="O74" i="43"/>
  <c r="N66" i="43"/>
  <c r="C42" i="43"/>
  <c r="L95" i="43"/>
  <c r="M103" i="43"/>
  <c r="B110" i="43"/>
  <c r="E21" i="43"/>
  <c r="E22" i="43" s="1"/>
  <c r="F19" i="43"/>
  <c r="L71" i="43"/>
  <c r="M79" i="43"/>
  <c r="F69" i="43"/>
  <c r="G77" i="43"/>
  <c r="G69" i="43" s="1"/>
  <c r="B6" i="20"/>
  <c r="F9" i="22"/>
  <c r="F6" i="22"/>
  <c r="I20" i="20"/>
  <c r="H18" i="20"/>
  <c r="E10" i="19"/>
  <c r="E19" i="19"/>
  <c r="E16" i="19"/>
  <c r="E18" i="19"/>
  <c r="E17" i="19"/>
  <c r="E20" i="19"/>
  <c r="D31" i="19"/>
  <c r="E10" i="20"/>
  <c r="E19" i="20"/>
  <c r="E16" i="20"/>
  <c r="F6" i="19"/>
  <c r="F9" i="19"/>
  <c r="G9" i="19"/>
  <c r="F15" i="19"/>
  <c r="J40" i="17"/>
  <c r="K40" i="17"/>
  <c r="I33" i="17"/>
  <c r="I34" i="17" s="1"/>
  <c r="L40" i="17"/>
  <c r="I47" i="17"/>
  <c r="H16" i="16"/>
  <c r="J39" i="17"/>
  <c r="K39" i="17"/>
  <c r="L39" i="17"/>
  <c r="I46" i="17"/>
  <c r="I31" i="17"/>
  <c r="I32" i="17" s="1"/>
  <c r="G9" i="22"/>
  <c r="H9" i="22"/>
  <c r="I9" i="22"/>
  <c r="B6" i="16"/>
  <c r="J38" i="17"/>
  <c r="H38" i="17" s="1"/>
  <c r="K38" i="17"/>
  <c r="L38" i="17"/>
  <c r="I45" i="17"/>
  <c r="I29" i="17"/>
  <c r="I30" i="17" s="1"/>
  <c r="B6" i="18"/>
  <c r="E18" i="22"/>
  <c r="E20" i="22"/>
  <c r="E10" i="22"/>
  <c r="C14" i="26" s="1"/>
  <c r="E16" i="22"/>
  <c r="H10" i="16"/>
  <c r="H19" i="16"/>
  <c r="H17" i="16"/>
  <c r="Q41" i="17"/>
  <c r="I27" i="17"/>
  <c r="I28" i="17" s="1"/>
  <c r="J37" i="17"/>
  <c r="L37" i="17"/>
  <c r="I41" i="17"/>
  <c r="J9" i="16"/>
  <c r="I10" i="16"/>
  <c r="G11" i="26" s="1"/>
  <c r="I16" i="16"/>
  <c r="I18" i="16"/>
  <c r="I20" i="16"/>
  <c r="I19" i="16"/>
  <c r="H38" i="9"/>
  <c r="E38" i="10"/>
  <c r="D38" i="9"/>
  <c r="G38" i="9"/>
  <c r="C38" i="10"/>
  <c r="C19" i="26" l="1"/>
  <c r="G47" i="49"/>
  <c r="H16" i="18"/>
  <c r="I19" i="20"/>
  <c r="G18" i="16"/>
  <c r="G19" i="16"/>
  <c r="G17" i="16"/>
  <c r="G16" i="16"/>
  <c r="G10" i="16"/>
  <c r="E19" i="16"/>
  <c r="E20" i="16"/>
  <c r="H20" i="18"/>
  <c r="H10" i="23"/>
  <c r="H19" i="18"/>
  <c r="C15" i="16"/>
  <c r="B15" i="18"/>
  <c r="G18" i="20"/>
  <c r="I19" i="18"/>
  <c r="I16" i="18"/>
  <c r="G16" i="20"/>
  <c r="I18" i="18"/>
  <c r="H20" i="23"/>
  <c r="I20" i="18"/>
  <c r="J9" i="18"/>
  <c r="J10" i="18" s="1"/>
  <c r="I10" i="18"/>
  <c r="AA10" i="18" s="1"/>
  <c r="H16" i="23"/>
  <c r="H17" i="23"/>
  <c r="H19" i="23"/>
  <c r="I18" i="20"/>
  <c r="H18" i="18"/>
  <c r="H17" i="18"/>
  <c r="H20" i="20"/>
  <c r="B20" i="20" s="1"/>
  <c r="H19" i="20"/>
  <c r="H16" i="20"/>
  <c r="H10" i="20"/>
  <c r="G17" i="20"/>
  <c r="I17" i="20"/>
  <c r="G10" i="20"/>
  <c r="I16" i="20"/>
  <c r="B15" i="23"/>
  <c r="C15" i="23"/>
  <c r="I10" i="23"/>
  <c r="I16" i="23"/>
  <c r="I20" i="23"/>
  <c r="I19" i="23"/>
  <c r="I18" i="23"/>
  <c r="I17" i="23"/>
  <c r="J9" i="23"/>
  <c r="G20" i="23"/>
  <c r="G19" i="23"/>
  <c r="G10" i="23"/>
  <c r="G17" i="23"/>
  <c r="G18" i="23"/>
  <c r="G16" i="23"/>
  <c r="B15" i="22"/>
  <c r="G19" i="20"/>
  <c r="I10" i="20"/>
  <c r="K10" i="20" s="1"/>
  <c r="B15" i="20"/>
  <c r="C15" i="20"/>
  <c r="H18" i="19"/>
  <c r="H20" i="19"/>
  <c r="I18" i="19"/>
  <c r="I20" i="19"/>
  <c r="I16" i="19"/>
  <c r="I10" i="19"/>
  <c r="W10" i="19" s="1"/>
  <c r="F18" i="18"/>
  <c r="F10" i="18"/>
  <c r="B10" i="18" s="1"/>
  <c r="F19" i="18"/>
  <c r="F20" i="18"/>
  <c r="F17" i="18"/>
  <c r="F16" i="18"/>
  <c r="K9" i="18"/>
  <c r="P10" i="18"/>
  <c r="Y10" i="18"/>
  <c r="I48" i="17"/>
  <c r="D6" i="17" s="1"/>
  <c r="I50" i="17"/>
  <c r="D5" i="17" s="1"/>
  <c r="F10" i="16"/>
  <c r="B10" i="16" s="1"/>
  <c r="F18" i="16"/>
  <c r="F20" i="16"/>
  <c r="B20" i="16" s="1"/>
  <c r="F19" i="16"/>
  <c r="B19" i="16" s="1"/>
  <c r="F17" i="16"/>
  <c r="B17" i="16" s="1"/>
  <c r="F16" i="16"/>
  <c r="B16" i="16" s="1"/>
  <c r="F11" i="26"/>
  <c r="B16" i="14"/>
  <c r="B20" i="14"/>
  <c r="B19" i="14"/>
  <c r="B18" i="14"/>
  <c r="J16" i="14"/>
  <c r="J17" i="14"/>
  <c r="J20" i="14"/>
  <c r="J18" i="14"/>
  <c r="J19" i="14"/>
  <c r="J10" i="14"/>
  <c r="K9" i="14"/>
  <c r="B17" i="14"/>
  <c r="B10" i="14"/>
  <c r="Y10" i="14"/>
  <c r="AA10" i="14"/>
  <c r="L10" i="14"/>
  <c r="O10" i="14"/>
  <c r="P10" i="14"/>
  <c r="Q10" i="14"/>
  <c r="R10" i="14"/>
  <c r="S10" i="14"/>
  <c r="T10" i="14"/>
  <c r="AC10" i="14"/>
  <c r="N10" i="14"/>
  <c r="U10" i="14"/>
  <c r="V10" i="14"/>
  <c r="Z10" i="14"/>
  <c r="K10" i="14"/>
  <c r="AB10" i="14"/>
  <c r="X10" i="14"/>
  <c r="W10" i="14"/>
  <c r="M10" i="14"/>
  <c r="L9" i="21"/>
  <c r="K18" i="21"/>
  <c r="K19" i="21"/>
  <c r="K20" i="21"/>
  <c r="K17" i="21"/>
  <c r="K16" i="21"/>
  <c r="C10" i="21"/>
  <c r="AD10" i="21"/>
  <c r="E11" i="26"/>
  <c r="E12" i="19"/>
  <c r="C13" i="26"/>
  <c r="I19" i="19"/>
  <c r="I17" i="19"/>
  <c r="H10" i="19"/>
  <c r="H17" i="19"/>
  <c r="H16" i="19"/>
  <c r="B9" i="49"/>
  <c r="B10" i="49"/>
  <c r="E9" i="26"/>
  <c r="M76" i="43"/>
  <c r="L68" i="43"/>
  <c r="H30" i="44"/>
  <c r="I26" i="44"/>
  <c r="G31" i="44"/>
  <c r="F7" i="26" s="1"/>
  <c r="I25" i="44"/>
  <c r="H29" i="44"/>
  <c r="H27" i="44"/>
  <c r="M100" i="43"/>
  <c r="L92" i="43"/>
  <c r="L19" i="43"/>
  <c r="K21" i="43"/>
  <c r="K22" i="43" s="1"/>
  <c r="K9" i="26" s="1"/>
  <c r="B86" i="43"/>
  <c r="B59" i="43" s="1"/>
  <c r="D59" i="43" s="1"/>
  <c r="N75" i="43"/>
  <c r="M67" i="43"/>
  <c r="K97" i="43"/>
  <c r="L105" i="43"/>
  <c r="N79" i="43"/>
  <c r="M71" i="43"/>
  <c r="Q78" i="43"/>
  <c r="P70" i="43"/>
  <c r="G75" i="43"/>
  <c r="G67" i="43" s="1"/>
  <c r="F67" i="43"/>
  <c r="B84" i="43" s="1"/>
  <c r="B57" i="43" s="1"/>
  <c r="D57" i="43" s="1"/>
  <c r="L69" i="43"/>
  <c r="M77" i="43"/>
  <c r="F21" i="43"/>
  <c r="G19" i="43"/>
  <c r="G21" i="43" s="1"/>
  <c r="G22" i="43" s="1"/>
  <c r="G9" i="26" s="1"/>
  <c r="D42" i="43"/>
  <c r="C41" i="43"/>
  <c r="D27" i="43"/>
  <c r="M102" i="43"/>
  <c r="L94" i="43"/>
  <c r="N103" i="43"/>
  <c r="M95" i="43"/>
  <c r="K13" i="43"/>
  <c r="J15" i="43"/>
  <c r="J27" i="43" s="1"/>
  <c r="P74" i="43"/>
  <c r="O66" i="43"/>
  <c r="F13" i="43"/>
  <c r="E15" i="43"/>
  <c r="K93" i="43"/>
  <c r="L101" i="43"/>
  <c r="B111" i="43"/>
  <c r="B58" i="43" s="1"/>
  <c r="D58" i="43" s="1"/>
  <c r="F96" i="43"/>
  <c r="G104" i="43"/>
  <c r="G96" i="43" s="1"/>
  <c r="B113" i="43" s="1"/>
  <c r="B60" i="43" s="1"/>
  <c r="D60" i="43" s="1"/>
  <c r="M104" i="43"/>
  <c r="L96" i="43"/>
  <c r="G79" i="43"/>
  <c r="G71" i="43" s="1"/>
  <c r="F71" i="43"/>
  <c r="G105" i="43"/>
  <c r="G97" i="43" s="1"/>
  <c r="F97" i="43"/>
  <c r="H45" i="17"/>
  <c r="J31" i="17"/>
  <c r="J32" i="17" s="1"/>
  <c r="J46" i="17"/>
  <c r="O46" i="17" s="1"/>
  <c r="V10" i="19"/>
  <c r="O10" i="19"/>
  <c r="R10" i="19"/>
  <c r="X10" i="19"/>
  <c r="L47" i="17"/>
  <c r="L33" i="17"/>
  <c r="G10" i="19"/>
  <c r="G18" i="19"/>
  <c r="G20" i="19"/>
  <c r="G19" i="19"/>
  <c r="G16" i="19"/>
  <c r="G17" i="19"/>
  <c r="D4" i="17"/>
  <c r="I42" i="17"/>
  <c r="D9" i="17" s="1"/>
  <c r="K9" i="19"/>
  <c r="J10" i="19"/>
  <c r="J18" i="19"/>
  <c r="J17" i="19"/>
  <c r="J19" i="19"/>
  <c r="J20" i="19"/>
  <c r="J16" i="19"/>
  <c r="L31" i="17"/>
  <c r="L46" i="17"/>
  <c r="B6" i="19"/>
  <c r="F10" i="19"/>
  <c r="D13" i="26" s="1"/>
  <c r="F19" i="19"/>
  <c r="F17" i="19"/>
  <c r="F16" i="19"/>
  <c r="F18" i="19"/>
  <c r="F20" i="19"/>
  <c r="F10" i="22"/>
  <c r="D14" i="26" s="1"/>
  <c r="F18" i="22"/>
  <c r="F19" i="22"/>
  <c r="F17" i="22"/>
  <c r="F20" i="22"/>
  <c r="F16" i="22"/>
  <c r="H10" i="22"/>
  <c r="H19" i="22"/>
  <c r="H17" i="22"/>
  <c r="H18" i="22"/>
  <c r="H20" i="22"/>
  <c r="H16" i="22"/>
  <c r="J27" i="17"/>
  <c r="J28" i="17" s="1"/>
  <c r="K37" i="17"/>
  <c r="J44" i="17"/>
  <c r="J41" i="17"/>
  <c r="L27" i="17"/>
  <c r="L41" i="17"/>
  <c r="L44" i="17"/>
  <c r="I10" i="22"/>
  <c r="I19" i="22"/>
  <c r="J9" i="22"/>
  <c r="I17" i="22"/>
  <c r="I20" i="22"/>
  <c r="I18" i="22"/>
  <c r="I16" i="22"/>
  <c r="K31" i="17"/>
  <c r="K46" i="17"/>
  <c r="K33" i="17"/>
  <c r="K47" i="17"/>
  <c r="AB10" i="20"/>
  <c r="R10" i="20"/>
  <c r="S10" i="20"/>
  <c r="K9" i="20"/>
  <c r="J10" i="20"/>
  <c r="J20" i="20"/>
  <c r="J19" i="20"/>
  <c r="J16" i="20"/>
  <c r="J18" i="20"/>
  <c r="J17" i="20"/>
  <c r="J33" i="17"/>
  <c r="J34" i="17" s="1"/>
  <c r="K34" i="17" s="1"/>
  <c r="J47" i="17"/>
  <c r="O47" i="17" s="1"/>
  <c r="G20" i="22"/>
  <c r="G18" i="22"/>
  <c r="G10" i="22"/>
  <c r="G16" i="22"/>
  <c r="G17" i="22"/>
  <c r="G19" i="22"/>
  <c r="H39" i="17"/>
  <c r="H40" i="17"/>
  <c r="B18" i="16"/>
  <c r="I35" i="17"/>
  <c r="D10" i="17" s="1"/>
  <c r="B12" i="26" s="1"/>
  <c r="L29" i="17"/>
  <c r="L45" i="17"/>
  <c r="N10" i="16"/>
  <c r="V10" i="16"/>
  <c r="O10" i="16"/>
  <c r="M11" i="26" s="1"/>
  <c r="W10" i="16"/>
  <c r="P10" i="16"/>
  <c r="N11" i="26" s="1"/>
  <c r="X10" i="16"/>
  <c r="Q10" i="16"/>
  <c r="Y10" i="16"/>
  <c r="K10" i="16"/>
  <c r="I11" i="26" s="1"/>
  <c r="S10" i="16"/>
  <c r="AA10" i="16"/>
  <c r="Y11" i="26" s="1"/>
  <c r="AB10" i="16"/>
  <c r="AC10" i="16"/>
  <c r="M10" i="16"/>
  <c r="K11" i="26" s="1"/>
  <c r="L10" i="16"/>
  <c r="J11" i="26" s="1"/>
  <c r="T10" i="16"/>
  <c r="Z10" i="16"/>
  <c r="X11" i="26" s="1"/>
  <c r="R10" i="16"/>
  <c r="P11" i="26" s="1"/>
  <c r="U10" i="16"/>
  <c r="K29" i="17"/>
  <c r="K45" i="17"/>
  <c r="O45" i="17" s="1"/>
  <c r="K9" i="16"/>
  <c r="J10" i="16"/>
  <c r="J16" i="16"/>
  <c r="J20" i="16"/>
  <c r="J18" i="16"/>
  <c r="J19" i="16"/>
  <c r="J17" i="16"/>
  <c r="J29" i="17"/>
  <c r="J30" i="17" s="1"/>
  <c r="J45" i="17"/>
  <c r="B15" i="19"/>
  <c r="C15" i="19"/>
  <c r="B6" i="22"/>
  <c r="B17" i="49" l="1"/>
  <c r="F17" i="49"/>
  <c r="B16" i="49"/>
  <c r="F16" i="49"/>
  <c r="J20" i="18"/>
  <c r="J18" i="18"/>
  <c r="J19" i="18"/>
  <c r="F14" i="26"/>
  <c r="Z10" i="19"/>
  <c r="B19" i="18"/>
  <c r="T10" i="18"/>
  <c r="B16" i="20"/>
  <c r="L10" i="18"/>
  <c r="S10" i="18"/>
  <c r="Z10" i="20"/>
  <c r="X10" i="20"/>
  <c r="T10" i="20"/>
  <c r="X10" i="18"/>
  <c r="V13" i="26" s="1"/>
  <c r="B17" i="20"/>
  <c r="U10" i="20"/>
  <c r="Q10" i="18"/>
  <c r="M10" i="20"/>
  <c r="G14" i="26"/>
  <c r="V10" i="18"/>
  <c r="T13" i="26" s="1"/>
  <c r="Y10" i="20"/>
  <c r="N10" i="18"/>
  <c r="Q10" i="20"/>
  <c r="M10" i="18"/>
  <c r="W10" i="20"/>
  <c r="O10" i="20"/>
  <c r="J17" i="18"/>
  <c r="AA10" i="20"/>
  <c r="Y13" i="26" s="1"/>
  <c r="W10" i="18"/>
  <c r="U13" i="26" s="1"/>
  <c r="AC10" i="20"/>
  <c r="O10" i="18"/>
  <c r="M13" i="26" s="1"/>
  <c r="K10" i="18"/>
  <c r="V10" i="20"/>
  <c r="J16" i="18"/>
  <c r="B18" i="20"/>
  <c r="Z10" i="18"/>
  <c r="X13" i="26" s="1"/>
  <c r="AB10" i="18"/>
  <c r="U10" i="18"/>
  <c r="B17" i="18"/>
  <c r="B16" i="18"/>
  <c r="B19" i="20"/>
  <c r="P10" i="20"/>
  <c r="N10" i="20"/>
  <c r="AC10" i="18"/>
  <c r="B20" i="18"/>
  <c r="L10" i="20"/>
  <c r="B18" i="18"/>
  <c r="R10" i="18"/>
  <c r="P13" i="26" s="1"/>
  <c r="P10" i="19"/>
  <c r="K10" i="19"/>
  <c r="Y10" i="19"/>
  <c r="N10" i="19"/>
  <c r="AC10" i="19"/>
  <c r="U10" i="19"/>
  <c r="M10" i="19"/>
  <c r="K13" i="26" s="1"/>
  <c r="AB10" i="19"/>
  <c r="T10" i="19"/>
  <c r="R13" i="26" s="1"/>
  <c r="G13" i="26"/>
  <c r="AA10" i="19"/>
  <c r="B10" i="20"/>
  <c r="B10" i="23"/>
  <c r="B19" i="23"/>
  <c r="B20" i="23"/>
  <c r="B17" i="23"/>
  <c r="B18" i="23"/>
  <c r="B16" i="23"/>
  <c r="J17" i="23"/>
  <c r="J18" i="23"/>
  <c r="J10" i="23"/>
  <c r="K9" i="23"/>
  <c r="J16" i="23"/>
  <c r="J20" i="23"/>
  <c r="J19" i="23"/>
  <c r="Q10" i="23"/>
  <c r="Y10" i="23"/>
  <c r="K10" i="23"/>
  <c r="AA10" i="23"/>
  <c r="L10" i="23"/>
  <c r="R10" i="23"/>
  <c r="V10" i="23"/>
  <c r="AB10" i="23"/>
  <c r="P10" i="23"/>
  <c r="U10" i="23"/>
  <c r="T10" i="23"/>
  <c r="Z10" i="23"/>
  <c r="M10" i="23"/>
  <c r="X10" i="23"/>
  <c r="N10" i="23"/>
  <c r="S10" i="23"/>
  <c r="O10" i="23"/>
  <c r="AC10" i="23"/>
  <c r="W10" i="23"/>
  <c r="B18" i="22"/>
  <c r="B20" i="22"/>
  <c r="L10" i="19"/>
  <c r="J13" i="26" s="1"/>
  <c r="S10" i="19"/>
  <c r="Q13" i="26" s="1"/>
  <c r="Q10" i="19"/>
  <c r="O13" i="26" s="1"/>
  <c r="B19" i="19"/>
  <c r="B18" i="19"/>
  <c r="F12" i="19"/>
  <c r="B16" i="19"/>
  <c r="L9" i="18"/>
  <c r="K17" i="18"/>
  <c r="K16" i="18"/>
  <c r="K20" i="18"/>
  <c r="K18" i="18"/>
  <c r="K19" i="18"/>
  <c r="D11" i="26"/>
  <c r="D19" i="26" s="1"/>
  <c r="Q11" i="26"/>
  <c r="R11" i="26"/>
  <c r="AA11" i="26"/>
  <c r="S11" i="26"/>
  <c r="B12" i="14"/>
  <c r="O11" i="26"/>
  <c r="W11" i="26"/>
  <c r="V11" i="26"/>
  <c r="C10" i="14"/>
  <c r="T11" i="26"/>
  <c r="L11" i="26"/>
  <c r="Z11" i="26"/>
  <c r="K16" i="14"/>
  <c r="K17" i="14"/>
  <c r="K18" i="14"/>
  <c r="K19" i="14"/>
  <c r="K20" i="14"/>
  <c r="L9" i="14"/>
  <c r="U11" i="26"/>
  <c r="AD10" i="14"/>
  <c r="B12" i="21"/>
  <c r="C12" i="21"/>
  <c r="M9" i="21"/>
  <c r="L16" i="21"/>
  <c r="L17" i="21"/>
  <c r="L18" i="21"/>
  <c r="L19" i="21"/>
  <c r="L20" i="21"/>
  <c r="H11" i="26"/>
  <c r="AD10" i="16"/>
  <c r="C10" i="16"/>
  <c r="E14" i="26"/>
  <c r="E19" i="26" s="1"/>
  <c r="H13" i="26"/>
  <c r="G12" i="19"/>
  <c r="E13" i="26"/>
  <c r="F13" i="26"/>
  <c r="H12" i="19"/>
  <c r="B88" i="43"/>
  <c r="F22" i="43"/>
  <c r="C34" i="43"/>
  <c r="B114" i="43"/>
  <c r="N76" i="43"/>
  <c r="M68" i="43"/>
  <c r="H31" i="44"/>
  <c r="I29" i="44"/>
  <c r="I27" i="44"/>
  <c r="J25" i="44"/>
  <c r="I30" i="44"/>
  <c r="J26" i="44"/>
  <c r="B61" i="43"/>
  <c r="D61" i="43" s="1"/>
  <c r="E42" i="43"/>
  <c r="K15" i="43"/>
  <c r="K27" i="43" s="1"/>
  <c r="L13" i="43"/>
  <c r="O75" i="43"/>
  <c r="N67" i="43"/>
  <c r="B34" i="43"/>
  <c r="M96" i="43"/>
  <c r="N104" i="43"/>
  <c r="E27" i="43"/>
  <c r="D41" i="43"/>
  <c r="O79" i="43"/>
  <c r="N71" i="43"/>
  <c r="M19" i="43"/>
  <c r="L21" i="43"/>
  <c r="L22" i="43" s="1"/>
  <c r="L9" i="26" s="1"/>
  <c r="L93" i="43"/>
  <c r="M101" i="43"/>
  <c r="F15" i="43"/>
  <c r="G13" i="43"/>
  <c r="M69" i="43"/>
  <c r="N77" i="43"/>
  <c r="M94" i="43"/>
  <c r="N102" i="43"/>
  <c r="M105" i="43"/>
  <c r="L97" i="43"/>
  <c r="N100" i="43"/>
  <c r="M92" i="43"/>
  <c r="O103" i="43"/>
  <c r="N95" i="43"/>
  <c r="Q74" i="43"/>
  <c r="P66" i="43"/>
  <c r="R78" i="43"/>
  <c r="Q70" i="43"/>
  <c r="L34" i="17"/>
  <c r="M34" i="17" s="1"/>
  <c r="N34" i="17" s="1"/>
  <c r="L9" i="16"/>
  <c r="K18" i="16"/>
  <c r="K20" i="16"/>
  <c r="K16" i="16"/>
  <c r="K19" i="16"/>
  <c r="K17" i="16"/>
  <c r="H47" i="17"/>
  <c r="B16" i="22"/>
  <c r="Q10" i="22"/>
  <c r="Y10" i="22"/>
  <c r="R10" i="22"/>
  <c r="Z10" i="22"/>
  <c r="X14" i="26" s="1"/>
  <c r="K10" i="22"/>
  <c r="S10" i="22"/>
  <c r="AA10" i="22"/>
  <c r="L10" i="22"/>
  <c r="T10" i="22"/>
  <c r="AB10" i="22"/>
  <c r="X10" i="22"/>
  <c r="M10" i="22"/>
  <c r="AC10" i="22"/>
  <c r="AA14" i="26" s="1"/>
  <c r="O10" i="22"/>
  <c r="M14" i="26" s="1"/>
  <c r="V10" i="22"/>
  <c r="W10" i="22"/>
  <c r="U10" i="22"/>
  <c r="N10" i="22"/>
  <c r="L14" i="26" s="1"/>
  <c r="P10" i="22"/>
  <c r="L9" i="19"/>
  <c r="K18" i="19"/>
  <c r="K17" i="19"/>
  <c r="K16" i="19"/>
  <c r="K20" i="19"/>
  <c r="K19" i="19"/>
  <c r="J35" i="17"/>
  <c r="E10" i="17" s="1"/>
  <c r="C12" i="26" s="1"/>
  <c r="L32" i="17"/>
  <c r="M32" i="17" s="1"/>
  <c r="N32" i="17" s="1"/>
  <c r="L48" i="17"/>
  <c r="H46" i="17"/>
  <c r="G4" i="17"/>
  <c r="G15" i="17" s="1"/>
  <c r="B17" i="22"/>
  <c r="D17" i="17"/>
  <c r="D19" i="17"/>
  <c r="D18" i="17"/>
  <c r="D20" i="17"/>
  <c r="D16" i="17"/>
  <c r="K27" i="17"/>
  <c r="K28" i="17" s="1"/>
  <c r="K44" i="17"/>
  <c r="K41" i="17"/>
  <c r="D11" i="17"/>
  <c r="K32" i="17"/>
  <c r="B19" i="22"/>
  <c r="B10" i="19"/>
  <c r="D15" i="17"/>
  <c r="B10" i="22"/>
  <c r="L9" i="20"/>
  <c r="K18" i="20"/>
  <c r="K20" i="20"/>
  <c r="K19" i="20"/>
  <c r="K16" i="20"/>
  <c r="K17" i="20"/>
  <c r="J10" i="22"/>
  <c r="H14" i="26" s="1"/>
  <c r="K9" i="22"/>
  <c r="J19" i="22"/>
  <c r="J20" i="22"/>
  <c r="J18" i="22"/>
  <c r="J16" i="22"/>
  <c r="J17" i="22"/>
  <c r="E4" i="17"/>
  <c r="E15" i="17" s="1"/>
  <c r="J42" i="17"/>
  <c r="E9" i="17" s="1"/>
  <c r="H34" i="17"/>
  <c r="B17" i="19"/>
  <c r="H37" i="17"/>
  <c r="H44" i="17" s="1"/>
  <c r="H48" i="17" s="1"/>
  <c r="B20" i="19"/>
  <c r="K30" i="17"/>
  <c r="J48" i="17"/>
  <c r="Z13" i="26" l="1"/>
  <c r="C10" i="20"/>
  <c r="AA13" i="26"/>
  <c r="N13" i="26"/>
  <c r="W13" i="26"/>
  <c r="I13" i="26"/>
  <c r="AB13" i="26" s="1"/>
  <c r="L13" i="26"/>
  <c r="R14" i="26"/>
  <c r="S13" i="26"/>
  <c r="C10" i="18"/>
  <c r="V14" i="26"/>
  <c r="U14" i="26"/>
  <c r="S14" i="26"/>
  <c r="C10" i="19"/>
  <c r="K14" i="26"/>
  <c r="W14" i="26"/>
  <c r="O14" i="26"/>
  <c r="P14" i="26"/>
  <c r="T14" i="26"/>
  <c r="Z14" i="26"/>
  <c r="L9" i="23"/>
  <c r="K18" i="23"/>
  <c r="K16" i="23"/>
  <c r="K20" i="23"/>
  <c r="K17" i="23"/>
  <c r="K19" i="23"/>
  <c r="J14" i="26"/>
  <c r="C10" i="23"/>
  <c r="C12" i="23" s="1"/>
  <c r="Y14" i="26"/>
  <c r="N14" i="26"/>
  <c r="Q14" i="26"/>
  <c r="M9" i="18"/>
  <c r="L19" i="18"/>
  <c r="L20" i="18"/>
  <c r="L16" i="18"/>
  <c r="L18" i="18"/>
  <c r="L17" i="18"/>
  <c r="G6" i="17"/>
  <c r="L50" i="17"/>
  <c r="G5" i="17" s="1"/>
  <c r="E6" i="17"/>
  <c r="J50" i="17"/>
  <c r="E5" i="17" s="1"/>
  <c r="C12" i="14"/>
  <c r="L18" i="14"/>
  <c r="L19" i="14"/>
  <c r="L20" i="14"/>
  <c r="M9" i="14"/>
  <c r="L17" i="14"/>
  <c r="L16" i="14"/>
  <c r="N9" i="21"/>
  <c r="M16" i="21"/>
  <c r="M17" i="21"/>
  <c r="M18" i="21"/>
  <c r="M19" i="21"/>
  <c r="M20" i="21"/>
  <c r="AB11" i="26"/>
  <c r="C10" i="22"/>
  <c r="I14" i="26"/>
  <c r="F9" i="26"/>
  <c r="F19" i="26" s="1"/>
  <c r="B34" i="44"/>
  <c r="B37" i="44" s="1"/>
  <c r="G7" i="26"/>
  <c r="G19" i="26" s="1"/>
  <c r="O76" i="43"/>
  <c r="N68" i="43"/>
  <c r="K26" i="44"/>
  <c r="J30" i="44"/>
  <c r="J29" i="44"/>
  <c r="J31" i="44" s="1"/>
  <c r="I7" i="26" s="1"/>
  <c r="J27" i="44"/>
  <c r="K25" i="44"/>
  <c r="I31" i="44"/>
  <c r="H7" i="26" s="1"/>
  <c r="G15" i="43"/>
  <c r="G27" i="43" s="1"/>
  <c r="N94" i="43"/>
  <c r="O102" i="43"/>
  <c r="N101" i="43"/>
  <c r="M93" i="43"/>
  <c r="O95" i="43"/>
  <c r="P103" i="43"/>
  <c r="O77" i="43"/>
  <c r="N69" i="43"/>
  <c r="N105" i="43"/>
  <c r="M97" i="43"/>
  <c r="P79" i="43"/>
  <c r="O71" i="43"/>
  <c r="R74" i="43"/>
  <c r="Q66" i="43"/>
  <c r="P75" i="43"/>
  <c r="O67" i="43"/>
  <c r="O100" i="43"/>
  <c r="N92" i="43"/>
  <c r="M21" i="43"/>
  <c r="M22" i="43" s="1"/>
  <c r="N19" i="43"/>
  <c r="O104" i="43"/>
  <c r="N96" i="43"/>
  <c r="F27" i="43"/>
  <c r="L15" i="43"/>
  <c r="M13" i="43"/>
  <c r="R70" i="43"/>
  <c r="S78" i="43"/>
  <c r="K35" i="17"/>
  <c r="F10" i="17" s="1"/>
  <c r="D12" i="26" s="1"/>
  <c r="L28" i="17"/>
  <c r="D12" i="19"/>
  <c r="E16" i="17"/>
  <c r="E20" i="17"/>
  <c r="E18" i="17"/>
  <c r="E19" i="17"/>
  <c r="E17" i="17"/>
  <c r="F4" i="17"/>
  <c r="F15" i="17" s="1"/>
  <c r="B15" i="17" s="1"/>
  <c r="K42" i="17"/>
  <c r="K48" i="17"/>
  <c r="O48" i="17" s="1"/>
  <c r="O44" i="17"/>
  <c r="H32" i="17"/>
  <c r="B12" i="23"/>
  <c r="M9" i="19"/>
  <c r="L18" i="19"/>
  <c r="L17" i="19"/>
  <c r="L20" i="19"/>
  <c r="L19" i="19"/>
  <c r="L16" i="19"/>
  <c r="H41" i="17"/>
  <c r="O37" i="17" s="1"/>
  <c r="F39" i="17"/>
  <c r="L30" i="17"/>
  <c r="M30" i="17" s="1"/>
  <c r="N30" i="17" s="1"/>
  <c r="H30" i="17" s="1"/>
  <c r="E11" i="17"/>
  <c r="M9" i="20"/>
  <c r="L20" i="20"/>
  <c r="L16" i="20"/>
  <c r="L19" i="20"/>
  <c r="L18" i="20"/>
  <c r="L17" i="20"/>
  <c r="E47" i="17"/>
  <c r="B12" i="16"/>
  <c r="C12" i="16"/>
  <c r="K19" i="22"/>
  <c r="K17" i="22"/>
  <c r="L9" i="22"/>
  <c r="K18" i="22"/>
  <c r="K20" i="22"/>
  <c r="K16" i="22"/>
  <c r="M9" i="16"/>
  <c r="L18" i="16"/>
  <c r="L20" i="16"/>
  <c r="L16" i="16"/>
  <c r="L19" i="16"/>
  <c r="L17" i="16"/>
  <c r="G21" i="26" l="1"/>
  <c r="AB14" i="26"/>
  <c r="L16" i="23"/>
  <c r="L20" i="23"/>
  <c r="L18" i="23"/>
  <c r="L19" i="23"/>
  <c r="M9" i="23"/>
  <c r="L17" i="23"/>
  <c r="N9" i="18"/>
  <c r="M18" i="18"/>
  <c r="M17" i="18"/>
  <c r="M16" i="18"/>
  <c r="M19" i="18"/>
  <c r="M20" i="18"/>
  <c r="F6" i="17"/>
  <c r="K50" i="17"/>
  <c r="F5" i="17" s="1"/>
  <c r="N9" i="14"/>
  <c r="M18" i="14"/>
  <c r="M16" i="14"/>
  <c r="M17" i="14"/>
  <c r="M20" i="14"/>
  <c r="M19" i="14"/>
  <c r="O9" i="21"/>
  <c r="N17" i="21"/>
  <c r="N18" i="21"/>
  <c r="N19" i="21"/>
  <c r="N20" i="21"/>
  <c r="N16" i="21"/>
  <c r="B33" i="43"/>
  <c r="C33" i="43"/>
  <c r="E41" i="43" s="1"/>
  <c r="M9" i="26"/>
  <c r="B6" i="17"/>
  <c r="P76" i="43"/>
  <c r="O68" i="43"/>
  <c r="L26" i="44"/>
  <c r="K30" i="44"/>
  <c r="K29" i="44"/>
  <c r="K31" i="44" s="1"/>
  <c r="J7" i="26" s="1"/>
  <c r="K27" i="44"/>
  <c r="L25" i="44"/>
  <c r="N21" i="43"/>
  <c r="N22" i="43" s="1"/>
  <c r="O19" i="43"/>
  <c r="P100" i="43"/>
  <c r="O92" i="43"/>
  <c r="O105" i="43"/>
  <c r="N97" i="43"/>
  <c r="M15" i="43"/>
  <c r="M27" i="43" s="1"/>
  <c r="N13" i="43"/>
  <c r="L27" i="43"/>
  <c r="P104" i="43"/>
  <c r="O96" i="43"/>
  <c r="P71" i="43"/>
  <c r="Q79" i="43"/>
  <c r="B45" i="43"/>
  <c r="B48" i="43" s="1"/>
  <c r="Q75" i="43"/>
  <c r="P67" i="43"/>
  <c r="O69" i="43"/>
  <c r="P77" i="43"/>
  <c r="S70" i="43"/>
  <c r="T78" i="43"/>
  <c r="R66" i="43"/>
  <c r="S74" i="43"/>
  <c r="O101" i="43"/>
  <c r="N93" i="43"/>
  <c r="P102" i="43"/>
  <c r="O94" i="43"/>
  <c r="P95" i="43"/>
  <c r="Q103" i="43"/>
  <c r="E45" i="17"/>
  <c r="B12" i="18"/>
  <c r="C12" i="18"/>
  <c r="M17" i="19"/>
  <c r="N9" i="19"/>
  <c r="M19" i="19"/>
  <c r="M16" i="19"/>
  <c r="M18" i="19"/>
  <c r="M20" i="19"/>
  <c r="F9" i="17"/>
  <c r="L42" i="17"/>
  <c r="C15" i="17"/>
  <c r="N9" i="20"/>
  <c r="M17" i="20"/>
  <c r="M19" i="20"/>
  <c r="M20" i="20"/>
  <c r="M18" i="20"/>
  <c r="M16" i="20"/>
  <c r="O38" i="17"/>
  <c r="O40" i="17"/>
  <c r="O39" i="17"/>
  <c r="C12" i="19"/>
  <c r="B12" i="19"/>
  <c r="M9" i="22"/>
  <c r="L16" i="22"/>
  <c r="L20" i="22"/>
  <c r="L18" i="22"/>
  <c r="L19" i="22"/>
  <c r="L17" i="22"/>
  <c r="C12" i="22"/>
  <c r="B12" i="22"/>
  <c r="B4" i="17"/>
  <c r="C12" i="20"/>
  <c r="B12" i="20"/>
  <c r="N9" i="16"/>
  <c r="M19" i="16"/>
  <c r="M17" i="16"/>
  <c r="M18" i="16"/>
  <c r="M16" i="16"/>
  <c r="M20" i="16"/>
  <c r="E46" i="17"/>
  <c r="M28" i="17"/>
  <c r="L35" i="17"/>
  <c r="G10" i="17" s="1"/>
  <c r="M20" i="23" l="1"/>
  <c r="M16" i="23"/>
  <c r="N9" i="23"/>
  <c r="M18" i="23"/>
  <c r="M17" i="23"/>
  <c r="M19" i="23"/>
  <c r="O9" i="18"/>
  <c r="N16" i="18"/>
  <c r="N20" i="18"/>
  <c r="N17" i="18"/>
  <c r="N19" i="18"/>
  <c r="N18" i="18"/>
  <c r="E12" i="26"/>
  <c r="N20" i="14"/>
  <c r="O9" i="14"/>
  <c r="N16" i="14"/>
  <c r="N17" i="14"/>
  <c r="N18" i="14"/>
  <c r="N19" i="14"/>
  <c r="P9" i="21"/>
  <c r="O16" i="21"/>
  <c r="O17" i="21"/>
  <c r="O18" i="21"/>
  <c r="O19" i="21"/>
  <c r="O20" i="21"/>
  <c r="N9" i="26"/>
  <c r="Q76" i="43"/>
  <c r="P68" i="43"/>
  <c r="L27" i="44"/>
  <c r="L29" i="44"/>
  <c r="M25" i="44"/>
  <c r="L30" i="44"/>
  <c r="M26" i="44"/>
  <c r="T74" i="43"/>
  <c r="S66" i="43"/>
  <c r="O21" i="43"/>
  <c r="O22" i="43" s="1"/>
  <c r="P19" i="43"/>
  <c r="N15" i="43"/>
  <c r="N27" i="43" s="1"/>
  <c r="O13" i="43"/>
  <c r="Q77" i="43"/>
  <c r="P69" i="43"/>
  <c r="O97" i="43"/>
  <c r="P105" i="43"/>
  <c r="R103" i="43"/>
  <c r="Q95" i="43"/>
  <c r="Q71" i="43"/>
  <c r="R79" i="43"/>
  <c r="U78" i="43"/>
  <c r="T70" i="43"/>
  <c r="Q102" i="43"/>
  <c r="P94" i="43"/>
  <c r="Q104" i="43"/>
  <c r="P96" i="43"/>
  <c r="Q100" i="43"/>
  <c r="P92" i="43"/>
  <c r="O93" i="43"/>
  <c r="P101" i="43"/>
  <c r="R75" i="43"/>
  <c r="Q67" i="43"/>
  <c r="N9" i="22"/>
  <c r="M16" i="22"/>
  <c r="M18" i="22"/>
  <c r="M20" i="22"/>
  <c r="M19" i="22"/>
  <c r="M17" i="22"/>
  <c r="O9" i="19"/>
  <c r="N17" i="19"/>
  <c r="N18" i="19"/>
  <c r="N16" i="19"/>
  <c r="N20" i="19"/>
  <c r="N19" i="19"/>
  <c r="H10" i="17"/>
  <c r="F12" i="26" s="1"/>
  <c r="G11" i="17"/>
  <c r="H49" i="17"/>
  <c r="I49" i="17" s="1"/>
  <c r="O9" i="16"/>
  <c r="N16" i="16"/>
  <c r="N20" i="16"/>
  <c r="N17" i="16"/>
  <c r="N19" i="16"/>
  <c r="N18" i="16"/>
  <c r="G9" i="17"/>
  <c r="M42" i="17"/>
  <c r="N42" i="17" s="1"/>
  <c r="F19" i="17"/>
  <c r="F20" i="17"/>
  <c r="F17" i="17"/>
  <c r="F18" i="17"/>
  <c r="F16" i="17"/>
  <c r="N28" i="17"/>
  <c r="N35" i="17" s="1"/>
  <c r="M35" i="17"/>
  <c r="F11" i="17"/>
  <c r="O9" i="20"/>
  <c r="N17" i="20"/>
  <c r="N16" i="20"/>
  <c r="N19" i="20"/>
  <c r="N18" i="20"/>
  <c r="N20" i="20"/>
  <c r="N19" i="23" l="1"/>
  <c r="O9" i="23"/>
  <c r="N18" i="23"/>
  <c r="N17" i="23"/>
  <c r="N20" i="23"/>
  <c r="N16" i="23"/>
  <c r="P9" i="18"/>
  <c r="O17" i="18"/>
  <c r="O16" i="18"/>
  <c r="O19" i="18"/>
  <c r="O18" i="18"/>
  <c r="O20" i="18"/>
  <c r="H28" i="17"/>
  <c r="O19" i="14"/>
  <c r="O20" i="14"/>
  <c r="O17" i="14"/>
  <c r="P9" i="14"/>
  <c r="O16" i="14"/>
  <c r="O18" i="14"/>
  <c r="Q9" i="21"/>
  <c r="P16" i="21"/>
  <c r="P17" i="21"/>
  <c r="P18" i="21"/>
  <c r="P19" i="21"/>
  <c r="P20" i="21"/>
  <c r="O9" i="26"/>
  <c r="Q68" i="43"/>
  <c r="R76" i="43"/>
  <c r="N26" i="44"/>
  <c r="M30" i="44"/>
  <c r="M27" i="44"/>
  <c r="N25" i="44"/>
  <c r="M29" i="44"/>
  <c r="M31" i="44" s="1"/>
  <c r="L7" i="26" s="1"/>
  <c r="L31" i="44"/>
  <c r="K7" i="26" s="1"/>
  <c r="U74" i="43"/>
  <c r="T66" i="43"/>
  <c r="O15" i="43"/>
  <c r="O27" i="43" s="1"/>
  <c r="P13" i="43"/>
  <c r="R77" i="43"/>
  <c r="Q69" i="43"/>
  <c r="R71" i="43"/>
  <c r="S79" i="43"/>
  <c r="Q96" i="43"/>
  <c r="R104" i="43"/>
  <c r="S75" i="43"/>
  <c r="R67" i="43"/>
  <c r="P97" i="43"/>
  <c r="Q105" i="43"/>
  <c r="P21" i="43"/>
  <c r="P22" i="43" s="1"/>
  <c r="Q19" i="43"/>
  <c r="U70" i="43"/>
  <c r="V78" i="43"/>
  <c r="Q92" i="43"/>
  <c r="R100" i="43"/>
  <c r="S103" i="43"/>
  <c r="R95" i="43"/>
  <c r="P93" i="43"/>
  <c r="Q101" i="43"/>
  <c r="Q94" i="43"/>
  <c r="R102" i="43"/>
  <c r="I10" i="17"/>
  <c r="G12" i="26" s="1"/>
  <c r="H35" i="17"/>
  <c r="O28" i="17" s="1"/>
  <c r="E44" i="17"/>
  <c r="P9" i="20"/>
  <c r="O18" i="20"/>
  <c r="O17" i="20"/>
  <c r="O19" i="20"/>
  <c r="O16" i="20"/>
  <c r="O20" i="20"/>
  <c r="M49" i="17"/>
  <c r="L49" i="17"/>
  <c r="J49" i="17"/>
  <c r="K49" i="17"/>
  <c r="P9" i="19"/>
  <c r="O19" i="19"/>
  <c r="O20" i="19"/>
  <c r="O16" i="19"/>
  <c r="O17" i="19"/>
  <c r="O18" i="19"/>
  <c r="H9" i="17"/>
  <c r="H11" i="17" s="1"/>
  <c r="G16" i="17"/>
  <c r="G20" i="17"/>
  <c r="G18" i="17"/>
  <c r="G19" i="17"/>
  <c r="G17" i="17"/>
  <c r="O9" i="22"/>
  <c r="N20" i="22"/>
  <c r="N16" i="22"/>
  <c r="N17" i="22"/>
  <c r="N18" i="22"/>
  <c r="N19" i="22"/>
  <c r="P9" i="16"/>
  <c r="O17" i="16"/>
  <c r="O19" i="16"/>
  <c r="O20" i="16"/>
  <c r="O18" i="16"/>
  <c r="O16" i="16"/>
  <c r="O18" i="23" l="1"/>
  <c r="O19" i="23"/>
  <c r="P9" i="23"/>
  <c r="O20" i="23"/>
  <c r="O17" i="23"/>
  <c r="O16" i="23"/>
  <c r="Q9" i="18"/>
  <c r="P20" i="18"/>
  <c r="P16" i="18"/>
  <c r="P19" i="18"/>
  <c r="P18" i="18"/>
  <c r="P17" i="18"/>
  <c r="P18" i="14"/>
  <c r="Q9" i="14"/>
  <c r="P19" i="14"/>
  <c r="P17" i="14"/>
  <c r="P20" i="14"/>
  <c r="P16" i="14"/>
  <c r="R9" i="21"/>
  <c r="Q16" i="21"/>
  <c r="Q17" i="21"/>
  <c r="Q18" i="21"/>
  <c r="Q19" i="21"/>
  <c r="Q20" i="21"/>
  <c r="P9" i="26"/>
  <c r="S76" i="43"/>
  <c r="R68" i="43"/>
  <c r="N30" i="44"/>
  <c r="O26" i="44"/>
  <c r="O25" i="44"/>
  <c r="N29" i="44"/>
  <c r="N31" i="44" s="1"/>
  <c r="M7" i="26" s="1"/>
  <c r="N27" i="44"/>
  <c r="R101" i="43"/>
  <c r="Q93" i="43"/>
  <c r="U66" i="43"/>
  <c r="V74" i="43"/>
  <c r="R105" i="43"/>
  <c r="Q97" i="43"/>
  <c r="S71" i="43"/>
  <c r="T79" i="43"/>
  <c r="S95" i="43"/>
  <c r="T103" i="43"/>
  <c r="R94" i="43"/>
  <c r="S102" i="43"/>
  <c r="R96" i="43"/>
  <c r="S104" i="43"/>
  <c r="P15" i="43"/>
  <c r="P27" i="43" s="1"/>
  <c r="Q13" i="43"/>
  <c r="Q21" i="43"/>
  <c r="Q22" i="43" s="1"/>
  <c r="R19" i="43"/>
  <c r="R92" i="43"/>
  <c r="S100" i="43"/>
  <c r="S67" i="43"/>
  <c r="T75" i="43"/>
  <c r="S77" i="43"/>
  <c r="R69" i="43"/>
  <c r="V70" i="43"/>
  <c r="W78" i="43"/>
  <c r="O34" i="17"/>
  <c r="O30" i="17"/>
  <c r="O32" i="17"/>
  <c r="E48" i="17"/>
  <c r="Q9" i="19"/>
  <c r="P18" i="19"/>
  <c r="P20" i="19"/>
  <c r="P19" i="19"/>
  <c r="P17" i="19"/>
  <c r="P16" i="19"/>
  <c r="P17" i="16"/>
  <c r="Q9" i="16"/>
  <c r="P19" i="16"/>
  <c r="P18" i="16"/>
  <c r="P16" i="16"/>
  <c r="P20" i="16"/>
  <c r="H16" i="17"/>
  <c r="H18" i="17"/>
  <c r="H20" i="17"/>
  <c r="I9" i="17"/>
  <c r="I11" i="17" s="1"/>
  <c r="H19" i="17"/>
  <c r="H17" i="17"/>
  <c r="P9" i="22"/>
  <c r="O16" i="22"/>
  <c r="O20" i="22"/>
  <c r="O18" i="22"/>
  <c r="O19" i="22"/>
  <c r="O17" i="22"/>
  <c r="J10" i="17"/>
  <c r="H12" i="26" s="1"/>
  <c r="Q9" i="20"/>
  <c r="P20" i="20"/>
  <c r="P18" i="20"/>
  <c r="P19" i="20"/>
  <c r="P17" i="20"/>
  <c r="P16" i="20"/>
  <c r="B10" i="17"/>
  <c r="P17" i="23" l="1"/>
  <c r="P20" i="23"/>
  <c r="P18" i="23"/>
  <c r="Q9" i="23"/>
  <c r="P16" i="23"/>
  <c r="P19" i="23"/>
  <c r="R9" i="18"/>
  <c r="Q20" i="18"/>
  <c r="Q17" i="18"/>
  <c r="Q19" i="18"/>
  <c r="Q18" i="18"/>
  <c r="Q16" i="18"/>
  <c r="Q17" i="14"/>
  <c r="Q18" i="14"/>
  <c r="R9" i="14"/>
  <c r="Q16" i="14"/>
  <c r="Q20" i="14"/>
  <c r="Q19" i="14"/>
  <c r="S9" i="21"/>
  <c r="R19" i="21"/>
  <c r="R20" i="21"/>
  <c r="R16" i="21"/>
  <c r="R17" i="21"/>
  <c r="R18" i="21"/>
  <c r="Q9" i="26"/>
  <c r="T76" i="43"/>
  <c r="S68" i="43"/>
  <c r="P25" i="44"/>
  <c r="O29" i="44"/>
  <c r="O27" i="44"/>
  <c r="O30" i="44"/>
  <c r="P26" i="44"/>
  <c r="T100" i="43"/>
  <c r="S92" i="43"/>
  <c r="W74" i="43"/>
  <c r="V66" i="43"/>
  <c r="X78" i="43"/>
  <c r="W70" i="43"/>
  <c r="R21" i="43"/>
  <c r="R22" i="43" s="1"/>
  <c r="S19" i="43"/>
  <c r="T95" i="43"/>
  <c r="U103" i="43"/>
  <c r="T67" i="43"/>
  <c r="U75" i="43"/>
  <c r="T102" i="43"/>
  <c r="S94" i="43"/>
  <c r="R97" i="43"/>
  <c r="S105" i="43"/>
  <c r="R13" i="43"/>
  <c r="Q15" i="43"/>
  <c r="Q27" i="43" s="1"/>
  <c r="T71" i="43"/>
  <c r="U79" i="43"/>
  <c r="T104" i="43"/>
  <c r="S96" i="43"/>
  <c r="T77" i="43"/>
  <c r="S69" i="43"/>
  <c r="S101" i="43"/>
  <c r="R93" i="43"/>
  <c r="B12" i="17"/>
  <c r="B19" i="17"/>
  <c r="R9" i="16"/>
  <c r="Q18" i="16"/>
  <c r="Q16" i="16"/>
  <c r="Q20" i="16"/>
  <c r="Q17" i="16"/>
  <c r="Q19" i="16"/>
  <c r="P17" i="22"/>
  <c r="Q9" i="22"/>
  <c r="P19" i="22"/>
  <c r="P18" i="22"/>
  <c r="P20" i="22"/>
  <c r="P16" i="22"/>
  <c r="K10" i="17"/>
  <c r="I12" i="26" s="1"/>
  <c r="R9" i="20"/>
  <c r="Q20" i="20"/>
  <c r="Q18" i="20"/>
  <c r="Q16" i="20"/>
  <c r="Q17" i="20"/>
  <c r="Q19" i="20"/>
  <c r="J9" i="17"/>
  <c r="I17" i="17"/>
  <c r="B17" i="17" s="1"/>
  <c r="I19" i="17"/>
  <c r="I18" i="17"/>
  <c r="I20" i="17"/>
  <c r="B20" i="17" s="1"/>
  <c r="I16" i="17"/>
  <c r="B16" i="17" s="1"/>
  <c r="R9" i="19"/>
  <c r="Q18" i="19"/>
  <c r="Q20" i="19"/>
  <c r="Q16" i="19"/>
  <c r="Q19" i="19"/>
  <c r="Q17" i="19"/>
  <c r="Q18" i="23" l="1"/>
  <c r="Q19" i="23"/>
  <c r="R9" i="23"/>
  <c r="Q16" i="23"/>
  <c r="Q20" i="23"/>
  <c r="Q17" i="23"/>
  <c r="R20" i="18"/>
  <c r="R19" i="18"/>
  <c r="R16" i="18"/>
  <c r="R18" i="18"/>
  <c r="S9" i="18"/>
  <c r="R17" i="18"/>
  <c r="R16" i="14"/>
  <c r="R20" i="14"/>
  <c r="S9" i="14"/>
  <c r="R17" i="14"/>
  <c r="R18" i="14"/>
  <c r="R19" i="14"/>
  <c r="T9" i="21"/>
  <c r="S16" i="21"/>
  <c r="S17" i="21"/>
  <c r="S18" i="21"/>
  <c r="S19" i="21"/>
  <c r="S20" i="21"/>
  <c r="R9" i="26"/>
  <c r="U76" i="43"/>
  <c r="T68" i="43"/>
  <c r="P30" i="44"/>
  <c r="Q26" i="44"/>
  <c r="O31" i="44"/>
  <c r="N7" i="26" s="1"/>
  <c r="Q25" i="44"/>
  <c r="P29" i="44"/>
  <c r="P31" i="44" s="1"/>
  <c r="O7" i="26" s="1"/>
  <c r="P27" i="44"/>
  <c r="T19" i="43"/>
  <c r="S21" i="43"/>
  <c r="S22" i="43" s="1"/>
  <c r="U102" i="43"/>
  <c r="T94" i="43"/>
  <c r="Y78" i="43"/>
  <c r="X70" i="43"/>
  <c r="V75" i="43"/>
  <c r="U67" i="43"/>
  <c r="S13" i="43"/>
  <c r="R15" i="43"/>
  <c r="R27" i="43" s="1"/>
  <c r="X74" i="43"/>
  <c r="W66" i="43"/>
  <c r="S93" i="43"/>
  <c r="T101" i="43"/>
  <c r="S97" i="43"/>
  <c r="T105" i="43"/>
  <c r="V103" i="43"/>
  <c r="U95" i="43"/>
  <c r="U104" i="43"/>
  <c r="T96" i="43"/>
  <c r="V79" i="43"/>
  <c r="U71" i="43"/>
  <c r="U77" i="43"/>
  <c r="T69" i="43"/>
  <c r="U100" i="43"/>
  <c r="T92" i="43"/>
  <c r="S9" i="16"/>
  <c r="R17" i="16"/>
  <c r="R18" i="16"/>
  <c r="R19" i="16"/>
  <c r="R20" i="16"/>
  <c r="R16" i="16"/>
  <c r="S9" i="20"/>
  <c r="R20" i="20"/>
  <c r="R19" i="20"/>
  <c r="R16" i="20"/>
  <c r="R18" i="20"/>
  <c r="R17" i="20"/>
  <c r="Q17" i="22"/>
  <c r="R9" i="22"/>
  <c r="Q19" i="22"/>
  <c r="Q18" i="22"/>
  <c r="Q16" i="22"/>
  <c r="Q20" i="22"/>
  <c r="S9" i="19"/>
  <c r="R19" i="19"/>
  <c r="R18" i="19"/>
  <c r="R16" i="19"/>
  <c r="R20" i="19"/>
  <c r="R17" i="19"/>
  <c r="K9" i="17"/>
  <c r="J16" i="17"/>
  <c r="J18" i="17"/>
  <c r="J19" i="17"/>
  <c r="J20" i="17"/>
  <c r="J17" i="17"/>
  <c r="J11" i="17"/>
  <c r="L10" i="17"/>
  <c r="J12" i="26" s="1"/>
  <c r="B18" i="17"/>
  <c r="R17" i="23" l="1"/>
  <c r="R19" i="23"/>
  <c r="S9" i="23"/>
  <c r="R18" i="23"/>
  <c r="R16" i="23"/>
  <c r="R20" i="23"/>
  <c r="S18" i="18"/>
  <c r="S19" i="18"/>
  <c r="S17" i="18"/>
  <c r="S20" i="18"/>
  <c r="T9" i="18"/>
  <c r="S16" i="18"/>
  <c r="S19" i="14"/>
  <c r="S20" i="14"/>
  <c r="T9" i="14"/>
  <c r="S16" i="14"/>
  <c r="S17" i="14"/>
  <c r="S18" i="14"/>
  <c r="U9" i="21"/>
  <c r="T16" i="21"/>
  <c r="T17" i="21"/>
  <c r="T18" i="21"/>
  <c r="T19" i="21"/>
  <c r="T20" i="21"/>
  <c r="S9" i="26"/>
  <c r="V76" i="43"/>
  <c r="U68" i="43"/>
  <c r="Q29" i="44"/>
  <c r="Q27" i="44"/>
  <c r="R25" i="44"/>
  <c r="Q30" i="44"/>
  <c r="R26" i="44"/>
  <c r="U96" i="43"/>
  <c r="V104" i="43"/>
  <c r="Z78" i="43"/>
  <c r="Y70" i="43"/>
  <c r="W75" i="43"/>
  <c r="V67" i="43"/>
  <c r="V100" i="43"/>
  <c r="U92" i="43"/>
  <c r="W103" i="43"/>
  <c r="V95" i="43"/>
  <c r="Y74" i="43"/>
  <c r="X66" i="43"/>
  <c r="U94" i="43"/>
  <c r="V102" i="43"/>
  <c r="T97" i="43"/>
  <c r="U105" i="43"/>
  <c r="U101" i="43"/>
  <c r="T93" i="43"/>
  <c r="W79" i="43"/>
  <c r="V71" i="43"/>
  <c r="U69" i="43"/>
  <c r="V77" i="43"/>
  <c r="S15" i="43"/>
  <c r="S27" i="43" s="1"/>
  <c r="T13" i="43"/>
  <c r="U19" i="43"/>
  <c r="T21" i="43"/>
  <c r="T22" i="43" s="1"/>
  <c r="T9" i="19"/>
  <c r="S17" i="19"/>
  <c r="S19" i="19"/>
  <c r="S18" i="19"/>
  <c r="S16" i="19"/>
  <c r="S20" i="19"/>
  <c r="T9" i="20"/>
  <c r="S18" i="20"/>
  <c r="S20" i="20"/>
  <c r="S17" i="20"/>
  <c r="S16" i="20"/>
  <c r="S19" i="20"/>
  <c r="S9" i="22"/>
  <c r="R17" i="22"/>
  <c r="R16" i="22"/>
  <c r="R20" i="22"/>
  <c r="R19" i="22"/>
  <c r="R18" i="22"/>
  <c r="T9" i="16"/>
  <c r="S20" i="16"/>
  <c r="S18" i="16"/>
  <c r="S16" i="16"/>
  <c r="S19" i="16"/>
  <c r="S17" i="16"/>
  <c r="M10" i="17"/>
  <c r="K12" i="26" s="1"/>
  <c r="L9" i="17"/>
  <c r="L11" i="17" s="1"/>
  <c r="K17" i="17"/>
  <c r="K19" i="17"/>
  <c r="K16" i="17"/>
  <c r="K20" i="17"/>
  <c r="K18" i="17"/>
  <c r="K11" i="17"/>
  <c r="S18" i="23" l="1"/>
  <c r="S16" i="23"/>
  <c r="S17" i="23"/>
  <c r="S19" i="23"/>
  <c r="T9" i="23"/>
  <c r="S20" i="23"/>
  <c r="T18" i="18"/>
  <c r="T16" i="18"/>
  <c r="T20" i="18"/>
  <c r="T17" i="18"/>
  <c r="U9" i="18"/>
  <c r="T19" i="18"/>
  <c r="T19" i="14"/>
  <c r="T18" i="14"/>
  <c r="U9" i="14"/>
  <c r="T20" i="14"/>
  <c r="T17" i="14"/>
  <c r="T16" i="14"/>
  <c r="V9" i="21"/>
  <c r="U20" i="21"/>
  <c r="U19" i="21"/>
  <c r="U16" i="21"/>
  <c r="U17" i="21"/>
  <c r="U18" i="21"/>
  <c r="T9" i="26"/>
  <c r="W76" i="43"/>
  <c r="V68" i="43"/>
  <c r="S26" i="44"/>
  <c r="R30" i="44"/>
  <c r="R29" i="44"/>
  <c r="R31" i="44" s="1"/>
  <c r="Q7" i="26" s="1"/>
  <c r="R27" i="44"/>
  <c r="S25" i="44"/>
  <c r="Q31" i="44"/>
  <c r="P7" i="26" s="1"/>
  <c r="X75" i="43"/>
  <c r="W67" i="43"/>
  <c r="X79" i="43"/>
  <c r="W71" i="43"/>
  <c r="Z74" i="43"/>
  <c r="Y66" i="43"/>
  <c r="AA78" i="43"/>
  <c r="AA70" i="43" s="1"/>
  <c r="Z70" i="43"/>
  <c r="V94" i="43"/>
  <c r="W102" i="43"/>
  <c r="V69" i="43"/>
  <c r="W77" i="43"/>
  <c r="U21" i="43"/>
  <c r="U22" i="43" s="1"/>
  <c r="V19" i="43"/>
  <c r="W95" i="43"/>
  <c r="X103" i="43"/>
  <c r="T15" i="43"/>
  <c r="T27" i="43" s="1"/>
  <c r="U13" i="43"/>
  <c r="V105" i="43"/>
  <c r="U97" i="43"/>
  <c r="V96" i="43"/>
  <c r="W104" i="43"/>
  <c r="V101" i="43"/>
  <c r="U93" i="43"/>
  <c r="V92" i="43"/>
  <c r="W100" i="43"/>
  <c r="T9" i="22"/>
  <c r="S17" i="22"/>
  <c r="S19" i="22"/>
  <c r="S20" i="22"/>
  <c r="S16" i="22"/>
  <c r="S18" i="22"/>
  <c r="U9" i="20"/>
  <c r="T20" i="20"/>
  <c r="T16" i="20"/>
  <c r="T17" i="20"/>
  <c r="T18" i="20"/>
  <c r="T19" i="20"/>
  <c r="N10" i="17"/>
  <c r="L12" i="26" s="1"/>
  <c r="U9" i="16"/>
  <c r="T20" i="16"/>
  <c r="T16" i="16"/>
  <c r="T18" i="16"/>
  <c r="T17" i="16"/>
  <c r="T19" i="16"/>
  <c r="L17" i="17"/>
  <c r="L19" i="17"/>
  <c r="M9" i="17"/>
  <c r="M11" i="17" s="1"/>
  <c r="L18" i="17"/>
  <c r="L16" i="17"/>
  <c r="L20" i="17"/>
  <c r="U9" i="19"/>
  <c r="T18" i="19"/>
  <c r="T17" i="19"/>
  <c r="T20" i="19"/>
  <c r="T19" i="19"/>
  <c r="T16" i="19"/>
  <c r="U9" i="23" l="1"/>
  <c r="T20" i="23"/>
  <c r="T18" i="23"/>
  <c r="T17" i="23"/>
  <c r="T16" i="23"/>
  <c r="T19" i="23"/>
  <c r="U16" i="18"/>
  <c r="U18" i="18"/>
  <c r="U20" i="18"/>
  <c r="U17" i="18"/>
  <c r="U19" i="18"/>
  <c r="V9" i="18"/>
  <c r="U19" i="14"/>
  <c r="U20" i="14"/>
  <c r="U16" i="14"/>
  <c r="U17" i="14"/>
  <c r="V9" i="14"/>
  <c r="U18" i="14"/>
  <c r="W9" i="21"/>
  <c r="V16" i="21"/>
  <c r="V17" i="21"/>
  <c r="V18" i="21"/>
  <c r="V19" i="21"/>
  <c r="V20" i="21"/>
  <c r="U9" i="26"/>
  <c r="C87" i="43"/>
  <c r="W68" i="43"/>
  <c r="X76" i="43"/>
  <c r="S29" i="44"/>
  <c r="S27" i="44"/>
  <c r="T25" i="44"/>
  <c r="T26" i="44"/>
  <c r="S30" i="44"/>
  <c r="W69" i="43"/>
  <c r="X77" i="43"/>
  <c r="W105" i="43"/>
  <c r="V97" i="43"/>
  <c r="Z66" i="43"/>
  <c r="AA74" i="43"/>
  <c r="AA66" i="43" s="1"/>
  <c r="C83" i="43" s="1"/>
  <c r="U15" i="43"/>
  <c r="U27" i="43" s="1"/>
  <c r="V13" i="43"/>
  <c r="X104" i="43"/>
  <c r="W96" i="43"/>
  <c r="Y79" i="43"/>
  <c r="X71" i="43"/>
  <c r="X100" i="43"/>
  <c r="W92" i="43"/>
  <c r="Y103" i="43"/>
  <c r="X95" i="43"/>
  <c r="X102" i="43"/>
  <c r="W94" i="43"/>
  <c r="V21" i="43"/>
  <c r="V22" i="43" s="1"/>
  <c r="W19" i="43"/>
  <c r="W101" i="43"/>
  <c r="V93" i="43"/>
  <c r="X67" i="43"/>
  <c r="Y75" i="43"/>
  <c r="O10" i="17"/>
  <c r="M12" i="26" s="1"/>
  <c r="V9" i="19"/>
  <c r="U19" i="19"/>
  <c r="U18" i="19"/>
  <c r="U20" i="19"/>
  <c r="U17" i="19"/>
  <c r="U16" i="19"/>
  <c r="N9" i="17"/>
  <c r="M18" i="17"/>
  <c r="M16" i="17"/>
  <c r="M20" i="17"/>
  <c r="M19" i="17"/>
  <c r="M17" i="17"/>
  <c r="U17" i="16"/>
  <c r="V9" i="16"/>
  <c r="U19" i="16"/>
  <c r="U16" i="16"/>
  <c r="U20" i="16"/>
  <c r="U18" i="16"/>
  <c r="V9" i="20"/>
  <c r="U19" i="20"/>
  <c r="U16" i="20"/>
  <c r="U20" i="20"/>
  <c r="U17" i="20"/>
  <c r="U18" i="20"/>
  <c r="U9" i="22"/>
  <c r="T18" i="22"/>
  <c r="T20" i="22"/>
  <c r="T16" i="22"/>
  <c r="T17" i="22"/>
  <c r="T19" i="22"/>
  <c r="U17" i="23" l="1"/>
  <c r="U19" i="23"/>
  <c r="V9" i="23"/>
  <c r="U18" i="23"/>
  <c r="U16" i="23"/>
  <c r="U20" i="23"/>
  <c r="V18" i="18"/>
  <c r="V19" i="18"/>
  <c r="W9" i="18"/>
  <c r="V20" i="18"/>
  <c r="V17" i="18"/>
  <c r="V16" i="18"/>
  <c r="W9" i="14"/>
  <c r="V17" i="14"/>
  <c r="V20" i="14"/>
  <c r="V16" i="14"/>
  <c r="V18" i="14"/>
  <c r="V19" i="14"/>
  <c r="X9" i="21"/>
  <c r="W16" i="21"/>
  <c r="W17" i="21"/>
  <c r="W18" i="21"/>
  <c r="W19" i="21"/>
  <c r="W20" i="21"/>
  <c r="V9" i="26"/>
  <c r="Y76" i="43"/>
  <c r="X68" i="43"/>
  <c r="T30" i="44"/>
  <c r="U26" i="44"/>
  <c r="T27" i="44"/>
  <c r="T29" i="44"/>
  <c r="T31" i="44" s="1"/>
  <c r="S7" i="26" s="1"/>
  <c r="U25" i="44"/>
  <c r="S31" i="44"/>
  <c r="R7" i="26" s="1"/>
  <c r="Y100" i="43"/>
  <c r="X92" i="43"/>
  <c r="Z79" i="43"/>
  <c r="Y71" i="43"/>
  <c r="W93" i="43"/>
  <c r="X101" i="43"/>
  <c r="W97" i="43"/>
  <c r="X105" i="43"/>
  <c r="X19" i="43"/>
  <c r="W21" i="43"/>
  <c r="W22" i="43" s="1"/>
  <c r="Z103" i="43"/>
  <c r="Y95" i="43"/>
  <c r="Y104" i="43"/>
  <c r="X96" i="43"/>
  <c r="Y77" i="43"/>
  <c r="X69" i="43"/>
  <c r="Y102" i="43"/>
  <c r="X94" i="43"/>
  <c r="Y67" i="43"/>
  <c r="Z75" i="43"/>
  <c r="V15" i="43"/>
  <c r="V27" i="43" s="1"/>
  <c r="W13" i="43"/>
  <c r="O9" i="17"/>
  <c r="O11" i="17" s="1"/>
  <c r="N17" i="17"/>
  <c r="N20" i="17"/>
  <c r="N18" i="17"/>
  <c r="N16" i="17"/>
  <c r="N19" i="17"/>
  <c r="W9" i="16"/>
  <c r="V18" i="16"/>
  <c r="V20" i="16"/>
  <c r="V17" i="16"/>
  <c r="V19" i="16"/>
  <c r="V16" i="16"/>
  <c r="W9" i="20"/>
  <c r="V18" i="20"/>
  <c r="V19" i="20"/>
  <c r="V20" i="20"/>
  <c r="V17" i="20"/>
  <c r="V16" i="20"/>
  <c r="V9" i="22"/>
  <c r="U18" i="22"/>
  <c r="U20" i="22"/>
  <c r="U16" i="22"/>
  <c r="U19" i="22"/>
  <c r="U17" i="22"/>
  <c r="V17" i="19"/>
  <c r="W9" i="19"/>
  <c r="V20" i="19"/>
  <c r="V16" i="19"/>
  <c r="V18" i="19"/>
  <c r="V19" i="19"/>
  <c r="P10" i="17"/>
  <c r="N12" i="26" s="1"/>
  <c r="N11" i="17"/>
  <c r="V19" i="23" l="1"/>
  <c r="V17" i="23"/>
  <c r="W9" i="23"/>
  <c r="V16" i="23"/>
  <c r="V20" i="23"/>
  <c r="V18" i="23"/>
  <c r="X9" i="18"/>
  <c r="W17" i="18"/>
  <c r="W19" i="18"/>
  <c r="W18" i="18"/>
  <c r="W16" i="18"/>
  <c r="W20" i="18"/>
  <c r="W17" i="14"/>
  <c r="W16" i="14"/>
  <c r="W18" i="14"/>
  <c r="W20" i="14"/>
  <c r="X9" i="14"/>
  <c r="W19" i="14"/>
  <c r="Y9" i="21"/>
  <c r="X19" i="21"/>
  <c r="X20" i="21"/>
  <c r="X17" i="21"/>
  <c r="X16" i="21"/>
  <c r="X18" i="21"/>
  <c r="W9" i="26"/>
  <c r="Y68" i="43"/>
  <c r="Z76" i="43"/>
  <c r="U27" i="44"/>
  <c r="V25" i="44"/>
  <c r="U29" i="44"/>
  <c r="U30" i="44"/>
  <c r="V26" i="44"/>
  <c r="AA75" i="43"/>
  <c r="AA67" i="43" s="1"/>
  <c r="Z67" i="43"/>
  <c r="AA103" i="43"/>
  <c r="AA95" i="43" s="1"/>
  <c r="Z95" i="43"/>
  <c r="X93" i="43"/>
  <c r="Y101" i="43"/>
  <c r="Y96" i="43"/>
  <c r="Z104" i="43"/>
  <c r="Y94" i="43"/>
  <c r="Z102" i="43"/>
  <c r="X21" i="43"/>
  <c r="X22" i="43" s="1"/>
  <c r="Y19" i="43"/>
  <c r="Z71" i="43"/>
  <c r="AA79" i="43"/>
  <c r="AA71" i="43" s="1"/>
  <c r="Z77" i="43"/>
  <c r="Y69" i="43"/>
  <c r="X97" i="43"/>
  <c r="Y105" i="43"/>
  <c r="W15" i="43"/>
  <c r="W27" i="43" s="1"/>
  <c r="X13" i="43"/>
  <c r="Y92" i="43"/>
  <c r="Z100" i="43"/>
  <c r="W17" i="16"/>
  <c r="W19" i="16"/>
  <c r="X9" i="16"/>
  <c r="W20" i="16"/>
  <c r="W16" i="16"/>
  <c r="W18" i="16"/>
  <c r="X9" i="20"/>
  <c r="W18" i="20"/>
  <c r="W17" i="20"/>
  <c r="W19" i="20"/>
  <c r="W16" i="20"/>
  <c r="W20" i="20"/>
  <c r="X9" i="19"/>
  <c r="W20" i="19"/>
  <c r="W16" i="19"/>
  <c r="W19" i="19"/>
  <c r="W17" i="19"/>
  <c r="W18" i="19"/>
  <c r="P9" i="17"/>
  <c r="O18" i="17"/>
  <c r="O16" i="17"/>
  <c r="O20" i="17"/>
  <c r="O17" i="17"/>
  <c r="O19" i="17"/>
  <c r="Q10" i="17"/>
  <c r="O12" i="26" s="1"/>
  <c r="W9" i="22"/>
  <c r="V18" i="22"/>
  <c r="V20" i="22"/>
  <c r="V17" i="22"/>
  <c r="V16" i="22"/>
  <c r="V19" i="22"/>
  <c r="X9" i="23" l="1"/>
  <c r="W20" i="23"/>
  <c r="W19" i="23"/>
  <c r="W17" i="23"/>
  <c r="W16" i="23"/>
  <c r="W18" i="23"/>
  <c r="X18" i="18"/>
  <c r="X17" i="18"/>
  <c r="Y9" i="18"/>
  <c r="X20" i="18"/>
  <c r="X19" i="18"/>
  <c r="X16" i="18"/>
  <c r="C88" i="43"/>
  <c r="Y9" i="14"/>
  <c r="X18" i="14"/>
  <c r="X16" i="14"/>
  <c r="X17" i="14"/>
  <c r="X19" i="14"/>
  <c r="X20" i="14"/>
  <c r="Z9" i="21"/>
  <c r="Y16" i="21"/>
  <c r="Y17" i="21"/>
  <c r="Y18" i="21"/>
  <c r="Y19" i="21"/>
  <c r="Y20" i="21"/>
  <c r="X9" i="26"/>
  <c r="C84" i="43"/>
  <c r="AA76" i="43"/>
  <c r="AA68" i="43" s="1"/>
  <c r="Z68" i="43"/>
  <c r="V30" i="44"/>
  <c r="W26" i="44"/>
  <c r="U31" i="44"/>
  <c r="T7" i="26" s="1"/>
  <c r="W25" i="44"/>
  <c r="V29" i="44"/>
  <c r="V31" i="44" s="1"/>
  <c r="U7" i="26" s="1"/>
  <c r="V27" i="44"/>
  <c r="AA77" i="43"/>
  <c r="AA69" i="43" s="1"/>
  <c r="Z69" i="43"/>
  <c r="Z101" i="43"/>
  <c r="Y93" i="43"/>
  <c r="Y21" i="43"/>
  <c r="Y22" i="43" s="1"/>
  <c r="Z19" i="43"/>
  <c r="Z92" i="43"/>
  <c r="AA100" i="43"/>
  <c r="AA92" i="43" s="1"/>
  <c r="C109" i="43" s="1"/>
  <c r="C56" i="43" s="1"/>
  <c r="E56" i="43" s="1"/>
  <c r="X15" i="43"/>
  <c r="X27" i="43" s="1"/>
  <c r="Y13" i="43"/>
  <c r="C112" i="43"/>
  <c r="Z105" i="43"/>
  <c r="Y97" i="43"/>
  <c r="AA102" i="43"/>
  <c r="AA94" i="43" s="1"/>
  <c r="Z94" i="43"/>
  <c r="Z96" i="43"/>
  <c r="AA104" i="43"/>
  <c r="AA96" i="43" s="1"/>
  <c r="C113" i="43" s="1"/>
  <c r="C60" i="43" s="1"/>
  <c r="E60" i="43" s="1"/>
  <c r="Y9" i="19"/>
  <c r="X20" i="19"/>
  <c r="X19" i="19"/>
  <c r="X17" i="19"/>
  <c r="X16" i="19"/>
  <c r="X18" i="19"/>
  <c r="X9" i="22"/>
  <c r="W18" i="22"/>
  <c r="W20" i="22"/>
  <c r="W16" i="22"/>
  <c r="W19" i="22"/>
  <c r="W17" i="22"/>
  <c r="Y9" i="20"/>
  <c r="X20" i="20"/>
  <c r="X17" i="20"/>
  <c r="X19" i="20"/>
  <c r="X18" i="20"/>
  <c r="X16" i="20"/>
  <c r="X19" i="16"/>
  <c r="Y9" i="16"/>
  <c r="X17" i="16"/>
  <c r="X18" i="16"/>
  <c r="X16" i="16"/>
  <c r="X20" i="16"/>
  <c r="P16" i="17"/>
  <c r="P18" i="17"/>
  <c r="P20" i="17"/>
  <c r="Q9" i="17"/>
  <c r="P19" i="17"/>
  <c r="P17" i="17"/>
  <c r="P11" i="17"/>
  <c r="R10" i="17"/>
  <c r="P12" i="26" s="1"/>
  <c r="X17" i="23" l="1"/>
  <c r="X19" i="23"/>
  <c r="X18" i="23"/>
  <c r="X16" i="23"/>
  <c r="Y9" i="23"/>
  <c r="X20" i="23"/>
  <c r="Z9" i="18"/>
  <c r="Y16" i="18"/>
  <c r="Y20" i="18"/>
  <c r="Y19" i="18"/>
  <c r="Y18" i="18"/>
  <c r="Y17" i="18"/>
  <c r="C85" i="43"/>
  <c r="Y19" i="14"/>
  <c r="Y20" i="14"/>
  <c r="Y17" i="14"/>
  <c r="Z9" i="14"/>
  <c r="Y16" i="14"/>
  <c r="Y18" i="14"/>
  <c r="AA9" i="21"/>
  <c r="Z16" i="21"/>
  <c r="Z17" i="21"/>
  <c r="Z18" i="21"/>
  <c r="Z19" i="21"/>
  <c r="Z20" i="21"/>
  <c r="Y9" i="26"/>
  <c r="C111" i="43"/>
  <c r="C58" i="43" s="1"/>
  <c r="E58" i="43" s="1"/>
  <c r="X25" i="44"/>
  <c r="W27" i="44"/>
  <c r="W29" i="44"/>
  <c r="W30" i="44"/>
  <c r="X26" i="44"/>
  <c r="Z21" i="43"/>
  <c r="Z22" i="43" s="1"/>
  <c r="AA19" i="43"/>
  <c r="Z97" i="43"/>
  <c r="AA105" i="43"/>
  <c r="AA97" i="43" s="1"/>
  <c r="Z13" i="43"/>
  <c r="Y15" i="43"/>
  <c r="Y27" i="43" s="1"/>
  <c r="AA101" i="43"/>
  <c r="AA93" i="43" s="1"/>
  <c r="Z93" i="43"/>
  <c r="C86" i="43"/>
  <c r="C59" i="43" s="1"/>
  <c r="E59" i="43" s="1"/>
  <c r="R9" i="17"/>
  <c r="R11" i="17" s="1"/>
  <c r="Q19" i="17"/>
  <c r="Q17" i="17"/>
  <c r="Q18" i="17"/>
  <c r="Q16" i="17"/>
  <c r="Q20" i="17"/>
  <c r="Z9" i="16"/>
  <c r="Y16" i="16"/>
  <c r="Y20" i="16"/>
  <c r="Y18" i="16"/>
  <c r="Y17" i="16"/>
  <c r="Y19" i="16"/>
  <c r="Y9" i="22"/>
  <c r="X19" i="22"/>
  <c r="X17" i="22"/>
  <c r="X16" i="22"/>
  <c r="X20" i="22"/>
  <c r="X18" i="22"/>
  <c r="Q11" i="17"/>
  <c r="Z9" i="20"/>
  <c r="Y16" i="20"/>
  <c r="Y20" i="20"/>
  <c r="Y19" i="20"/>
  <c r="Y18" i="20"/>
  <c r="Y17" i="20"/>
  <c r="S10" i="17"/>
  <c r="Q12" i="26" s="1"/>
  <c r="Z9" i="19"/>
  <c r="Y16" i="19"/>
  <c r="Y18" i="19"/>
  <c r="Y20" i="19"/>
  <c r="Y17" i="19"/>
  <c r="Y19" i="19"/>
  <c r="Z9" i="23" l="1"/>
  <c r="Y18" i="23"/>
  <c r="Y17" i="23"/>
  <c r="Y16" i="23"/>
  <c r="Y20" i="23"/>
  <c r="Y19" i="23"/>
  <c r="AA9" i="18"/>
  <c r="Z20" i="18"/>
  <c r="Z17" i="18"/>
  <c r="Z19" i="18"/>
  <c r="Z18" i="18"/>
  <c r="Z16" i="18"/>
  <c r="AA9" i="14"/>
  <c r="Z18" i="14"/>
  <c r="Z20" i="14"/>
  <c r="Z17" i="14"/>
  <c r="Z19" i="14"/>
  <c r="Z16" i="14"/>
  <c r="AB9" i="21"/>
  <c r="AA18" i="21"/>
  <c r="AA19" i="21"/>
  <c r="AA20" i="21"/>
  <c r="AA17" i="21"/>
  <c r="AA16" i="21"/>
  <c r="Z9" i="26"/>
  <c r="X30" i="44"/>
  <c r="Y26" i="44"/>
  <c r="Y30" i="44" s="1"/>
  <c r="W31" i="44"/>
  <c r="V7" i="26" s="1"/>
  <c r="Y25" i="44"/>
  <c r="X29" i="44"/>
  <c r="X31" i="44" s="1"/>
  <c r="W7" i="26" s="1"/>
  <c r="X27" i="44"/>
  <c r="C110" i="43"/>
  <c r="C57" i="43" s="1"/>
  <c r="E57" i="43" s="1"/>
  <c r="AA13" i="43"/>
  <c r="Z15" i="43"/>
  <c r="Z27" i="43" s="1"/>
  <c r="C114" i="43"/>
  <c r="C61" i="43" s="1"/>
  <c r="E61" i="43" s="1"/>
  <c r="AA21" i="43"/>
  <c r="AA22" i="43" s="1"/>
  <c r="AB19" i="43"/>
  <c r="AA9" i="16"/>
  <c r="Z18" i="16"/>
  <c r="Z19" i="16"/>
  <c r="Z16" i="16"/>
  <c r="Z20" i="16"/>
  <c r="Z17" i="16"/>
  <c r="Y19" i="22"/>
  <c r="Z9" i="22"/>
  <c r="Y17" i="22"/>
  <c r="Y18" i="22"/>
  <c r="Y16" i="22"/>
  <c r="Y20" i="22"/>
  <c r="AA9" i="19"/>
  <c r="Z19" i="19"/>
  <c r="Z18" i="19"/>
  <c r="Z16" i="19"/>
  <c r="Z20" i="19"/>
  <c r="Z17" i="19"/>
  <c r="T10" i="17"/>
  <c r="R12" i="26" s="1"/>
  <c r="S11" i="17"/>
  <c r="AA9" i="20"/>
  <c r="Z16" i="20"/>
  <c r="Z18" i="20"/>
  <c r="Z20" i="20"/>
  <c r="Z17" i="20"/>
  <c r="Z19" i="20"/>
  <c r="S9" i="17"/>
  <c r="R16" i="17"/>
  <c r="R18" i="17"/>
  <c r="R19" i="17"/>
  <c r="R20" i="17"/>
  <c r="R17" i="17"/>
  <c r="Z18" i="23" l="1"/>
  <c r="AA9" i="23"/>
  <c r="Z16" i="23"/>
  <c r="Z20" i="23"/>
  <c r="Z19" i="23"/>
  <c r="Z17" i="23"/>
  <c r="AB9" i="18"/>
  <c r="AA20" i="18"/>
  <c r="AA18" i="18"/>
  <c r="AA17" i="18"/>
  <c r="AA16" i="18"/>
  <c r="AA19" i="18"/>
  <c r="AA18" i="14"/>
  <c r="AB9" i="14"/>
  <c r="AA16" i="14"/>
  <c r="AA19" i="14"/>
  <c r="AA20" i="14"/>
  <c r="AA17" i="14"/>
  <c r="AC9" i="21"/>
  <c r="AB16" i="21"/>
  <c r="AB17" i="21"/>
  <c r="AB18" i="21"/>
  <c r="AB19" i="21"/>
  <c r="AB20" i="21"/>
  <c r="AA9" i="26"/>
  <c r="AB9" i="26" s="1"/>
  <c r="AB22" i="43"/>
  <c r="Y29" i="44"/>
  <c r="Y31" i="44" s="1"/>
  <c r="Y27" i="44"/>
  <c r="D34" i="43"/>
  <c r="F42" i="43" s="1"/>
  <c r="G42" i="43" s="1"/>
  <c r="AB21" i="43"/>
  <c r="AA15" i="43"/>
  <c r="AB13" i="43"/>
  <c r="AA9" i="22"/>
  <c r="Z20" i="22"/>
  <c r="Z16" i="22"/>
  <c r="Z19" i="22"/>
  <c r="Z18" i="22"/>
  <c r="Z17" i="22"/>
  <c r="U10" i="17"/>
  <c r="S12" i="26" s="1"/>
  <c r="AB9" i="19"/>
  <c r="AA16" i="19"/>
  <c r="AA17" i="19"/>
  <c r="AA20" i="19"/>
  <c r="AA19" i="19"/>
  <c r="AA18" i="19"/>
  <c r="T9" i="17"/>
  <c r="T11" i="17" s="1"/>
  <c r="S19" i="17"/>
  <c r="S17" i="17"/>
  <c r="S18" i="17"/>
  <c r="S20" i="17"/>
  <c r="S16" i="17"/>
  <c r="AB9" i="20"/>
  <c r="AA17" i="20"/>
  <c r="AA16" i="20"/>
  <c r="AA19" i="20"/>
  <c r="AA20" i="20"/>
  <c r="AA18" i="20"/>
  <c r="AB9" i="16"/>
  <c r="AA16" i="16"/>
  <c r="AA20" i="16"/>
  <c r="AA18" i="16"/>
  <c r="AA19" i="16"/>
  <c r="AA17" i="16"/>
  <c r="AA18" i="23" l="1"/>
  <c r="AA20" i="23"/>
  <c r="AA16" i="23"/>
  <c r="AA17" i="23"/>
  <c r="AA19" i="23"/>
  <c r="AB9" i="23"/>
  <c r="AC9" i="18"/>
  <c r="AB16" i="18"/>
  <c r="AB20" i="18"/>
  <c r="AB19" i="18"/>
  <c r="AB17" i="18"/>
  <c r="AB18" i="18"/>
  <c r="AB16" i="14"/>
  <c r="AC9" i="14"/>
  <c r="AB17" i="14"/>
  <c r="AB19" i="14"/>
  <c r="AB18" i="14"/>
  <c r="AB20" i="14"/>
  <c r="AC16" i="21"/>
  <c r="C16" i="21" s="1"/>
  <c r="AC17" i="21"/>
  <c r="C17" i="21" s="1"/>
  <c r="AC18" i="21"/>
  <c r="C18" i="21" s="1"/>
  <c r="AC19" i="21"/>
  <c r="C19" i="21" s="1"/>
  <c r="AC20" i="21"/>
  <c r="C20" i="21" s="1"/>
  <c r="XFD9" i="26"/>
  <c r="S19" i="26"/>
  <c r="R19" i="26"/>
  <c r="Q19" i="26"/>
  <c r="P19" i="26"/>
  <c r="O19" i="26"/>
  <c r="N19" i="26"/>
  <c r="M19" i="26"/>
  <c r="L19" i="26"/>
  <c r="K19" i="26"/>
  <c r="J19" i="26"/>
  <c r="I19" i="26"/>
  <c r="C34" i="44"/>
  <c r="C37" i="44" s="1"/>
  <c r="X7" i="26"/>
  <c r="AB7" i="26" s="1"/>
  <c r="AA27" i="43"/>
  <c r="AB15" i="43"/>
  <c r="AB27" i="43" s="1"/>
  <c r="D33" i="43"/>
  <c r="F41" i="43" s="1"/>
  <c r="AC9" i="19"/>
  <c r="AB18" i="19"/>
  <c r="AB17" i="19"/>
  <c r="AB20" i="19"/>
  <c r="AB19" i="19"/>
  <c r="AB16" i="19"/>
  <c r="AC9" i="16"/>
  <c r="AB16" i="16"/>
  <c r="AB18" i="16"/>
  <c r="AB20" i="16"/>
  <c r="AB19" i="16"/>
  <c r="AB17" i="16"/>
  <c r="V10" i="17"/>
  <c r="T12" i="26" s="1"/>
  <c r="T19" i="26" s="1"/>
  <c r="U11" i="17"/>
  <c r="T17" i="17"/>
  <c r="T19" i="17"/>
  <c r="U9" i="17"/>
  <c r="T16" i="17"/>
  <c r="T20" i="17"/>
  <c r="T18" i="17"/>
  <c r="AC9" i="20"/>
  <c r="AB20" i="20"/>
  <c r="AB16" i="20"/>
  <c r="AB17" i="20"/>
  <c r="AB18" i="20"/>
  <c r="AB19" i="20"/>
  <c r="AA17" i="22"/>
  <c r="AA19" i="22"/>
  <c r="AB9" i="22"/>
  <c r="AA18" i="22"/>
  <c r="AA16" i="22"/>
  <c r="AA20" i="22"/>
  <c r="AB19" i="23" l="1"/>
  <c r="AB17" i="23"/>
  <c r="AB16" i="23"/>
  <c r="AC9" i="23"/>
  <c r="AB20" i="23"/>
  <c r="AB18" i="23"/>
  <c r="AC20" i="18"/>
  <c r="C20" i="18" s="1"/>
  <c r="AC16" i="18"/>
  <c r="C16" i="18" s="1"/>
  <c r="AC19" i="18"/>
  <c r="C19" i="18" s="1"/>
  <c r="AC18" i="18"/>
  <c r="C18" i="18" s="1"/>
  <c r="AC17" i="18"/>
  <c r="C17" i="18" s="1"/>
  <c r="AC20" i="14"/>
  <c r="C20" i="14" s="1"/>
  <c r="AC16" i="14"/>
  <c r="C16" i="14" s="1"/>
  <c r="AC19" i="14"/>
  <c r="C19" i="14" s="1"/>
  <c r="AC18" i="14"/>
  <c r="C18" i="14" s="1"/>
  <c r="AC17" i="14"/>
  <c r="C17" i="14" s="1"/>
  <c r="C45" i="43"/>
  <c r="C48" i="43" s="1"/>
  <c r="H19" i="26"/>
  <c r="W10" i="17"/>
  <c r="U12" i="26" s="1"/>
  <c r="U19" i="26" s="1"/>
  <c r="AC19" i="19"/>
  <c r="C19" i="19" s="1"/>
  <c r="AC20" i="19"/>
  <c r="C20" i="19" s="1"/>
  <c r="AC17" i="19"/>
  <c r="C17" i="19" s="1"/>
  <c r="AC18" i="19"/>
  <c r="C18" i="19" s="1"/>
  <c r="AC16" i="19"/>
  <c r="C16" i="19" s="1"/>
  <c r="AC9" i="22"/>
  <c r="AB16" i="22"/>
  <c r="AB20" i="22"/>
  <c r="AB18" i="22"/>
  <c r="AB17" i="22"/>
  <c r="AB19" i="22"/>
  <c r="AC17" i="20"/>
  <c r="C17" i="20" s="1"/>
  <c r="AC16" i="20"/>
  <c r="C16" i="20" s="1"/>
  <c r="AC20" i="20"/>
  <c r="C20" i="20" s="1"/>
  <c r="AC18" i="20"/>
  <c r="C18" i="20" s="1"/>
  <c r="AC19" i="20"/>
  <c r="C19" i="20" s="1"/>
  <c r="V9" i="17"/>
  <c r="V11" i="17" s="1"/>
  <c r="U20" i="17"/>
  <c r="U18" i="17"/>
  <c r="U16" i="17"/>
  <c r="U19" i="17"/>
  <c r="U17" i="17"/>
  <c r="AC19" i="16"/>
  <c r="C19" i="16" s="1"/>
  <c r="AC17" i="16"/>
  <c r="C17" i="16" s="1"/>
  <c r="AC16" i="16"/>
  <c r="C16" i="16" s="1"/>
  <c r="AC20" i="16"/>
  <c r="C20" i="16" s="1"/>
  <c r="AC18" i="16"/>
  <c r="C18" i="16" s="1"/>
  <c r="AC18" i="23" l="1"/>
  <c r="C18" i="23" s="1"/>
  <c r="AC17" i="23"/>
  <c r="C17" i="23" s="1"/>
  <c r="AC19" i="23"/>
  <c r="C19" i="23" s="1"/>
  <c r="AC20" i="23"/>
  <c r="C20" i="23" s="1"/>
  <c r="AC16" i="23"/>
  <c r="C16" i="23" s="1"/>
  <c r="X10" i="17"/>
  <c r="V12" i="26" s="1"/>
  <c r="V19" i="26" s="1"/>
  <c r="AC16" i="22"/>
  <c r="C16" i="22" s="1"/>
  <c r="AC20" i="22"/>
  <c r="C20" i="22" s="1"/>
  <c r="AC18" i="22"/>
  <c r="C18" i="22" s="1"/>
  <c r="AC19" i="22"/>
  <c r="C19" i="22" s="1"/>
  <c r="AC17" i="22"/>
  <c r="C17" i="22" s="1"/>
  <c r="W9" i="17"/>
  <c r="V20" i="17"/>
  <c r="V18" i="17"/>
  <c r="V16" i="17"/>
  <c r="V19" i="17"/>
  <c r="V17" i="17"/>
  <c r="X9" i="17" l="1"/>
  <c r="X11" i="17" s="1"/>
  <c r="W20" i="17"/>
  <c r="W18" i="17"/>
  <c r="W16" i="17"/>
  <c r="W17" i="17"/>
  <c r="W19" i="17"/>
  <c r="W11" i="17"/>
  <c r="Y10" i="17"/>
  <c r="W12" i="26" s="1"/>
  <c r="W19" i="26" s="1"/>
  <c r="Z10" i="17" l="1"/>
  <c r="X12" i="26" s="1"/>
  <c r="X19" i="26" s="1"/>
  <c r="X16" i="17"/>
  <c r="X18" i="17"/>
  <c r="X20" i="17"/>
  <c r="Y9" i="17"/>
  <c r="X19" i="17"/>
  <c r="X17" i="17"/>
  <c r="Z9" i="17" l="1"/>
  <c r="Y19" i="17"/>
  <c r="Y17" i="17"/>
  <c r="Y18" i="17"/>
  <c r="Y20" i="17"/>
  <c r="Y16" i="17"/>
  <c r="Y11" i="17"/>
  <c r="AA10" i="17"/>
  <c r="Y12" i="26" s="1"/>
  <c r="Y19" i="26" s="1"/>
  <c r="Z11" i="17"/>
  <c r="AB10" i="17" l="1"/>
  <c r="Z12" i="26" s="1"/>
  <c r="Z19" i="26" s="1"/>
  <c r="AA9" i="17"/>
  <c r="Z16" i="17"/>
  <c r="Z18" i="17"/>
  <c r="Z19" i="17"/>
  <c r="Z17" i="17"/>
  <c r="Z20" i="17"/>
  <c r="AB9" i="17" l="1"/>
  <c r="AB11" i="17" s="1"/>
  <c r="AA19" i="17"/>
  <c r="AA17" i="17"/>
  <c r="AA20" i="17"/>
  <c r="AA18" i="17"/>
  <c r="AA16" i="17"/>
  <c r="AA11" i="17"/>
  <c r="AC10" i="17"/>
  <c r="AA12" i="26" s="1"/>
  <c r="AB12" i="26" l="1"/>
  <c r="AA19" i="26"/>
  <c r="AA21" i="26" s="1"/>
  <c r="C10" i="17"/>
  <c r="AB17" i="17"/>
  <c r="AB19" i="17"/>
  <c r="AC9" i="17"/>
  <c r="AB16" i="17"/>
  <c r="AB18" i="17"/>
  <c r="AB20" i="17"/>
  <c r="AD14" i="26" l="1"/>
  <c r="AB19" i="26"/>
  <c r="AC20" i="17"/>
  <c r="C20" i="17" s="1"/>
  <c r="AC18" i="17"/>
  <c r="C18" i="17" s="1"/>
  <c r="AC16" i="17"/>
  <c r="C16" i="17" s="1"/>
  <c r="AC17" i="17"/>
  <c r="C17" i="17" s="1"/>
  <c r="AC19" i="17"/>
  <c r="C19" i="17" s="1"/>
  <c r="C12" i="17"/>
  <c r="AC1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tc={2971FB2E-DB0F-4B0B-AA7A-47921ECF9113}</author>
    <author>tc={C00560FE-C8F2-483B-B41E-2245D7AD46A6}</author>
    <author>tc={0B8883DB-C22E-4EE7-AD33-C29922DA79FF}</author>
    <author>tc={F86BE0C5-CC1C-4B47-8429-275C1B7B73D1}</author>
  </authors>
  <commentList>
    <comment ref="B13" authorId="0" shapeId="0" xr:uid="{2971FB2E-DB0F-4B0B-AA7A-47921ECF9113}">
      <text>
        <t>[Threaded comment]
Your version of Excel allows you to read this threaded comment; however, any edits to it will get removed if the file is opened in a newer version of Excel. Learn more: https://go.microsoft.com/fwlink/?linkid=870924
Comment:
    compressed natural gas</t>
      </text>
    </comment>
    <comment ref="B14" authorId="1" shapeId="0" xr:uid="{C00560FE-C8F2-483B-B41E-2245D7AD46A6}">
      <text>
        <t>[Threaded comment]
Your version of Excel allows you to read this threaded comment; however, any edits to it will get removed if the file is opened in a newer version of Excel. Learn more: https://go.microsoft.com/fwlink/?linkid=870924
Comment:
    liquefied natural gas</t>
      </text>
    </comment>
    <comment ref="C25" authorId="2" shapeId="0" xr:uid="{0B8883DB-C22E-4EE7-AD33-C29922DA79FF}">
      <text>
        <t>[Threaded comment]
Your version of Excel allows you to read this threaded comment; however, any edits to it will get removed if the file is opened in a newer version of Excel. Learn more: https://go.microsoft.com/fwlink/?linkid=870924
Comment:
    Steam methane reforming</t>
      </text>
    </comment>
    <comment ref="I28" authorId="3" shapeId="0" xr:uid="{F86BE0C5-CC1C-4B47-8429-275C1B7B73D1}">
      <text>
        <t>[Threaded comment]
Your version of Excel allows you to read this threaded comment; however, any edits to it will get removed if the file is opened in a newer version of Excel. Learn more: https://go.microsoft.com/fwlink/?linkid=870924
Comment:
    Default EIA region selected based on State
If you select User Defined, click on hyperlink &amp; enter values in Intro sheet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tc={A40DDCB2-7378-44FA-8FB8-A8F3E357BC77}</author>
    <author>tc={ABD4BEC8-6D13-4991-B1A6-B7AF9580B49B}</author>
    <author>tc={DCDE7949-1944-4604-A6C3-DE4D01AE2A8B}</author>
    <author>tc={B249BB68-FB17-4376-8308-7C683AED1D5D}</author>
  </authors>
  <commentList>
    <comment ref="B13" authorId="0" shapeId="0" xr:uid="{A40DDCB2-7378-44FA-8FB8-A8F3E357BC77}">
      <text>
        <t>[Threaded comment]
Your version of Excel allows you to read this threaded comment; however, any edits to it will get removed if the file is opened in a newer version of Excel. Learn more: https://go.microsoft.com/fwlink/?linkid=870924
Comment:
    compressed natural gas</t>
      </text>
    </comment>
    <comment ref="B14" authorId="1" shapeId="0" xr:uid="{ABD4BEC8-6D13-4991-B1A6-B7AF9580B49B}">
      <text>
        <t>[Threaded comment]
Your version of Excel allows you to read this threaded comment; however, any edits to it will get removed if the file is opened in a newer version of Excel. Learn more: https://go.microsoft.com/fwlink/?linkid=870924
Comment:
    liquefied natural gas</t>
      </text>
    </comment>
    <comment ref="C25" authorId="2" shapeId="0" xr:uid="{DCDE7949-1944-4604-A6C3-DE4D01AE2A8B}">
      <text>
        <t>[Threaded comment]
Your version of Excel allows you to read this threaded comment; however, any edits to it will get removed if the file is opened in a newer version of Excel. Learn more: https://go.microsoft.com/fwlink/?linkid=870924
Comment:
    Steam methane reforming</t>
      </text>
    </comment>
    <comment ref="I28" authorId="3" shapeId="0" xr:uid="{B249BB68-FB17-4376-8308-7C683AED1D5D}">
      <text>
        <t>[Threaded comment]
Your version of Excel allows you to read this threaded comment; however, any edits to it will get removed if the file is opened in a newer version of Excel. Learn more: https://go.microsoft.com/fwlink/?linkid=870924
Comment:
    Default EIA region selected based on State
If you select User Defined, click on hyperlink &amp; enter values in Intro sheet</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tc={5E45CCFE-5778-472F-84C9-773546E9A3D4}</author>
  </authors>
  <commentList>
    <comment ref="H3" authorId="0" shapeId="0" xr:uid="{5E45CCFE-5778-472F-84C9-773546E9A3D4}">
      <text>
        <t>[Threaded comment]
Your version of Excel allows you to read this threaded comment; however, any edits to it will get removed if the file is opened in a newer version of Excel. Learn more: https://go.microsoft.com/fwlink/?linkid=870924
Comment:
    Weighted Average</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tc={FD802DBD-6326-4797-A6F6-3510D05B5AD6}</author>
    <author>tc={3724D479-115C-4D8F-AE29-63C661310220}</author>
    <author>tc={7813E905-4669-4946-927C-DE768632170A}</author>
    <author>tc={5738CA07-F1CA-4CAC-BA8F-5B64C1EB6674}</author>
    <author>tc={ED88C8D9-ED08-41E1-8C1D-44C2194F6397}</author>
    <author>tc={EE72BBBA-4668-47FE-A741-3AEA34591400}</author>
  </authors>
  <commentList>
    <comment ref="H10" authorId="0" shapeId="0" xr:uid="{FD802DBD-6326-4797-A6F6-3510D05B5AD6}">
      <text>
        <t xml:space="preserve">[Threaded comment]
Your version of Excel allows you to read this threaded comment; however, any edits to it will get removed if the file is opened in a newer version of Excel. Learn more: https://go.microsoft.com/fwlink/?linkid=870924
Comment:
    Multiplied by the rate of increase/decrease of New Commercial (row 18).
</t>
      </text>
    </comment>
    <comment ref="C26" authorId="1" shapeId="0" xr:uid="{3724D479-115C-4D8F-AE29-63C661310220}">
      <text>
        <t xml:space="preserve">[Threaded comment]
Your version of Excel allows you to read this threaded comment; however, any edits to it will get removed if the file is opened in a newer version of Excel. Learn more: https://go.microsoft.com/fwlink/?linkid=870924
Comment:
    Stages of Technology Diffusion
Segment	% of population
Innovators	2.5%
Early Adopters	13.5%
Early Majority	34%
Late Majority	34%
Laggards	16%
https://www.investopedia.com/terms/e/early-majority.asp </t>
      </text>
    </comment>
    <comment ref="B39" authorId="2" shapeId="0" xr:uid="{7813E905-4669-4946-927C-DE768632170A}">
      <text>
        <t>[Threaded comment]
Your version of Excel allows you to read this threaded comment; however, any edits to it will get removed if the file is opened in a newer version of Excel. Learn more: https://go.microsoft.com/fwlink/?linkid=870924
Comment:
    Average of buildings greater than 200,000 ft2 from Portland benchmarking data (after removing very large buildings greater than 1 million ft2)</t>
      </text>
    </comment>
    <comment ref="B40" authorId="3" shapeId="0" xr:uid="{5738CA07-F1CA-4CAC-BA8F-5B64C1EB6674}">
      <text>
        <t>[Threaded comment]
Your version of Excel allows you to read this threaded comment; however, any edits to it will get removed if the file is opened in a newer version of Excel. Learn more: https://go.microsoft.com/fwlink/?linkid=870924
Comment:
    Using Portland benchmarking data, this is the average size of buildings between 90k and 200k ft2</t>
      </text>
    </comment>
    <comment ref="B41" authorId="4" shapeId="0" xr:uid="{ED88C8D9-ED08-41E1-8C1D-44C2194F6397}">
      <text>
        <t xml:space="preserve">[Threaded comment]
Your version of Excel allows you to read this threaded comment; however, any edits to it will get removed if the file is opened in a newer version of Excel. Learn more: https://go.microsoft.com/fwlink/?linkid=870924
Comment:
    Using Portland benchmarking data, this is the average size of buildings between 35k and 90k ft2
</t>
      </text>
    </comment>
    <comment ref="B42" authorId="5" shapeId="0" xr:uid="{EE72BBBA-4668-47FE-A741-3AEA34591400}">
      <text>
        <t>[Threaded comment]
Your version of Excel allows you to read this threaded comment; however, any edits to it will get removed if the file is opened in a newer version of Excel. Learn more: https://go.microsoft.com/fwlink/?linkid=870924
Comment:
    Analysis for average GHG reduction based on average energy performance from NEEA CBSA and using Washington targets as a proxy for achievable EUI delta.  Use GHG emissions factors for conversion from EUI to potential GHG reduction</t>
      </text>
    </comment>
  </commentList>
</comments>
</file>

<file path=xl/sharedStrings.xml><?xml version="1.0" encoding="utf-8"?>
<sst xmlns="http://schemas.openxmlformats.org/spreadsheetml/2006/main" count="1643" uniqueCount="551">
  <si>
    <t>Oregon’s Climate Equity and Resilience Through Action (CERTA) Grant
CPRG Implementation Application- GHG emission reduction calculations spreadsheet- All Measures</t>
  </si>
  <si>
    <t xml:space="preserve"> </t>
  </si>
  <si>
    <t>Measure</t>
  </si>
  <si>
    <t>Cumulative GHG emissions reduction 2025-2030 (MTCO2E)</t>
  </si>
  <si>
    <t>Cumulative GHG emissions reduction 2025-2050 (MTCO2E)</t>
  </si>
  <si>
    <t>5-year implementation cost ($)</t>
  </si>
  <si>
    <t>Cost per ton GHG reduced 2025-2030 ($)</t>
  </si>
  <si>
    <t>Cost per ton GHG reduced 2025-2050 ($)</t>
  </si>
  <si>
    <t>Transportation</t>
  </si>
  <si>
    <t xml:space="preserve">Charge ahead </t>
  </si>
  <si>
    <t>Light duty chargers</t>
  </si>
  <si>
    <t>MHD Rebate</t>
  </si>
  <si>
    <t>MHD grant</t>
  </si>
  <si>
    <t>MHD chargers</t>
  </si>
  <si>
    <t>Sector total</t>
  </si>
  <si>
    <t>Resdiential and Commercial Bldgs</t>
  </si>
  <si>
    <t>New Residential Construction</t>
  </si>
  <si>
    <t>Building Performance Standard</t>
  </si>
  <si>
    <t>Heat Pump Program</t>
  </si>
  <si>
    <t>Residential Weatherization</t>
  </si>
  <si>
    <t>Sector Total</t>
  </si>
  <si>
    <t>Materials and Waste</t>
  </si>
  <si>
    <t>Building reuse and space-efficient housing</t>
  </si>
  <si>
    <t>Food waste infrastructure</t>
  </si>
  <si>
    <t>Landfill gas controls</t>
  </si>
  <si>
    <t xml:space="preserve">DEQ CPRG Administration </t>
  </si>
  <si>
    <t>Total- All Measures</t>
  </si>
  <si>
    <t>Please note there are minor discrepencies due to rounding throughout these calaculation summaries</t>
  </si>
  <si>
    <t xml:space="preserve"> GHG emissions reduction 2025-2030 (MTCO2E)</t>
  </si>
  <si>
    <t xml:space="preserve"> GHG emissions reduction 2031-2050 (MTCO2E)</t>
  </si>
  <si>
    <t>Measure totals</t>
  </si>
  <si>
    <t>Annual Total- All Measures</t>
  </si>
  <si>
    <t>Transportation Measures Summary</t>
  </si>
  <si>
    <t xml:space="preserve"> Measures</t>
  </si>
  <si>
    <r>
      <t>Cumulative GHG Emissions Reductions (MTCO</t>
    </r>
    <r>
      <rPr>
        <b/>
        <vertAlign val="subscript"/>
        <sz val="18"/>
        <color theme="1"/>
        <rFont val="Calibri"/>
        <family val="2"/>
        <scheme val="minor"/>
      </rPr>
      <t>2</t>
    </r>
    <r>
      <rPr>
        <b/>
        <sz val="18"/>
        <color theme="1"/>
        <rFont val="Calibri"/>
        <family val="2"/>
        <scheme val="minor"/>
      </rPr>
      <t>e)</t>
    </r>
  </si>
  <si>
    <t xml:space="preserve"> 2025-2030 (MTCO2E)</t>
  </si>
  <si>
    <t xml:space="preserve"> 2025-2050 (MTCO2E)</t>
  </si>
  <si>
    <t>Variable Description</t>
  </si>
  <si>
    <t>Model projection (calendar) year</t>
  </si>
  <si>
    <t>Projected number of on-road light-duty EVs after accounting annually for pre-existing, new, and retired EVs</t>
  </si>
  <si>
    <t>Projected number of on-road light-duty ICEVs after accounting annually for pre-existing, new, and retired ICEVs</t>
  </si>
  <si>
    <t>Existing vehicles to GHG emissions conversion factor calculated using a proprietary multidimensional, time-variable function -- see Explanation page in this workbook</t>
  </si>
  <si>
    <t>Annual total emissions of GHGs from light-duty transportation</t>
  </si>
  <si>
    <t>This is the CPRG funding scenario
(Scenario 3c)</t>
  </si>
  <si>
    <t>Scenario</t>
  </si>
  <si>
    <t>Year</t>
  </si>
  <si>
    <t>Variable Units</t>
  </si>
  <si>
    <t>M
(millions of vehicles)</t>
  </si>
  <si>
    <t>MMT CO2e
(millions of metric tons of carbon dioxide equivalent)</t>
  </si>
  <si>
    <t>Baseline</t>
  </si>
  <si>
    <t>Milllion MTCO2e</t>
  </si>
  <si>
    <t>Variable Name</t>
  </si>
  <si>
    <t>Existing_EV</t>
  </si>
  <si>
    <t>Existing_ICEV</t>
  </si>
  <si>
    <t>func_GHG</t>
  </si>
  <si>
    <t>Annual_GHG</t>
  </si>
  <si>
    <t>MTCO2e</t>
  </si>
  <si>
    <t>CPRG 3c</t>
  </si>
  <si>
    <t>Baseline - CPRG (MTCO2e)</t>
  </si>
  <si>
    <t>Scenario 3c cumulative GHG emissions 2025-2030 listed in Table 5 of the report (PCAP Technical Appendix attachment)</t>
  </si>
  <si>
    <t>2025-2030</t>
  </si>
  <si>
    <t>2025-2050</t>
  </si>
  <si>
    <t>Scenario 3c cumulative GHG emissions 2025-2050 listed in Table 5 of the report (PCAP Technical Appendix attachment)</t>
  </si>
  <si>
    <t>GHG emissions reduction relative to Scenario 1 = Cumulative GHG emissions from "Scenario 1 Calculations" minus the corresponding value from this sheet</t>
  </si>
  <si>
    <t>2025-2030 (rounded in MMT)</t>
  </si>
  <si>
    <t>2025-2050 (rounded in MMT)</t>
  </si>
  <si>
    <t>CPRG funded reductions- in Metric Tons</t>
  </si>
  <si>
    <t>Cumulative total emissions of GHGs from light-duty transportation (running sum of annual values from column F)</t>
  </si>
  <si>
    <t>This is the current (baseline) OCVRP scenario
(Scenario 1)</t>
  </si>
  <si>
    <t>Cumulative_GHG</t>
  </si>
  <si>
    <t>Scenario 1 cumulative GHG emissions 2025-2030 listed in Table 5 of the report</t>
  </si>
  <si>
    <t>Scenario 1 cumulative GHG emissions 2025-2050 listed in Table 5 of the report</t>
  </si>
  <si>
    <t>Explanation</t>
  </si>
  <si>
    <t xml:space="preserve">The values in columns C (annual number of on-road EVs), D (annual number of on-road ICEVs), and F (annual light-duty transportation GHG emissions) of the Calculations pages of this workbook are projections from model simulations of Oregon's CVRP (with and without additional CPRG funding) calculated using Center for Sustainable Energy's proprietary, patent-pending Caret® EV Planner (Caret®-EV) application.
</t>
  </si>
  <si>
    <t xml:space="preserve">To make its projections, Caret®-EV uses a complex and multidimensional iterative feedback calculation process that draws upon a large set of constants, relationships, and probability distributions which are, in turn, based on real world data sets characterizing consumer demographics and behavior with respect to purchasing EVs, the influence of rebates, and so on. This calculation is accomplished via many thousands of lines of Python code and cannot feasibly be reproduced in an Excel spreadsheet.
</t>
  </si>
  <si>
    <t xml:space="preserve">In general terms, the amount of GHG emissions from the light-duty transportation sector for any given year is calculated by Caret®-EV as the sum of emissions derived from the combustion of gasoline in ICEVs and emissions derived from electricity generation to charge EVs, utilizing a calculation of the total fuel consumption for each vehicle type. These two components are summed over the Caret®-EV projections of the light-duty vehicle fleet and added together each year to calculate total annual emissions.
</t>
  </si>
  <si>
    <t xml:space="preserve">This spreadsheet demonstrates a simplified version of the Caret®-EV calculation process for projecting annual light-duty transportation GHG emissions (Annual_GHG) as a function of total light-duty vehicle fleet (Existing_EV + Existing_ICEV) using a variable conversion factor (func_GHG), as follows:
func_GHG*(Existing_EV + Existing_ICEV) = Annual_GHG
</t>
  </si>
  <si>
    <t xml:space="preserve">As calculated during a model simulation run of Caret®-EV, the value of func_GHG depends on a large number of time-variable factors, but primarily the annual numbers of existing EVs and ICEVs. The projections of those annual vehicle counts, in turn, are also the result of complex, data-backed, proprietary relationships incorporating an underlying mathematical representation of diffusion of innovations and sociotechnical factors, as well as a characterization of the distribution of vehicle ages in the fleet.
</t>
  </si>
  <si>
    <t xml:space="preserve">In practice, the value of func_GHG depends on numerous contributing elements, such as:
* Data sets used to characterize the current fleet distribution in Oregon (e.g., vehicle ages, fuel types, make, model).
* A proprietary calibration of the rebate dollars to EV market share increase relationship utilizing time-series of data from regions in the U.S. and other parts of the world with EV rebate programs.
* The carbon intensity of gasoline.
* The carbon intensity of electricity generation in Oregon projected forward using the Clean Energy Targets for electricity generation in the state.
* A proprietary, data-backed relationship between annual vehicle miles traveled (VMT) and vehicle age calibrated to Oregon's travel statistics.
* VMT and fleet growth rate projections specific to Oregon.
* Vehicle fuel efficiency projections by fuel type (i.e., EV, ICEV).
</t>
  </si>
  <si>
    <t>The baseline, or reference case scenario, assumes OCVRP receives its current funding allocation from the state’s tax on the sale of new vehicles, which is about $12 million per year for rebates and that all rebates continue to be offered at the current amounts. Under current modeling conditions the annual program funds are exhausted prior to the start of the next fiscal year, and vehicles purchased or leased between program suspension and the following fiscal year are not eligible for a rebate. The baseline also includes projected demand and price reductions related to zero emission vehicles (ZEVs) purchased or leased as a response to the federal tax credit incentive and the ACC II zero emission vehicle sales requirement.  </t>
  </si>
  <si>
    <t> </t>
  </si>
  <si>
    <t>Totals</t>
  </si>
  <si>
    <t>$ spent</t>
  </si>
  <si>
    <t xml:space="preserve"> $                      -  </t>
  </si>
  <si>
    <t xml:space="preserve"> $                           -  </t>
  </si>
  <si>
    <t># rebates awarded L2</t>
  </si>
  <si>
    <t># rebate awarded DCFC</t>
  </si>
  <si>
    <t>Year GHG emissions reductions attributed</t>
  </si>
  <si>
    <t>$ per L2 Port</t>
  </si>
  <si>
    <t>$ per DCFC Port</t>
  </si>
  <si>
    <t>Average Power Level of L2 port funded</t>
  </si>
  <si>
    <t>kW</t>
  </si>
  <si>
    <t>Average Power Level of DCFC port funded</t>
  </si>
  <si>
    <t>First Five Years (Assume Lower Utilization)</t>
  </si>
  <si>
    <t>Last 20 years (Assume profitability / higher utilization)</t>
  </si>
  <si>
    <t># Ports Funded per Year</t>
  </si>
  <si>
    <t>Utilization
 (% 24 hour day)</t>
  </si>
  <si>
    <t>Annual Electricity Distribution per port (kWh)</t>
  </si>
  <si>
    <t>Total annual Electricity Distribution</t>
  </si>
  <si>
    <t>GHG (short tons) From CFI AFLEET</t>
  </si>
  <si>
    <t>GHG
(Metric tons)</t>
  </si>
  <si>
    <t>Utilization
(% 24 hour day)</t>
  </si>
  <si>
    <t>GHG
(Short Tons)
From CFI AFLEET</t>
  </si>
  <si>
    <t>GHG
(Metric Tons)</t>
  </si>
  <si>
    <t xml:space="preserve">L2 </t>
  </si>
  <si>
    <t>DCFC</t>
  </si>
  <si>
    <t>Total</t>
  </si>
  <si>
    <t>2025*</t>
  </si>
  <si>
    <t>GHG Emissions Reduced from CFI AFLEET^</t>
  </si>
  <si>
    <t xml:space="preserve">                                -  </t>
  </si>
  <si>
    <t>Emissions from electricity consumption</t>
  </si>
  <si>
    <t>Net Emissions Reductions</t>
  </si>
  <si>
    <t>CO (lb)</t>
  </si>
  <si>
    <t>NOx(lb)</t>
  </si>
  <si>
    <t>PM10 (lb)</t>
  </si>
  <si>
    <t>PM2.5 (lb)</t>
  </si>
  <si>
    <t>VOC (lb)</t>
  </si>
  <si>
    <t>Sox (lb)</t>
  </si>
  <si>
    <t>*assume GHG emissions reductions begin 1 year after funding</t>
  </si>
  <si>
    <t>^assume 100% renewable energy grid mix to use Oregon DEQ's emissions factors</t>
  </si>
  <si>
    <t xml:space="preserve">Cumulative GHG Emissions Reductions </t>
  </si>
  <si>
    <t>Cumulative Tailpipe Emissions Reductions</t>
  </si>
  <si>
    <t xml:space="preserve"> CO (lb) </t>
  </si>
  <si>
    <t xml:space="preserve"> NOx(lb) </t>
  </si>
  <si>
    <t xml:space="preserve"> PM10(lb) </t>
  </si>
  <si>
    <t xml:space="preserve"> PM2.5(lb) </t>
  </si>
  <si>
    <t xml:space="preserve"> VOC(lb) </t>
  </si>
  <si>
    <t>Sox(lb)</t>
  </si>
  <si>
    <t>Personnel</t>
  </si>
  <si>
    <t>Personal Services</t>
  </si>
  <si>
    <t>CY2025</t>
  </si>
  <si>
    <t>CY2026</t>
  </si>
  <si>
    <t>CY2027</t>
  </si>
  <si>
    <t>CY2028</t>
  </si>
  <si>
    <t>CY2029</t>
  </si>
  <si>
    <t>1.0 FTE OPA2</t>
  </si>
  <si>
    <t>Services &amp; Supplies</t>
  </si>
  <si>
    <t>Sub Total</t>
  </si>
  <si>
    <t>Other Admin</t>
  </si>
  <si>
    <t>1% of Program Budget</t>
  </si>
  <si>
    <t>Grand Total</t>
  </si>
  <si>
    <t>Total 5 Year Implementation Cost</t>
  </si>
  <si>
    <t>Cumulative GHG Reductions (2025-2030)</t>
  </si>
  <si>
    <t>Cumulative GHG Reductions (2025-2050)</t>
  </si>
  <si>
    <t>Cost per ton GHG reduced (2025-2030)</t>
  </si>
  <si>
    <t>Cost per ton GHG reduced (2025-2050)</t>
  </si>
  <si>
    <t>Total L2 Charging Ports funded</t>
  </si>
  <si>
    <t>Total DCFC Charging Ports Funded</t>
  </si>
  <si>
    <t>Total Charging Ports Funded (L2 + DCFC)</t>
  </si>
  <si>
    <t>Cost/Port</t>
  </si>
  <si>
    <t>AFLEET Charging and Fueling Infrastructure (CFI) Emissions Tool</t>
  </si>
  <si>
    <r>
      <t xml:space="preserve">1. Charging and Fueling Infrastructure Location </t>
    </r>
    <r>
      <rPr>
        <b/>
        <i/>
        <sz val="14"/>
        <color theme="1"/>
        <rFont val="Calibri"/>
        <family val="2"/>
        <scheme val="minor"/>
      </rPr>
      <t>(REQUIRED)</t>
    </r>
  </si>
  <si>
    <t xml:space="preserve">State </t>
  </si>
  <si>
    <t>OREGON</t>
  </si>
  <si>
    <t>2. Charging and Fueling Infrastructure Inputs</t>
  </si>
  <si>
    <r>
      <t xml:space="preserve">2a. Number of Chargers/Stations </t>
    </r>
    <r>
      <rPr>
        <b/>
        <i/>
        <sz val="14"/>
        <color theme="1"/>
        <rFont val="Calibri"/>
        <family val="2"/>
        <scheme val="minor"/>
      </rPr>
      <t>(REQUIRED)</t>
    </r>
  </si>
  <si>
    <r>
      <t>2b. Annual Fuel Consumption Per Fuel Unit</t>
    </r>
    <r>
      <rPr>
        <b/>
        <i/>
        <sz val="14"/>
        <color theme="1"/>
        <rFont val="Calibri"/>
        <family val="2"/>
        <scheme val="minor"/>
      </rPr>
      <t xml:space="preserve"> (OPTIONAL)</t>
    </r>
  </si>
  <si>
    <r>
      <t xml:space="preserve">2c. Vehicle Type Utilizing Charger/Station % </t>
    </r>
    <r>
      <rPr>
        <b/>
        <i/>
        <sz val="14"/>
        <color theme="1"/>
        <rFont val="Calibri"/>
        <family val="2"/>
        <scheme val="minor"/>
      </rPr>
      <t>(OPTIONAL)</t>
    </r>
  </si>
  <si>
    <t>Fuel Unit</t>
  </si>
  <si>
    <t>User Total Annual Fuel Consumption (fuel unit/station)</t>
  </si>
  <si>
    <t>Charger/Station Type</t>
  </si>
  <si>
    <t>Low Utilization</t>
  </si>
  <si>
    <t>Moderate Utilization</t>
  </si>
  <si>
    <t>High Utilization</t>
  </si>
  <si>
    <t>Light-Duty</t>
  </si>
  <si>
    <t>Heavy-Duty</t>
  </si>
  <si>
    <t>Level 2 EVSE</t>
  </si>
  <si>
    <t>kWh</t>
  </si>
  <si>
    <t>DCFC EVSE</t>
  </si>
  <si>
    <t>Hydrogen</t>
  </si>
  <si>
    <t>hydrogen kg</t>
  </si>
  <si>
    <t>Propane</t>
  </si>
  <si>
    <t>LPG gallon</t>
  </si>
  <si>
    <t xml:space="preserve">CNG </t>
  </si>
  <si>
    <t>CNG GGE</t>
  </si>
  <si>
    <t>LNG</t>
  </si>
  <si>
    <t>LNG gallon</t>
  </si>
  <si>
    <r>
      <t xml:space="preserve">3. Fuel Production Assumptions </t>
    </r>
    <r>
      <rPr>
        <b/>
        <i/>
        <sz val="14"/>
        <color theme="1"/>
        <rFont val="Calibri"/>
        <family val="2"/>
        <scheme val="minor"/>
      </rPr>
      <t>(OPTIONAL)</t>
    </r>
  </si>
  <si>
    <t>U.S.</t>
  </si>
  <si>
    <t>CNG Feedstock Source</t>
  </si>
  <si>
    <t>1 - North American Fossil NG</t>
  </si>
  <si>
    <t>ASCC</t>
  </si>
  <si>
    <t>2 - Renewable Natural Gas</t>
  </si>
  <si>
    <t>FRCC</t>
  </si>
  <si>
    <t>LNG Feedstock Source</t>
  </si>
  <si>
    <t>1 - North American NG</t>
  </si>
  <si>
    <t>HICC</t>
  </si>
  <si>
    <t>MRO</t>
  </si>
  <si>
    <t>Source of Electricity for EVSEs and Hydrogen (Electrolysis)</t>
  </si>
  <si>
    <t>NPCC</t>
  </si>
  <si>
    <t>1 - Average U.S. Mix</t>
  </si>
  <si>
    <t>RFC</t>
  </si>
  <si>
    <t>2 to 11 - EIA Region Mix (see map)</t>
  </si>
  <si>
    <t>SERC</t>
  </si>
  <si>
    <t>12 - User Defined (go to 'Intro' sheet)</t>
  </si>
  <si>
    <t>SPP</t>
  </si>
  <si>
    <t>Hydrogen Production Process</t>
  </si>
  <si>
    <t>1 - NG SMR</t>
  </si>
  <si>
    <t>TRE</t>
  </si>
  <si>
    <t>2 - Electrolysis</t>
  </si>
  <si>
    <t>WECC</t>
  </si>
  <si>
    <t>User Defined</t>
  </si>
  <si>
    <t>Default based on State</t>
  </si>
  <si>
    <r>
      <t xml:space="preserve">4. Annual CFI Tool - Emissions Reductions </t>
    </r>
    <r>
      <rPr>
        <b/>
        <i/>
        <sz val="14"/>
        <color theme="1"/>
        <rFont val="Calibri"/>
        <family val="2"/>
        <scheme val="minor"/>
      </rPr>
      <t>(PASTE TABLE INTO PROPOSAL)</t>
    </r>
  </si>
  <si>
    <t>GHGs</t>
  </si>
  <si>
    <t>CO</t>
  </si>
  <si>
    <t>NOx</t>
  </si>
  <si>
    <t>PM10</t>
  </si>
  <si>
    <t>PM2.5</t>
  </si>
  <si>
    <t>VOC</t>
  </si>
  <si>
    <t>SOx</t>
  </si>
  <si>
    <t>Fuel Dispensed</t>
  </si>
  <si>
    <t>Fuel</t>
  </si>
  <si>
    <t>AFV Fueling Infrastructure</t>
  </si>
  <si>
    <t>(short tons)</t>
  </si>
  <si>
    <t>(lb)</t>
  </si>
  <si>
    <t>(fuel unit)</t>
  </si>
  <si>
    <t>Unit</t>
  </si>
  <si>
    <t/>
  </si>
  <si>
    <t>kg</t>
  </si>
  <si>
    <t>gal</t>
  </si>
  <si>
    <t>GGE</t>
  </si>
  <si>
    <t>Fueling Infrastructure Total</t>
  </si>
  <si>
    <t>Assume GHG remissions reductions begin accruing one year after funding</t>
  </si>
  <si>
    <t>Level 2 charging ports are funded at an average of $8,000/port (note: this is higher than the current rebate levels in CCR, due to the focus on LIDAC communities and the desire to fund these projects at a higher level)</t>
  </si>
  <si>
    <t>DCFC charging ports are funded at an average of $80,000/port</t>
  </si>
  <si>
    <t>Average kW of L2 port = 9.6 kW</t>
  </si>
  <si>
    <t>Average kW of DCFC = 125 kW</t>
  </si>
  <si>
    <t>Utilization is assumed to be lower in the first five years of the program and go up after 2030 (for L2: assumed 12% utilization in early years (matching "high" utilization default in CFI AFLEET), 30% in later years; for DCFC: assumed 4.75% utilization in early years (matching "high" utilization default in CFI AFLEET tool), 30% in later years)</t>
  </si>
  <si>
    <t>Assume 1 FTE OPA2 needed for 3 years in both budget scenarios, with a 1% additional budgeted for other admin (e.g. DOJ)</t>
  </si>
  <si>
    <t>Eligible costs include equipment, installation, networking, maintenance contracts, signage, payment mechanisms, etc</t>
  </si>
  <si>
    <t>Outreach and Education for program is contracted through a separate budget</t>
  </si>
  <si>
    <t>See "CFI Tool Grid Mix" tax for assumptions on grid mix</t>
  </si>
  <si>
    <t>Oregon Electricity Emissions Intensity (from DEQ)</t>
  </si>
  <si>
    <t>Last updated</t>
  </si>
  <si>
    <t>CFP estimate</t>
  </si>
  <si>
    <t xml:space="preserve">134.27 gallons = 1,000 KWh energy equivalent </t>
  </si>
  <si>
    <t>CO2 metric tons</t>
  </si>
  <si>
    <t>Amount reduced per GHG (metric tons)</t>
  </si>
  <si>
    <t>1,000 KWh (1,000 = 134.27 gallons of B5)</t>
  </si>
  <si>
    <t>MWh</t>
  </si>
  <si>
    <t>Class 8</t>
  </si>
  <si>
    <t>Long Haul</t>
  </si>
  <si>
    <t>Class 6-7</t>
  </si>
  <si>
    <t>Long Haul - Single Unit</t>
  </si>
  <si>
    <t>Emissions from electricity use</t>
  </si>
  <si>
    <t>Includes reductions from clean energy targets</t>
  </si>
  <si>
    <t>Percent reduction HB 2021</t>
  </si>
  <si>
    <t xml:space="preserve"> MTCO2e/MWh</t>
  </si>
  <si>
    <t>Emissions from electricity use MTCO2e  x Annual MWh</t>
  </si>
  <si>
    <r>
      <t xml:space="preserve">Net Emissions Reductions </t>
    </r>
    <r>
      <rPr>
        <sz val="11"/>
        <color rgb="FF000000"/>
        <rFont val="Calibri"/>
        <family val="2"/>
        <scheme val="minor"/>
      </rPr>
      <t>(Avoided emissions + GHG from electricity use)</t>
    </r>
  </si>
  <si>
    <t xml:space="preserve">* adjust vehicle values for project implementation below </t>
  </si>
  <si>
    <t>Vehicle Population by Year</t>
  </si>
  <si>
    <t>total</t>
  </si>
  <si>
    <t>Emissions by Year</t>
  </si>
  <si>
    <t>GHG Emission Reductions</t>
  </si>
  <si>
    <t>Total MTCO2e</t>
  </si>
  <si>
    <t>Project amount</t>
  </si>
  <si>
    <t>$/ton</t>
  </si>
  <si>
    <t>* assumes a 20 year vehicle lifetime</t>
  </si>
  <si>
    <t>Non-GHG emissions DEM data (short tons)</t>
  </si>
  <si>
    <t>NOx, short tons</t>
  </si>
  <si>
    <t>PM2.5, short tons</t>
  </si>
  <si>
    <t>HC, short tons</t>
  </si>
  <si>
    <t>CO, short tons</t>
  </si>
  <si>
    <t>CFP Estimate</t>
  </si>
  <si>
    <t>Non-GHG emissions DEM data</t>
  </si>
  <si>
    <t>Charger Assumptions:</t>
  </si>
  <si>
    <t>Updated 3/12/2024</t>
  </si>
  <si>
    <t>First Five Years (Assume EPA High AFLEET Utilization)</t>
  </si>
  <si>
    <t>Last 20 years (Assumes Oregon TEINA study 30% MD/HD)</t>
  </si>
  <si>
    <t xml:space="preserve">Per charger emissions calculations </t>
  </si>
  <si>
    <t>Total annual Electricity Distribution (KWh)</t>
  </si>
  <si>
    <t>Short Tons</t>
  </si>
  <si>
    <t>Diesel emissions MTCO2e</t>
  </si>
  <si>
    <t>Level 2 Charger</t>
  </si>
  <si>
    <t xml:space="preserve">* increased utilization </t>
  </si>
  <si>
    <t>Diesel emissions reduced CFI ALFEET</t>
  </si>
  <si>
    <t>Emissions from Electricity use</t>
  </si>
  <si>
    <t>Net Avoided emissions</t>
  </si>
  <si>
    <t>Diesel emissions reduced</t>
  </si>
  <si>
    <t>* calculated based off of 20 DCFC</t>
  </si>
  <si>
    <t>Oregon Electricity Projection (incorporates clean energy target reductions)</t>
  </si>
  <si>
    <t>Total GHG Emissions Reduced L2 +DCFC</t>
  </si>
  <si>
    <t>GHG Emissions Reductions Per Charger</t>
  </si>
  <si>
    <t>2029-2030</t>
  </si>
  <si>
    <t>2031-2050</t>
  </si>
  <si>
    <t>L2</t>
  </si>
  <si>
    <t>* adjust charger values below</t>
  </si>
  <si>
    <t>Charger Number Phase in</t>
  </si>
  <si>
    <t>Total Chargers</t>
  </si>
  <si>
    <t>Phase in emissions calculation (MTCO2e)</t>
  </si>
  <si>
    <t>2031-2050 per year</t>
  </si>
  <si>
    <t xml:space="preserve">$/charger </t>
  </si>
  <si>
    <t>Administration costs</t>
  </si>
  <si>
    <t>* assumes chargers last through 2050</t>
  </si>
  <si>
    <t>Total Measure Budget</t>
  </si>
  <si>
    <t>Cost per charger with admin</t>
  </si>
  <si>
    <t>Non-GHG Cumulative Emissions for Project</t>
  </si>
  <si>
    <t>Pollutant</t>
  </si>
  <si>
    <t>All chargers (lbs)</t>
  </si>
  <si>
    <t>All chargers (short tons)</t>
  </si>
  <si>
    <t>PM10(lb)</t>
  </si>
  <si>
    <t>PM2.5(lb)</t>
  </si>
  <si>
    <t>VOC(lb)</t>
  </si>
  <si>
    <t>Non-GHG pollutants Calculations</t>
  </si>
  <si>
    <t>Level 2 Emissions (lbs.)</t>
  </si>
  <si>
    <t>Level 2 Emission Rates</t>
  </si>
  <si>
    <t>AFLEET CFI Emission rates</t>
  </si>
  <si>
    <t>Non GHG cumulative emissions reductions</t>
  </si>
  <si>
    <t>Level 2</t>
  </si>
  <si>
    <t>DCFC non-GHG lbs</t>
  </si>
  <si>
    <t>DCFC non-GHG lbs emission rates</t>
  </si>
  <si>
    <t>DASHBOARD - Summary of Residential and Commercial Building Measure Results</t>
  </si>
  <si>
    <t>INPUTS</t>
  </si>
  <si>
    <t>Summary Measures</t>
  </si>
  <si>
    <r>
      <t>Cumulative GHG Emissions Reductions (MTCO</t>
    </r>
    <r>
      <rPr>
        <b/>
        <vertAlign val="subscript"/>
        <sz val="11"/>
        <color theme="1"/>
        <rFont val="Calibri"/>
        <family val="2"/>
        <scheme val="minor"/>
      </rPr>
      <t>2</t>
    </r>
    <r>
      <rPr>
        <b/>
        <sz val="11"/>
        <color theme="1"/>
        <rFont val="Calibri"/>
        <family val="2"/>
        <scheme val="minor"/>
      </rPr>
      <t>e)</t>
    </r>
  </si>
  <si>
    <t>Cumulative/Total Implementation Cost</t>
  </si>
  <si>
    <t>Cost per Metric Ton GHG Reduction ($/MTCO2e)</t>
  </si>
  <si>
    <t>Number of Units per Year</t>
  </si>
  <si>
    <t>Incentive Amount per Unit</t>
  </si>
  <si>
    <t>4-Year Total Measure Units</t>
  </si>
  <si>
    <t>4 Year Measure Cost per Unit</t>
  </si>
  <si>
    <t>Priority Measure</t>
  </si>
  <si>
    <t>2025-2029</t>
  </si>
  <si>
    <t>2025-2028</t>
  </si>
  <si>
    <t>OVERALL MEASURES TOTAL or AVERAGE</t>
  </si>
  <si>
    <t>Detailed Programs</t>
  </si>
  <si>
    <t>OVERALL PROGRAMS TOTAL or AVERAGE</t>
  </si>
  <si>
    <t>New Residential Energy Efficiency Incentives--Energy Trust of Oregon</t>
  </si>
  <si>
    <t>New Residential Construction - ETO</t>
  </si>
  <si>
    <t>Cumulative 2025-2030</t>
  </si>
  <si>
    <t>Cumulative 2025-2050</t>
  </si>
  <si>
    <t>Number of Units in CPRG Program</t>
  </si>
  <si>
    <t>Incentive Amount $ per Unit</t>
  </si>
  <si>
    <t>Total Incentive Amount $</t>
  </si>
  <si>
    <t>Total Admin Cost $</t>
  </si>
  <si>
    <t>Total Implementation Cost $</t>
  </si>
  <si>
    <t>Cumulative Total Number of Units =</t>
  </si>
  <si>
    <t>GHG Emission Reductions (MT/CO2e)</t>
  </si>
  <si>
    <t>GHG Emission Reductions (MT/CO2e per cumulative units installed)</t>
  </si>
  <si>
    <t>Cost-Effectiveness ($/MTCO2e) (2025-2030)</t>
  </si>
  <si>
    <t>Co-Benefits:</t>
  </si>
  <si>
    <t>Number of Jobs Years</t>
  </si>
  <si>
    <t>Reduction in Air Pollution (COBRA results = Health Benefits $)</t>
  </si>
  <si>
    <t>Air Pollution Reductions NO2 (MT/Year)</t>
  </si>
  <si>
    <t>Air Pollution Reductions PM2.5 (MT/Year)</t>
  </si>
  <si>
    <t xml:space="preserve">Air Pollution Reductions SO2 (MT/Year) </t>
  </si>
  <si>
    <t>Air Pollution Reductions VOC (MT/Year)</t>
  </si>
  <si>
    <t>TIGHGER Assumptions:</t>
  </si>
  <si>
    <t>Require new res buildings to use 60% less energy than base year by 2030</t>
  </si>
  <si>
    <t>TIGHGER Model Data</t>
  </si>
  <si>
    <t>Model Outputs/Metrics</t>
  </si>
  <si>
    <t>Number of Units Installed</t>
  </si>
  <si>
    <t>Capital Cost $</t>
  </si>
  <si>
    <t>Number of Jobs</t>
  </si>
  <si>
    <t>Energy Burden % of Households</t>
  </si>
  <si>
    <t>Per Unit Metrics:</t>
  </si>
  <si>
    <t>New Multifamily Energy Efficiency Incentives - OHCS</t>
  </si>
  <si>
    <t>New Residential MF Construction - OHCS OR-MEP (COU)</t>
  </si>
  <si>
    <t xml:space="preserve">Commercial Building Performance Standards Incentives </t>
  </si>
  <si>
    <t>Commercial Building Performance Standard (BPS)</t>
  </si>
  <si>
    <t>Assumptions:</t>
  </si>
  <si>
    <t>By default the new buildings are spread out evenly over the time period</t>
  </si>
  <si>
    <t>BPS Program Data</t>
  </si>
  <si>
    <t>Estimates (only use for reference)</t>
  </si>
  <si>
    <t>Tier</t>
  </si>
  <si>
    <t>Eligible # Buildings</t>
  </si>
  <si>
    <t>Early Adopter %</t>
  </si>
  <si>
    <t>Estimated # Early Adopters</t>
  </si>
  <si>
    <t>Estimated Annual # Early Adopters</t>
  </si>
  <si>
    <t>Compliance Date</t>
  </si>
  <si>
    <t>Program Years</t>
  </si>
  <si>
    <t>Cumulative Program GHG Reductions   2025-2030</t>
  </si>
  <si>
    <t>Tier 1 &gt;200K sf</t>
  </si>
  <si>
    <t>July 2028</t>
  </si>
  <si>
    <t>Cumulative</t>
  </si>
  <si>
    <t>Tier 1 &gt;90K sf</t>
  </si>
  <si>
    <t>July 2029</t>
  </si>
  <si>
    <t>Tier 1 &gt;35K sf</t>
  </si>
  <si>
    <t>July 2030</t>
  </si>
  <si>
    <t xml:space="preserve">Tier 2 </t>
  </si>
  <si>
    <t>n/a</t>
  </si>
  <si>
    <t>TOTAL</t>
  </si>
  <si>
    <t>Cumulative Total</t>
  </si>
  <si>
    <t>Average GHG Reduction Per Year Per Building</t>
  </si>
  <si>
    <t>Total Program Number of Units</t>
  </si>
  <si>
    <t>Average Ft2</t>
  </si>
  <si>
    <t>MT Reduction</t>
  </si>
  <si>
    <t>$0.85/SF</t>
  </si>
  <si>
    <t>MT/1000 Ft2</t>
  </si>
  <si>
    <t>Total Program Incentive $</t>
  </si>
  <si>
    <t>Avg Incentive</t>
  </si>
  <si>
    <t>Avg Incentive per year</t>
  </si>
  <si>
    <t>FTE</t>
  </si>
  <si>
    <t>Rate of Increase/Decrease</t>
  </si>
  <si>
    <t>Heat Pump Incentives for New Residential Buildings</t>
  </si>
  <si>
    <t>New Heat Pumps (Community HP Program)</t>
  </si>
  <si>
    <t>Heat pump capital Cost</t>
  </si>
  <si>
    <t>Air source</t>
  </si>
  <si>
    <t>Geothermal</t>
  </si>
  <si>
    <t>US EIA Updated buildings sector appliances and equipment costs and efficiencies, June 2018. page 29, 'high' values used</t>
  </si>
  <si>
    <t>https://www.eia.gov/analysis/studies/buildings/equipcosts/</t>
  </si>
  <si>
    <t>Heat Pump Incentives for Existing Buildings</t>
  </si>
  <si>
    <t>Existing Heat Pumps (Community HP Program)</t>
  </si>
  <si>
    <t>Install 100% electric heat pumps in existing residential buildings by 2043</t>
  </si>
  <si>
    <t>Total Cum #</t>
  </si>
  <si>
    <t>Average Annual Budget $</t>
  </si>
  <si>
    <t>Average # Units Installed Annually</t>
  </si>
  <si>
    <t>Percent increase:</t>
  </si>
  <si>
    <t>Rental Heat Pump Program Incentives</t>
  </si>
  <si>
    <t>Existing Heat Pumps (Rental HP Program)</t>
  </si>
  <si>
    <t>Existing Program Results</t>
  </si>
  <si>
    <t>Energy Trust Weatherization Incentives for Existing Buildings</t>
  </si>
  <si>
    <t>Residential Weatherization - ETO</t>
  </si>
  <si>
    <t>Retrofit 95% of existing buildings by 2040 - achieve a 50% reduction in space heating/cooling and other non water heating energy use</t>
  </si>
  <si>
    <t>Increment =</t>
  </si>
  <si>
    <t>GHG Emission Reductions (MTCO2e/Unit)</t>
  </si>
  <si>
    <t>ODOE Weatherization Incentives for Existing Buildings</t>
  </si>
  <si>
    <t>Residential Weatherization - ODOE</t>
  </si>
  <si>
    <t xml:space="preserve">OHA Healthy Homes Weatherization </t>
  </si>
  <si>
    <t>Residential Weatherization - Healthy Homes OHA</t>
  </si>
  <si>
    <t>ESTIMATES OF GHG EMISSIONS REDUCTIONS ASSOCIATED WITH FOOD WASTE &amp; BUILT ENVIRONMENT MEASURES</t>
  </si>
  <si>
    <t>for the CPRG grant application</t>
  </si>
  <si>
    <t>by Martin Brown (Martin.Brown@deq.oregon.gov), based on contributions by Oregon DEQ Materials Management staff</t>
  </si>
  <si>
    <t>measure or submeasure</t>
  </si>
  <si>
    <t>applied quantity</t>
  </si>
  <si>
    <t>assumed quantity</t>
  </si>
  <si>
    <t>assumed units</t>
  </si>
  <si>
    <t>cost/unit</t>
  </si>
  <si>
    <t>building reuse*</t>
  </si>
  <si>
    <t>housing units created</t>
  </si>
  <si>
    <t>space efficient housing*</t>
  </si>
  <si>
    <t>food waste infrastructure</t>
  </si>
  <si>
    <t>tons capacity added</t>
  </si>
  <si>
    <t>landfill gas controls</t>
  </si>
  <si>
    <t>entire project</t>
  </si>
  <si>
    <t>*Building reuse and space efficient housing  (sum)</t>
  </si>
  <si>
    <t>CONVERSION AND SMALLER HOUSING (COMMERCIAL CONVERSION)</t>
  </si>
  <si>
    <t>General description</t>
  </si>
  <si>
    <t>Vacant and underused buildings (typically commercial real estate such as offices) will be converted to affordable housing, replacing the need for new construction of more conventional housing. GHG benefits acrue from both lower embodied impacts (in construction materials) and lower extended impacts such as reduced utility use and car dependence.</t>
  </si>
  <si>
    <t>GHG reduction method:</t>
  </si>
  <si>
    <t>Embodied impacts calculated with a whole-building planning tool; extended impacts calculated with an Oregon-specific application a consumptino-based econometric impact model.</t>
  </si>
  <si>
    <t>Models/tools used</t>
  </si>
  <si>
    <t>Embodied Carbon Policy Calculator (developed by Alameda County, California); CoolClimate.org data and multiple regressions (Jones &amp; Kammen 2014).</t>
  </si>
  <si>
    <t>Annual GHG emissions reduced (210 units)</t>
  </si>
  <si>
    <t>Key assumptions about measure implementation:</t>
  </si>
  <si>
    <t>Projects focused on areas where reduced vehicle use is feasible; converted dwellings somewhat smaller in square footage than conventional commercial housing; affordability standards applied.</t>
  </si>
  <si>
    <t>Key assumptions about GHG estimates:</t>
  </si>
  <si>
    <t>For both reference case and proposed activity, Impacts of electrical use are decarbonized over time in synchrony with Oregon Clean Energy targets.</t>
  </si>
  <si>
    <t>Reference case scenario:</t>
  </si>
  <si>
    <t xml:space="preserve">Conventional development with a 50% mix of dwellings (typically SFRs) at 2262 square feet, and 50% smaller units (typically not SFR) averaging 1149 square feet. </t>
  </si>
  <si>
    <t>Measure-specific activity data:</t>
  </si>
  <si>
    <t>Data on building characteristics,  incomes, vehicle use, household size, etc. drawn from the US Census sources including US Census American Community Survey.</t>
  </si>
  <si>
    <t>GHG emissions reduced, 2025-2030 (MTCO2E)</t>
  </si>
  <si>
    <t>GHG emissions reduced, 2025-2050 (MTCO2E)</t>
  </si>
  <si>
    <t>assumed units:</t>
  </si>
  <si>
    <t>cost for assumed quantity ($)</t>
  </si>
  <si>
    <t>per-unit average cost ($)</t>
  </si>
  <si>
    <t>cost/ton (2025-2030)</t>
  </si>
  <si>
    <t>*without adminsitrative costs</t>
  </si>
  <si>
    <t>* with adminsitrative costs</t>
  </si>
  <si>
    <t>cost/ton (2025-2050)</t>
  </si>
  <si>
    <t>ALL CALCULATIONS PER UNIT</t>
  </si>
  <si>
    <t>parameters</t>
  </si>
  <si>
    <t>year</t>
  </si>
  <si>
    <t>BAU impact (MTCO2E)</t>
  </si>
  <si>
    <t>Alternative impact (MTCO2E)</t>
  </si>
  <si>
    <t>Benefit (MTCO2E)</t>
  </si>
  <si>
    <t>Benefit (MTCO2E) For 210 units</t>
  </si>
  <si>
    <t>BAU construction impact (MTCO2E)</t>
  </si>
  <si>
    <t>BAU extended impact (MTCO2E)</t>
  </si>
  <si>
    <t>Alternative construction impact (MTCO2E)</t>
  </si>
  <si>
    <t>Alternative extended impact (MTCO2E)</t>
  </si>
  <si>
    <t>persons per household</t>
  </si>
  <si>
    <t>household income (2007 dollars)</t>
  </si>
  <si>
    <t>population density (persons/sq mile)</t>
  </si>
  <si>
    <t>vehicles per household</t>
  </si>
  <si>
    <t>no rooms per dwelling</t>
  </si>
  <si>
    <t>ln(persons per household)</t>
  </si>
  <si>
    <t>log10(population density)</t>
  </si>
  <si>
    <t>regression output impact (tCo2e/yr)</t>
  </si>
  <si>
    <t>electricity decarbonization correction (tCo2e/yr)</t>
  </si>
  <si>
    <t>building material overlap correction (tCO2e/yr)</t>
  </si>
  <si>
    <t>BAU corrected impact (tCo2e/yr)</t>
  </si>
  <si>
    <t>ALT corrected impact (tCo2e/yr)</t>
  </si>
  <si>
    <t>electricity decarbonization factor</t>
  </si>
  <si>
    <t>persons per household (both scenarios)</t>
  </si>
  <si>
    <t>household income (2022 dollars) BAU scenario</t>
  </si>
  <si>
    <t>household income (2022 dollars) alternative scenario</t>
  </si>
  <si>
    <t xml:space="preserve"> -   </t>
  </si>
  <si>
    <t>initial population density (per sq. mile) BAU scenario</t>
  </si>
  <si>
    <t>initial population density (per sq. mile) alternative scenario</t>
  </si>
  <si>
    <t>vehicles per household BAU scenario</t>
  </si>
  <si>
    <t>vehicles per household alternative scenario</t>
  </si>
  <si>
    <t>rooms per household BAU scenario</t>
  </si>
  <si>
    <t>rooms per household alternative scenario</t>
  </si>
  <si>
    <t>inflation adjustment factor for incomes (2022 to 2007) link</t>
  </si>
  <si>
    <t>household income (2007 dollars) BAU scenario</t>
  </si>
  <si>
    <t>household income (2007 dollars) alternative scenario</t>
  </si>
  <si>
    <t>proportion of consumption based impacts which are electricity production (source: 2015 CBEI)</t>
  </si>
  <si>
    <t>embodied carbon of 1 BAU unit (MTCO2E) (source: calculator by ARUP by Alameda County)</t>
  </si>
  <si>
    <t>embodied carbon of 1 alternative unit (MTCO2e) (source: calculator by ARUP for Alameda county)</t>
  </si>
  <si>
    <t>housing proportion of CBI</t>
  </si>
  <si>
    <t>CONVERSION AND SMALLER HOUSING (SMALL HOUSING INCENTIVES)</t>
  </si>
  <si>
    <t>Incentives will be provided to create smaller forms of housing, because dwelling size is the single largest factor in the GHG footprint of a dwelling.  In particular, incentives will lead to the creation of duplexes, triplexes, cottage clusters, ADUs, and other space efficient forms, in areas dense enough to reduce need for private vehicle use.  GHG benefits accrue from both the inherent characteristics of the building (less material demand) and the extended benefits of living in smaller, more densely arranged dwellings (less utility use and vehicle usage).</t>
  </si>
  <si>
    <t>For embodied characteristics of buildings: an embodied carbon calculator designed for community climate action plans.  For extended carbon benefits: an Oregon-specific application of a consumption-based econometric impact model.</t>
  </si>
  <si>
    <t>Embodied carbon calculator developed by ARUP for Alameda County, California; CoolClimate.org data and regressions (Jones &amp; Kammen 2014)</t>
  </si>
  <si>
    <t>Projects focused on areas where reduced vehicle use is feasible; converted dwellings somewhat smaller in square footage than conventional commercial housing; household incomes in new units somewhat lower than they would be in larger units.</t>
  </si>
  <si>
    <t>Extended consumption-based impacts (and consequently GHG benefits) are adjusted downward to account for legislated decarbonization of electricity production.</t>
  </si>
  <si>
    <t xml:space="preserve">-   </t>
  </si>
  <si>
    <t>Benefit (MTCO2E) (730 units)</t>
  </si>
  <si>
    <t>FOOD WASTE INFRASTRUCTURE UPGRADES</t>
  </si>
  <si>
    <t>Increase processing capacity of aerobic composting and anaerobic digestion facilities, so that less food waste and yard debris are landfilled, leading to GHG emissions reductions via elimination of methane emissions.</t>
  </si>
  <si>
    <t>Oregon-specific life cycle model of solid waste, with results expressed as yearly emissions.</t>
  </si>
  <si>
    <t>Waste Impact Calculator (by Oregon DEQ , open source, github link)</t>
  </si>
  <si>
    <t xml:space="preserve">Anaerobic digesters handle food waste only; aerobic composting facilities handle a mix of yard debris and food waste. Total transportation burden under increased processing scenario is &lt;= transportation burden under reference case scenario. </t>
  </si>
  <si>
    <t>Annual Benefit (MTCO2E) at 263,00 units)</t>
  </si>
  <si>
    <t>Ratio of food waste to yard debris does not change substantially over time</t>
  </si>
  <si>
    <t>Current processing capacity of aerobic composting and anaerobic digestion facilities does not change.</t>
  </si>
  <si>
    <t>Ratio of food waste to yard debris based on Oregon-specific records in Waste Impact Calculator</t>
  </si>
  <si>
    <t>tons increased capacity</t>
  </si>
  <si>
    <t>NOTE THIS SPREADSHEET ASSUMES 1,000,000 TONS INCREASED CAPACITY.  TOTALS DEVELOPED HERE ARE SCALED DOWN TO 263,000 TONS ON THE ACCOMPANYING SUMMARY SHEET</t>
  </si>
  <si>
    <t xml:space="preserve">Total Costs: </t>
  </si>
  <si>
    <t>BAU food waste landfill (tons)</t>
  </si>
  <si>
    <t>BAU yard debris landfill (tons)</t>
  </si>
  <si>
    <t>Alt food waste compost (tons)</t>
  </si>
  <si>
    <t>Alt food waste AD (tons)</t>
  </si>
  <si>
    <t>Alt yard debris compost (tons)</t>
  </si>
  <si>
    <t>check1</t>
  </si>
  <si>
    <t>check2</t>
  </si>
  <si>
    <t>check3</t>
  </si>
  <si>
    <t>check4</t>
  </si>
  <si>
    <t>processing and transport (food waste AD) (kgCO2e/ton)</t>
  </si>
  <si>
    <t>processing and transport impact (foodWaste composting) (kgCO2e/ton)</t>
  </si>
  <si>
    <t>processing &amp; transport impact (foodWaste landfill) (kg CO2e/ton)</t>
  </si>
  <si>
    <t>processing &amp; transport impact (yardDebris AD) (kg CO2e/ton)</t>
  </si>
  <si>
    <t>processing &amp; transport impact (yardDebris composting) (kg CO2e/ton)</t>
  </si>
  <si>
    <t>processing &amp; transport impact (yardDebris landfill) (kg CO2e/ton)</t>
  </si>
  <si>
    <t>future yearly inflation rate (%)</t>
  </si>
  <si>
    <t>LANDFILL METHANE EMISSIONS CONTROLS</t>
  </si>
  <si>
    <t>Install enhanced methane controls at MSW and potentially industrial landfills, limited to installations that exceed regulatory requirements. Primary benefit is reduced methane emissions; secondary benefit is displacement of fossil fuel combustion due to energy recovery from methane at some landfills</t>
  </si>
  <si>
    <t>Oregon-specific model of landfill methane generation and emissions, with results expressed as yearly emissions.</t>
  </si>
  <si>
    <t>EPA LMOP Landfill Gas Energy Cost Model and LFG Energy Project Development Handbook; DEQ GHG inventory; Mandatory Reporting Rule data; customized estimates landfill gas system engineers</t>
  </si>
  <si>
    <t>DEQ will conduct a competitive solicitation that will result in awards for approximately  4 - 5 projects. Applicants would submit, as part of their application, a detailed engineering evaluation demonstrating costs and estimated emissions reductions.  Types of projects might include (but are not limited to) installation of horizontal wells in working areas; installation of vertical wells in closed area; and other practices such as wellfield optimization, biocovers, and etc.</t>
  </si>
  <si>
    <t>Existing regulations and incentives have largely "run their course" and that future emissions will grow in proportion to generation; generation will continue to increase at rates consistent with those modeled 2010-2020; estimates of methane reduction potential are drawn from EPA literature, and estimates/consultation with landfill gas engineers.</t>
  </si>
  <si>
    <t>Methane emissions from MSW and industrial landfills.</t>
  </si>
  <si>
    <t>Installation of a variety of technologies (e.g., horizontal collectors, vertical collectors, flares) at Oregon landfills. DEQ inventoried Oregon landfills and grouped them into several groups based on potential.</t>
  </si>
  <si>
    <t>NA</t>
  </si>
  <si>
    <t>Total benefit (MTCO2E)</t>
  </si>
  <si>
    <t>Benefit not in BAU (energy recovery) (MTCO2e)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</si>
</sst>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6" formatCode="&quot;$&quot;#,##0_);[Red]\(&quot;$&quot;#,##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_(* #,##0.000_);_(* \(#,##0.000\);_(* &quot;-&quot;??_);_(@_)"/>
    <numFmt numFmtId="167" formatCode="_(* #,##0.0000_);_(* \(#,##0.0000\);_(* &quot;-&quot;??_);_(@_)"/>
    <numFmt numFmtId="168" formatCode="_(* #,##0.00000_);_(* \(#,##0.00000\);_(* &quot;-&quot;??_);_(@_)"/>
    <numFmt numFmtId="169" formatCode="#,##0.0"/>
    <numFmt numFmtId="170" formatCode="0.0%"/>
    <numFmt numFmtId="171" formatCode="0.000"/>
    <numFmt numFmtId="172" formatCode="&quot;$&quot;#,##0"/>
    <numFmt numFmtId="173" formatCode="#,##0.00000_);[Red]\(#,##0.00000\)"/>
    <numFmt numFmtId="174" formatCode="#,##0.0000_);[Red]\(#,##0.0000\)"/>
    <numFmt numFmtId="175" formatCode="_-&quot;$&quot;* #,##0.00_-;\-&quot;$&quot;* #,##0.00_-;_-&quot;$&quot;* &quot;-&quot;??_-;_-@_-"/>
    <numFmt numFmtId="176" formatCode="#,##0.0_);[Red]\(#,##0.0\)"/>
    <numFmt numFmtId="177" formatCode="#,##0.000_);[Red]\(#,##0.000\)"/>
    <numFmt numFmtId="178" formatCode="&quot;$&quot;#,##0.00"/>
    <numFmt numFmtId="179" formatCode="_-&quot;$&quot;* #,##0_-;\-&quot;$&quot;* #,##0_-;_-&quot;$&quot;* &quot;-&quot;??_-;_-@_-"/>
    <numFmt numFmtId="180" formatCode="_(* #,##0.00000000_);_(* \(#,##0.00000000\);_(* &quot;-&quot;??_);_(@_)"/>
    <numFmt numFmtId="181" formatCode="_(* #,##0.000000000_);_(* \(#,##0.000000000\);_(* &quot;-&quot;??_);_(@_)"/>
    <numFmt numFmtId="182" formatCode="0.00000"/>
    <numFmt numFmtId="183" formatCode="0.000000"/>
    <numFmt numFmtId="184" formatCode="&quot;$&quot;#,##0.0"/>
    <numFmt numFmtId="185" formatCode="_(* #,##0.000000_);_(* \(#,##0.000000\);_(* &quot;-&quot;??_);_(@_)"/>
    <numFmt numFmtId="186" formatCode="_(* #,##0.000000_);_(* \(#,##0.000000\);_(* &quot;-&quot;??????_);_(@_)"/>
    <numFmt numFmtId="187" formatCode="_([$$-409]* #,##0.00_);_([$$-409]* \(#,##0.00\);_([$$-409]* &quot;-&quot;??_);_(@_)"/>
  </numFmts>
  <fonts count="42">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scheme val="minor"/>
    </font>
    <font>
      <b/>
      <sz val="11"/>
      <color rgb="FF000000"/>
      <name val="Calibri"/>
      <family val="2"/>
    </font>
    <font>
      <sz val="11"/>
      <color theme="1"/>
      <name val="Calibri"/>
      <family val="2"/>
    </font>
    <font>
      <sz val="11"/>
      <color rgb="FF242424"/>
      <name val="Courier New"/>
      <family val="3"/>
    </font>
    <font>
      <b/>
      <i/>
      <sz val="11"/>
      <color theme="0" tint="-0.34998626667073579"/>
      <name val="Calibri"/>
      <family val="2"/>
      <scheme val="minor"/>
    </font>
    <font>
      <sz val="11"/>
      <color rgb="FFFF0000"/>
      <name val="Calibri"/>
      <family val="2"/>
      <scheme val="minor"/>
    </font>
    <font>
      <sz val="11"/>
      <color theme="0"/>
      <name val="Calibri"/>
      <family val="2"/>
      <scheme val="minor"/>
    </font>
    <font>
      <sz val="10"/>
      <color theme="1"/>
      <name val="Calibri"/>
      <family val="2"/>
      <scheme val="minor"/>
    </font>
    <font>
      <b/>
      <sz val="14"/>
      <color theme="1"/>
      <name val="Calibri"/>
      <family val="2"/>
      <scheme val="minor"/>
    </font>
    <font>
      <b/>
      <i/>
      <sz val="14"/>
      <color theme="1"/>
      <name val="Calibri"/>
      <family val="2"/>
      <scheme val="minor"/>
    </font>
    <font>
      <sz val="11"/>
      <name val="Calibri"/>
      <family val="2"/>
      <scheme val="minor"/>
    </font>
    <font>
      <u/>
      <sz val="11"/>
      <color theme="10"/>
      <name val="Calibri"/>
      <family val="2"/>
      <scheme val="minor"/>
    </font>
    <font>
      <u/>
      <sz val="10"/>
      <color theme="10"/>
      <name val="Calibri"/>
      <family val="2"/>
      <scheme val="minor"/>
    </font>
    <font>
      <sz val="10"/>
      <name val="Calibri"/>
      <family val="2"/>
      <scheme val="minor"/>
    </font>
    <font>
      <i/>
      <sz val="11"/>
      <name val="Calibri"/>
      <family val="2"/>
      <scheme val="minor"/>
    </font>
    <font>
      <b/>
      <sz val="11"/>
      <name val="Calibri"/>
      <family val="2"/>
      <scheme val="minor"/>
    </font>
    <font>
      <i/>
      <sz val="11"/>
      <color theme="1"/>
      <name val="Calibri"/>
      <family val="2"/>
      <scheme val="minor"/>
    </font>
    <font>
      <b/>
      <sz val="16"/>
      <color theme="1"/>
      <name val="Calibri"/>
      <family val="2"/>
      <scheme val="minor"/>
    </font>
    <font>
      <b/>
      <sz val="18"/>
      <color theme="1"/>
      <name val="Calibri"/>
      <family val="2"/>
      <scheme val="minor"/>
    </font>
    <font>
      <b/>
      <vertAlign val="subscript"/>
      <sz val="11"/>
      <color theme="1"/>
      <name val="Calibri"/>
      <family val="2"/>
      <scheme val="minor"/>
    </font>
    <font>
      <b/>
      <sz val="11"/>
      <color rgb="FFFF0000"/>
      <name val="Calibri"/>
      <family val="2"/>
      <scheme val="minor"/>
    </font>
    <font>
      <b/>
      <i/>
      <sz val="11"/>
      <color theme="1"/>
      <name val="Calibri"/>
      <family val="2"/>
      <scheme val="minor"/>
    </font>
    <font>
      <b/>
      <sz val="12"/>
      <color theme="1"/>
      <name val="Calibri"/>
      <family val="2"/>
      <scheme val="minor"/>
    </font>
    <font>
      <sz val="11"/>
      <color theme="0" tint="-0.34998626667073579"/>
      <name val="Calibri"/>
      <family val="2"/>
      <scheme val="minor"/>
    </font>
    <font>
      <b/>
      <u/>
      <sz val="14"/>
      <color theme="1"/>
      <name val="Calibri"/>
      <family val="2"/>
      <scheme val="minor"/>
    </font>
    <font>
      <b/>
      <sz val="16"/>
      <name val="Calibri"/>
      <family val="2"/>
      <scheme val="minor"/>
    </font>
    <font>
      <sz val="11"/>
      <color rgb="FF000000"/>
      <name val="Calibri"/>
      <family val="2"/>
      <scheme val="minor"/>
    </font>
    <font>
      <sz val="11"/>
      <color rgb="FF000000"/>
      <name val="Calibri"/>
      <family val="2"/>
      <charset val="1"/>
      <scheme val="minor"/>
    </font>
    <font>
      <b/>
      <sz val="11"/>
      <color indexed="8"/>
      <name val="Calibri"/>
      <family val="2"/>
      <scheme val="minor"/>
    </font>
    <font>
      <sz val="11"/>
      <color indexed="8"/>
      <name val="Calibri"/>
      <family val="2"/>
      <scheme val="minor"/>
    </font>
    <font>
      <b/>
      <sz val="11"/>
      <color theme="4" tint="-0.249977111117893"/>
      <name val="Calibri"/>
      <family val="2"/>
      <scheme val="minor"/>
    </font>
    <font>
      <sz val="11"/>
      <color theme="4" tint="-0.249977111117893"/>
      <name val="Calibri"/>
      <family val="2"/>
      <scheme val="minor"/>
    </font>
    <font>
      <b/>
      <sz val="11"/>
      <name val="Calibri"/>
      <family val="2"/>
    </font>
    <font>
      <b/>
      <sz val="11"/>
      <name val="Calibri"/>
    </font>
    <font>
      <b/>
      <vertAlign val="subscript"/>
      <sz val="18"/>
      <color theme="1"/>
      <name val="Calibri"/>
      <family val="2"/>
      <scheme val="minor"/>
    </font>
    <font>
      <sz val="11"/>
      <color rgb="FF000000"/>
      <name val="Calibri"/>
      <family val="2"/>
      <charset val="1"/>
    </font>
    <font>
      <sz val="11"/>
      <color rgb="FF000000"/>
      <name val="Calibri"/>
    </font>
    <font>
      <b/>
      <sz val="11"/>
      <color rgb="FF000000"/>
      <name val="Calibri"/>
    </font>
  </fonts>
  <fills count="51">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indexed="9"/>
        <bgColor indexed="64"/>
      </patternFill>
    </fill>
    <fill>
      <patternFill patternType="solid">
        <fgColor rgb="FFFFC000"/>
        <bgColor indexed="64"/>
      </patternFill>
    </fill>
    <fill>
      <patternFill patternType="solid">
        <fgColor rgb="FF99CCFF"/>
        <bgColor indexed="64"/>
      </patternFill>
    </fill>
    <fill>
      <patternFill patternType="solid">
        <fgColor theme="0" tint="-0.249977111117893"/>
        <bgColor indexed="64"/>
      </patternFill>
    </fill>
    <fill>
      <patternFill patternType="solid">
        <fgColor rgb="FFFFFFCC"/>
        <bgColor indexed="64"/>
      </patternFill>
    </fill>
    <fill>
      <patternFill patternType="solid">
        <fgColor rgb="FFCCFFCC"/>
        <bgColor indexed="64"/>
      </patternFill>
    </fill>
    <fill>
      <patternFill patternType="solid">
        <fgColor rgb="FF66FF33"/>
        <bgColor indexed="64"/>
      </patternFill>
    </fill>
    <fill>
      <patternFill patternType="solid">
        <fgColor rgb="FF66FFFF"/>
        <bgColor indexed="64"/>
      </patternFill>
    </fill>
    <fill>
      <patternFill patternType="solid">
        <fgColor rgb="FFFCE4D6"/>
        <bgColor rgb="FF000000"/>
      </patternFill>
    </fill>
    <fill>
      <patternFill patternType="solid">
        <fgColor theme="8" tint="0.59999389629810485"/>
        <bgColor rgb="FF000000"/>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9" tint="0.59999389629810485"/>
        <bgColor rgb="FF000000"/>
      </patternFill>
    </fill>
    <fill>
      <patternFill patternType="solid">
        <fgColor theme="9" tint="0.79998168889431442"/>
        <bgColor rgb="FF000000"/>
      </patternFill>
    </fill>
    <fill>
      <patternFill patternType="solid">
        <fgColor theme="9" tint="0.79998168889431442"/>
        <bgColor indexed="64"/>
      </patternFill>
    </fill>
    <fill>
      <patternFill patternType="solid">
        <fgColor theme="7" tint="0.39997558519241921"/>
        <bgColor rgb="FF000000"/>
      </patternFill>
    </fill>
    <fill>
      <patternFill patternType="solid">
        <fgColor theme="7" tint="0.79998168889431442"/>
        <bgColor rgb="FF000000"/>
      </patternFill>
    </fill>
    <fill>
      <patternFill patternType="solid">
        <fgColor theme="7"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rgb="FFC6E0B4"/>
        <bgColor rgb="FF000000"/>
      </patternFill>
    </fill>
    <fill>
      <patternFill patternType="solid">
        <fgColor rgb="FFF8CBAD"/>
        <bgColor rgb="FF000000"/>
      </patternFill>
    </fill>
    <fill>
      <patternFill patternType="solid">
        <fgColor theme="0" tint="-0.34998626667073579"/>
        <bgColor indexed="64"/>
      </patternFill>
    </fill>
    <fill>
      <patternFill patternType="solid">
        <fgColor theme="4" tint="0.39997558519241921"/>
        <bgColor indexed="64"/>
      </patternFill>
    </fill>
    <fill>
      <patternFill patternType="solid">
        <fgColor theme="8" tint="0.39997558519241921"/>
        <bgColor indexed="64"/>
      </patternFill>
    </fill>
    <fill>
      <patternFill patternType="solid">
        <fgColor theme="8" tint="0.39997558519241921"/>
        <bgColor rgb="FF000000"/>
      </patternFill>
    </fill>
    <fill>
      <patternFill patternType="solid">
        <fgColor theme="9" tint="0.39997558519241921"/>
        <bgColor rgb="FF000000"/>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79998168889431442"/>
        <bgColor rgb="FF000000"/>
      </patternFill>
    </fill>
    <fill>
      <patternFill patternType="solid">
        <fgColor theme="5" tint="0.59999389629810485"/>
        <bgColor rgb="FF000000"/>
      </patternFill>
    </fill>
    <fill>
      <patternFill patternType="solid">
        <fgColor theme="0" tint="-4.9989318521683403E-2"/>
        <bgColor indexed="64"/>
      </patternFill>
    </fill>
    <fill>
      <patternFill patternType="solid">
        <fgColor rgb="FF00B0F0"/>
        <bgColor indexed="64"/>
      </patternFill>
    </fill>
    <fill>
      <patternFill patternType="solid">
        <fgColor theme="4" tint="0.59999389629810485"/>
        <bgColor rgb="FF000000"/>
      </patternFill>
    </fill>
    <fill>
      <patternFill patternType="solid">
        <fgColor rgb="FFFFF2CC"/>
        <bgColor rgb="FF000000"/>
      </patternFill>
    </fill>
    <fill>
      <patternFill patternType="solid">
        <fgColor rgb="FFFFE699"/>
        <bgColor rgb="FF000000"/>
      </patternFill>
    </fill>
    <fill>
      <patternFill patternType="solid">
        <fgColor rgb="FFFFFFFF"/>
        <bgColor rgb="FF000000"/>
      </patternFill>
    </fill>
    <fill>
      <patternFill patternType="solid">
        <fgColor rgb="FFDBDBDB"/>
        <bgColor rgb="FF000000"/>
      </patternFill>
    </fill>
    <fill>
      <patternFill patternType="solid">
        <fgColor rgb="FFD9D9D9"/>
        <bgColor rgb="FF000000"/>
      </patternFill>
    </fill>
    <fill>
      <patternFill patternType="solid">
        <fgColor rgb="FFEDEDED"/>
        <bgColor rgb="FF000000"/>
      </patternFill>
    </fill>
  </fills>
  <borders count="85">
    <border>
      <left/>
      <right/>
      <top/>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hair">
        <color auto="1"/>
      </top>
      <bottom style="medium">
        <color indexed="64"/>
      </bottom>
      <diagonal/>
    </border>
    <border>
      <left/>
      <right/>
      <top style="hair">
        <color auto="1"/>
      </top>
      <bottom style="medium">
        <color auto="1"/>
      </bottom>
      <diagonal/>
    </border>
    <border>
      <left style="medium">
        <color auto="1"/>
      </left>
      <right/>
      <top style="hair">
        <color auto="1"/>
      </top>
      <bottom style="medium">
        <color auto="1"/>
      </bottom>
      <diagonal/>
    </border>
    <border>
      <left style="medium">
        <color auto="1"/>
      </left>
      <right/>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64"/>
      </left>
      <right/>
      <top style="thin">
        <color indexed="64"/>
      </top>
      <bottom style="thin">
        <color indexed="64"/>
      </bottom>
      <diagonal/>
    </border>
    <border>
      <left style="thick">
        <color rgb="FFFF0000"/>
      </left>
      <right style="thick">
        <color rgb="FFFF0000"/>
      </right>
      <top style="thick">
        <color rgb="FFFF0000"/>
      </top>
      <bottom style="thick">
        <color rgb="FFFF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theme="1"/>
      </left>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style="thin">
        <color indexed="64"/>
      </top>
      <bottom style="thin">
        <color indexed="64"/>
      </bottom>
      <diagonal/>
    </border>
    <border>
      <left style="thin">
        <color indexed="64"/>
      </left>
      <right style="thin">
        <color indexed="64"/>
      </right>
      <top/>
      <bottom/>
      <diagonal/>
    </border>
    <border>
      <left/>
      <right style="thin">
        <color theme="1"/>
      </right>
      <top style="thin">
        <color theme="1"/>
      </top>
      <bottom/>
      <diagonal/>
    </border>
    <border>
      <left/>
      <right style="thin">
        <color theme="1"/>
      </right>
      <top style="thin">
        <color theme="1"/>
      </top>
      <bottom style="thin">
        <color theme="1"/>
      </bottom>
      <diagonal/>
    </border>
    <border>
      <left/>
      <right style="thick">
        <color rgb="FFFF0000"/>
      </right>
      <top style="thick">
        <color rgb="FFFF0000"/>
      </top>
      <bottom style="thick">
        <color rgb="FFFF0000"/>
      </bottom>
      <diagonal/>
    </border>
    <border>
      <left style="thin">
        <color theme="1"/>
      </left>
      <right style="thin">
        <color theme="1"/>
      </right>
      <top/>
      <bottom style="thin">
        <color theme="1"/>
      </bottom>
      <diagonal/>
    </border>
    <border>
      <left style="thin">
        <color theme="1"/>
      </left>
      <right/>
      <top/>
      <bottom/>
      <diagonal/>
    </border>
    <border>
      <left/>
      <right/>
      <top style="thin">
        <color theme="1"/>
      </top>
      <bottom style="thin">
        <color theme="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auto="1"/>
      </right>
      <top style="thin">
        <color auto="1"/>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ck">
        <color rgb="FF000000"/>
      </left>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right style="medium">
        <color rgb="FF000000"/>
      </right>
      <top style="medium">
        <color indexed="64"/>
      </top>
      <bottom style="thin">
        <color indexed="64"/>
      </bottom>
      <diagonal/>
    </border>
    <border>
      <left/>
      <right style="thin">
        <color rgb="FF000000"/>
      </right>
      <top style="thin">
        <color indexed="64"/>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9" fontId="1" fillId="0" borderId="0" applyFont="0" applyFill="0" applyBorder="0" applyAlignment="0" applyProtection="0"/>
    <xf numFmtId="175" fontId="1" fillId="0" borderId="0" applyFont="0" applyFill="0" applyBorder="0" applyAlignment="0" applyProtection="0"/>
  </cellStyleXfs>
  <cellXfs count="747">
    <xf numFmtId="0" fontId="0" fillId="0" borderId="0" xfId="0"/>
    <xf numFmtId="0" fontId="0" fillId="0" borderId="0" xfId="0" applyAlignment="1">
      <alignment wrapText="1"/>
    </xf>
    <xf numFmtId="164" fontId="0" fillId="0" borderId="0" xfId="2" applyNumberFormat="1" applyFont="1"/>
    <xf numFmtId="165" fontId="0" fillId="0" borderId="0" xfId="1" applyNumberFormat="1" applyFont="1"/>
    <xf numFmtId="0" fontId="2" fillId="0" borderId="0" xfId="0" applyFont="1" applyAlignment="1">
      <alignment wrapText="1"/>
    </xf>
    <xf numFmtId="43" fontId="0" fillId="0" borderId="0" xfId="0" applyNumberFormat="1"/>
    <xf numFmtId="0" fontId="2" fillId="0" borderId="0" xfId="0" applyFont="1"/>
    <xf numFmtId="167" fontId="0" fillId="0" borderId="0" xfId="0" applyNumberFormat="1"/>
    <xf numFmtId="166" fontId="0" fillId="0" borderId="0" xfId="0" applyNumberFormat="1"/>
    <xf numFmtId="164" fontId="0" fillId="0" borderId="0" xfId="0" applyNumberFormat="1" applyAlignment="1">
      <alignment wrapText="1"/>
    </xf>
    <xf numFmtId="43" fontId="0" fillId="0" borderId="0" xfId="1" applyFont="1" applyAlignment="1">
      <alignment wrapText="1"/>
    </xf>
    <xf numFmtId="165" fontId="0" fillId="0" borderId="0" xfId="1" applyNumberFormat="1" applyFont="1" applyAlignment="1">
      <alignment wrapText="1"/>
    </xf>
    <xf numFmtId="43" fontId="0" fillId="0" borderId="0" xfId="1" applyFont="1"/>
    <xf numFmtId="165" fontId="0" fillId="0" borderId="0" xfId="0" applyNumberFormat="1"/>
    <xf numFmtId="165" fontId="3" fillId="0" borderId="0" xfId="0" applyNumberFormat="1" applyFont="1"/>
    <xf numFmtId="43" fontId="0" fillId="0" borderId="0" xfId="1" applyFont="1" applyAlignment="1"/>
    <xf numFmtId="165" fontId="0" fillId="0" borderId="0" xfId="1" applyNumberFormat="1" applyFont="1" applyAlignment="1"/>
    <xf numFmtId="0" fontId="4" fillId="0" borderId="0" xfId="0" applyFont="1"/>
    <xf numFmtId="164" fontId="0" fillId="0" borderId="0" xfId="2" applyNumberFormat="1" applyFont="1" applyAlignment="1">
      <alignment wrapText="1"/>
    </xf>
    <xf numFmtId="168" fontId="0" fillId="0" borderId="0" xfId="1" applyNumberFormat="1" applyFont="1"/>
    <xf numFmtId="0" fontId="5" fillId="0" borderId="0" xfId="0" applyFont="1"/>
    <xf numFmtId="0" fontId="6" fillId="0" borderId="0" xfId="0" applyFont="1"/>
    <xf numFmtId="43" fontId="6" fillId="0" borderId="0" xfId="1" applyFont="1" applyFill="1" applyBorder="1" applyAlignment="1"/>
    <xf numFmtId="43" fontId="6" fillId="0" borderId="0" xfId="1" applyFont="1" applyFill="1" applyBorder="1"/>
    <xf numFmtId="165" fontId="6" fillId="0" borderId="0" xfId="1" applyNumberFormat="1" applyFont="1" applyFill="1" applyBorder="1"/>
    <xf numFmtId="167" fontId="6" fillId="0" borderId="0" xfId="0" applyNumberFormat="1" applyFont="1"/>
    <xf numFmtId="166" fontId="6" fillId="0" borderId="0" xfId="0" applyNumberFormat="1" applyFont="1"/>
    <xf numFmtId="0" fontId="6" fillId="0" borderId="0" xfId="0" applyFont="1" applyAlignment="1">
      <alignment wrapText="1"/>
    </xf>
    <xf numFmtId="165" fontId="6" fillId="0" borderId="0" xfId="1" applyNumberFormat="1" applyFont="1" applyFill="1" applyBorder="1" applyAlignment="1">
      <alignment wrapText="1"/>
    </xf>
    <xf numFmtId="44" fontId="6" fillId="0" borderId="0" xfId="0" applyNumberFormat="1" applyFont="1" applyAlignment="1">
      <alignment wrapText="1"/>
    </xf>
    <xf numFmtId="43" fontId="6" fillId="0" borderId="0" xfId="1" applyFont="1" applyFill="1" applyBorder="1" applyAlignment="1">
      <alignment wrapText="1"/>
    </xf>
    <xf numFmtId="165" fontId="6" fillId="0" borderId="0" xfId="1" applyNumberFormat="1" applyFont="1" applyFill="1" applyBorder="1" applyAlignment="1"/>
    <xf numFmtId="165" fontId="6" fillId="0" borderId="0" xfId="0" applyNumberFormat="1" applyFont="1"/>
    <xf numFmtId="43" fontId="6" fillId="0" borderId="0" xfId="0" applyNumberFormat="1" applyFont="1"/>
    <xf numFmtId="0" fontId="7" fillId="0" borderId="0" xfId="0" applyFont="1" applyAlignment="1">
      <alignment vertical="center"/>
    </xf>
    <xf numFmtId="2" fontId="0" fillId="0" borderId="0" xfId="0" applyNumberFormat="1"/>
    <xf numFmtId="2" fontId="0" fillId="0" borderId="0" xfId="0" applyNumberFormat="1" applyAlignment="1">
      <alignment wrapText="1"/>
    </xf>
    <xf numFmtId="43" fontId="0" fillId="0" borderId="0" xfId="1" applyFont="1" applyFill="1"/>
    <xf numFmtId="0" fontId="0" fillId="0" borderId="0" xfId="0" applyAlignment="1">
      <alignment horizontal="center"/>
    </xf>
    <xf numFmtId="0" fontId="4" fillId="0" borderId="0" xfId="0" applyFont="1" applyAlignment="1">
      <alignment wrapText="1"/>
    </xf>
    <xf numFmtId="0" fontId="3" fillId="0" borderId="0" xfId="0" applyFont="1"/>
    <xf numFmtId="6" fontId="8" fillId="0" borderId="1" xfId="0" applyNumberFormat="1" applyFont="1" applyBorder="1" applyAlignment="1">
      <alignment wrapText="1"/>
    </xf>
    <xf numFmtId="164" fontId="0" fillId="0" borderId="0" xfId="0" applyNumberFormat="1"/>
    <xf numFmtId="0" fontId="0" fillId="7" borderId="5" xfId="0" applyFill="1" applyBorder="1"/>
    <xf numFmtId="0" fontId="0" fillId="7" borderId="0" xfId="0" applyFill="1"/>
    <xf numFmtId="0" fontId="0" fillId="7" borderId="7" xfId="0" applyFill="1" applyBorder="1"/>
    <xf numFmtId="0" fontId="0" fillId="7" borderId="8" xfId="0" applyFill="1" applyBorder="1"/>
    <xf numFmtId="0" fontId="0" fillId="0" borderId="0" xfId="0" applyAlignment="1">
      <alignment horizontal="right"/>
    </xf>
    <xf numFmtId="9" fontId="0" fillId="0" borderId="0" xfId="0" applyNumberFormat="1"/>
    <xf numFmtId="1" fontId="0" fillId="0" borderId="0" xfId="0" applyNumberFormat="1"/>
    <xf numFmtId="165" fontId="0" fillId="0" borderId="11" xfId="1" applyNumberFormat="1" applyFont="1" applyBorder="1"/>
    <xf numFmtId="0" fontId="2" fillId="0" borderId="11" xfId="0" applyFont="1" applyBorder="1" applyAlignment="1">
      <alignment horizontal="right"/>
    </xf>
    <xf numFmtId="0" fontId="0" fillId="0" borderId="11" xfId="0" applyBorder="1"/>
    <xf numFmtId="0" fontId="0" fillId="0" borderId="16" xfId="0" applyBorder="1"/>
    <xf numFmtId="165" fontId="0" fillId="6" borderId="17" xfId="1" applyNumberFormat="1" applyFont="1" applyFill="1" applyBorder="1"/>
    <xf numFmtId="165" fontId="0" fillId="6" borderId="16" xfId="1" applyNumberFormat="1" applyFont="1" applyFill="1" applyBorder="1"/>
    <xf numFmtId="165" fontId="0" fillId="0" borderId="19" xfId="1" applyNumberFormat="1" applyFont="1" applyBorder="1"/>
    <xf numFmtId="165" fontId="0" fillId="9" borderId="11" xfId="1" applyNumberFormat="1" applyFont="1" applyFill="1" applyBorder="1"/>
    <xf numFmtId="165" fontId="0" fillId="0" borderId="11" xfId="0" applyNumberFormat="1" applyBorder="1"/>
    <xf numFmtId="1" fontId="0" fillId="0" borderId="11" xfId="0" applyNumberFormat="1" applyBorder="1"/>
    <xf numFmtId="0" fontId="0" fillId="0" borderId="20" xfId="0" applyBorder="1"/>
    <xf numFmtId="165" fontId="0" fillId="7" borderId="11" xfId="0" applyNumberFormat="1" applyFill="1" applyBorder="1"/>
    <xf numFmtId="165" fontId="0" fillId="7" borderId="11" xfId="1" applyNumberFormat="1" applyFont="1" applyFill="1" applyBorder="1"/>
    <xf numFmtId="1" fontId="0" fillId="7" borderId="11" xfId="0" applyNumberFormat="1" applyFill="1" applyBorder="1"/>
    <xf numFmtId="0" fontId="0" fillId="7" borderId="20" xfId="0" applyFill="1" applyBorder="1"/>
    <xf numFmtId="0" fontId="0" fillId="0" borderId="19" xfId="0" applyBorder="1" applyAlignment="1">
      <alignment wrapText="1"/>
    </xf>
    <xf numFmtId="0" fontId="0" fillId="0" borderId="11" xfId="0" applyBorder="1" applyAlignment="1">
      <alignment wrapText="1"/>
    </xf>
    <xf numFmtId="0" fontId="0" fillId="7" borderId="11" xfId="0" applyFill="1" applyBorder="1" applyAlignment="1">
      <alignment wrapText="1"/>
    </xf>
    <xf numFmtId="0" fontId="0" fillId="0" borderId="19" xfId="0" applyBorder="1"/>
    <xf numFmtId="0" fontId="10" fillId="7" borderId="0" xfId="0" applyFont="1" applyFill="1"/>
    <xf numFmtId="0" fontId="11" fillId="7" borderId="0" xfId="0" applyFont="1" applyFill="1"/>
    <xf numFmtId="169" fontId="11" fillId="7" borderId="0" xfId="0" applyNumberFormat="1" applyFont="1" applyFill="1"/>
    <xf numFmtId="3" fontId="0" fillId="7" borderId="27" xfId="0" applyNumberFormat="1" applyFill="1" applyBorder="1" applyAlignment="1">
      <alignment horizontal="right"/>
    </xf>
    <xf numFmtId="3" fontId="0" fillId="7" borderId="28" xfId="0" applyNumberFormat="1" applyFill="1" applyBorder="1" applyAlignment="1">
      <alignment horizontal="right"/>
    </xf>
    <xf numFmtId="169" fontId="0" fillId="7" borderId="28" xfId="0" applyNumberFormat="1" applyFill="1" applyBorder="1" applyAlignment="1">
      <alignment horizontal="right"/>
    </xf>
    <xf numFmtId="0" fontId="0" fillId="7" borderId="29" xfId="0" applyFill="1" applyBorder="1" applyAlignment="1">
      <alignment horizontal="left"/>
    </xf>
    <xf numFmtId="169" fontId="0" fillId="7" borderId="5" xfId="0" applyNumberFormat="1" applyFill="1" applyBorder="1" applyAlignment="1">
      <alignment horizontal="right"/>
    </xf>
    <xf numFmtId="3" fontId="0" fillId="7" borderId="0" xfId="0" applyNumberFormat="1" applyFill="1" applyAlignment="1">
      <alignment horizontal="right"/>
    </xf>
    <xf numFmtId="169" fontId="0" fillId="7" borderId="0" xfId="0" applyNumberFormat="1" applyFill="1" applyAlignment="1">
      <alignment horizontal="right"/>
    </xf>
    <xf numFmtId="0" fontId="0" fillId="7" borderId="30" xfId="0" applyFill="1" applyBorder="1" applyAlignment="1">
      <alignment horizontal="left" indent="1"/>
    </xf>
    <xf numFmtId="0" fontId="0" fillId="7" borderId="30" xfId="0" applyFill="1" applyBorder="1" applyAlignment="1">
      <alignment horizontal="left" wrapText="1" indent="1"/>
    </xf>
    <xf numFmtId="0" fontId="2" fillId="10" borderId="5" xfId="0" applyFont="1" applyFill="1" applyBorder="1" applyAlignment="1">
      <alignment horizontal="right"/>
    </xf>
    <xf numFmtId="0" fontId="2" fillId="10" borderId="0" xfId="0" applyFont="1" applyFill="1" applyAlignment="1">
      <alignment horizontal="right"/>
    </xf>
    <xf numFmtId="0" fontId="2" fillId="10" borderId="30" xfId="0" applyFont="1" applyFill="1" applyBorder="1"/>
    <xf numFmtId="0" fontId="12" fillId="7" borderId="0" xfId="0" applyFont="1" applyFill="1"/>
    <xf numFmtId="0" fontId="2" fillId="10" borderId="7" xfId="0" applyFont="1" applyFill="1" applyBorder="1" applyAlignment="1">
      <alignment horizontal="right"/>
    </xf>
    <xf numFmtId="0" fontId="2" fillId="10" borderId="8" xfId="0" applyFont="1" applyFill="1" applyBorder="1" applyAlignment="1">
      <alignment horizontal="right"/>
    </xf>
    <xf numFmtId="0" fontId="2" fillId="10" borderId="10" xfId="0" applyFont="1" applyFill="1" applyBorder="1" applyAlignment="1">
      <alignment horizontal="left" wrapText="1"/>
    </xf>
    <xf numFmtId="0" fontId="14" fillId="7" borderId="0" xfId="0" applyFont="1" applyFill="1"/>
    <xf numFmtId="0" fontId="14" fillId="7" borderId="0" xfId="0" applyFont="1" applyFill="1" applyAlignment="1">
      <alignment horizontal="center"/>
    </xf>
    <xf numFmtId="0" fontId="2" fillId="7" borderId="31" xfId="0" applyFont="1" applyFill="1" applyBorder="1"/>
    <xf numFmtId="0" fontId="2" fillId="7" borderId="32" xfId="0" applyFont="1" applyFill="1" applyBorder="1" applyAlignment="1">
      <alignment horizontal="center"/>
    </xf>
    <xf numFmtId="0" fontId="14" fillId="7" borderId="33" xfId="0" applyFont="1" applyFill="1" applyBorder="1"/>
    <xf numFmtId="0" fontId="14" fillId="7" borderId="34" xfId="0" applyFont="1" applyFill="1" applyBorder="1" applyAlignment="1">
      <alignment horizontal="center"/>
    </xf>
    <xf numFmtId="0" fontId="0" fillId="7" borderId="2" xfId="0" applyFill="1" applyBorder="1"/>
    <xf numFmtId="2" fontId="14" fillId="11" borderId="3" xfId="0" applyNumberFormat="1" applyFont="1" applyFill="1" applyBorder="1"/>
    <xf numFmtId="0" fontId="11" fillId="7" borderId="3" xfId="0" applyFont="1" applyFill="1" applyBorder="1"/>
    <xf numFmtId="0" fontId="0" fillId="7" borderId="35" xfId="0" applyFill="1" applyBorder="1"/>
    <xf numFmtId="0" fontId="0" fillId="12" borderId="8" xfId="0" applyFill="1" applyBorder="1" applyAlignment="1">
      <alignment horizontal="center"/>
    </xf>
    <xf numFmtId="0" fontId="11" fillId="7" borderId="8" xfId="0" applyFont="1" applyFill="1" applyBorder="1"/>
    <xf numFmtId="0" fontId="0" fillId="7" borderId="10" xfId="0" applyFill="1" applyBorder="1"/>
    <xf numFmtId="0" fontId="0" fillId="11" borderId="0" xfId="0" applyFill="1"/>
    <xf numFmtId="0" fontId="0" fillId="11" borderId="5" xfId="0" applyFill="1" applyBorder="1"/>
    <xf numFmtId="2" fontId="14" fillId="11" borderId="0" xfId="0" applyNumberFormat="1" applyFont="1" applyFill="1"/>
    <xf numFmtId="0" fontId="16" fillId="0" borderId="0" xfId="4" applyFont="1" applyFill="1"/>
    <xf numFmtId="0" fontId="0" fillId="11" borderId="30" xfId="0" applyFill="1" applyBorder="1"/>
    <xf numFmtId="0" fontId="14" fillId="11" borderId="0" xfId="0" applyFont="1" applyFill="1"/>
    <xf numFmtId="170" fontId="17" fillId="11" borderId="0" xfId="3" applyNumberFormat="1" applyFont="1" applyFill="1" applyBorder="1" applyAlignment="1"/>
    <xf numFmtId="0" fontId="0" fillId="11" borderId="7" xfId="0" applyFill="1" applyBorder="1"/>
    <xf numFmtId="0" fontId="11" fillId="11" borderId="8" xfId="0" applyFont="1" applyFill="1" applyBorder="1"/>
    <xf numFmtId="2" fontId="14" fillId="0" borderId="10" xfId="0" applyNumberFormat="1" applyFont="1" applyBorder="1" applyAlignment="1">
      <alignment horizontal="left"/>
    </xf>
    <xf numFmtId="0" fontId="0" fillId="11" borderId="2" xfId="0" applyFill="1" applyBorder="1"/>
    <xf numFmtId="0" fontId="0" fillId="11" borderId="3" xfId="0" applyFill="1" applyBorder="1"/>
    <xf numFmtId="0" fontId="11" fillId="11" borderId="3" xfId="0" applyFont="1" applyFill="1" applyBorder="1"/>
    <xf numFmtId="0" fontId="0" fillId="11" borderId="35" xfId="0" applyFill="1" applyBorder="1"/>
    <xf numFmtId="0" fontId="0" fillId="11" borderId="10" xfId="0" applyFill="1" applyBorder="1"/>
    <xf numFmtId="0" fontId="0" fillId="7" borderId="30" xfId="0" applyFill="1" applyBorder="1"/>
    <xf numFmtId="0" fontId="0" fillId="7" borderId="34" xfId="0" applyFill="1" applyBorder="1" applyAlignment="1">
      <alignment horizontal="center"/>
    </xf>
    <xf numFmtId="0" fontId="12" fillId="11" borderId="0" xfId="0" applyFont="1" applyFill="1"/>
    <xf numFmtId="3" fontId="18" fillId="7" borderId="0" xfId="0" applyNumberFormat="1" applyFont="1" applyFill="1" applyAlignment="1">
      <alignment horizontal="center"/>
    </xf>
    <xf numFmtId="1" fontId="10" fillId="7" borderId="0" xfId="0" applyNumberFormat="1" applyFont="1" applyFill="1" applyAlignment="1">
      <alignment horizontal="left"/>
    </xf>
    <xf numFmtId="9" fontId="0" fillId="7" borderId="2" xfId="3" applyFont="1" applyFill="1" applyBorder="1" applyAlignment="1">
      <alignment horizontal="center"/>
    </xf>
    <xf numFmtId="9" fontId="0" fillId="12" borderId="35" xfId="3" applyFont="1" applyFill="1" applyBorder="1" applyAlignment="1">
      <alignment horizontal="center"/>
    </xf>
    <xf numFmtId="1" fontId="0" fillId="7" borderId="2" xfId="0" applyNumberFormat="1" applyFill="1" applyBorder="1" applyAlignment="1">
      <alignment horizontal="left"/>
    </xf>
    <xf numFmtId="3" fontId="0" fillId="12" borderId="3" xfId="0" applyNumberFormat="1" applyFill="1" applyBorder="1" applyAlignment="1">
      <alignment horizontal="center"/>
    </xf>
    <xf numFmtId="3" fontId="0" fillId="12" borderId="35" xfId="0" applyNumberFormat="1" applyFill="1" applyBorder="1" applyAlignment="1">
      <alignment horizontal="center"/>
    </xf>
    <xf numFmtId="0" fontId="0" fillId="5" borderId="0" xfId="0" applyFill="1" applyAlignment="1">
      <alignment horizontal="center"/>
    </xf>
    <xf numFmtId="0" fontId="0" fillId="7" borderId="36" xfId="0" applyFill="1" applyBorder="1" applyAlignment="1">
      <alignment horizontal="left"/>
    </xf>
    <xf numFmtId="9" fontId="0" fillId="7" borderId="5" xfId="3" applyFont="1" applyFill="1" applyBorder="1" applyAlignment="1">
      <alignment horizontal="center"/>
    </xf>
    <xf numFmtId="9" fontId="0" fillId="12" borderId="30" xfId="3" applyFont="1" applyFill="1" applyBorder="1" applyAlignment="1">
      <alignment horizontal="center"/>
    </xf>
    <xf numFmtId="1" fontId="0" fillId="7" borderId="5" xfId="0" applyNumberFormat="1" applyFill="1" applyBorder="1" applyAlignment="1">
      <alignment horizontal="left"/>
    </xf>
    <xf numFmtId="3" fontId="0" fillId="12" borderId="0" xfId="0" applyNumberFormat="1" applyFill="1" applyAlignment="1">
      <alignment horizontal="center"/>
    </xf>
    <xf numFmtId="3" fontId="0" fillId="12" borderId="30" xfId="0" applyNumberFormat="1" applyFill="1" applyBorder="1" applyAlignment="1">
      <alignment horizontal="center"/>
    </xf>
    <xf numFmtId="0" fontId="0" fillId="7" borderId="37" xfId="0" applyFill="1" applyBorder="1" applyAlignment="1">
      <alignment horizontal="left"/>
    </xf>
    <xf numFmtId="0" fontId="0" fillId="7" borderId="37" xfId="0" applyFill="1" applyBorder="1"/>
    <xf numFmtId="0" fontId="18" fillId="7" borderId="0" xfId="0" applyFont="1" applyFill="1"/>
    <xf numFmtId="0" fontId="2" fillId="7" borderId="5" xfId="0" applyFont="1" applyFill="1" applyBorder="1" applyAlignment="1">
      <alignment horizontal="center" wrapText="1"/>
    </xf>
    <xf numFmtId="0" fontId="2" fillId="7" borderId="30" xfId="0" applyFont="1" applyFill="1" applyBorder="1" applyAlignment="1">
      <alignment horizontal="center" wrapText="1"/>
    </xf>
    <xf numFmtId="0" fontId="2" fillId="7" borderId="5" xfId="0" applyFont="1" applyFill="1" applyBorder="1" applyAlignment="1">
      <alignment horizontal="left" wrapText="1"/>
    </xf>
    <xf numFmtId="0" fontId="2" fillId="7" borderId="0" xfId="0" applyFont="1" applyFill="1" applyAlignment="1">
      <alignment horizontal="center" wrapText="1"/>
    </xf>
    <xf numFmtId="0" fontId="2" fillId="7" borderId="30" xfId="0" applyFont="1" applyFill="1" applyBorder="1" applyAlignment="1">
      <alignment horizontal="left" wrapText="1"/>
    </xf>
    <xf numFmtId="0" fontId="18" fillId="7" borderId="0" xfId="0" applyFont="1" applyFill="1" applyAlignment="1">
      <alignment horizontal="center" wrapText="1"/>
    </xf>
    <xf numFmtId="0" fontId="10" fillId="7" borderId="0" xfId="0" applyFont="1" applyFill="1" applyAlignment="1">
      <alignment horizontal="left" wrapText="1"/>
    </xf>
    <xf numFmtId="0" fontId="12" fillId="7" borderId="10" xfId="0" applyFont="1" applyFill="1" applyBorder="1" applyAlignment="1">
      <alignment horizontal="left" wrapText="1"/>
    </xf>
    <xf numFmtId="0" fontId="19" fillId="11" borderId="0" xfId="0" applyFont="1" applyFill="1"/>
    <xf numFmtId="0" fontId="20" fillId="7" borderId="0" xfId="0" applyFont="1" applyFill="1"/>
    <xf numFmtId="0" fontId="0" fillId="5" borderId="38" xfId="0" applyFill="1" applyBorder="1" applyAlignment="1">
      <alignment horizontal="center"/>
    </xf>
    <xf numFmtId="0" fontId="0" fillId="7" borderId="39" xfId="0" applyFill="1" applyBorder="1" applyAlignment="1">
      <alignment wrapText="1"/>
    </xf>
    <xf numFmtId="0" fontId="15" fillId="7" borderId="0" xfId="4" applyFill="1"/>
    <xf numFmtId="0" fontId="21" fillId="7" borderId="0" xfId="0" applyFont="1" applyFill="1"/>
    <xf numFmtId="170" fontId="17" fillId="11" borderId="0" xfId="6" applyNumberFormat="1" applyFont="1" applyFill="1" applyBorder="1" applyAlignment="1"/>
    <xf numFmtId="9" fontId="0" fillId="7" borderId="2" xfId="6" applyFont="1" applyFill="1" applyBorder="1" applyAlignment="1">
      <alignment horizontal="center"/>
    </xf>
    <xf numFmtId="9" fontId="0" fillId="12" borderId="35" xfId="6" applyFont="1" applyFill="1" applyBorder="1" applyAlignment="1">
      <alignment horizontal="center"/>
    </xf>
    <xf numFmtId="9" fontId="0" fillId="7" borderId="5" xfId="6" applyFont="1" applyFill="1" applyBorder="1" applyAlignment="1">
      <alignment horizontal="center"/>
    </xf>
    <xf numFmtId="9" fontId="0" fillId="12" borderId="30" xfId="6" applyFont="1" applyFill="1" applyBorder="1" applyAlignment="1">
      <alignment horizontal="center"/>
    </xf>
    <xf numFmtId="170" fontId="14" fillId="0" borderId="0" xfId="0" applyNumberFormat="1" applyFont="1" applyAlignment="1">
      <alignment horizontal="center"/>
    </xf>
    <xf numFmtId="0" fontId="14" fillId="0" borderId="0" xfId="0" applyFont="1" applyAlignment="1">
      <alignment vertical="top" wrapText="1"/>
    </xf>
    <xf numFmtId="170" fontId="14" fillId="0" borderId="0" xfId="3" applyNumberFormat="1" applyFont="1" applyFill="1" applyBorder="1" applyAlignment="1">
      <alignment horizontal="center"/>
    </xf>
    <xf numFmtId="2" fontId="14" fillId="0" borderId="0" xfId="0" applyNumberFormat="1" applyFont="1" applyAlignment="1">
      <alignment horizontal="center" wrapText="1"/>
    </xf>
    <xf numFmtId="171" fontId="14" fillId="0" borderId="11" xfId="0" applyNumberFormat="1" applyFont="1" applyBorder="1"/>
    <xf numFmtId="0" fontId="19" fillId="0" borderId="11" xfId="0" applyFont="1" applyBorder="1"/>
    <xf numFmtId="6" fontId="0" fillId="0" borderId="0" xfId="0" applyNumberFormat="1"/>
    <xf numFmtId="170" fontId="0" fillId="0" borderId="0" xfId="3" applyNumberFormat="1" applyFont="1"/>
    <xf numFmtId="9" fontId="0" fillId="0" borderId="0" xfId="3" applyFont="1"/>
    <xf numFmtId="3" fontId="0" fillId="0" borderId="0" xfId="0" applyNumberFormat="1"/>
    <xf numFmtId="38" fontId="0" fillId="0" borderId="0" xfId="0" applyNumberFormat="1"/>
    <xf numFmtId="6" fontId="2" fillId="13" borderId="11" xfId="0" applyNumberFormat="1" applyFont="1" applyFill="1" applyBorder="1"/>
    <xf numFmtId="38" fontId="2" fillId="13" borderId="11" xfId="0" applyNumberFormat="1" applyFont="1" applyFill="1" applyBorder="1"/>
    <xf numFmtId="3" fontId="2" fillId="13" borderId="11" xfId="0" applyNumberFormat="1" applyFont="1" applyFill="1" applyBorder="1"/>
    <xf numFmtId="0" fontId="2" fillId="13" borderId="11" xfId="0" applyFont="1" applyFill="1" applyBorder="1"/>
    <xf numFmtId="6" fontId="0" fillId="0" borderId="11" xfId="0" applyNumberFormat="1" applyBorder="1"/>
    <xf numFmtId="38" fontId="0" fillId="0" borderId="11" xfId="0" applyNumberFormat="1" applyBorder="1"/>
    <xf numFmtId="6" fontId="0" fillId="0" borderId="42" xfId="0" applyNumberFormat="1" applyBorder="1"/>
    <xf numFmtId="3" fontId="0" fillId="0" borderId="42" xfId="0" applyNumberFormat="1" applyBorder="1"/>
    <xf numFmtId="6" fontId="0" fillId="14" borderId="11" xfId="0" applyNumberFormat="1" applyFill="1" applyBorder="1"/>
    <xf numFmtId="38" fontId="0" fillId="14" borderId="11" xfId="0" applyNumberFormat="1" applyFill="1" applyBorder="1"/>
    <xf numFmtId="6" fontId="0" fillId="14" borderId="42" xfId="0" applyNumberFormat="1" applyFill="1" applyBorder="1"/>
    <xf numFmtId="3" fontId="0" fillId="14" borderId="42" xfId="0" applyNumberFormat="1" applyFill="1" applyBorder="1"/>
    <xf numFmtId="6" fontId="0" fillId="0" borderId="41" xfId="0" applyNumberFormat="1" applyBorder="1"/>
    <xf numFmtId="6" fontId="0" fillId="15" borderId="11" xfId="0" applyNumberFormat="1" applyFill="1" applyBorder="1"/>
    <xf numFmtId="38" fontId="0" fillId="15" borderId="11" xfId="0" applyNumberFormat="1" applyFill="1" applyBorder="1"/>
    <xf numFmtId="38" fontId="0" fillId="14" borderId="23" xfId="0" applyNumberFormat="1" applyFill="1" applyBorder="1"/>
    <xf numFmtId="6" fontId="0" fillId="14" borderId="41" xfId="0" applyNumberFormat="1" applyFill="1" applyBorder="1"/>
    <xf numFmtId="3" fontId="0" fillId="0" borderId="11" xfId="0" applyNumberFormat="1" applyBorder="1"/>
    <xf numFmtId="38" fontId="0" fillId="0" borderId="12" xfId="0" applyNumberFormat="1" applyBorder="1"/>
    <xf numFmtId="0" fontId="2" fillId="13" borderId="44" xfId="0" applyFont="1" applyFill="1" applyBorder="1" applyAlignment="1">
      <alignment horizontal="center" wrapText="1"/>
    </xf>
    <xf numFmtId="0" fontId="2" fillId="13" borderId="45" xfId="0" applyFont="1" applyFill="1" applyBorder="1" applyAlignment="1">
      <alignment horizontal="center" wrapText="1"/>
    </xf>
    <xf numFmtId="0" fontId="2" fillId="13" borderId="46" xfId="0" applyFont="1" applyFill="1" applyBorder="1" applyAlignment="1">
      <alignment horizontal="center" wrapText="1"/>
    </xf>
    <xf numFmtId="0" fontId="2" fillId="13" borderId="11" xfId="0" applyFont="1" applyFill="1" applyBorder="1" applyAlignment="1">
      <alignment horizontal="left" wrapText="1"/>
    </xf>
    <xf numFmtId="0" fontId="2" fillId="13" borderId="47" xfId="0" applyFont="1" applyFill="1" applyBorder="1" applyAlignment="1">
      <alignment horizontal="center" wrapText="1"/>
    </xf>
    <xf numFmtId="0" fontId="2" fillId="13" borderId="48" xfId="0" applyFont="1" applyFill="1" applyBorder="1" applyAlignment="1">
      <alignment horizontal="center" wrapText="1"/>
    </xf>
    <xf numFmtId="0" fontId="22" fillId="13" borderId="11" xfId="0" applyFont="1" applyFill="1" applyBorder="1" applyAlignment="1">
      <alignment horizontal="left" vertical="center" wrapText="1"/>
    </xf>
    <xf numFmtId="0" fontId="24" fillId="0" borderId="0" xfId="0" applyFont="1" applyAlignment="1">
      <alignment horizontal="right"/>
    </xf>
    <xf numFmtId="0" fontId="21" fillId="0" borderId="0" xfId="0" applyFont="1"/>
    <xf numFmtId="173" fontId="0" fillId="8" borderId="11" xfId="0" applyNumberFormat="1" applyFill="1" applyBorder="1"/>
    <xf numFmtId="38" fontId="0" fillId="8" borderId="11" xfId="0" applyNumberFormat="1" applyFill="1" applyBorder="1"/>
    <xf numFmtId="6" fontId="0" fillId="8" borderId="11" xfId="0" applyNumberFormat="1" applyFill="1" applyBorder="1"/>
    <xf numFmtId="172" fontId="0" fillId="8" borderId="11" xfId="0" applyNumberFormat="1" applyFill="1" applyBorder="1"/>
    <xf numFmtId="174" fontId="0" fillId="8" borderId="11" xfId="0" applyNumberFormat="1" applyFill="1" applyBorder="1"/>
    <xf numFmtId="38" fontId="25" fillId="0" borderId="0" xfId="0" applyNumberFormat="1" applyFont="1"/>
    <xf numFmtId="6" fontId="25" fillId="8" borderId="11" xfId="0" applyNumberFormat="1" applyFont="1" applyFill="1" applyBorder="1"/>
    <xf numFmtId="38" fontId="25" fillId="8" borderId="11" xfId="0" applyNumberFormat="1" applyFont="1" applyFill="1" applyBorder="1"/>
    <xf numFmtId="40" fontId="25" fillId="8" borderId="11" xfId="0" applyNumberFormat="1" applyFont="1" applyFill="1" applyBorder="1"/>
    <xf numFmtId="9" fontId="0" fillId="0" borderId="11" xfId="3" applyFont="1" applyFill="1" applyBorder="1"/>
    <xf numFmtId="38" fontId="20" fillId="0" borderId="11" xfId="0" applyNumberFormat="1" applyFont="1" applyBorder="1" applyAlignment="1">
      <alignment horizontal="right"/>
    </xf>
    <xf numFmtId="38" fontId="26" fillId="8" borderId="11" xfId="0" applyNumberFormat="1" applyFont="1" applyFill="1" applyBorder="1"/>
    <xf numFmtId="38" fontId="27" fillId="16" borderId="11" xfId="0" applyNumberFormat="1" applyFont="1" applyFill="1" applyBorder="1"/>
    <xf numFmtId="172" fontId="0" fillId="0" borderId="0" xfId="0" applyNumberFormat="1"/>
    <xf numFmtId="172" fontId="27" fillId="16" borderId="11" xfId="0" applyNumberFormat="1" applyFont="1" applyFill="1" applyBorder="1"/>
    <xf numFmtId="9" fontId="27" fillId="16" borderId="11" xfId="0" applyNumberFormat="1" applyFont="1" applyFill="1" applyBorder="1"/>
    <xf numFmtId="6" fontId="0" fillId="0" borderId="11" xfId="7" applyNumberFormat="1" applyFont="1" applyBorder="1"/>
    <xf numFmtId="6" fontId="0" fillId="0" borderId="11" xfId="7" applyNumberFormat="1" applyFont="1" applyFill="1" applyBorder="1"/>
    <xf numFmtId="0" fontId="2" fillId="13" borderId="11" xfId="0" applyFont="1" applyFill="1" applyBorder="1" applyAlignment="1">
      <alignment horizontal="right" wrapText="1"/>
    </xf>
    <xf numFmtId="0" fontId="28" fillId="0" borderId="0" xfId="0" applyFont="1"/>
    <xf numFmtId="176" fontId="0" fillId="0" borderId="0" xfId="0" applyNumberFormat="1"/>
    <xf numFmtId="176" fontId="0" fillId="16" borderId="11" xfId="0" applyNumberFormat="1" applyFill="1" applyBorder="1"/>
    <xf numFmtId="176" fontId="2" fillId="16" borderId="11" xfId="0" applyNumberFormat="1" applyFont="1" applyFill="1" applyBorder="1"/>
    <xf numFmtId="6" fontId="0" fillId="16" borderId="11" xfId="0" applyNumberFormat="1" applyFill="1" applyBorder="1"/>
    <xf numFmtId="6" fontId="2" fillId="16" borderId="11" xfId="0" applyNumberFormat="1" applyFont="1" applyFill="1" applyBorder="1"/>
    <xf numFmtId="38" fontId="0" fillId="16" borderId="11" xfId="0" applyNumberFormat="1" applyFill="1" applyBorder="1"/>
    <xf numFmtId="38" fontId="2" fillId="16" borderId="11" xfId="0" applyNumberFormat="1" applyFont="1" applyFill="1" applyBorder="1"/>
    <xf numFmtId="38" fontId="26" fillId="16" borderId="11" xfId="0" applyNumberFormat="1" applyFont="1" applyFill="1" applyBorder="1"/>
    <xf numFmtId="38" fontId="2" fillId="0" borderId="11" xfId="0" applyNumberFormat="1" applyFont="1" applyBorder="1"/>
    <xf numFmtId="6" fontId="0" fillId="12" borderId="0" xfId="0" applyNumberFormat="1" applyFill="1"/>
    <xf numFmtId="6" fontId="0" fillId="12" borderId="11" xfId="0" applyNumberFormat="1" applyFill="1" applyBorder="1"/>
    <xf numFmtId="6" fontId="2" fillId="12" borderId="11" xfId="0" applyNumberFormat="1" applyFont="1" applyFill="1" applyBorder="1"/>
    <xf numFmtId="38" fontId="0" fillId="12" borderId="0" xfId="0" applyNumberFormat="1" applyFill="1"/>
    <xf numFmtId="40" fontId="0" fillId="12" borderId="11" xfId="0" applyNumberFormat="1" applyFill="1" applyBorder="1"/>
    <xf numFmtId="40" fontId="2" fillId="12" borderId="11" xfId="0" applyNumberFormat="1" applyFont="1" applyFill="1" applyBorder="1"/>
    <xf numFmtId="38" fontId="2" fillId="12" borderId="11" xfId="0" applyNumberFormat="1" applyFont="1" applyFill="1" applyBorder="1"/>
    <xf numFmtId="38" fontId="0" fillId="12" borderId="11" xfId="0" applyNumberFormat="1" applyFill="1" applyBorder="1"/>
    <xf numFmtId="38" fontId="0" fillId="0" borderId="11" xfId="0" applyNumberFormat="1" applyBorder="1" applyAlignment="1">
      <alignment horizontal="right"/>
    </xf>
    <xf numFmtId="6" fontId="2" fillId="17" borderId="0" xfId="0" applyNumberFormat="1" applyFont="1" applyFill="1"/>
    <xf numFmtId="6" fontId="2" fillId="17" borderId="11" xfId="0" applyNumberFormat="1" applyFont="1" applyFill="1" applyBorder="1"/>
    <xf numFmtId="6" fontId="2" fillId="0" borderId="0" xfId="0" applyNumberFormat="1" applyFont="1"/>
    <xf numFmtId="6" fontId="2" fillId="14" borderId="11" xfId="0" applyNumberFormat="1" applyFont="1" applyFill="1" applyBorder="1"/>
    <xf numFmtId="172" fontId="2" fillId="0" borderId="0" xfId="0" applyNumberFormat="1" applyFont="1"/>
    <xf numFmtId="172" fontId="2" fillId="0" borderId="11" xfId="0" applyNumberFormat="1" applyFont="1" applyBorder="1"/>
    <xf numFmtId="172" fontId="2" fillId="0" borderId="50" xfId="0" applyNumberFormat="1" applyFont="1" applyBorder="1"/>
    <xf numFmtId="172" fontId="0" fillId="18" borderId="0" xfId="0" applyNumberFormat="1" applyFill="1"/>
    <xf numFmtId="172" fontId="0" fillId="18" borderId="11" xfId="0" applyNumberFormat="1" applyFill="1" applyBorder="1"/>
    <xf numFmtId="172" fontId="0" fillId="18" borderId="23" xfId="0" applyNumberFormat="1" applyFill="1" applyBorder="1"/>
    <xf numFmtId="172" fontId="0" fillId="18" borderId="42" xfId="0" applyNumberFormat="1" applyFill="1" applyBorder="1"/>
    <xf numFmtId="172" fontId="0" fillId="18" borderId="41" xfId="0" applyNumberFormat="1" applyFill="1" applyBorder="1"/>
    <xf numFmtId="172" fontId="2" fillId="18" borderId="11" xfId="0" applyNumberFormat="1" applyFont="1" applyFill="1" applyBorder="1"/>
    <xf numFmtId="38" fontId="0" fillId="0" borderId="23" xfId="0" applyNumberFormat="1" applyBorder="1"/>
    <xf numFmtId="38" fontId="0" fillId="0" borderId="42" xfId="0" applyNumberFormat="1" applyBorder="1"/>
    <xf numFmtId="38" fontId="0" fillId="0" borderId="41" xfId="0" applyNumberFormat="1" applyBorder="1"/>
    <xf numFmtId="0" fontId="2" fillId="13" borderId="44" xfId="0" applyFont="1" applyFill="1" applyBorder="1"/>
    <xf numFmtId="172" fontId="0" fillId="0" borderId="11" xfId="7" applyNumberFormat="1" applyFont="1" applyBorder="1"/>
    <xf numFmtId="172" fontId="0" fillId="0" borderId="11" xfId="0" applyNumberFormat="1" applyBorder="1"/>
    <xf numFmtId="177" fontId="0" fillId="0" borderId="0" xfId="0" applyNumberFormat="1"/>
    <xf numFmtId="176" fontId="0" fillId="0" borderId="11" xfId="0" applyNumberFormat="1" applyBorder="1"/>
    <xf numFmtId="176" fontId="2" fillId="0" borderId="11" xfId="0" applyNumberFormat="1" applyFont="1" applyBorder="1"/>
    <xf numFmtId="6" fontId="2" fillId="0" borderId="11" xfId="0" applyNumberFormat="1" applyFont="1" applyBorder="1"/>
    <xf numFmtId="38" fontId="26" fillId="0" borderId="11" xfId="0" applyNumberFormat="1" applyFont="1" applyBorder="1"/>
    <xf numFmtId="9" fontId="0" fillId="5" borderId="11" xfId="3" applyFont="1" applyFill="1" applyBorder="1"/>
    <xf numFmtId="172" fontId="0" fillId="16" borderId="11" xfId="0" applyNumberFormat="1" applyFill="1" applyBorder="1"/>
    <xf numFmtId="3" fontId="0" fillId="16" borderId="11" xfId="0" applyNumberFormat="1" applyFill="1" applyBorder="1"/>
    <xf numFmtId="4" fontId="2" fillId="0" borderId="42" xfId="0" applyNumberFormat="1" applyFont="1" applyBorder="1"/>
    <xf numFmtId="4" fontId="0" fillId="0" borderId="42" xfId="0" applyNumberFormat="1" applyBorder="1" applyAlignment="1">
      <alignment horizontal="center"/>
    </xf>
    <xf numFmtId="172" fontId="0" fillId="0" borderId="42" xfId="0" applyNumberFormat="1" applyBorder="1"/>
    <xf numFmtId="0" fontId="0" fillId="0" borderId="42" xfId="0" applyBorder="1"/>
    <xf numFmtId="172" fontId="2" fillId="0" borderId="48" xfId="0" applyNumberFormat="1" applyFont="1" applyBorder="1"/>
    <xf numFmtId="172" fontId="2" fillId="0" borderId="46" xfId="0" applyNumberFormat="1" applyFont="1" applyBorder="1"/>
    <xf numFmtId="0" fontId="2" fillId="0" borderId="51" xfId="0" applyFont="1" applyBorder="1" applyAlignment="1">
      <alignment horizontal="left"/>
    </xf>
    <xf numFmtId="178" fontId="2" fillId="12" borderId="47" xfId="0" applyNumberFormat="1" applyFont="1" applyFill="1" applyBorder="1" applyAlignment="1">
      <alignment horizontal="center"/>
    </xf>
    <xf numFmtId="172" fontId="0" fillId="0" borderId="48" xfId="0" applyNumberFormat="1" applyBorder="1"/>
    <xf numFmtId="0" fontId="0" fillId="0" borderId="52" xfId="0" applyBorder="1"/>
    <xf numFmtId="172" fontId="0" fillId="0" borderId="53" xfId="0" applyNumberFormat="1" applyBorder="1"/>
    <xf numFmtId="178" fontId="0" fillId="0" borderId="48" xfId="0" applyNumberFormat="1" applyBorder="1" applyAlignment="1">
      <alignment horizontal="center"/>
    </xf>
    <xf numFmtId="178" fontId="0" fillId="0" borderId="0" xfId="0" applyNumberFormat="1"/>
    <xf numFmtId="0" fontId="2" fillId="17" borderId="54" xfId="0" applyFont="1" applyFill="1" applyBorder="1" applyAlignment="1">
      <alignment wrapText="1"/>
    </xf>
    <xf numFmtId="0" fontId="2" fillId="17" borderId="54" xfId="0" applyFont="1" applyFill="1" applyBorder="1" applyAlignment="1">
      <alignment horizontal="right" wrapText="1"/>
    </xf>
    <xf numFmtId="0" fontId="2" fillId="17" borderId="48" xfId="0" applyFont="1" applyFill="1" applyBorder="1" applyAlignment="1">
      <alignment horizontal="left" wrapText="1"/>
    </xf>
    <xf numFmtId="0" fontId="2" fillId="17" borderId="51" xfId="0" applyFont="1" applyFill="1" applyBorder="1" applyAlignment="1">
      <alignment horizontal="right" wrapText="1"/>
    </xf>
    <xf numFmtId="0" fontId="2" fillId="17" borderId="48" xfId="0" applyFont="1" applyFill="1" applyBorder="1" applyAlignment="1">
      <alignment horizontal="center" wrapText="1"/>
    </xf>
    <xf numFmtId="3" fontId="2" fillId="0" borderId="11" xfId="0" applyNumberFormat="1" applyFont="1" applyBorder="1"/>
    <xf numFmtId="169" fontId="0" fillId="0" borderId="0" xfId="0" applyNumberFormat="1"/>
    <xf numFmtId="3" fontId="2" fillId="0" borderId="46" xfId="0" applyNumberFormat="1" applyFont="1" applyBorder="1"/>
    <xf numFmtId="0" fontId="2" fillId="0" borderId="48" xfId="0" applyFont="1" applyBorder="1" applyAlignment="1">
      <alignment horizontal="left"/>
    </xf>
    <xf numFmtId="3" fontId="0" fillId="0" borderId="48" xfId="0" applyNumberFormat="1" applyBorder="1"/>
    <xf numFmtId="0" fontId="0" fillId="0" borderId="48" xfId="0" applyBorder="1"/>
    <xf numFmtId="0" fontId="2" fillId="13" borderId="48" xfId="0" applyFont="1" applyFill="1" applyBorder="1" applyAlignment="1">
      <alignment horizontal="right"/>
    </xf>
    <xf numFmtId="0" fontId="2" fillId="13" borderId="48" xfId="0" applyFont="1" applyFill="1" applyBorder="1"/>
    <xf numFmtId="0" fontId="2" fillId="13" borderId="48" xfId="0" applyFont="1" applyFill="1" applyBorder="1" applyAlignment="1">
      <alignment wrapText="1"/>
    </xf>
    <xf numFmtId="0" fontId="2" fillId="13" borderId="48" xfId="0" applyFont="1" applyFill="1" applyBorder="1" applyAlignment="1">
      <alignment horizontal="right" wrapText="1"/>
    </xf>
    <xf numFmtId="0" fontId="2" fillId="13" borderId="48" xfId="0" applyFont="1" applyFill="1" applyBorder="1" applyAlignment="1">
      <alignment horizontal="left" wrapText="1"/>
    </xf>
    <xf numFmtId="2" fontId="2" fillId="5" borderId="48" xfId="0" applyNumberFormat="1" applyFont="1" applyFill="1" applyBorder="1" applyAlignment="1">
      <alignment horizontal="center"/>
    </xf>
    <xf numFmtId="0" fontId="2" fillId="5" borderId="48" xfId="0" applyFont="1" applyFill="1" applyBorder="1" applyAlignment="1">
      <alignment horizontal="left"/>
    </xf>
    <xf numFmtId="3" fontId="2" fillId="0" borderId="55" xfId="0" applyNumberFormat="1" applyFont="1" applyBorder="1"/>
    <xf numFmtId="3" fontId="2" fillId="0" borderId="48" xfId="0" applyNumberFormat="1" applyFont="1" applyBorder="1"/>
    <xf numFmtId="0" fontId="0" fillId="0" borderId="48" xfId="0" applyBorder="1" applyAlignment="1">
      <alignment horizontal="right"/>
    </xf>
    <xf numFmtId="3" fontId="2" fillId="14" borderId="48" xfId="0" applyNumberFormat="1" applyFont="1" applyFill="1" applyBorder="1"/>
    <xf numFmtId="170" fontId="2" fillId="0" borderId="48" xfId="0" applyNumberFormat="1" applyFont="1" applyBorder="1"/>
    <xf numFmtId="16" fontId="0" fillId="0" borderId="48" xfId="0" applyNumberFormat="1" applyBorder="1" applyAlignment="1">
      <alignment horizontal="right"/>
    </xf>
    <xf numFmtId="3" fontId="0" fillId="14" borderId="48" xfId="0" applyNumberFormat="1" applyFill="1" applyBorder="1"/>
    <xf numFmtId="170" fontId="0" fillId="0" borderId="0" xfId="3" applyNumberFormat="1" applyFont="1" applyBorder="1" applyAlignment="1">
      <alignment horizontal="center"/>
    </xf>
    <xf numFmtId="3" fontId="0" fillId="8" borderId="48" xfId="0" applyNumberFormat="1" applyFill="1" applyBorder="1"/>
    <xf numFmtId="170" fontId="0" fillId="0" borderId="42" xfId="3" applyNumberFormat="1" applyFont="1" applyBorder="1" applyAlignment="1">
      <alignment horizontal="center"/>
    </xf>
    <xf numFmtId="16" fontId="0" fillId="0" borderId="48" xfId="0" quotePrefix="1" applyNumberFormat="1" applyBorder="1" applyAlignment="1">
      <alignment horizontal="right"/>
    </xf>
    <xf numFmtId="170" fontId="0" fillId="0" borderId="48" xfId="3" applyNumberFormat="1" applyFont="1" applyBorder="1" applyAlignment="1">
      <alignment horizontal="center"/>
    </xf>
    <xf numFmtId="3" fontId="0" fillId="0" borderId="48" xfId="0" applyNumberFormat="1" applyBorder="1" applyAlignment="1">
      <alignment horizontal="center"/>
    </xf>
    <xf numFmtId="3" fontId="0" fillId="14" borderId="52" xfId="0" applyNumberFormat="1" applyFill="1" applyBorder="1"/>
    <xf numFmtId="3" fontId="0" fillId="0" borderId="47" xfId="0" applyNumberFormat="1" applyBorder="1"/>
    <xf numFmtId="0" fontId="2" fillId="5" borderId="48" xfId="0" applyFont="1" applyFill="1" applyBorder="1" applyAlignment="1">
      <alignment wrapText="1"/>
    </xf>
    <xf numFmtId="0" fontId="2" fillId="5" borderId="48" xfId="0" applyFont="1" applyFill="1" applyBorder="1" applyAlignment="1">
      <alignment horizontal="right" wrapText="1"/>
    </xf>
    <xf numFmtId="0" fontId="2" fillId="0" borderId="48" xfId="0" applyFont="1" applyBorder="1" applyAlignment="1">
      <alignment horizontal="right" wrapText="1"/>
    </xf>
    <xf numFmtId="0" fontId="2" fillId="14" borderId="48" xfId="0" applyFont="1" applyFill="1" applyBorder="1" applyAlignment="1">
      <alignment horizontal="right" wrapText="1"/>
    </xf>
    <xf numFmtId="0" fontId="2" fillId="0" borderId="46" xfId="0" applyFont="1" applyBorder="1" applyAlignment="1">
      <alignment horizontal="right" wrapText="1"/>
    </xf>
    <xf numFmtId="0" fontId="2" fillId="0" borderId="48" xfId="0" applyFont="1" applyBorder="1" applyAlignment="1">
      <alignment wrapText="1"/>
    </xf>
    <xf numFmtId="0" fontId="0" fillId="14" borderId="0" xfId="0" applyFill="1"/>
    <xf numFmtId="0" fontId="2" fillId="13" borderId="12" xfId="0" applyFont="1" applyFill="1" applyBorder="1"/>
    <xf numFmtId="0" fontId="2" fillId="13" borderId="12" xfId="0" applyFont="1" applyFill="1" applyBorder="1" applyAlignment="1">
      <alignment horizontal="right" wrapText="1"/>
    </xf>
    <xf numFmtId="0" fontId="15" fillId="0" borderId="0" xfId="5"/>
    <xf numFmtId="0" fontId="2" fillId="0" borderId="48" xfId="0" applyFont="1" applyBorder="1"/>
    <xf numFmtId="179" fontId="0" fillId="0" borderId="11" xfId="7" applyNumberFormat="1" applyFont="1" applyBorder="1"/>
    <xf numFmtId="3" fontId="9" fillId="5" borderId="11" xfId="0" applyNumberFormat="1" applyFont="1" applyFill="1" applyBorder="1"/>
    <xf numFmtId="172" fontId="0" fillId="0" borderId="0" xfId="0" applyNumberFormat="1" applyAlignment="1">
      <alignment horizontal="right" wrapText="1"/>
    </xf>
    <xf numFmtId="172" fontId="2" fillId="0" borderId="48" xfId="0" applyNumberFormat="1" applyFont="1" applyBorder="1" applyAlignment="1">
      <alignment horizontal="right" wrapText="1"/>
    </xf>
    <xf numFmtId="0" fontId="2" fillId="0" borderId="48" xfId="0" applyFont="1" applyBorder="1" applyAlignment="1">
      <alignment horizontal="left" wrapText="1"/>
    </xf>
    <xf numFmtId="179" fontId="0" fillId="0" borderId="48" xfId="7" applyNumberFormat="1" applyFont="1" applyBorder="1"/>
    <xf numFmtId="0" fontId="30" fillId="0" borderId="12" xfId="0" applyFont="1" applyBorder="1" applyAlignment="1">
      <alignment vertical="top"/>
    </xf>
    <xf numFmtId="6" fontId="30" fillId="0" borderId="12" xfId="0" applyNumberFormat="1" applyFont="1" applyBorder="1" applyAlignment="1">
      <alignment vertical="top"/>
    </xf>
    <xf numFmtId="0" fontId="4" fillId="0" borderId="11" xfId="0" applyFont="1" applyBorder="1" applyAlignment="1">
      <alignment vertical="top"/>
    </xf>
    <xf numFmtId="6" fontId="4" fillId="0" borderId="11" xfId="0" applyNumberFormat="1" applyFont="1" applyBorder="1" applyAlignment="1">
      <alignment vertical="top"/>
    </xf>
    <xf numFmtId="0" fontId="30" fillId="0" borderId="12" xfId="0" applyFont="1" applyBorder="1" applyAlignment="1">
      <alignment horizontal="left" vertical="top"/>
    </xf>
    <xf numFmtId="0" fontId="4" fillId="19" borderId="57" xfId="0" applyFont="1" applyFill="1" applyBorder="1" applyAlignment="1">
      <alignment horizontal="left" vertical="top" wrapText="1"/>
    </xf>
    <xf numFmtId="0" fontId="4" fillId="20" borderId="57" xfId="0" applyFont="1" applyFill="1" applyBorder="1" applyAlignment="1">
      <alignment horizontal="left" vertical="top" wrapText="1"/>
    </xf>
    <xf numFmtId="0" fontId="30" fillId="21" borderId="57" xfId="0" applyFont="1" applyFill="1" applyBorder="1" applyAlignment="1">
      <alignment horizontal="left" vertical="top"/>
    </xf>
    <xf numFmtId="3" fontId="30" fillId="21" borderId="57" xfId="0" applyNumberFormat="1" applyFont="1" applyFill="1" applyBorder="1" applyAlignment="1">
      <alignment vertical="top"/>
    </xf>
    <xf numFmtId="3" fontId="31" fillId="21" borderId="57" xfId="0" applyNumberFormat="1" applyFont="1" applyFill="1" applyBorder="1" applyAlignment="1">
      <alignment vertical="top"/>
    </xf>
    <xf numFmtId="0" fontId="4" fillId="21" borderId="57" xfId="0" applyFont="1" applyFill="1" applyBorder="1" applyAlignment="1">
      <alignment horizontal="left" vertical="top"/>
    </xf>
    <xf numFmtId="3" fontId="4" fillId="21" borderId="57" xfId="0" applyNumberFormat="1" applyFont="1" applyFill="1" applyBorder="1" applyAlignment="1">
      <alignment vertical="top"/>
    </xf>
    <xf numFmtId="0" fontId="4" fillId="23" borderId="57" xfId="0" applyFont="1" applyFill="1" applyBorder="1" applyAlignment="1">
      <alignment horizontal="left" vertical="top"/>
    </xf>
    <xf numFmtId="0" fontId="4" fillId="23" borderId="57" xfId="0" applyFont="1" applyFill="1" applyBorder="1" applyAlignment="1">
      <alignment vertical="top"/>
    </xf>
    <xf numFmtId="0" fontId="30" fillId="24" borderId="57" xfId="0" applyFont="1" applyFill="1" applyBorder="1" applyAlignment="1">
      <alignment horizontal="left" vertical="top"/>
    </xf>
    <xf numFmtId="3" fontId="30" fillId="24" borderId="57" xfId="0" applyNumberFormat="1" applyFont="1" applyFill="1" applyBorder="1" applyAlignment="1">
      <alignment vertical="top"/>
    </xf>
    <xf numFmtId="0" fontId="30" fillId="25" borderId="57" xfId="0" applyFont="1" applyFill="1" applyBorder="1" applyAlignment="1">
      <alignment horizontal="left" vertical="top"/>
    </xf>
    <xf numFmtId="3" fontId="30" fillId="25" borderId="57" xfId="0" applyNumberFormat="1" applyFont="1" applyFill="1" applyBorder="1" applyAlignment="1">
      <alignment vertical="top"/>
    </xf>
    <xf numFmtId="0" fontId="4" fillId="25" borderId="57" xfId="0" applyFont="1" applyFill="1" applyBorder="1" applyAlignment="1">
      <alignment horizontal="left" vertical="top"/>
    </xf>
    <xf numFmtId="3" fontId="4" fillId="24" borderId="57" xfId="0" applyNumberFormat="1" applyFont="1" applyFill="1" applyBorder="1" applyAlignment="1">
      <alignment vertical="top"/>
    </xf>
    <xf numFmtId="0" fontId="4" fillId="26" borderId="57" xfId="0" applyFont="1" applyFill="1" applyBorder="1" applyAlignment="1">
      <alignment horizontal="left" vertical="top"/>
    </xf>
    <xf numFmtId="0" fontId="4" fillId="26" borderId="57" xfId="0" applyFont="1" applyFill="1" applyBorder="1" applyAlignment="1">
      <alignment vertical="top"/>
    </xf>
    <xf numFmtId="0" fontId="30" fillId="27" borderId="57" xfId="0" applyFont="1" applyFill="1" applyBorder="1" applyAlignment="1">
      <alignment horizontal="left" vertical="top"/>
    </xf>
    <xf numFmtId="3" fontId="30" fillId="27" borderId="57" xfId="0" applyNumberFormat="1" applyFont="1" applyFill="1" applyBorder="1" applyAlignment="1">
      <alignment vertical="top"/>
    </xf>
    <xf numFmtId="0" fontId="30" fillId="28" borderId="57" xfId="0" applyFont="1" applyFill="1" applyBorder="1" applyAlignment="1">
      <alignment horizontal="left" vertical="top"/>
    </xf>
    <xf numFmtId="3" fontId="30" fillId="28" borderId="57" xfId="0" applyNumberFormat="1" applyFont="1" applyFill="1" applyBorder="1" applyAlignment="1">
      <alignment vertical="top"/>
    </xf>
    <xf numFmtId="0" fontId="4" fillId="27" borderId="57" xfId="0" applyFont="1" applyFill="1" applyBorder="1" applyAlignment="1">
      <alignment horizontal="left" vertical="top"/>
    </xf>
    <xf numFmtId="3" fontId="4" fillId="27" borderId="57" xfId="0" applyNumberFormat="1" applyFont="1" applyFill="1" applyBorder="1" applyAlignment="1">
      <alignment vertical="top"/>
    </xf>
    <xf numFmtId="0" fontId="4" fillId="3" borderId="57" xfId="0" applyFont="1" applyFill="1" applyBorder="1" applyAlignment="1">
      <alignment horizontal="left" vertical="top"/>
    </xf>
    <xf numFmtId="3" fontId="4" fillId="3" borderId="57" xfId="0" applyNumberFormat="1" applyFont="1" applyFill="1" applyBorder="1" applyAlignment="1">
      <alignment vertical="top"/>
    </xf>
    <xf numFmtId="8" fontId="30" fillId="21" borderId="57" xfId="0" applyNumberFormat="1" applyFont="1" applyFill="1" applyBorder="1" applyAlignment="1">
      <alignment vertical="top"/>
    </xf>
    <xf numFmtId="8" fontId="30" fillId="22" borderId="57" xfId="0" applyNumberFormat="1" applyFont="1" applyFill="1" applyBorder="1" applyAlignment="1">
      <alignment vertical="top"/>
    </xf>
    <xf numFmtId="8" fontId="31" fillId="21" borderId="57" xfId="0" applyNumberFormat="1" applyFont="1" applyFill="1" applyBorder="1" applyAlignment="1">
      <alignment vertical="top"/>
    </xf>
    <xf numFmtId="8" fontId="4" fillId="21" borderId="57" xfId="0" applyNumberFormat="1" applyFont="1" applyFill="1" applyBorder="1" applyAlignment="1">
      <alignment vertical="top"/>
    </xf>
    <xf numFmtId="8" fontId="4" fillId="23" borderId="57" xfId="0" applyNumberFormat="1" applyFont="1" applyFill="1" applyBorder="1" applyAlignment="1">
      <alignment vertical="top"/>
    </xf>
    <xf numFmtId="8" fontId="30" fillId="24" borderId="57" xfId="0" applyNumberFormat="1" applyFont="1" applyFill="1" applyBorder="1" applyAlignment="1">
      <alignment vertical="top"/>
    </xf>
    <xf numFmtId="8" fontId="30" fillId="25" borderId="57" xfId="0" applyNumberFormat="1" applyFont="1" applyFill="1" applyBorder="1" applyAlignment="1">
      <alignment vertical="top"/>
    </xf>
    <xf numFmtId="8" fontId="4" fillId="24" borderId="57" xfId="0" applyNumberFormat="1" applyFont="1" applyFill="1" applyBorder="1" applyAlignment="1">
      <alignment vertical="top"/>
    </xf>
    <xf numFmtId="8" fontId="4" fillId="25" borderId="57" xfId="0" applyNumberFormat="1" applyFont="1" applyFill="1" applyBorder="1" applyAlignment="1">
      <alignment vertical="top"/>
    </xf>
    <xf numFmtId="8" fontId="4" fillId="26" borderId="57" xfId="0" applyNumberFormat="1" applyFont="1" applyFill="1" applyBorder="1" applyAlignment="1">
      <alignment vertical="top"/>
    </xf>
    <xf numFmtId="8" fontId="30" fillId="27" borderId="57" xfId="0" applyNumberFormat="1" applyFont="1" applyFill="1" applyBorder="1" applyAlignment="1">
      <alignment vertical="top"/>
    </xf>
    <xf numFmtId="8" fontId="30" fillId="28" borderId="57" xfId="0" applyNumberFormat="1" applyFont="1" applyFill="1" applyBorder="1" applyAlignment="1">
      <alignment vertical="top"/>
    </xf>
    <xf numFmtId="8" fontId="4" fillId="27" borderId="57" xfId="0" applyNumberFormat="1" applyFont="1" applyFill="1" applyBorder="1" applyAlignment="1">
      <alignment vertical="top"/>
    </xf>
    <xf numFmtId="8" fontId="4" fillId="3" borderId="57" xfId="0" applyNumberFormat="1" applyFont="1" applyFill="1" applyBorder="1" applyAlignment="1">
      <alignment vertical="top"/>
    </xf>
    <xf numFmtId="3" fontId="30" fillId="29" borderId="57" xfId="0" applyNumberFormat="1" applyFont="1" applyFill="1" applyBorder="1" applyAlignment="1">
      <alignment vertical="top"/>
    </xf>
    <xf numFmtId="3" fontId="31" fillId="29" borderId="57" xfId="0" applyNumberFormat="1" applyFont="1" applyFill="1" applyBorder="1" applyAlignment="1">
      <alignment vertical="top"/>
    </xf>
    <xf numFmtId="3" fontId="30" fillId="2" borderId="57" xfId="0" applyNumberFormat="1" applyFont="1" applyFill="1" applyBorder="1" applyAlignment="1">
      <alignment vertical="top"/>
    </xf>
    <xf numFmtId="3" fontId="30" fillId="30" borderId="57" xfId="0" applyNumberFormat="1" applyFont="1" applyFill="1" applyBorder="1" applyAlignment="1">
      <alignment vertical="top"/>
    </xf>
    <xf numFmtId="0" fontId="4" fillId="3" borderId="57" xfId="0" applyFont="1" applyFill="1" applyBorder="1" applyAlignment="1">
      <alignment horizontal="left" vertical="top" wrapText="1"/>
    </xf>
    <xf numFmtId="0" fontId="4" fillId="0" borderId="0" xfId="0" applyFont="1" applyAlignment="1">
      <alignment horizontal="left" vertical="top"/>
    </xf>
    <xf numFmtId="3" fontId="4" fillId="0" borderId="0" xfId="0" applyNumberFormat="1" applyFont="1" applyAlignment="1">
      <alignment vertical="top"/>
    </xf>
    <xf numFmtId="10" fontId="0" fillId="0" borderId="0" xfId="0" applyNumberFormat="1"/>
    <xf numFmtId="8" fontId="0" fillId="0" borderId="0" xfId="2" applyNumberFormat="1" applyFont="1" applyAlignment="1">
      <alignment wrapText="1"/>
    </xf>
    <xf numFmtId="0" fontId="30" fillId="0" borderId="0" xfId="0" applyFont="1"/>
    <xf numFmtId="8" fontId="0" fillId="0" borderId="0" xfId="0" applyNumberFormat="1" applyAlignment="1">
      <alignment wrapText="1"/>
    </xf>
    <xf numFmtId="0" fontId="30" fillId="31" borderId="0" xfId="0" applyFont="1" applyFill="1"/>
    <xf numFmtId="6" fontId="30" fillId="32" borderId="0" xfId="0" applyNumberFormat="1" applyFont="1" applyFill="1"/>
    <xf numFmtId="0" fontId="4" fillId="32" borderId="0" xfId="0" applyFont="1" applyFill="1" applyAlignment="1">
      <alignment wrapText="1"/>
    </xf>
    <xf numFmtId="0" fontId="4" fillId="31" borderId="0" xfId="0" applyFont="1" applyFill="1" applyAlignment="1">
      <alignment wrapText="1"/>
    </xf>
    <xf numFmtId="0" fontId="30" fillId="32" borderId="0" xfId="0" applyFont="1" applyFill="1"/>
    <xf numFmtId="3" fontId="30" fillId="32" borderId="0" xfId="0" applyNumberFormat="1" applyFont="1" applyFill="1"/>
    <xf numFmtId="3" fontId="30" fillId="31" borderId="0" xfId="0" applyNumberFormat="1" applyFont="1" applyFill="1"/>
    <xf numFmtId="6" fontId="30" fillId="0" borderId="0" xfId="0" applyNumberFormat="1" applyFont="1"/>
    <xf numFmtId="3" fontId="30" fillId="0" borderId="0" xfId="0" applyNumberFormat="1" applyFont="1"/>
    <xf numFmtId="0" fontId="32" fillId="0" borderId="0" xfId="0" applyFont="1"/>
    <xf numFmtId="0" fontId="24" fillId="0" borderId="0" xfId="0" applyFont="1"/>
    <xf numFmtId="0" fontId="14" fillId="0" borderId="0" xfId="0" applyFont="1"/>
    <xf numFmtId="0" fontId="32" fillId="7" borderId="20" xfId="0" applyFont="1" applyFill="1" applyBorder="1"/>
    <xf numFmtId="9" fontId="14" fillId="7" borderId="11" xfId="0" applyNumberFormat="1" applyFont="1" applyFill="1" applyBorder="1"/>
    <xf numFmtId="9" fontId="14" fillId="0" borderId="11" xfId="0" applyNumberFormat="1" applyFont="1" applyBorder="1"/>
    <xf numFmtId="0" fontId="32" fillId="33" borderId="0" xfId="0" applyFont="1" applyFill="1" applyAlignment="1">
      <alignment horizontal="center"/>
    </xf>
    <xf numFmtId="0" fontId="32" fillId="0" borderId="11" xfId="0" applyFont="1" applyBorder="1"/>
    <xf numFmtId="0" fontId="24" fillId="0" borderId="11" xfId="0" applyFont="1" applyBorder="1"/>
    <xf numFmtId="0" fontId="34" fillId="0" borderId="11" xfId="0" applyFont="1" applyBorder="1"/>
    <xf numFmtId="165" fontId="35" fillId="0" borderId="11" xfId="1" applyNumberFormat="1" applyFont="1" applyBorder="1" applyAlignment="1"/>
    <xf numFmtId="165" fontId="35" fillId="0" borderId="11" xfId="0" applyNumberFormat="1" applyFont="1" applyBorder="1"/>
    <xf numFmtId="0" fontId="35" fillId="0" borderId="0" xfId="0" applyFont="1"/>
    <xf numFmtId="0" fontId="34" fillId="0" borderId="0" xfId="0" applyFont="1"/>
    <xf numFmtId="43" fontId="35" fillId="0" borderId="11" xfId="1" applyFont="1" applyBorder="1" applyAlignment="1"/>
    <xf numFmtId="43" fontId="35" fillId="0" borderId="11" xfId="0" applyNumberFormat="1" applyFont="1" applyBorder="1"/>
    <xf numFmtId="165" fontId="35" fillId="0" borderId="0" xfId="1" applyNumberFormat="1" applyFont="1" applyBorder="1" applyAlignment="1"/>
    <xf numFmtId="0" fontId="32" fillId="33" borderId="0" xfId="0" applyFont="1" applyFill="1"/>
    <xf numFmtId="43" fontId="32" fillId="33" borderId="0" xfId="0" applyNumberFormat="1" applyFont="1" applyFill="1"/>
    <xf numFmtId="43" fontId="35" fillId="0" borderId="0" xfId="1" applyFont="1" applyBorder="1" applyAlignment="1"/>
    <xf numFmtId="165" fontId="0" fillId="0" borderId="0" xfId="1" applyNumberFormat="1" applyFont="1" applyBorder="1" applyAlignment="1"/>
    <xf numFmtId="171" fontId="0" fillId="0" borderId="11" xfId="0" applyNumberFormat="1" applyBorder="1"/>
    <xf numFmtId="0" fontId="32" fillId="0" borderId="58" xfId="0" applyFont="1" applyBorder="1"/>
    <xf numFmtId="43" fontId="0" fillId="0" borderId="1" xfId="0" applyNumberFormat="1" applyBorder="1"/>
    <xf numFmtId="43" fontId="0" fillId="0" borderId="59" xfId="0" applyNumberFormat="1" applyBorder="1"/>
    <xf numFmtId="0" fontId="32" fillId="0" borderId="11" xfId="0" applyFont="1" applyBorder="1" applyAlignment="1">
      <alignment horizontal="center" vertical="center" wrapText="1"/>
    </xf>
    <xf numFmtId="43" fontId="0" fillId="0" borderId="0" xfId="1" applyFont="1" applyBorder="1"/>
    <xf numFmtId="165" fontId="9" fillId="0" borderId="0" xfId="1" applyNumberFormat="1" applyFont="1" applyBorder="1"/>
    <xf numFmtId="165" fontId="0" fillId="0" borderId="0" xfId="1" applyNumberFormat="1" applyFont="1" applyBorder="1"/>
    <xf numFmtId="0" fontId="32" fillId="0" borderId="11" xfId="0" applyFont="1" applyBorder="1" applyAlignment="1">
      <alignment horizontal="center" wrapText="1"/>
    </xf>
    <xf numFmtId="165" fontId="9" fillId="0" borderId="11" xfId="1" applyNumberFormat="1" applyFont="1" applyBorder="1"/>
    <xf numFmtId="165" fontId="19" fillId="0" borderId="11" xfId="0" applyNumberFormat="1" applyFont="1" applyBorder="1"/>
    <xf numFmtId="165" fontId="19" fillId="0" borderId="0" xfId="0" applyNumberFormat="1" applyFont="1"/>
    <xf numFmtId="0" fontId="32" fillId="0" borderId="11" xfId="1" applyNumberFormat="1" applyFont="1" applyBorder="1" applyAlignment="1">
      <alignment horizontal="center" vertical="center"/>
    </xf>
    <xf numFmtId="165" fontId="32" fillId="0" borderId="11" xfId="0" applyNumberFormat="1" applyFont="1" applyBorder="1" applyAlignment="1">
      <alignment horizontal="center" vertical="center"/>
    </xf>
    <xf numFmtId="165" fontId="32" fillId="0" borderId="0" xfId="0" applyNumberFormat="1" applyFont="1"/>
    <xf numFmtId="165" fontId="33" fillId="0" borderId="11" xfId="1" applyNumberFormat="1" applyFont="1" applyBorder="1"/>
    <xf numFmtId="0" fontId="32" fillId="34" borderId="60" xfId="0" applyFont="1" applyFill="1" applyBorder="1"/>
    <xf numFmtId="0" fontId="0" fillId="0" borderId="8" xfId="0" applyBorder="1"/>
    <xf numFmtId="0" fontId="0" fillId="0" borderId="7" xfId="0" applyBorder="1"/>
    <xf numFmtId="0" fontId="0" fillId="0" borderId="63" xfId="0" applyBorder="1"/>
    <xf numFmtId="165" fontId="0" fillId="0" borderId="16" xfId="0" applyNumberFormat="1" applyBorder="1"/>
    <xf numFmtId="165" fontId="0" fillId="0" borderId="17" xfId="0" applyNumberFormat="1" applyBorder="1"/>
    <xf numFmtId="0" fontId="0" fillId="0" borderId="5" xfId="0" applyBorder="1"/>
    <xf numFmtId="0" fontId="0" fillId="0" borderId="30" xfId="0" applyBorder="1"/>
    <xf numFmtId="44" fontId="0" fillId="0" borderId="11" xfId="2" applyFont="1" applyFill="1" applyBorder="1"/>
    <xf numFmtId="0" fontId="9" fillId="0" borderId="0" xfId="0" applyFont="1"/>
    <xf numFmtId="0" fontId="32" fillId="0" borderId="20" xfId="0" applyFont="1" applyBorder="1"/>
    <xf numFmtId="43" fontId="0" fillId="0" borderId="11" xfId="1" applyFont="1" applyBorder="1"/>
    <xf numFmtId="43" fontId="0" fillId="0" borderId="19" xfId="1" applyFont="1" applyBorder="1"/>
    <xf numFmtId="180" fontId="0" fillId="0" borderId="0" xfId="1" applyNumberFormat="1" applyFont="1" applyBorder="1"/>
    <xf numFmtId="43" fontId="0" fillId="0" borderId="16" xfId="1" applyFont="1" applyBorder="1"/>
    <xf numFmtId="43" fontId="0" fillId="0" borderId="17" xfId="1" applyFont="1" applyBorder="1"/>
    <xf numFmtId="43" fontId="0" fillId="0" borderId="11" xfId="0" applyNumberFormat="1" applyBorder="1"/>
    <xf numFmtId="14" fontId="24" fillId="0" borderId="0" xfId="0" applyNumberFormat="1" applyFont="1"/>
    <xf numFmtId="0" fontId="32" fillId="0" borderId="0" xfId="0" applyFont="1" applyAlignment="1">
      <alignment horizontal="center"/>
    </xf>
    <xf numFmtId="0" fontId="0" fillId="0" borderId="60" xfId="0" applyBorder="1" applyAlignment="1">
      <alignment wrapText="1"/>
    </xf>
    <xf numFmtId="0" fontId="0" fillId="0" borderId="61" xfId="0" applyBorder="1" applyAlignment="1">
      <alignment wrapText="1"/>
    </xf>
    <xf numFmtId="0" fontId="32" fillId="0" borderId="61" xfId="0" applyFont="1" applyBorder="1" applyAlignment="1">
      <alignment wrapText="1"/>
    </xf>
    <xf numFmtId="0" fontId="19" fillId="0" borderId="61" xfId="0" applyFont="1" applyBorder="1" applyAlignment="1">
      <alignment wrapText="1"/>
    </xf>
    <xf numFmtId="0" fontId="32" fillId="0" borderId="62" xfId="0" applyFont="1" applyBorder="1" applyAlignment="1">
      <alignment wrapText="1"/>
    </xf>
    <xf numFmtId="43" fontId="14" fillId="0" borderId="11" xfId="1" applyFont="1" applyBorder="1"/>
    <xf numFmtId="168" fontId="0" fillId="0" borderId="19" xfId="0" applyNumberFormat="1" applyBorder="1"/>
    <xf numFmtId="43" fontId="14" fillId="0" borderId="16" xfId="1" applyFont="1" applyBorder="1"/>
    <xf numFmtId="43" fontId="0" fillId="0" borderId="16" xfId="0" applyNumberFormat="1" applyBorder="1"/>
    <xf numFmtId="168" fontId="0" fillId="0" borderId="17" xfId="0" applyNumberFormat="1" applyBorder="1"/>
    <xf numFmtId="0" fontId="32" fillId="0" borderId="60" xfId="0" applyFont="1" applyBorder="1"/>
    <xf numFmtId="0" fontId="0" fillId="0" borderId="61" xfId="0" applyBorder="1"/>
    <xf numFmtId="0" fontId="0" fillId="0" borderId="62" xfId="0" applyBorder="1"/>
    <xf numFmtId="0" fontId="32" fillId="0" borderId="19" xfId="0" applyFont="1" applyBorder="1"/>
    <xf numFmtId="171" fontId="0" fillId="0" borderId="19" xfId="0" applyNumberFormat="1" applyBorder="1"/>
    <xf numFmtId="171" fontId="32" fillId="0" borderId="16" xfId="0" applyNumberFormat="1" applyFont="1" applyBorder="1"/>
    <xf numFmtId="0" fontId="32" fillId="0" borderId="16" xfId="0" applyFont="1" applyBorder="1"/>
    <xf numFmtId="171" fontId="0" fillId="0" borderId="17" xfId="0" applyNumberFormat="1" applyBorder="1"/>
    <xf numFmtId="171" fontId="32" fillId="0" borderId="0" xfId="0" applyNumberFormat="1" applyFont="1"/>
    <xf numFmtId="171" fontId="0" fillId="0" borderId="0" xfId="0" applyNumberFormat="1"/>
    <xf numFmtId="171" fontId="32" fillId="0" borderId="61" xfId="0" applyNumberFormat="1" applyFont="1" applyBorder="1"/>
    <xf numFmtId="0" fontId="32" fillId="0" borderId="61" xfId="0" applyFont="1" applyBorder="1"/>
    <xf numFmtId="171" fontId="0" fillId="0" borderId="62" xfId="0" applyNumberFormat="1" applyBorder="1"/>
    <xf numFmtId="43" fontId="0" fillId="0" borderId="19" xfId="0" applyNumberFormat="1" applyBorder="1"/>
    <xf numFmtId="43" fontId="0" fillId="0" borderId="17" xfId="0" applyNumberFormat="1" applyBorder="1"/>
    <xf numFmtId="0" fontId="9" fillId="0" borderId="11" xfId="0" applyFont="1" applyBorder="1"/>
    <xf numFmtId="0" fontId="32" fillId="34" borderId="10" xfId="0" applyFont="1" applyFill="1" applyBorder="1"/>
    <xf numFmtId="165" fontId="0" fillId="0" borderId="35" xfId="0" applyNumberFormat="1" applyBorder="1"/>
    <xf numFmtId="165" fontId="0" fillId="0" borderId="2" xfId="0" applyNumberFormat="1" applyBorder="1"/>
    <xf numFmtId="0" fontId="0" fillId="0" borderId="10" xfId="0" applyBorder="1"/>
    <xf numFmtId="44" fontId="0" fillId="0" borderId="63" xfId="2" applyFont="1" applyFill="1" applyBorder="1"/>
    <xf numFmtId="0" fontId="0" fillId="0" borderId="35" xfId="0" applyBorder="1"/>
    <xf numFmtId="44" fontId="0" fillId="0" borderId="17" xfId="2" applyFont="1" applyFill="1" applyBorder="1"/>
    <xf numFmtId="0" fontId="32" fillId="0" borderId="61" xfId="0" applyFont="1" applyBorder="1" applyAlignment="1">
      <alignment horizontal="center"/>
    </xf>
    <xf numFmtId="0" fontId="32" fillId="0" borderId="62" xfId="0" applyFont="1" applyBorder="1" applyAlignment="1">
      <alignment horizontal="center"/>
    </xf>
    <xf numFmtId="181" fontId="0" fillId="0" borderId="0" xfId="1" applyNumberFormat="1" applyFont="1"/>
    <xf numFmtId="165" fontId="0" fillId="0" borderId="16" xfId="1" applyNumberFormat="1" applyFont="1" applyBorder="1"/>
    <xf numFmtId="165" fontId="0" fillId="0" borderId="17" xfId="1" applyNumberFormat="1" applyFont="1" applyBorder="1"/>
    <xf numFmtId="0" fontId="0" fillId="0" borderId="3" xfId="0" applyBorder="1"/>
    <xf numFmtId="0" fontId="32" fillId="0" borderId="39" xfId="0" applyFont="1" applyBorder="1" applyAlignment="1">
      <alignment horizontal="center"/>
    </xf>
    <xf numFmtId="0" fontId="32" fillId="0" borderId="38" xfId="0" applyFont="1" applyBorder="1" applyAlignment="1">
      <alignment horizontal="center"/>
    </xf>
    <xf numFmtId="165" fontId="14" fillId="0" borderId="35" xfId="0" applyNumberFormat="1" applyFont="1" applyBorder="1"/>
    <xf numFmtId="165" fontId="14" fillId="0" borderId="2" xfId="0" applyNumberFormat="1" applyFont="1" applyBorder="1"/>
    <xf numFmtId="44" fontId="14" fillId="0" borderId="63" xfId="2" applyFont="1" applyFill="1" applyBorder="1"/>
    <xf numFmtId="0" fontId="14" fillId="0" borderId="7" xfId="0" applyFont="1" applyBorder="1"/>
    <xf numFmtId="44" fontId="14" fillId="0" borderId="17" xfId="2" applyFont="1" applyFill="1" applyBorder="1"/>
    <xf numFmtId="43" fontId="32" fillId="0" borderId="0" xfId="0" applyNumberFormat="1" applyFont="1"/>
    <xf numFmtId="0" fontId="4" fillId="35" borderId="57" xfId="0" applyFont="1" applyFill="1" applyBorder="1" applyAlignment="1">
      <alignment horizontal="left" vertical="top" wrapText="1"/>
    </xf>
    <xf numFmtId="0" fontId="4" fillId="36" borderId="57" xfId="0" applyFont="1" applyFill="1" applyBorder="1" applyAlignment="1">
      <alignment horizontal="left" vertical="top" wrapText="1"/>
    </xf>
    <xf numFmtId="0" fontId="4" fillId="37" borderId="57" xfId="0" applyFont="1" applyFill="1" applyBorder="1" applyAlignment="1">
      <alignment horizontal="left" vertical="top"/>
    </xf>
    <xf numFmtId="0" fontId="4" fillId="38" borderId="57" xfId="0" applyFont="1" applyFill="1" applyBorder="1" applyAlignment="1">
      <alignment vertical="top"/>
    </xf>
    <xf numFmtId="0" fontId="4" fillId="37" borderId="57" xfId="0" applyFont="1" applyFill="1" applyBorder="1" applyAlignment="1">
      <alignment vertical="top"/>
    </xf>
    <xf numFmtId="0" fontId="4" fillId="40" borderId="57" xfId="0" applyFont="1" applyFill="1" applyBorder="1" applyAlignment="1">
      <alignment horizontal="left" vertical="top" wrapText="1"/>
    </xf>
    <xf numFmtId="3" fontId="4" fillId="0" borderId="64" xfId="0" applyNumberFormat="1" applyFont="1" applyBorder="1" applyAlignment="1">
      <alignment vertical="top"/>
    </xf>
    <xf numFmtId="0" fontId="4" fillId="41" borderId="57" xfId="0" applyFont="1" applyFill="1" applyBorder="1" applyAlignment="1">
      <alignment horizontal="left" vertical="top" wrapText="1"/>
    </xf>
    <xf numFmtId="0" fontId="0" fillId="0" borderId="65" xfId="0" applyBorder="1"/>
    <xf numFmtId="43" fontId="0" fillId="0" borderId="65" xfId="1" applyFont="1" applyBorder="1"/>
    <xf numFmtId="165" fontId="0" fillId="0" borderId="65" xfId="1" applyNumberFormat="1" applyFont="1" applyBorder="1"/>
    <xf numFmtId="182" fontId="0" fillId="0" borderId="65" xfId="0" applyNumberFormat="1" applyBorder="1"/>
    <xf numFmtId="166" fontId="0" fillId="0" borderId="65" xfId="1" applyNumberFormat="1" applyFont="1" applyBorder="1"/>
    <xf numFmtId="0" fontId="25" fillId="0" borderId="65" xfId="0" applyFont="1" applyBorder="1" applyAlignment="1">
      <alignment horizontal="center" wrapText="1"/>
    </xf>
    <xf numFmtId="0" fontId="0" fillId="42" borderId="65" xfId="0" applyFill="1" applyBorder="1"/>
    <xf numFmtId="43" fontId="0" fillId="43" borderId="65" xfId="1" applyFont="1" applyFill="1" applyBorder="1"/>
    <xf numFmtId="43" fontId="0" fillId="12" borderId="65" xfId="1" applyFont="1" applyFill="1" applyBorder="1"/>
    <xf numFmtId="0" fontId="0" fillId="42" borderId="65" xfId="0" applyFill="1" applyBorder="1" applyAlignment="1">
      <alignment wrapText="1"/>
    </xf>
    <xf numFmtId="183" fontId="0" fillId="0" borderId="65" xfId="0" applyNumberFormat="1" applyBorder="1"/>
    <xf numFmtId="167" fontId="0" fillId="0" borderId="0" xfId="1" applyNumberFormat="1" applyFont="1"/>
    <xf numFmtId="43" fontId="36" fillId="0" borderId="65" xfId="1" applyFont="1" applyBorder="1" applyAlignment="1">
      <alignment horizontal="center" wrapText="1"/>
    </xf>
    <xf numFmtId="165" fontId="36" fillId="0" borderId="65" xfId="1" applyNumberFormat="1" applyFont="1" applyBorder="1" applyAlignment="1">
      <alignment horizontal="center" wrapText="1"/>
    </xf>
    <xf numFmtId="182" fontId="2" fillId="0" borderId="65" xfId="0" applyNumberFormat="1" applyFont="1" applyBorder="1" applyAlignment="1">
      <alignment horizontal="center"/>
    </xf>
    <xf numFmtId="166" fontId="36" fillId="0" borderId="65" xfId="1" applyNumberFormat="1" applyFont="1" applyBorder="1" applyAlignment="1">
      <alignment horizontal="center" wrapText="1"/>
    </xf>
    <xf numFmtId="0" fontId="37" fillId="0" borderId="65" xfId="0" applyFont="1" applyBorder="1" applyAlignment="1">
      <alignment horizontal="center" wrapText="1"/>
    </xf>
    <xf numFmtId="0" fontId="25" fillId="0" borderId="65" xfId="0" applyFont="1" applyBorder="1" applyAlignment="1">
      <alignment horizontal="center" vertical="center" wrapText="1"/>
    </xf>
    <xf numFmtId="165" fontId="1" fillId="0" borderId="65" xfId="1" applyNumberFormat="1" applyFont="1" applyBorder="1" applyAlignment="1">
      <alignment horizontal="center" wrapText="1"/>
    </xf>
    <xf numFmtId="182" fontId="0" fillId="0" borderId="65" xfId="0" applyNumberFormat="1" applyBorder="1" applyAlignment="1">
      <alignment horizontal="center"/>
    </xf>
    <xf numFmtId="0" fontId="22" fillId="0" borderId="65" xfId="0" applyFont="1" applyBorder="1" applyAlignment="1">
      <alignment horizontal="center" vertical="top" wrapText="1"/>
    </xf>
    <xf numFmtId="165" fontId="0" fillId="0" borderId="65" xfId="1" applyNumberFormat="1" applyFont="1" applyBorder="1" applyAlignment="1">
      <alignment wrapText="1"/>
    </xf>
    <xf numFmtId="182" fontId="0" fillId="0" borderId="65" xfId="0" applyNumberFormat="1" applyBorder="1" applyAlignment="1">
      <alignment wrapText="1"/>
    </xf>
    <xf numFmtId="0" fontId="0" fillId="0" borderId="65" xfId="0" applyBorder="1" applyAlignment="1">
      <alignment wrapText="1"/>
    </xf>
    <xf numFmtId="43" fontId="0" fillId="0" borderId="65" xfId="1" applyFont="1" applyFill="1" applyBorder="1"/>
    <xf numFmtId="49" fontId="0" fillId="0" borderId="65" xfId="0" applyNumberFormat="1" applyBorder="1" applyAlignment="1">
      <alignment wrapText="1"/>
    </xf>
    <xf numFmtId="49" fontId="0" fillId="0" borderId="66" xfId="0" applyNumberFormat="1" applyBorder="1" applyAlignment="1">
      <alignment vertical="top" wrapText="1"/>
    </xf>
    <xf numFmtId="49" fontId="0" fillId="0" borderId="67" xfId="0" applyNumberFormat="1" applyBorder="1" applyAlignment="1">
      <alignment vertical="top" wrapText="1"/>
    </xf>
    <xf numFmtId="49" fontId="0" fillId="0" borderId="68" xfId="0" applyNumberFormat="1" applyBorder="1" applyAlignment="1">
      <alignment vertical="top" wrapText="1"/>
    </xf>
    <xf numFmtId="49" fontId="0" fillId="0" borderId="68" xfId="0" applyNumberFormat="1" applyBorder="1" applyAlignment="1">
      <alignment wrapText="1"/>
    </xf>
    <xf numFmtId="0" fontId="0" fillId="0" borderId="65" xfId="0" quotePrefix="1" applyBorder="1"/>
    <xf numFmtId="49" fontId="2" fillId="0" borderId="65" xfId="0" applyNumberFormat="1" applyFont="1" applyBorder="1" applyAlignment="1">
      <alignment wrapText="1"/>
    </xf>
    <xf numFmtId="43" fontId="0" fillId="0" borderId="65" xfId="0" applyNumberFormat="1" applyBorder="1"/>
    <xf numFmtId="0" fontId="2" fillId="9" borderId="57" xfId="0" applyFont="1" applyFill="1" applyBorder="1"/>
    <xf numFmtId="0" fontId="2" fillId="35" borderId="57" xfId="0" applyFont="1" applyFill="1" applyBorder="1"/>
    <xf numFmtId="3" fontId="4" fillId="29" borderId="57" xfId="0" applyNumberFormat="1" applyFont="1" applyFill="1" applyBorder="1" applyAlignment="1">
      <alignment vertical="top"/>
    </xf>
    <xf numFmtId="3" fontId="2" fillId="21" borderId="57" xfId="0" applyNumberFormat="1" applyFont="1" applyFill="1" applyBorder="1"/>
    <xf numFmtId="3" fontId="2" fillId="38" borderId="57" xfId="0" applyNumberFormat="1" applyFont="1" applyFill="1" applyBorder="1"/>
    <xf numFmtId="3" fontId="2" fillId="25" borderId="57" xfId="0" applyNumberFormat="1" applyFont="1" applyFill="1" applyBorder="1"/>
    <xf numFmtId="3" fontId="2" fillId="39" borderId="57" xfId="0" applyNumberFormat="1" applyFont="1" applyFill="1" applyBorder="1"/>
    <xf numFmtId="3" fontId="2" fillId="28" borderId="57" xfId="0" applyNumberFormat="1" applyFont="1" applyFill="1" applyBorder="1"/>
    <xf numFmtId="3" fontId="2" fillId="3" borderId="57" xfId="0" applyNumberFormat="1" applyFont="1" applyFill="1" applyBorder="1"/>
    <xf numFmtId="43" fontId="2" fillId="0" borderId="65" xfId="0" applyNumberFormat="1" applyFont="1" applyBorder="1"/>
    <xf numFmtId="178" fontId="2" fillId="0" borderId="11" xfId="0" applyNumberFormat="1" applyFont="1" applyBorder="1"/>
    <xf numFmtId="184" fontId="0" fillId="0" borderId="48" xfId="0" applyNumberFormat="1" applyBorder="1"/>
    <xf numFmtId="0" fontId="30" fillId="28" borderId="57" xfId="0" applyFont="1" applyFill="1" applyBorder="1" applyAlignment="1">
      <alignment vertical="top"/>
    </xf>
    <xf numFmtId="185" fontId="0" fillId="0" borderId="65" xfId="0" applyNumberFormat="1" applyBorder="1"/>
    <xf numFmtId="0" fontId="22" fillId="0" borderId="0" xfId="0" applyFont="1"/>
    <xf numFmtId="0" fontId="4" fillId="44" borderId="57" xfId="0" applyFont="1" applyFill="1" applyBorder="1" applyAlignment="1">
      <alignment horizontal="center" vertical="top" wrapText="1"/>
    </xf>
    <xf numFmtId="0" fontId="22" fillId="34" borderId="11" xfId="0" applyFont="1" applyFill="1" applyBorder="1" applyAlignment="1">
      <alignment horizontal="left" vertical="center" wrapText="1"/>
    </xf>
    <xf numFmtId="186" fontId="0" fillId="0" borderId="65" xfId="0" applyNumberFormat="1" applyBorder="1"/>
    <xf numFmtId="178" fontId="0" fillId="18" borderId="42" xfId="0" applyNumberFormat="1" applyFill="1" applyBorder="1"/>
    <xf numFmtId="40" fontId="0" fillId="0" borderId="0" xfId="0" applyNumberFormat="1"/>
    <xf numFmtId="0" fontId="0" fillId="0" borderId="69" xfId="0" applyBorder="1"/>
    <xf numFmtId="0" fontId="0" fillId="0" borderId="70" xfId="0" applyBorder="1"/>
    <xf numFmtId="43" fontId="0" fillId="0" borderId="70" xfId="0" applyNumberFormat="1" applyBorder="1"/>
    <xf numFmtId="0" fontId="0" fillId="0" borderId="66" xfId="0" applyBorder="1"/>
    <xf numFmtId="0" fontId="0" fillId="0" borderId="66" xfId="0" applyBorder="1" applyAlignment="1">
      <alignment wrapText="1"/>
    </xf>
    <xf numFmtId="0" fontId="0" fillId="0" borderId="60" xfId="0" applyBorder="1"/>
    <xf numFmtId="43" fontId="2" fillId="0" borderId="70" xfId="0" applyNumberFormat="1" applyFont="1" applyBorder="1"/>
    <xf numFmtId="0" fontId="2" fillId="0" borderId="11" xfId="0" applyFont="1" applyBorder="1"/>
    <xf numFmtId="43" fontId="2" fillId="0" borderId="11" xfId="0" applyNumberFormat="1" applyFont="1" applyBorder="1"/>
    <xf numFmtId="0" fontId="2" fillId="0" borderId="26" xfId="0" applyFont="1" applyBorder="1"/>
    <xf numFmtId="0" fontId="2" fillId="0" borderId="71" xfId="0" applyFont="1" applyBorder="1" applyAlignment="1">
      <alignment wrapText="1"/>
    </xf>
    <xf numFmtId="0" fontId="2" fillId="0" borderId="71" xfId="0" applyFont="1" applyBorder="1"/>
    <xf numFmtId="0" fontId="2" fillId="0" borderId="72" xfId="0" applyFont="1" applyBorder="1"/>
    <xf numFmtId="43" fontId="0" fillId="0" borderId="61" xfId="1" applyFont="1" applyBorder="1"/>
    <xf numFmtId="43" fontId="0" fillId="0" borderId="62" xfId="1" applyFont="1" applyBorder="1"/>
    <xf numFmtId="0" fontId="0" fillId="0" borderId="20" xfId="0" applyBorder="1" applyAlignment="1">
      <alignment wrapText="1"/>
    </xf>
    <xf numFmtId="0" fontId="2" fillId="0" borderId="19" xfId="0" applyFont="1" applyBorder="1"/>
    <xf numFmtId="0" fontId="0" fillId="14" borderId="20" xfId="0" applyFill="1" applyBorder="1"/>
    <xf numFmtId="0" fontId="0" fillId="14" borderId="11" xfId="0" applyFill="1" applyBorder="1" applyAlignment="1">
      <alignment wrapText="1"/>
    </xf>
    <xf numFmtId="43" fontId="0" fillId="14" borderId="11" xfId="0" applyNumberFormat="1" applyFill="1" applyBorder="1"/>
    <xf numFmtId="43" fontId="0" fillId="14" borderId="19" xfId="0" applyNumberFormat="1" applyFill="1" applyBorder="1"/>
    <xf numFmtId="43" fontId="0" fillId="14" borderId="44" xfId="1" applyFont="1" applyFill="1" applyBorder="1"/>
    <xf numFmtId="43" fontId="0" fillId="14" borderId="73" xfId="1" applyFont="1" applyFill="1" applyBorder="1"/>
    <xf numFmtId="0" fontId="0" fillId="0" borderId="74" xfId="0" applyBorder="1"/>
    <xf numFmtId="44" fontId="0" fillId="0" borderId="74" xfId="2" applyFont="1" applyFill="1" applyBorder="1"/>
    <xf numFmtId="187" fontId="30" fillId="0" borderId="74" xfId="0" applyNumberFormat="1" applyFont="1" applyBorder="1"/>
    <xf numFmtId="0" fontId="0" fillId="0" borderId="75" xfId="0" applyBorder="1"/>
    <xf numFmtId="44" fontId="0" fillId="0" borderId="44" xfId="2" applyFont="1" applyFill="1" applyBorder="1"/>
    <xf numFmtId="0" fontId="0" fillId="0" borderId="77" xfId="0" applyBorder="1"/>
    <xf numFmtId="0" fontId="39" fillId="0" borderId="0" xfId="0" applyFont="1" applyAlignment="1">
      <alignment wrapText="1"/>
    </xf>
    <xf numFmtId="0" fontId="3" fillId="45" borderId="57" xfId="0" applyFont="1" applyFill="1" applyBorder="1"/>
    <xf numFmtId="3" fontId="3" fillId="46" borderId="57" xfId="0" applyNumberFormat="1" applyFont="1" applyFill="1" applyBorder="1"/>
    <xf numFmtId="3" fontId="2" fillId="9" borderId="57" xfId="0" applyNumberFormat="1" applyFont="1" applyFill="1" applyBorder="1"/>
    <xf numFmtId="0" fontId="0" fillId="39" borderId="0" xfId="0" applyFill="1"/>
    <xf numFmtId="43" fontId="0" fillId="39" borderId="0" xfId="1" applyFont="1" applyFill="1" applyAlignment="1"/>
    <xf numFmtId="43" fontId="0" fillId="39" borderId="0" xfId="1" applyFont="1" applyFill="1"/>
    <xf numFmtId="165" fontId="0" fillId="39" borderId="0" xfId="1" applyNumberFormat="1" applyFont="1" applyFill="1"/>
    <xf numFmtId="165" fontId="0" fillId="30" borderId="0" xfId="1" applyNumberFormat="1" applyFont="1" applyFill="1" applyAlignment="1">
      <alignment wrapText="1"/>
    </xf>
    <xf numFmtId="0" fontId="40" fillId="0" borderId="0" xfId="0" applyFont="1"/>
    <xf numFmtId="4" fontId="40" fillId="0" borderId="0" xfId="0" applyNumberFormat="1" applyFont="1"/>
    <xf numFmtId="4" fontId="0" fillId="0" borderId="0" xfId="0" applyNumberFormat="1"/>
    <xf numFmtId="3" fontId="40" fillId="28" borderId="57" xfId="0" applyNumberFormat="1" applyFont="1" applyFill="1" applyBorder="1"/>
    <xf numFmtId="3" fontId="41" fillId="28" borderId="57" xfId="0" applyNumberFormat="1" applyFont="1" applyFill="1" applyBorder="1"/>
    <xf numFmtId="44" fontId="0" fillId="0" borderId="0" xfId="0" applyNumberFormat="1" applyAlignment="1">
      <alignment wrapText="1"/>
    </xf>
    <xf numFmtId="11" fontId="0" fillId="0" borderId="0" xfId="1" applyNumberFormat="1" applyFont="1"/>
    <xf numFmtId="0" fontId="4" fillId="4" borderId="0" xfId="0" applyFont="1" applyFill="1" applyAlignment="1">
      <alignment wrapText="1"/>
    </xf>
    <xf numFmtId="43" fontId="0" fillId="2" borderId="0" xfId="1" applyFont="1" applyFill="1"/>
    <xf numFmtId="164" fontId="0" fillId="2" borderId="0" xfId="2" applyNumberFormat="1" applyFont="1" applyFill="1"/>
    <xf numFmtId="0" fontId="0" fillId="4" borderId="0" xfId="0" applyFill="1"/>
    <xf numFmtId="164" fontId="0" fillId="4" borderId="0" xfId="2" applyNumberFormat="1" applyFont="1" applyFill="1"/>
    <xf numFmtId="165" fontId="0" fillId="4" borderId="0" xfId="1" applyNumberFormat="1" applyFont="1" applyFill="1"/>
    <xf numFmtId="43" fontId="0" fillId="2" borderId="0" xfId="0" applyNumberFormat="1" applyFill="1"/>
    <xf numFmtId="164" fontId="0" fillId="3" borderId="0" xfId="2" applyNumberFormat="1" applyFont="1" applyFill="1"/>
    <xf numFmtId="0" fontId="0" fillId="2" borderId="0" xfId="0" applyFill="1" applyAlignment="1">
      <alignment wrapText="1"/>
    </xf>
    <xf numFmtId="4" fontId="3" fillId="0" borderId="0" xfId="0" applyNumberFormat="1" applyFont="1"/>
    <xf numFmtId="9" fontId="0" fillId="0" borderId="11" xfId="3" applyFont="1" applyBorder="1"/>
    <xf numFmtId="3" fontId="4" fillId="39" borderId="57" xfId="0" applyNumberFormat="1" applyFont="1" applyFill="1" applyBorder="1" applyAlignment="1">
      <alignment vertical="top"/>
    </xf>
    <xf numFmtId="4" fontId="4" fillId="25" borderId="57" xfId="0" applyNumberFormat="1" applyFont="1" applyFill="1" applyBorder="1" applyAlignment="1">
      <alignment vertical="top"/>
    </xf>
    <xf numFmtId="3" fontId="0" fillId="0" borderId="0" xfId="0" applyNumberFormat="1" applyBorder="1"/>
    <xf numFmtId="3" fontId="0" fillId="0" borderId="0" xfId="0" applyNumberFormat="1" applyFill="1" applyBorder="1"/>
    <xf numFmtId="0" fontId="0" fillId="0" borderId="0" xfId="0" applyFill="1" applyBorder="1"/>
    <xf numFmtId="172" fontId="0" fillId="0" borderId="0" xfId="0" applyNumberFormat="1" applyFill="1" applyBorder="1"/>
    <xf numFmtId="0" fontId="0" fillId="0" borderId="0" xfId="0" applyFill="1" applyBorder="1" applyAlignment="1">
      <alignment horizontal="right"/>
    </xf>
    <xf numFmtId="172" fontId="2" fillId="0" borderId="0" xfId="0" applyNumberFormat="1" applyFont="1" applyFill="1" applyBorder="1"/>
    <xf numFmtId="172" fontId="0" fillId="0" borderId="0" xfId="0" applyNumberFormat="1" applyFill="1" applyBorder="1" applyAlignment="1">
      <alignment horizontal="right"/>
    </xf>
    <xf numFmtId="0" fontId="29" fillId="0" borderId="0" xfId="0" applyFont="1"/>
    <xf numFmtId="8" fontId="0" fillId="0" borderId="11" xfId="0" applyNumberFormat="1" applyBorder="1"/>
    <xf numFmtId="8" fontId="0" fillId="14" borderId="11" xfId="0" applyNumberFormat="1" applyFill="1" applyBorder="1"/>
    <xf numFmtId="0" fontId="4" fillId="9" borderId="57" xfId="0" applyFont="1" applyFill="1" applyBorder="1" applyAlignment="1">
      <alignment horizontal="left" vertical="top"/>
    </xf>
    <xf numFmtId="0" fontId="4" fillId="9" borderId="57" xfId="0" applyFont="1" applyFill="1" applyBorder="1" applyAlignment="1">
      <alignment vertical="top"/>
    </xf>
    <xf numFmtId="8" fontId="30" fillId="9" borderId="57" xfId="0" applyNumberFormat="1" applyFont="1" applyFill="1" applyBorder="1" applyAlignment="1">
      <alignment vertical="top"/>
    </xf>
    <xf numFmtId="8" fontId="4" fillId="9" borderId="57" xfId="0" applyNumberFormat="1" applyFont="1" applyFill="1" applyBorder="1" applyAlignment="1">
      <alignment vertical="top"/>
    </xf>
    <xf numFmtId="1" fontId="30" fillId="2" borderId="57" xfId="0" applyNumberFormat="1" applyFont="1" applyFill="1" applyBorder="1" applyAlignment="1">
      <alignment vertical="top"/>
    </xf>
    <xf numFmtId="0" fontId="3" fillId="0" borderId="26" xfId="0" applyFont="1" applyFill="1" applyBorder="1" applyAlignment="1"/>
    <xf numFmtId="0" fontId="3" fillId="0" borderId="13" xfId="0" applyFont="1" applyFill="1" applyBorder="1" applyAlignment="1"/>
    <xf numFmtId="0" fontId="3" fillId="0" borderId="78" xfId="0" applyFont="1" applyFill="1" applyBorder="1" applyAlignment="1"/>
    <xf numFmtId="0" fontId="3" fillId="0" borderId="0" xfId="0" applyFont="1" applyFill="1" applyBorder="1" applyAlignment="1"/>
    <xf numFmtId="0" fontId="3" fillId="0" borderId="25" xfId="0" applyFont="1" applyFill="1" applyBorder="1" applyAlignment="1"/>
    <xf numFmtId="0" fontId="3" fillId="0" borderId="24" xfId="0" applyFont="1" applyFill="1" applyBorder="1" applyAlignment="1"/>
    <xf numFmtId="6" fontId="3" fillId="0" borderId="24" xfId="0" applyNumberFormat="1" applyFont="1" applyFill="1" applyBorder="1" applyAlignment="1"/>
    <xf numFmtId="0" fontId="3" fillId="0" borderId="79" xfId="0" applyFont="1" applyFill="1" applyBorder="1" applyAlignment="1"/>
    <xf numFmtId="6" fontId="3" fillId="0" borderId="0" xfId="0" applyNumberFormat="1" applyFont="1" applyFill="1" applyBorder="1" applyAlignment="1"/>
    <xf numFmtId="0" fontId="3" fillId="0" borderId="80" xfId="0" applyFont="1" applyFill="1" applyBorder="1" applyAlignment="1"/>
    <xf numFmtId="0" fontId="3" fillId="0" borderId="36" xfId="0" applyFont="1" applyFill="1" applyBorder="1" applyAlignment="1">
      <alignment wrapText="1"/>
    </xf>
    <xf numFmtId="0" fontId="3" fillId="0" borderId="81" xfId="0" applyFont="1" applyFill="1" applyBorder="1" applyAlignment="1"/>
    <xf numFmtId="0" fontId="3" fillId="0" borderId="2" xfId="0" applyFont="1" applyFill="1" applyBorder="1" applyAlignment="1"/>
    <xf numFmtId="0" fontId="3" fillId="47" borderId="76" xfId="0" applyFont="1" applyFill="1" applyBorder="1" applyAlignment="1"/>
    <xf numFmtId="0" fontId="3" fillId="47" borderId="24" xfId="0" applyFont="1" applyFill="1" applyBorder="1" applyAlignment="1">
      <alignment wrapText="1"/>
    </xf>
    <xf numFmtId="0" fontId="3" fillId="0" borderId="24" xfId="0" applyFont="1" applyFill="1" applyBorder="1" applyAlignment="1">
      <alignment wrapText="1"/>
    </xf>
    <xf numFmtId="0" fontId="3" fillId="0" borderId="79" xfId="0" applyFont="1" applyFill="1" applyBorder="1" applyAlignment="1">
      <alignment wrapText="1"/>
    </xf>
    <xf numFmtId="0" fontId="3" fillId="0" borderId="76" xfId="0" applyFont="1" applyFill="1" applyBorder="1" applyAlignment="1"/>
    <xf numFmtId="0" fontId="3" fillId="47" borderId="24" xfId="0" applyFont="1" applyFill="1" applyBorder="1" applyAlignment="1"/>
    <xf numFmtId="9" fontId="3" fillId="47" borderId="24" xfId="0" applyNumberFormat="1" applyFont="1" applyFill="1" applyBorder="1" applyAlignment="1"/>
    <xf numFmtId="3" fontId="3" fillId="47" borderId="24" xfId="0" applyNumberFormat="1" applyFont="1" applyFill="1" applyBorder="1" applyAlignment="1"/>
    <xf numFmtId="3" fontId="3" fillId="19" borderId="24" xfId="0" applyNumberFormat="1" applyFont="1" applyFill="1" applyBorder="1" applyAlignment="1"/>
    <xf numFmtId="3" fontId="3" fillId="0" borderId="79" xfId="0" applyNumberFormat="1" applyFont="1" applyFill="1" applyBorder="1" applyAlignment="1"/>
    <xf numFmtId="9" fontId="3" fillId="0" borderId="24" xfId="0" applyNumberFormat="1" applyFont="1" applyFill="1" applyBorder="1" applyAlignment="1"/>
    <xf numFmtId="3" fontId="3" fillId="0" borderId="24" xfId="0" applyNumberFormat="1" applyFont="1" applyFill="1" applyBorder="1" applyAlignment="1"/>
    <xf numFmtId="10" fontId="3" fillId="47" borderId="24" xfId="0" applyNumberFormat="1" applyFont="1" applyFill="1" applyBorder="1" applyAlignment="1"/>
    <xf numFmtId="3" fontId="3" fillId="48" borderId="81" xfId="0" applyNumberFormat="1" applyFont="1" applyFill="1" applyBorder="1" applyAlignment="1"/>
    <xf numFmtId="3" fontId="3" fillId="48" borderId="2" xfId="0" applyNumberFormat="1" applyFont="1" applyFill="1" applyBorder="1" applyAlignment="1"/>
    <xf numFmtId="0" fontId="3" fillId="0" borderId="16" xfId="0" applyFont="1" applyFill="1" applyBorder="1" applyAlignment="1"/>
    <xf numFmtId="0" fontId="3" fillId="0" borderId="12" xfId="0" applyFont="1" applyFill="1" applyBorder="1" applyAlignment="1"/>
    <xf numFmtId="0" fontId="3" fillId="49" borderId="84" xfId="0" applyFont="1" applyFill="1" applyBorder="1" applyAlignment="1"/>
    <xf numFmtId="0" fontId="3" fillId="49" borderId="81" xfId="0" applyFont="1" applyFill="1" applyBorder="1" applyAlignment="1"/>
    <xf numFmtId="3" fontId="3" fillId="49" borderId="81" xfId="0" applyNumberFormat="1" applyFont="1" applyFill="1" applyBorder="1" applyAlignment="1"/>
    <xf numFmtId="3" fontId="3" fillId="0" borderId="0" xfId="0" applyNumberFormat="1" applyFont="1" applyFill="1" applyBorder="1" applyAlignment="1"/>
    <xf numFmtId="0" fontId="3" fillId="0" borderId="0" xfId="0" applyFont="1" applyFill="1" applyAlignment="1"/>
    <xf numFmtId="0" fontId="3" fillId="0" borderId="12" xfId="0" applyFont="1" applyFill="1" applyBorder="1" applyAlignment="1">
      <alignment wrapText="1"/>
    </xf>
    <xf numFmtId="0" fontId="3" fillId="0" borderId="0" xfId="0" applyFont="1" applyFill="1" applyBorder="1" applyAlignment="1">
      <alignment wrapText="1"/>
    </xf>
    <xf numFmtId="0" fontId="5" fillId="0" borderId="24" xfId="0" applyFont="1" applyFill="1" applyBorder="1" applyAlignment="1">
      <alignment wrapText="1"/>
    </xf>
    <xf numFmtId="3" fontId="3" fillId="49" borderId="12" xfId="0" applyNumberFormat="1" applyFont="1" applyFill="1" applyBorder="1" applyAlignment="1"/>
    <xf numFmtId="3" fontId="3" fillId="49" borderId="24" xfId="0" applyNumberFormat="1" applyFont="1" applyFill="1" applyBorder="1" applyAlignment="1"/>
    <xf numFmtId="0" fontId="5" fillId="0" borderId="12" xfId="0" applyFont="1" applyFill="1" applyBorder="1" applyAlignment="1"/>
    <xf numFmtId="0" fontId="5" fillId="47" borderId="10" xfId="0" applyFont="1" applyFill="1" applyBorder="1" applyAlignment="1"/>
    <xf numFmtId="0" fontId="3" fillId="47" borderId="9" xfId="0" applyFont="1" applyFill="1" applyBorder="1" applyAlignment="1"/>
    <xf numFmtId="0" fontId="3" fillId="47" borderId="8" xfId="0" applyFont="1" applyFill="1" applyBorder="1" applyAlignment="1"/>
    <xf numFmtId="0" fontId="3" fillId="47" borderId="7" xfId="0" applyFont="1" applyFill="1" applyBorder="1" applyAlignment="1"/>
    <xf numFmtId="0" fontId="5" fillId="47" borderId="4" xfId="0" applyFont="1" applyFill="1" applyBorder="1" applyAlignment="1"/>
    <xf numFmtId="0" fontId="3" fillId="47" borderId="0" xfId="0" applyFont="1" applyFill="1" applyBorder="1" applyAlignment="1"/>
    <xf numFmtId="0" fontId="3" fillId="47" borderId="5" xfId="0" applyFont="1" applyFill="1" applyBorder="1" applyAlignment="1"/>
    <xf numFmtId="0" fontId="3" fillId="47" borderId="6" xfId="0" applyFont="1" applyFill="1" applyBorder="1" applyAlignment="1"/>
    <xf numFmtId="6" fontId="3" fillId="47" borderId="0" xfId="0" applyNumberFormat="1" applyFont="1" applyFill="1" applyBorder="1" applyAlignment="1"/>
    <xf numFmtId="0" fontId="5" fillId="50" borderId="6" xfId="0" applyFont="1" applyFill="1" applyBorder="1" applyAlignment="1"/>
    <xf numFmtId="0" fontId="3" fillId="50" borderId="0" xfId="0" applyFont="1" applyFill="1" applyBorder="1" applyAlignment="1"/>
    <xf numFmtId="6" fontId="3" fillId="50" borderId="0" xfId="0" applyNumberFormat="1" applyFont="1" applyFill="1" applyBorder="1" applyAlignment="1"/>
    <xf numFmtId="0" fontId="5" fillId="48" borderId="4" xfId="0" applyFont="1" applyFill="1" applyBorder="1" applyAlignment="1"/>
    <xf numFmtId="0" fontId="3" fillId="48" borderId="3" xfId="0" applyFont="1" applyFill="1" applyBorder="1" applyAlignment="1"/>
    <xf numFmtId="6" fontId="3" fillId="48" borderId="3" xfId="0" applyNumberFormat="1" applyFont="1" applyFill="1" applyBorder="1" applyAlignment="1"/>
    <xf numFmtId="0" fontId="3" fillId="47" borderId="3" xfId="0" applyFont="1" applyFill="1" applyBorder="1" applyAlignment="1"/>
    <xf numFmtId="6" fontId="3" fillId="48" borderId="2" xfId="0" applyNumberFormat="1" applyFont="1" applyFill="1" applyBorder="1" applyAlignment="1"/>
    <xf numFmtId="8" fontId="3" fillId="0" borderId="0" xfId="0" applyNumberFormat="1" applyFont="1" applyFill="1" applyBorder="1" applyAlignment="1"/>
    <xf numFmtId="187" fontId="0" fillId="0" borderId="0" xfId="0" applyNumberFormat="1"/>
    <xf numFmtId="0" fontId="39" fillId="0" borderId="0" xfId="0" applyFont="1"/>
    <xf numFmtId="187" fontId="0" fillId="0" borderId="0" xfId="1" applyNumberFormat="1" applyFont="1"/>
    <xf numFmtId="0" fontId="0" fillId="0" borderId="0" xfId="0" applyAlignment="1">
      <alignment horizontal="center"/>
    </xf>
    <xf numFmtId="0" fontId="32" fillId="0" borderId="3" xfId="0" applyFont="1" applyBorder="1" applyAlignment="1">
      <alignment horizontal="center"/>
    </xf>
    <xf numFmtId="0" fontId="32" fillId="34" borderId="39" xfId="0" applyFont="1" applyFill="1" applyBorder="1" applyAlignment="1">
      <alignment horizontal="center"/>
    </xf>
    <xf numFmtId="0" fontId="32" fillId="34" borderId="38" xfId="0" applyFont="1" applyFill="1" applyBorder="1" applyAlignment="1">
      <alignment horizontal="center"/>
    </xf>
    <xf numFmtId="0" fontId="32" fillId="0" borderId="11" xfId="0" applyFont="1" applyBorder="1" applyAlignment="1">
      <alignment horizontal="center"/>
    </xf>
    <xf numFmtId="0" fontId="32" fillId="0" borderId="19" xfId="0" applyFont="1" applyBorder="1" applyAlignment="1">
      <alignment horizontal="center"/>
    </xf>
    <xf numFmtId="0" fontId="32" fillId="34" borderId="61" xfId="0" applyFont="1" applyFill="1" applyBorder="1" applyAlignment="1">
      <alignment horizontal="center"/>
    </xf>
    <xf numFmtId="0" fontId="32" fillId="34" borderId="62" xfId="0" applyFont="1" applyFill="1" applyBorder="1" applyAlignment="1">
      <alignment horizontal="center"/>
    </xf>
    <xf numFmtId="0" fontId="2" fillId="13" borderId="11" xfId="0" applyFont="1" applyFill="1" applyBorder="1" applyAlignment="1">
      <alignment horizontal="center" wrapText="1"/>
    </xf>
    <xf numFmtId="0" fontId="0" fillId="0" borderId="0" xfId="0" applyAlignment="1">
      <alignment horizontal="left" wrapText="1"/>
    </xf>
    <xf numFmtId="0" fontId="2" fillId="0" borderId="0" xfId="0" applyFont="1" applyAlignment="1">
      <alignment horizontal="left" vertical="top" wrapText="1"/>
    </xf>
    <xf numFmtId="0" fontId="4" fillId="3" borderId="39" xfId="0" applyFont="1" applyFill="1" applyBorder="1" applyAlignment="1">
      <alignment horizontal="center" vertical="top" wrapText="1"/>
    </xf>
    <xf numFmtId="0" fontId="4" fillId="3" borderId="40" xfId="0" applyFont="1" applyFill="1" applyBorder="1" applyAlignment="1">
      <alignment horizontal="center" vertical="top" wrapText="1"/>
    </xf>
    <xf numFmtId="0" fontId="4" fillId="3" borderId="38" xfId="0" applyFont="1" applyFill="1" applyBorder="1" applyAlignment="1">
      <alignment horizontal="center" vertical="top" wrapText="1"/>
    </xf>
    <xf numFmtId="0" fontId="4" fillId="19" borderId="39" xfId="0" applyFont="1" applyFill="1" applyBorder="1" applyAlignment="1">
      <alignment horizontal="center" vertical="top" wrapText="1"/>
    </xf>
    <xf numFmtId="0" fontId="4" fillId="19" borderId="40" xfId="0" applyFont="1" applyFill="1" applyBorder="1" applyAlignment="1">
      <alignment horizontal="center" vertical="top" wrapText="1"/>
    </xf>
    <xf numFmtId="0" fontId="4" fillId="19" borderId="38" xfId="0" applyFont="1" applyFill="1" applyBorder="1" applyAlignment="1">
      <alignment horizontal="center" vertical="top" wrapText="1"/>
    </xf>
    <xf numFmtId="0" fontId="22" fillId="34" borderId="11" xfId="0" applyFont="1" applyFill="1" applyBorder="1" applyAlignment="1">
      <alignment horizontal="center" wrapText="1"/>
    </xf>
    <xf numFmtId="0" fontId="3" fillId="0" borderId="22" xfId="0" applyFont="1" applyFill="1" applyBorder="1" applyAlignment="1">
      <alignment wrapText="1"/>
    </xf>
    <xf numFmtId="0" fontId="3" fillId="0" borderId="9" xfId="0" applyFont="1" applyFill="1" applyBorder="1" applyAlignment="1">
      <alignment wrapText="1"/>
    </xf>
    <xf numFmtId="0" fontId="3" fillId="0" borderId="82" xfId="0" applyFont="1" applyFill="1" applyBorder="1" applyAlignment="1">
      <alignment wrapText="1"/>
    </xf>
    <xf numFmtId="0" fontId="3" fillId="48" borderId="18" xfId="0" applyFont="1" applyFill="1" applyBorder="1" applyAlignment="1"/>
    <xf numFmtId="0" fontId="3" fillId="48" borderId="14" xfId="0" applyFont="1" applyFill="1" applyBorder="1" applyAlignment="1"/>
    <xf numFmtId="0" fontId="3" fillId="48" borderId="83" xfId="0" applyFont="1" applyFill="1" applyBorder="1" applyAlignment="1"/>
    <xf numFmtId="0" fontId="3" fillId="0" borderId="15" xfId="0" applyFont="1" applyFill="1" applyBorder="1" applyAlignment="1">
      <alignment wrapText="1"/>
    </xf>
    <xf numFmtId="0" fontId="3" fillId="0" borderId="13" xfId="0" applyFont="1" applyFill="1" applyBorder="1" applyAlignment="1">
      <alignment wrapText="1"/>
    </xf>
    <xf numFmtId="0" fontId="3" fillId="0" borderId="14" xfId="0" applyFont="1" applyFill="1" applyBorder="1" applyAlignment="1">
      <alignment wrapText="1"/>
    </xf>
    <xf numFmtId="0" fontId="3" fillId="0" borderId="83" xfId="0" applyFont="1" applyFill="1" applyBorder="1" applyAlignment="1">
      <alignment wrapText="1"/>
    </xf>
    <xf numFmtId="0" fontId="12" fillId="7" borderId="39" xfId="0" applyFont="1" applyFill="1" applyBorder="1" applyAlignment="1">
      <alignment horizontal="center" wrapText="1"/>
    </xf>
    <xf numFmtId="0" fontId="12" fillId="7" borderId="40" xfId="0" applyFont="1" applyFill="1" applyBorder="1" applyAlignment="1">
      <alignment horizontal="center" wrapText="1"/>
    </xf>
    <xf numFmtId="0" fontId="12" fillId="7" borderId="38" xfId="0" applyFont="1" applyFill="1" applyBorder="1" applyAlignment="1">
      <alignment horizontal="center" wrapText="1"/>
    </xf>
    <xf numFmtId="0" fontId="0" fillId="0" borderId="0" xfId="0" applyAlignment="1">
      <alignment horizontal="center"/>
    </xf>
    <xf numFmtId="0" fontId="0" fillId="0" borderId="3" xfId="0" applyBorder="1" applyAlignment="1">
      <alignment horizontal="center"/>
    </xf>
    <xf numFmtId="0" fontId="32" fillId="0" borderId="3" xfId="0" applyFont="1" applyBorder="1" applyAlignment="1">
      <alignment horizontal="center"/>
    </xf>
    <xf numFmtId="0" fontId="32" fillId="34" borderId="39" xfId="0" applyFont="1" applyFill="1" applyBorder="1" applyAlignment="1">
      <alignment horizontal="center"/>
    </xf>
    <xf numFmtId="0" fontId="32" fillId="34" borderId="40" xfId="0" applyFont="1" applyFill="1" applyBorder="1" applyAlignment="1">
      <alignment horizontal="center"/>
    </xf>
    <xf numFmtId="0" fontId="32" fillId="34" borderId="38" xfId="0" applyFont="1" applyFill="1" applyBorder="1" applyAlignment="1">
      <alignment horizontal="center"/>
    </xf>
    <xf numFmtId="0" fontId="0" fillId="0" borderId="22" xfId="0" applyBorder="1" applyAlignment="1">
      <alignment horizontal="center" wrapText="1"/>
    </xf>
    <xf numFmtId="0" fontId="0" fillId="0" borderId="9" xfId="0" applyBorder="1" applyAlignment="1">
      <alignment horizontal="center" wrapText="1"/>
    </xf>
    <xf numFmtId="0" fontId="0" fillId="0" borderId="21" xfId="0" applyBorder="1" applyAlignment="1">
      <alignment horizontal="center" wrapText="1"/>
    </xf>
    <xf numFmtId="0" fontId="0" fillId="6" borderId="18" xfId="0" applyFill="1" applyBorder="1" applyAlignment="1">
      <alignment horizontal="right"/>
    </xf>
    <xf numFmtId="0" fontId="0" fillId="6" borderId="14" xfId="0" applyFill="1" applyBorder="1" applyAlignment="1">
      <alignment horizontal="right"/>
    </xf>
    <xf numFmtId="0" fontId="0" fillId="6" borderId="13" xfId="0" applyFill="1" applyBorder="1" applyAlignment="1">
      <alignment horizontal="right"/>
    </xf>
    <xf numFmtId="0" fontId="32" fillId="0" borderId="0" xfId="0" applyFont="1" applyAlignment="1">
      <alignment horizontal="center" wrapText="1"/>
    </xf>
    <xf numFmtId="0" fontId="32" fillId="34" borderId="76" xfId="0" applyFont="1" applyFill="1" applyBorder="1" applyAlignment="1">
      <alignment horizontal="center"/>
    </xf>
    <xf numFmtId="0" fontId="32" fillId="34" borderId="12" xfId="0" applyFont="1" applyFill="1" applyBorder="1" applyAlignment="1">
      <alignment horizontal="center"/>
    </xf>
    <xf numFmtId="0" fontId="32" fillId="34" borderId="61" xfId="0" applyFont="1" applyFill="1" applyBorder="1" applyAlignment="1">
      <alignment horizontal="center"/>
    </xf>
    <xf numFmtId="0" fontId="32" fillId="34" borderId="62" xfId="0" applyFont="1" applyFill="1" applyBorder="1" applyAlignment="1">
      <alignment horizontal="center"/>
    </xf>
    <xf numFmtId="0" fontId="32" fillId="0" borderId="11" xfId="0" applyFont="1" applyBorder="1" applyAlignment="1">
      <alignment horizontal="center"/>
    </xf>
    <xf numFmtId="0" fontId="32" fillId="0" borderId="19" xfId="0" applyFont="1" applyBorder="1" applyAlignment="1">
      <alignment horizontal="center"/>
    </xf>
    <xf numFmtId="0" fontId="32" fillId="0" borderId="41" xfId="0" applyFont="1" applyBorder="1" applyAlignment="1">
      <alignment horizontal="center"/>
    </xf>
    <xf numFmtId="0" fontId="32" fillId="0" borderId="23" xfId="0" applyFont="1" applyBorder="1" applyAlignment="1">
      <alignment horizontal="center"/>
    </xf>
    <xf numFmtId="0" fontId="2" fillId="13" borderId="11" xfId="0" applyFont="1" applyFill="1" applyBorder="1" applyAlignment="1">
      <alignment horizontal="center" wrapText="1"/>
    </xf>
    <xf numFmtId="0" fontId="2" fillId="13" borderId="41" xfId="0" applyFont="1" applyFill="1" applyBorder="1" applyAlignment="1">
      <alignment horizontal="center" wrapText="1"/>
    </xf>
    <xf numFmtId="0" fontId="2" fillId="13" borderId="49" xfId="0" applyFont="1" applyFill="1" applyBorder="1" applyAlignment="1">
      <alignment horizontal="center" wrapText="1"/>
    </xf>
    <xf numFmtId="0" fontId="22" fillId="13" borderId="43" xfId="0" applyFont="1" applyFill="1" applyBorder="1" applyAlignment="1">
      <alignment horizontal="left" vertical="top" wrapText="1"/>
    </xf>
    <xf numFmtId="0" fontId="22" fillId="13" borderId="31" xfId="0" applyFont="1" applyFill="1" applyBorder="1" applyAlignment="1">
      <alignment horizontal="left" vertical="top" wrapText="1"/>
    </xf>
    <xf numFmtId="0" fontId="0" fillId="0" borderId="0" xfId="0" applyAlignment="1">
      <alignment horizontal="left" wrapText="1"/>
    </xf>
    <xf numFmtId="0" fontId="0" fillId="0" borderId="48" xfId="0" quotePrefix="1" applyBorder="1" applyAlignment="1">
      <alignment horizontal="right" wrapText="1"/>
    </xf>
    <xf numFmtId="0" fontId="0" fillId="13" borderId="47" xfId="0" applyFill="1" applyBorder="1" applyAlignment="1">
      <alignment horizontal="center"/>
    </xf>
    <xf numFmtId="0" fontId="0" fillId="13" borderId="56" xfId="0" applyFill="1" applyBorder="1" applyAlignment="1">
      <alignment horizontal="center"/>
    </xf>
    <xf numFmtId="0" fontId="0" fillId="13" borderId="52" xfId="0" applyFill="1" applyBorder="1" applyAlignment="1">
      <alignment horizontal="center"/>
    </xf>
  </cellXfs>
  <cellStyles count="8">
    <cellStyle name="Comma" xfId="1" builtinId="3"/>
    <cellStyle name="Currency" xfId="2" builtinId="4"/>
    <cellStyle name="Currency 2" xfId="7" xr:uid="{0DEEE0E0-442C-46B4-A467-8F4A9EA085A5}"/>
    <cellStyle name="Hyperlink" xfId="5" builtinId="8"/>
    <cellStyle name="Hyperlink 2" xfId="4" xr:uid="{B85455E2-B218-4698-A22D-6BD5C8C7177B}"/>
    <cellStyle name="Normal" xfId="0" builtinId="0"/>
    <cellStyle name="Percent" xfId="3" builtinId="5"/>
    <cellStyle name="Percent 2" xfId="6" xr:uid="{CDE75F8F-7A42-4A10-9976-78412B4DED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microsoft.com/office/2017/10/relationships/person" Target="persons/person.xml"/><Relationship Id="rId8" Type="http://schemas.openxmlformats.org/officeDocument/2006/relationships/worksheet" Target="worksheets/shee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10</xdr:col>
      <xdr:colOff>30480</xdr:colOff>
      <xdr:row>0</xdr:row>
      <xdr:rowOff>103632</xdr:rowOff>
    </xdr:from>
    <xdr:to>
      <xdr:col>11</xdr:col>
      <xdr:colOff>731520</xdr:colOff>
      <xdr:row>0</xdr:row>
      <xdr:rowOff>390144</xdr:rowOff>
    </xdr:to>
    <xdr:sp macro="" textlink="">
      <xdr:nvSpPr>
        <xdr:cNvPr id="60" name="TextBox 1">
          <a:extLst>
            <a:ext uri="{FF2B5EF4-FFF2-40B4-BE49-F238E27FC236}">
              <a16:creationId xmlns:a16="http://schemas.microsoft.com/office/drawing/2014/main" id="{C70F85D8-4DD6-F395-69C6-B57076E9AAF7}"/>
            </a:ext>
          </a:extLst>
        </xdr:cNvPr>
        <xdr:cNvSpPr txBox="1"/>
      </xdr:nvSpPr>
      <xdr:spPr>
        <a:xfrm>
          <a:off x="17519904" y="103632"/>
          <a:ext cx="1956816" cy="2865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Annual Emission</a:t>
          </a:r>
          <a:r>
            <a:rPr lang="en-US" sz="1100" b="1" baseline="0"/>
            <a:t>s Calculations</a:t>
          </a:r>
          <a:endParaRPr lang="en-US" sz="1100" b="1"/>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9540</xdr:colOff>
      <xdr:row>15</xdr:row>
      <xdr:rowOff>39297</xdr:rowOff>
    </xdr:from>
    <xdr:ext cx="2889659" cy="2200046"/>
    <xdr:pic>
      <xdr:nvPicPr>
        <xdr:cNvPr id="2" name="Picture 1">
          <a:extLst>
            <a:ext uri="{FF2B5EF4-FFF2-40B4-BE49-F238E27FC236}">
              <a16:creationId xmlns:a16="http://schemas.microsoft.com/office/drawing/2014/main" id="{2D0F8460-5EF3-4192-8FAE-D7DFF8DA3588}"/>
            </a:ext>
          </a:extLst>
        </xdr:cNvPr>
        <xdr:cNvPicPr>
          <a:picLocks noChangeAspect="1"/>
        </xdr:cNvPicPr>
      </xdr:nvPicPr>
      <xdr:blipFill>
        <a:blip xmlns:r="http://schemas.openxmlformats.org/officeDocument/2006/relationships" r:embed="rId1"/>
        <a:stretch>
          <a:fillRect/>
        </a:stretch>
      </xdr:blipFill>
      <xdr:spPr>
        <a:xfrm>
          <a:off x="3057540" y="2801547"/>
          <a:ext cx="2889659" cy="220004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stateoforegon-my.sharepoint.com/personal/martin_brown_deq_oregon_gov/Documents/eeioModeling/cprg%20materials/builtEnvironmentAndFoodWasteMeasuresCPRGv3forCPRG.xlsx" TargetMode="External"/><Relationship Id="rId1" Type="http://schemas.openxmlformats.org/officeDocument/2006/relationships/externalLinkPath" Target="/personal/martin_brown_deq_oregon_gov/Documents/eeioModeling/cprg%20materials/builtEnvironmentAndFoodWasteMeasuresCPRGv3forCPRG.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stateoforegon-my.sharepoint.com/personal/morgan_schafer_deq_oregon_gov/Documents/CPRG/Implementation%20Grant%20Application/Technical%20documentation/MD_HD_GHG_Calcs_Draft_V9%203_21_2024.xlsx" TargetMode="External"/><Relationship Id="rId1" Type="http://schemas.openxmlformats.org/officeDocument/2006/relationships/externalLinkPath" Target="MD_HD_GHG_Calcs_Draft_V9%203_21_202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stateoforegon.sharepoint.com/sites/ODOE-EnergyTechnologyPolicy/Shared%20Documents/CPRG/PCAP/ODOE%20-%20PCAP%20Data%20v3.xlsx" TargetMode="External"/><Relationship Id="rId1" Type="http://schemas.openxmlformats.org/officeDocument/2006/relationships/externalLinkPath" Target="https://stateoforegon.sharepoint.com/sites/ODOE-EnergyTechnologyPolicy/Shared%20Documents/CPRG/PCAP/ODOE%20-%20PCAP%20Data%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8_PKZr8D_0uDtgmf6mVJF5ogtnLYMqVJrQ8howy80DYsric3bP_oQJsE9W2-TsFB" itemId="016ZMJDXL7ZTQUC5HDE5CZJB3W5DZ2JWP4">
      <xxl21:absoluteUrl r:id="rId2"/>
    </xxl21:alternateUrls>
    <sheetNames>
      <sheetName val="summary"/>
      <sheetName val="bothBldgMeasureAnnual"/>
      <sheetName val="commercial2res"/>
      <sheetName val="smallHousing"/>
      <sheetName val="foodWasteInf"/>
      <sheetName val="landfillMethane"/>
    </sheetNames>
    <sheetDataSet>
      <sheetData sheetId="0"/>
      <sheetData sheetId="1"/>
      <sheetData sheetId="2">
        <row r="12">
          <cell r="B12">
            <v>210</v>
          </cell>
        </row>
        <row r="20">
          <cell r="A20">
            <v>2.57</v>
          </cell>
        </row>
        <row r="23">
          <cell r="A23">
            <v>3550.9</v>
          </cell>
        </row>
        <row r="24">
          <cell r="A24">
            <v>4889.5</v>
          </cell>
        </row>
        <row r="25">
          <cell r="A25">
            <v>2.2999999999999998</v>
          </cell>
        </row>
        <row r="26">
          <cell r="A26">
            <v>1</v>
          </cell>
        </row>
        <row r="27">
          <cell r="A27">
            <v>7.4</v>
          </cell>
        </row>
        <row r="28">
          <cell r="A28">
            <v>4.2</v>
          </cell>
        </row>
        <row r="30">
          <cell r="A30">
            <v>100402.68</v>
          </cell>
        </row>
        <row r="31">
          <cell r="A31">
            <v>60593.157999999996</v>
          </cell>
        </row>
        <row r="32">
          <cell r="A32">
            <v>0.107</v>
          </cell>
        </row>
        <row r="33">
          <cell r="A33">
            <v>42.3</v>
          </cell>
        </row>
        <row r="34">
          <cell r="A34">
            <v>11.1</v>
          </cell>
        </row>
      </sheetData>
      <sheetData sheetId="3"/>
      <sheetData sheetId="4">
        <row r="20">
          <cell r="A20">
            <v>79.100981221458895</v>
          </cell>
        </row>
        <row r="21">
          <cell r="A21">
            <v>95.183471841097401</v>
          </cell>
        </row>
        <row r="22">
          <cell r="A22">
            <v>399.3824564862133</v>
          </cell>
        </row>
        <row r="24">
          <cell r="A24">
            <v>95.183471841097401</v>
          </cell>
        </row>
        <row r="25">
          <cell r="A25">
            <v>232.48355959641131</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8oue0msB_k68xO9ViE3kPpogtnLYMqVJrQ8howy80DYsric3bP_oQJsE9W2-TsFB" itemId="0147G32WPIELPAQQVGDRHL34UO6QK3QLJA">
      <xxl21:absoluteUrl r:id="rId2"/>
    </xxl21:alternateUrls>
    <sheetNames>
      <sheetName val="MHD Chargers (21 units)"/>
      <sheetName val="MHD Chargers (11 units)"/>
      <sheetName val="MHD  rebate"/>
      <sheetName val="MHD  Grant 45%"/>
      <sheetName val="AFLEET CFI EPA HIGH"/>
      <sheetName val="AFLEET CFI EPA 30%"/>
      <sheetName val="Non GHG Emission Factors"/>
      <sheetName val="B5 emissions calculation "/>
      <sheetName val="Non GHG"/>
      <sheetName val="eCascadia"/>
      <sheetName val="eM2"/>
    </sheetNames>
    <sheetDataSet>
      <sheetData sheetId="0"/>
      <sheetData sheetId="1"/>
      <sheetData sheetId="2"/>
      <sheetData sheetId="3"/>
      <sheetData sheetId="4">
        <row r="32">
          <cell r="B32">
            <v>9.5723164190810781</v>
          </cell>
          <cell r="C32">
            <v>13.989450534571834</v>
          </cell>
          <cell r="D32">
            <v>22.219508385596857</v>
          </cell>
          <cell r="E32">
            <v>0.18820223484251516</v>
          </cell>
          <cell r="F32">
            <v>0.1705759342853721</v>
          </cell>
          <cell r="G32">
            <v>1.1025342113477437</v>
          </cell>
          <cell r="H32">
            <v>4.0974956137489221E-2</v>
          </cell>
        </row>
        <row r="33">
          <cell r="B33">
            <v>49.7760453792216</v>
          </cell>
          <cell r="C33">
            <v>72.745142779773545</v>
          </cell>
          <cell r="D33">
            <v>115.54144360510365</v>
          </cell>
          <cell r="E33">
            <v>0.97865162118107896</v>
          </cell>
          <cell r="F33">
            <v>0.88699485828393498</v>
          </cell>
          <cell r="G33">
            <v>5.7331778990082682</v>
          </cell>
          <cell r="H33">
            <v>0.21306977191494395</v>
          </cell>
        </row>
      </sheetData>
      <sheetData sheetId="5">
        <row r="30">
          <cell r="D30" t="str">
            <v>CO</v>
          </cell>
          <cell r="E30" t="str">
            <v>NOx</v>
          </cell>
          <cell r="F30" t="str">
            <v>PM10</v>
          </cell>
          <cell r="G30" t="str">
            <v>PM2.5</v>
          </cell>
          <cell r="H30" t="str">
            <v>VOC</v>
          </cell>
          <cell r="I30" t="str">
            <v>SOx</v>
          </cell>
        </row>
        <row r="32">
          <cell r="C32">
            <v>24.149805647371259</v>
          </cell>
          <cell r="D32">
            <v>35.293704964660584</v>
          </cell>
          <cell r="E32">
            <v>56.057153315854585</v>
          </cell>
          <cell r="F32">
            <v>0.47481165423948457</v>
          </cell>
          <cell r="G32">
            <v>0.43034261308987948</v>
          </cell>
          <cell r="H32">
            <v>2.7815615111249952</v>
          </cell>
          <cell r="I32">
            <v>0.10337489734014879</v>
          </cell>
        </row>
        <row r="33">
          <cell r="C33">
            <v>314.45059436681328</v>
          </cell>
          <cell r="D33">
            <v>459.55345006068472</v>
          </cell>
          <cell r="E33">
            <v>729.91085046685669</v>
          </cell>
          <cell r="F33">
            <v>6.1824434145766229</v>
          </cell>
          <cell r="G33">
            <v>5.6034194412744727</v>
          </cell>
          <cell r="H33">
            <v>36.218248842773377</v>
          </cell>
          <cell r="I33">
            <v>1.3460273091165209</v>
          </cell>
        </row>
        <row r="56">
          <cell r="D56"/>
          <cell r="E56"/>
          <cell r="F56"/>
          <cell r="G56"/>
          <cell r="H56"/>
          <cell r="I56"/>
        </row>
      </sheetData>
      <sheetData sheetId="6">
        <row r="11">
          <cell r="D11">
            <v>0</v>
          </cell>
          <cell r="E11">
            <v>17.57280915016667</v>
          </cell>
          <cell r="F11">
            <v>30.124815686000005</v>
          </cell>
          <cell r="G11">
            <v>41.170581437533336</v>
          </cell>
          <cell r="H11">
            <v>41.170581437533336</v>
          </cell>
          <cell r="I11">
            <v>41.170581437533336</v>
          </cell>
          <cell r="J11">
            <v>41.170581437533336</v>
          </cell>
          <cell r="K11">
            <v>41.170581437533336</v>
          </cell>
          <cell r="L11">
            <v>41.170581437533336</v>
          </cell>
          <cell r="M11">
            <v>41.170581437533336</v>
          </cell>
          <cell r="N11">
            <v>41.170581437533336</v>
          </cell>
          <cell r="O11">
            <v>41.170581437533336</v>
          </cell>
          <cell r="P11">
            <v>41.170581437533336</v>
          </cell>
          <cell r="Q11">
            <v>41.170581437533336</v>
          </cell>
          <cell r="R11">
            <v>41.170581437533336</v>
          </cell>
          <cell r="S11">
            <v>41.170581437533336</v>
          </cell>
          <cell r="T11">
            <v>41.170581437533336</v>
          </cell>
          <cell r="U11">
            <v>41.170581437533336</v>
          </cell>
          <cell r="V11">
            <v>41.170581437533336</v>
          </cell>
          <cell r="W11">
            <v>41.170581437533336</v>
          </cell>
          <cell r="X11">
            <v>41.170581437533336</v>
          </cell>
          <cell r="Y11">
            <v>23.59777228736667</v>
          </cell>
          <cell r="Z11">
            <v>0</v>
          </cell>
          <cell r="AA11">
            <v>0</v>
          </cell>
          <cell r="AB11">
            <v>0</v>
          </cell>
          <cell r="AC11">
            <v>0</v>
          </cell>
        </row>
        <row r="12">
          <cell r="D12">
            <v>0</v>
          </cell>
          <cell r="E12">
            <v>1.0353675544788334</v>
          </cell>
          <cell r="F12">
            <v>1.7749158076780001</v>
          </cell>
          <cell r="G12">
            <v>2.4257182704932667</v>
          </cell>
          <cell r="H12">
            <v>2.4257182704932667</v>
          </cell>
          <cell r="I12">
            <v>2.4257182704932667</v>
          </cell>
          <cell r="J12">
            <v>2.4257182704932667</v>
          </cell>
          <cell r="K12">
            <v>2.4257182704932667</v>
          </cell>
          <cell r="L12">
            <v>2.4257182704932667</v>
          </cell>
          <cell r="M12">
            <v>2.4257182704932667</v>
          </cell>
          <cell r="N12">
            <v>2.4257182704932667</v>
          </cell>
          <cell r="O12">
            <v>2.4257182704932667</v>
          </cell>
          <cell r="P12">
            <v>2.4257182704932667</v>
          </cell>
          <cell r="Q12">
            <v>2.4257182704932667</v>
          </cell>
          <cell r="R12">
            <v>2.4257182704932667</v>
          </cell>
          <cell r="S12">
            <v>2.4257182704932667</v>
          </cell>
          <cell r="T12">
            <v>2.4257182704932667</v>
          </cell>
          <cell r="U12">
            <v>2.4257182704932667</v>
          </cell>
          <cell r="V12">
            <v>2.4257182704932667</v>
          </cell>
          <cell r="W12">
            <v>2.4257182704932667</v>
          </cell>
          <cell r="X12">
            <v>2.4257182704932667</v>
          </cell>
          <cell r="Y12">
            <v>1.3903507160144335</v>
          </cell>
          <cell r="Z12">
            <v>0</v>
          </cell>
          <cell r="AA12">
            <v>0</v>
          </cell>
          <cell r="AB12">
            <v>0</v>
          </cell>
          <cell r="AC12">
            <v>0</v>
          </cell>
        </row>
        <row r="13">
          <cell r="D13">
            <v>0</v>
          </cell>
          <cell r="E13">
            <v>1.7838016461183335</v>
          </cell>
          <cell r="F13">
            <v>3.0579456790600004</v>
          </cell>
          <cell r="G13">
            <v>4.1791924280486672</v>
          </cell>
          <cell r="H13">
            <v>4.1791924280486672</v>
          </cell>
          <cell r="I13">
            <v>4.1791924280486672</v>
          </cell>
          <cell r="J13">
            <v>4.1791924280486672</v>
          </cell>
          <cell r="K13">
            <v>4.1791924280486672</v>
          </cell>
          <cell r="L13">
            <v>4.1791924280486672</v>
          </cell>
          <cell r="M13">
            <v>4.1791924280486672</v>
          </cell>
          <cell r="N13">
            <v>4.1791924280486672</v>
          </cell>
          <cell r="O13">
            <v>4.1791924280486672</v>
          </cell>
          <cell r="P13">
            <v>4.1791924280486672</v>
          </cell>
          <cell r="Q13">
            <v>4.1791924280486672</v>
          </cell>
          <cell r="R13">
            <v>4.1791924280486672</v>
          </cell>
          <cell r="S13">
            <v>4.1791924280486672</v>
          </cell>
          <cell r="T13">
            <v>4.1791924280486672</v>
          </cell>
          <cell r="U13">
            <v>4.1791924280486672</v>
          </cell>
          <cell r="V13">
            <v>4.1791924280486672</v>
          </cell>
          <cell r="W13">
            <v>4.1791924280486672</v>
          </cell>
          <cell r="X13">
            <v>4.1791924280486672</v>
          </cell>
          <cell r="Y13">
            <v>2.3953907819303333</v>
          </cell>
          <cell r="Z13">
            <v>0</v>
          </cell>
          <cell r="AA13">
            <v>0</v>
          </cell>
          <cell r="AB13">
            <v>0</v>
          </cell>
          <cell r="AC13">
            <v>0</v>
          </cell>
        </row>
        <row r="14">
          <cell r="D14">
            <v>0</v>
          </cell>
          <cell r="E14">
            <v>5.338720501158333</v>
          </cell>
          <cell r="F14">
            <v>9.1520922877000004</v>
          </cell>
          <cell r="G14">
            <v>12.507859459856666</v>
          </cell>
          <cell r="H14">
            <v>12.507859459856666</v>
          </cell>
          <cell r="I14">
            <v>12.507859459856666</v>
          </cell>
          <cell r="J14">
            <v>12.507859459856666</v>
          </cell>
          <cell r="K14">
            <v>12.507859459856666</v>
          </cell>
          <cell r="L14">
            <v>12.507859459856666</v>
          </cell>
          <cell r="M14">
            <v>12.507859459856666</v>
          </cell>
          <cell r="N14">
            <v>12.507859459856666</v>
          </cell>
          <cell r="O14">
            <v>12.507859459856666</v>
          </cell>
          <cell r="P14">
            <v>12.507859459856666</v>
          </cell>
          <cell r="Q14">
            <v>12.507859459856666</v>
          </cell>
          <cell r="R14">
            <v>12.507859459856666</v>
          </cell>
          <cell r="S14">
            <v>12.507859459856666</v>
          </cell>
          <cell r="T14">
            <v>12.507859459856666</v>
          </cell>
          <cell r="U14">
            <v>12.507859459856666</v>
          </cell>
          <cell r="V14">
            <v>12.507859459856666</v>
          </cell>
          <cell r="W14">
            <v>12.507859459856666</v>
          </cell>
          <cell r="X14">
            <v>12.507859459856666</v>
          </cell>
          <cell r="Y14">
            <v>7.1691389586983334</v>
          </cell>
          <cell r="Z14">
            <v>0</v>
          </cell>
          <cell r="AA14">
            <v>0</v>
          </cell>
          <cell r="AB14">
            <v>0</v>
          </cell>
          <cell r="AC14">
            <v>0</v>
          </cell>
        </row>
        <row r="17">
          <cell r="D17">
            <v>0</v>
          </cell>
          <cell r="E17">
            <v>5.0372606974666674</v>
          </cell>
          <cell r="F17">
            <v>8.6353040528000005</v>
          </cell>
          <cell r="G17">
            <v>11.801582205493334</v>
          </cell>
          <cell r="H17">
            <v>11.801582205493334</v>
          </cell>
          <cell r="I17">
            <v>11.801582205493334</v>
          </cell>
          <cell r="J17">
            <v>11.801582205493334</v>
          </cell>
          <cell r="K17">
            <v>11.801582205493334</v>
          </cell>
          <cell r="L17">
            <v>11.801582205493334</v>
          </cell>
          <cell r="M17">
            <v>11.801582205493334</v>
          </cell>
          <cell r="N17">
            <v>11.801582205493334</v>
          </cell>
          <cell r="O17">
            <v>11.801582205493334</v>
          </cell>
          <cell r="P17">
            <v>11.801582205493334</v>
          </cell>
          <cell r="Q17">
            <v>11.801582205493334</v>
          </cell>
          <cell r="R17">
            <v>11.801582205493334</v>
          </cell>
          <cell r="S17">
            <v>11.801582205493334</v>
          </cell>
          <cell r="T17">
            <v>11.801582205493334</v>
          </cell>
          <cell r="U17">
            <v>11.801582205493334</v>
          </cell>
          <cell r="V17">
            <v>11.801582205493334</v>
          </cell>
          <cell r="W17">
            <v>11.801582205493334</v>
          </cell>
          <cell r="X17">
            <v>11.801582205493334</v>
          </cell>
          <cell r="Y17">
            <v>6.7643215080266677</v>
          </cell>
          <cell r="Z17">
            <v>0</v>
          </cell>
          <cell r="AA17">
            <v>0</v>
          </cell>
          <cell r="AB17">
            <v>0</v>
          </cell>
          <cell r="AC17">
            <v>0</v>
          </cell>
        </row>
        <row r="18">
          <cell r="D18">
            <v>0</v>
          </cell>
          <cell r="E18">
            <v>0.31874610457550001</v>
          </cell>
          <cell r="F18">
            <v>0.54642189355799997</v>
          </cell>
          <cell r="G18">
            <v>0.74677658786260004</v>
          </cell>
          <cell r="H18">
            <v>0.74677658786260004</v>
          </cell>
          <cell r="I18">
            <v>0.74677658786260004</v>
          </cell>
          <cell r="J18">
            <v>0.74677658786260004</v>
          </cell>
          <cell r="K18">
            <v>0.74677658786260004</v>
          </cell>
          <cell r="L18">
            <v>0.74677658786260004</v>
          </cell>
          <cell r="M18">
            <v>0.74677658786260004</v>
          </cell>
          <cell r="N18">
            <v>0.74677658786260004</v>
          </cell>
          <cell r="O18">
            <v>0.74677658786260004</v>
          </cell>
          <cell r="P18">
            <v>0.74677658786260004</v>
          </cell>
          <cell r="Q18">
            <v>0.74677658786260004</v>
          </cell>
          <cell r="R18">
            <v>0.74677658786260004</v>
          </cell>
          <cell r="S18">
            <v>0.74677658786260004</v>
          </cell>
          <cell r="T18">
            <v>0.74677658786260004</v>
          </cell>
          <cell r="U18">
            <v>0.74677658786260004</v>
          </cell>
          <cell r="V18">
            <v>0.74677658786260004</v>
          </cell>
          <cell r="W18">
            <v>0.74677658786260004</v>
          </cell>
          <cell r="X18">
            <v>0.74677658786260004</v>
          </cell>
          <cell r="Y18">
            <v>0.42803048328710003</v>
          </cell>
          <cell r="Z18">
            <v>0</v>
          </cell>
          <cell r="AA18">
            <v>0</v>
          </cell>
          <cell r="AB18">
            <v>0</v>
          </cell>
          <cell r="AC18">
            <v>0</v>
          </cell>
        </row>
        <row r="19">
          <cell r="D19">
            <v>0</v>
          </cell>
          <cell r="E19">
            <v>0.64015733715150003</v>
          </cell>
          <cell r="F19">
            <v>1.097412577974</v>
          </cell>
          <cell r="G19">
            <v>1.4997971898978002</v>
          </cell>
          <cell r="H19">
            <v>1.4997971898978002</v>
          </cell>
          <cell r="I19">
            <v>1.4997971898978002</v>
          </cell>
          <cell r="J19">
            <v>1.4997971898978002</v>
          </cell>
          <cell r="K19">
            <v>1.4997971898978002</v>
          </cell>
          <cell r="L19">
            <v>1.4997971898978002</v>
          </cell>
          <cell r="M19">
            <v>1.4997971898978002</v>
          </cell>
          <cell r="N19">
            <v>1.4997971898978002</v>
          </cell>
          <cell r="O19">
            <v>1.4997971898978002</v>
          </cell>
          <cell r="P19">
            <v>1.4997971898978002</v>
          </cell>
          <cell r="Q19">
            <v>1.4997971898978002</v>
          </cell>
          <cell r="R19">
            <v>1.4997971898978002</v>
          </cell>
          <cell r="S19">
            <v>1.4997971898978002</v>
          </cell>
          <cell r="T19">
            <v>1.4997971898978002</v>
          </cell>
          <cell r="U19">
            <v>1.4997971898978002</v>
          </cell>
          <cell r="V19">
            <v>1.4997971898978002</v>
          </cell>
          <cell r="W19">
            <v>1.4997971898978002</v>
          </cell>
          <cell r="X19">
            <v>1.4997971898978002</v>
          </cell>
          <cell r="Y19">
            <v>0.85963985274630006</v>
          </cell>
          <cell r="Z19">
            <v>0</v>
          </cell>
          <cell r="AA19">
            <v>0</v>
          </cell>
          <cell r="AB19">
            <v>0</v>
          </cell>
          <cell r="AC19">
            <v>0</v>
          </cell>
        </row>
        <row r="20">
          <cell r="D20">
            <v>0</v>
          </cell>
          <cell r="E20">
            <v>2.4712640179966665</v>
          </cell>
          <cell r="F20">
            <v>4.23645260228</v>
          </cell>
          <cell r="G20">
            <v>5.7898185564493332</v>
          </cell>
          <cell r="H20">
            <v>5.7898185564493332</v>
          </cell>
          <cell r="I20">
            <v>5.7898185564493332</v>
          </cell>
          <cell r="J20">
            <v>5.7898185564493332</v>
          </cell>
          <cell r="K20">
            <v>5.7898185564493332</v>
          </cell>
          <cell r="L20">
            <v>5.7898185564493332</v>
          </cell>
          <cell r="M20">
            <v>5.7898185564493332</v>
          </cell>
          <cell r="N20">
            <v>5.7898185564493332</v>
          </cell>
          <cell r="O20">
            <v>5.7898185564493332</v>
          </cell>
          <cell r="P20">
            <v>5.7898185564493332</v>
          </cell>
          <cell r="Q20">
            <v>5.7898185564493332</v>
          </cell>
          <cell r="R20">
            <v>5.7898185564493332</v>
          </cell>
          <cell r="S20">
            <v>5.7898185564493332</v>
          </cell>
          <cell r="T20">
            <v>5.7898185564493332</v>
          </cell>
          <cell r="U20">
            <v>5.7898185564493332</v>
          </cell>
          <cell r="V20">
            <v>5.7898185564493332</v>
          </cell>
          <cell r="W20">
            <v>5.7898185564493332</v>
          </cell>
          <cell r="X20">
            <v>5.7898185564493332</v>
          </cell>
          <cell r="Y20">
            <v>3.3185545384526667</v>
          </cell>
          <cell r="Z20">
            <v>0</v>
          </cell>
          <cell r="AA20">
            <v>0</v>
          </cell>
          <cell r="AB20">
            <v>0</v>
          </cell>
          <cell r="AC20">
            <v>0</v>
          </cell>
        </row>
        <row r="28">
          <cell r="D28">
            <v>0</v>
          </cell>
          <cell r="E28">
            <v>9.0374447058000005</v>
          </cell>
          <cell r="F28">
            <v>9.0374447058000005</v>
          </cell>
          <cell r="G28">
            <v>9.0374447058000005</v>
          </cell>
          <cell r="H28">
            <v>9.0374447058000005</v>
          </cell>
          <cell r="I28">
            <v>9.0374447058000005</v>
          </cell>
          <cell r="J28">
            <v>9.0374447058000005</v>
          </cell>
          <cell r="K28">
            <v>9.0374447058000005</v>
          </cell>
          <cell r="L28">
            <v>9.0374447058000005</v>
          </cell>
          <cell r="M28">
            <v>9.0374447058000005</v>
          </cell>
          <cell r="N28">
            <v>9.0374447058000005</v>
          </cell>
          <cell r="O28">
            <v>9.0374447058000005</v>
          </cell>
          <cell r="P28">
            <v>9.0374447058000005</v>
          </cell>
          <cell r="Q28">
            <v>9.0374447058000005</v>
          </cell>
          <cell r="R28">
            <v>9.0374447058000005</v>
          </cell>
          <cell r="S28">
            <v>9.0374447058000005</v>
          </cell>
          <cell r="T28">
            <v>9.0374447058000005</v>
          </cell>
          <cell r="U28">
            <v>9.0374447058000005</v>
          </cell>
          <cell r="V28">
            <v>9.0374447058000005</v>
          </cell>
          <cell r="W28">
            <v>9.0374447058000005</v>
          </cell>
          <cell r="X28">
            <v>9.0374447058000005</v>
          </cell>
          <cell r="Y28">
            <v>0</v>
          </cell>
          <cell r="Z28">
            <v>0</v>
          </cell>
          <cell r="AA28">
            <v>0</v>
          </cell>
          <cell r="AB28">
            <v>0</v>
          </cell>
          <cell r="AC28">
            <v>0</v>
          </cell>
        </row>
        <row r="29">
          <cell r="D29">
            <v>0</v>
          </cell>
          <cell r="E29">
            <v>0.53247474230339997</v>
          </cell>
          <cell r="F29">
            <v>0.53247474230339997</v>
          </cell>
          <cell r="G29">
            <v>0.53247474230339997</v>
          </cell>
          <cell r="H29">
            <v>0.53247474230339997</v>
          </cell>
          <cell r="I29">
            <v>0.53247474230339997</v>
          </cell>
          <cell r="J29">
            <v>0.53247474230339997</v>
          </cell>
          <cell r="K29">
            <v>0.53247474230339997</v>
          </cell>
          <cell r="L29">
            <v>0.53247474230339997</v>
          </cell>
          <cell r="M29">
            <v>0.53247474230339997</v>
          </cell>
          <cell r="N29">
            <v>0.53247474230339997</v>
          </cell>
          <cell r="O29">
            <v>0.53247474230339997</v>
          </cell>
          <cell r="P29">
            <v>0.53247474230339997</v>
          </cell>
          <cell r="Q29">
            <v>0.53247474230339997</v>
          </cell>
          <cell r="R29">
            <v>0.53247474230339997</v>
          </cell>
          <cell r="S29">
            <v>0.53247474230339997</v>
          </cell>
          <cell r="T29">
            <v>0.53247474230339997</v>
          </cell>
          <cell r="U29">
            <v>0.53247474230339997</v>
          </cell>
          <cell r="V29">
            <v>0.53247474230339997</v>
          </cell>
          <cell r="W29">
            <v>0.53247474230339997</v>
          </cell>
          <cell r="X29">
            <v>0.53247474230339997</v>
          </cell>
          <cell r="Y29">
            <v>0</v>
          </cell>
          <cell r="Z29">
            <v>0</v>
          </cell>
          <cell r="AA29">
            <v>0</v>
          </cell>
          <cell r="AB29">
            <v>0</v>
          </cell>
          <cell r="AC29">
            <v>0</v>
          </cell>
        </row>
        <row r="30">
          <cell r="D30">
            <v>0</v>
          </cell>
          <cell r="E30">
            <v>0.91738370371800004</v>
          </cell>
          <cell r="F30">
            <v>0.91738370371800004</v>
          </cell>
          <cell r="G30">
            <v>0.91738370371800004</v>
          </cell>
          <cell r="H30">
            <v>0.91738370371800004</v>
          </cell>
          <cell r="I30">
            <v>0.91738370371800004</v>
          </cell>
          <cell r="J30">
            <v>0.91738370371800004</v>
          </cell>
          <cell r="K30">
            <v>0.91738370371800004</v>
          </cell>
          <cell r="L30">
            <v>0.91738370371800004</v>
          </cell>
          <cell r="M30">
            <v>0.91738370371800004</v>
          </cell>
          <cell r="N30">
            <v>0.91738370371800004</v>
          </cell>
          <cell r="O30">
            <v>0.91738370371800004</v>
          </cell>
          <cell r="P30">
            <v>0.91738370371800004</v>
          </cell>
          <cell r="Q30">
            <v>0.91738370371800004</v>
          </cell>
          <cell r="R30">
            <v>0.91738370371800004</v>
          </cell>
          <cell r="S30">
            <v>0.91738370371800004</v>
          </cell>
          <cell r="T30">
            <v>0.91738370371800004</v>
          </cell>
          <cell r="U30">
            <v>0.91738370371800004</v>
          </cell>
          <cell r="V30">
            <v>0.91738370371800004</v>
          </cell>
          <cell r="W30">
            <v>0.91738370371800004</v>
          </cell>
          <cell r="X30">
            <v>0.91738370371800004</v>
          </cell>
          <cell r="Y30">
            <v>0</v>
          </cell>
          <cell r="Z30">
            <v>0</v>
          </cell>
          <cell r="AA30">
            <v>0</v>
          </cell>
          <cell r="AB30">
            <v>0</v>
          </cell>
          <cell r="AC30">
            <v>0</v>
          </cell>
        </row>
        <row r="31">
          <cell r="D31">
            <v>0</v>
          </cell>
          <cell r="E31">
            <v>2.7456276863099998</v>
          </cell>
          <cell r="F31">
            <v>2.7456276863099998</v>
          </cell>
          <cell r="G31">
            <v>2.7456276863099998</v>
          </cell>
          <cell r="H31">
            <v>2.7456276863099998</v>
          </cell>
          <cell r="I31">
            <v>2.7456276863099998</v>
          </cell>
          <cell r="J31">
            <v>2.7456276863099998</v>
          </cell>
          <cell r="K31">
            <v>2.7456276863099998</v>
          </cell>
          <cell r="L31">
            <v>2.7456276863099998</v>
          </cell>
          <cell r="M31">
            <v>2.7456276863099998</v>
          </cell>
          <cell r="N31">
            <v>2.7456276863099998</v>
          </cell>
          <cell r="O31">
            <v>2.7456276863099998</v>
          </cell>
          <cell r="P31">
            <v>2.7456276863099998</v>
          </cell>
          <cell r="Q31">
            <v>2.7456276863099998</v>
          </cell>
          <cell r="R31">
            <v>2.7456276863099998</v>
          </cell>
          <cell r="S31">
            <v>2.7456276863099998</v>
          </cell>
          <cell r="T31">
            <v>2.7456276863099998</v>
          </cell>
          <cell r="U31">
            <v>2.7456276863099998</v>
          </cell>
          <cell r="V31">
            <v>2.7456276863099998</v>
          </cell>
          <cell r="W31">
            <v>2.7456276863099998</v>
          </cell>
          <cell r="X31">
            <v>2.7456276863099998</v>
          </cell>
          <cell r="Y31">
            <v>0</v>
          </cell>
          <cell r="Z31">
            <v>0</v>
          </cell>
          <cell r="AA31">
            <v>0</v>
          </cell>
          <cell r="AB31">
            <v>0</v>
          </cell>
          <cell r="AC31">
            <v>0</v>
          </cell>
        </row>
        <row r="34">
          <cell r="D34">
            <v>0</v>
          </cell>
          <cell r="E34">
            <v>2.7345129500533334</v>
          </cell>
          <cell r="F34">
            <v>2.7345129500533334</v>
          </cell>
          <cell r="G34">
            <v>2.7345129500533334</v>
          </cell>
          <cell r="H34">
            <v>2.7345129500533334</v>
          </cell>
          <cell r="I34">
            <v>2.7345129500533334</v>
          </cell>
          <cell r="J34">
            <v>2.7345129500533334</v>
          </cell>
          <cell r="K34">
            <v>2.7345129500533334</v>
          </cell>
          <cell r="L34">
            <v>2.7345129500533334</v>
          </cell>
          <cell r="M34">
            <v>2.7345129500533334</v>
          </cell>
          <cell r="N34">
            <v>2.7345129500533334</v>
          </cell>
          <cell r="O34">
            <v>2.7345129500533334</v>
          </cell>
          <cell r="P34">
            <v>2.7345129500533334</v>
          </cell>
          <cell r="Q34">
            <v>2.7345129500533334</v>
          </cell>
          <cell r="R34">
            <v>2.7345129500533334</v>
          </cell>
          <cell r="S34">
            <v>2.7345129500533334</v>
          </cell>
          <cell r="T34">
            <v>2.7345129500533334</v>
          </cell>
          <cell r="U34">
            <v>2.7345129500533334</v>
          </cell>
          <cell r="V34">
            <v>2.7345129500533334</v>
          </cell>
          <cell r="W34">
            <v>2.7345129500533334</v>
          </cell>
          <cell r="X34">
            <v>2.7345129500533334</v>
          </cell>
          <cell r="Y34">
            <v>0</v>
          </cell>
          <cell r="Z34">
            <v>0</v>
          </cell>
          <cell r="AA34">
            <v>0</v>
          </cell>
          <cell r="AB34">
            <v>0</v>
          </cell>
          <cell r="AC34">
            <v>0</v>
          </cell>
        </row>
        <row r="35">
          <cell r="D35">
            <v>0</v>
          </cell>
          <cell r="E35">
            <v>0.17303359962670001</v>
          </cell>
          <cell r="F35">
            <v>0.17303359962670001</v>
          </cell>
          <cell r="G35">
            <v>0.17303359962670001</v>
          </cell>
          <cell r="H35">
            <v>0.17303359962670001</v>
          </cell>
          <cell r="I35">
            <v>0.17303359962670001</v>
          </cell>
          <cell r="J35">
            <v>0.17303359962670001</v>
          </cell>
          <cell r="K35">
            <v>0.17303359962670001</v>
          </cell>
          <cell r="L35">
            <v>0.17303359962670001</v>
          </cell>
          <cell r="M35">
            <v>0.17303359962670001</v>
          </cell>
          <cell r="N35">
            <v>0.17303359962670001</v>
          </cell>
          <cell r="O35">
            <v>0.17303359962670001</v>
          </cell>
          <cell r="P35">
            <v>0.17303359962670001</v>
          </cell>
          <cell r="Q35">
            <v>0.17303359962670001</v>
          </cell>
          <cell r="R35">
            <v>0.17303359962670001</v>
          </cell>
          <cell r="S35">
            <v>0.17303359962670001</v>
          </cell>
          <cell r="T35">
            <v>0.17303359962670001</v>
          </cell>
          <cell r="U35">
            <v>0.17303359962670001</v>
          </cell>
          <cell r="V35">
            <v>0.17303359962670001</v>
          </cell>
          <cell r="W35">
            <v>0.17303359962670001</v>
          </cell>
          <cell r="X35">
            <v>0.17303359962670001</v>
          </cell>
          <cell r="Y35">
            <v>0</v>
          </cell>
          <cell r="Z35">
            <v>0</v>
          </cell>
          <cell r="AA35">
            <v>0</v>
          </cell>
          <cell r="AB35">
            <v>0</v>
          </cell>
          <cell r="AC35">
            <v>0</v>
          </cell>
        </row>
        <row r="36">
          <cell r="D36">
            <v>0</v>
          </cell>
          <cell r="E36">
            <v>0.3475139830251</v>
          </cell>
          <cell r="F36">
            <v>0.3475139830251</v>
          </cell>
          <cell r="G36">
            <v>0.3475139830251</v>
          </cell>
          <cell r="H36">
            <v>0.3475139830251</v>
          </cell>
          <cell r="I36">
            <v>0.3475139830251</v>
          </cell>
          <cell r="J36">
            <v>0.3475139830251</v>
          </cell>
          <cell r="K36">
            <v>0.3475139830251</v>
          </cell>
          <cell r="L36">
            <v>0.3475139830251</v>
          </cell>
          <cell r="M36">
            <v>0.3475139830251</v>
          </cell>
          <cell r="N36">
            <v>0.3475139830251</v>
          </cell>
          <cell r="O36">
            <v>0.3475139830251</v>
          </cell>
          <cell r="P36">
            <v>0.3475139830251</v>
          </cell>
          <cell r="Q36">
            <v>0.3475139830251</v>
          </cell>
          <cell r="R36">
            <v>0.3475139830251</v>
          </cell>
          <cell r="S36">
            <v>0.3475139830251</v>
          </cell>
          <cell r="T36">
            <v>0.3475139830251</v>
          </cell>
          <cell r="U36">
            <v>0.3475139830251</v>
          </cell>
          <cell r="V36">
            <v>0.3475139830251</v>
          </cell>
          <cell r="W36">
            <v>0.3475139830251</v>
          </cell>
          <cell r="X36">
            <v>0.3475139830251</v>
          </cell>
          <cell r="Y36">
            <v>0</v>
          </cell>
          <cell r="Z36">
            <v>0</v>
          </cell>
          <cell r="AA36">
            <v>0</v>
          </cell>
          <cell r="AB36">
            <v>0</v>
          </cell>
          <cell r="AC36">
            <v>0</v>
          </cell>
        </row>
        <row r="37">
          <cell r="D37">
            <v>0</v>
          </cell>
          <cell r="E37">
            <v>1.3415433240553334</v>
          </cell>
          <cell r="F37">
            <v>1.3415433240553334</v>
          </cell>
          <cell r="G37">
            <v>1.3415433240553334</v>
          </cell>
          <cell r="H37">
            <v>1.3415433240553334</v>
          </cell>
          <cell r="I37">
            <v>1.3415433240553334</v>
          </cell>
          <cell r="J37">
            <v>1.3415433240553334</v>
          </cell>
          <cell r="K37">
            <v>1.3415433240553334</v>
          </cell>
          <cell r="L37">
            <v>1.3415433240553334</v>
          </cell>
          <cell r="M37">
            <v>1.3415433240553334</v>
          </cell>
          <cell r="N37">
            <v>1.3415433240553334</v>
          </cell>
          <cell r="O37">
            <v>1.3415433240553334</v>
          </cell>
          <cell r="P37">
            <v>1.3415433240553334</v>
          </cell>
          <cell r="Q37">
            <v>1.3415433240553334</v>
          </cell>
          <cell r="R37">
            <v>1.3415433240553334</v>
          </cell>
          <cell r="S37">
            <v>1.3415433240553334</v>
          </cell>
          <cell r="T37">
            <v>1.3415433240553334</v>
          </cell>
          <cell r="U37">
            <v>1.3415433240553334</v>
          </cell>
          <cell r="V37">
            <v>1.3415433240553334</v>
          </cell>
          <cell r="W37">
            <v>1.3415433240553334</v>
          </cell>
          <cell r="X37">
            <v>1.3415433240553334</v>
          </cell>
          <cell r="Y37">
            <v>0</v>
          </cell>
          <cell r="Z37">
            <v>0</v>
          </cell>
          <cell r="AA37">
            <v>0</v>
          </cell>
          <cell r="AB37">
            <v>0</v>
          </cell>
          <cell r="AC37">
            <v>0</v>
          </cell>
        </row>
      </sheetData>
      <sheetData sheetId="7">
        <row r="4">
          <cell r="S4">
            <v>144.85486744299996</v>
          </cell>
        </row>
        <row r="5">
          <cell r="S5">
            <v>86.909043194187461</v>
          </cell>
        </row>
      </sheetData>
      <sheetData sheetId="8"/>
      <sheetData sheetId="9">
        <row r="8">
          <cell r="BV8" t="str">
            <v>Amount Reduced per Year(CO2, short tons)</v>
          </cell>
          <cell r="CE8" t="str">
            <v>Amount Reduced per Year (Fuel, gallons)</v>
          </cell>
        </row>
        <row r="9">
          <cell r="BV9">
            <v>168.12174375000001</v>
          </cell>
          <cell r="CE9">
            <v>14944.155000000001</v>
          </cell>
        </row>
      </sheetData>
      <sheetData sheetId="10">
        <row r="9">
          <cell r="BV9">
            <v>100.87304625</v>
          </cell>
          <cell r="CE9">
            <v>8966.4930000000004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sIoVye5Fl0WZ0C0gOoyrpchXS-OqARZCmyX6z0ztHGljGnRuAnojRKr9jkTgBXRv" itemId="012HAOW36UYTK3PYSMKJGISMCLFC7MQF2A">
      <xxl21:absoluteUrl r:id="rId2"/>
    </xxl21:alternateUrls>
    <sheetNames>
      <sheetName val="Dashboard"/>
      <sheetName val="New Const ETO"/>
      <sheetName val="New Const COU"/>
      <sheetName val="New Const OHCS"/>
      <sheetName val="BPS"/>
      <sheetName val="New HPs"/>
      <sheetName val="Existing HPs Com"/>
      <sheetName val="Existing HPs Rental"/>
      <sheetName val="Res Wz ETO"/>
      <sheetName val="Res Wz COU"/>
      <sheetName val="Res Wz HH"/>
    </sheetNames>
    <sheetDataSet>
      <sheetData sheetId="0">
        <row r="12">
          <cell r="G12">
            <v>1230</v>
          </cell>
          <cell r="H12">
            <v>2000</v>
          </cell>
        </row>
        <row r="19">
          <cell r="G19">
            <v>550</v>
          </cell>
          <cell r="H19">
            <v>2000</v>
          </cell>
        </row>
      </sheetData>
      <sheetData sheetId="1">
        <row r="3">
          <cell r="A3" t="str">
            <v>New Residential SF Construction - ETO</v>
          </cell>
        </row>
        <row r="4">
          <cell r="B4">
            <v>4920</v>
          </cell>
        </row>
        <row r="18">
          <cell r="B18">
            <v>60990.077718724693</v>
          </cell>
          <cell r="C18">
            <v>290572.32634197664</v>
          </cell>
        </row>
        <row r="20">
          <cell r="B20">
            <v>163.9136078500571</v>
          </cell>
          <cell r="C20">
            <v>34.40487195661531</v>
          </cell>
        </row>
      </sheetData>
      <sheetData sheetId="2">
        <row r="3">
          <cell r="A3" t="str">
            <v>New Residential SF Construction - COU</v>
          </cell>
        </row>
        <row r="4">
          <cell r="B4">
            <v>0</v>
          </cell>
        </row>
        <row r="16">
          <cell r="B16">
            <v>0</v>
          </cell>
        </row>
        <row r="18">
          <cell r="B18">
            <v>0</v>
          </cell>
          <cell r="C18">
            <v>0</v>
          </cell>
        </row>
        <row r="20">
          <cell r="B20" t="e">
            <v>#DIV/0!</v>
          </cell>
          <cell r="C20" t="e">
            <v>#DIV/0!</v>
          </cell>
        </row>
      </sheetData>
      <sheetData sheetId="3">
        <row r="3">
          <cell r="A3" t="str">
            <v>New Residential MF Construction - OHCS OR-MEP (COU)</v>
          </cell>
        </row>
        <row r="4">
          <cell r="B4">
            <v>4500</v>
          </cell>
        </row>
        <row r="18">
          <cell r="B18">
            <v>55783.607669565266</v>
          </cell>
          <cell r="C18">
            <v>265767.37165424682</v>
          </cell>
        </row>
        <row r="20">
          <cell r="B20">
            <v>202.44254156302674</v>
          </cell>
          <cell r="C20">
            <v>42.49195544166826</v>
          </cell>
        </row>
      </sheetData>
      <sheetData sheetId="4">
        <row r="3">
          <cell r="A3" t="str">
            <v>Commercial Building Performance Standard (BPS)</v>
          </cell>
        </row>
        <row r="4">
          <cell r="B4">
            <v>321</v>
          </cell>
        </row>
        <row r="18">
          <cell r="B18">
            <v>100321.62983314115</v>
          </cell>
          <cell r="C18">
            <v>221125.91760868367</v>
          </cell>
        </row>
        <row r="20">
          <cell r="B20">
            <v>120.53608858091869</v>
          </cell>
          <cell r="C20">
            <v>54.685479616862274</v>
          </cell>
        </row>
        <row r="49">
          <cell r="I49">
            <v>81</v>
          </cell>
        </row>
        <row r="57">
          <cell r="H57">
            <v>37024.922118380062</v>
          </cell>
        </row>
      </sheetData>
      <sheetData sheetId="5">
        <row r="3">
          <cell r="A3" t="str">
            <v>New Heat Pumps (Community HP Program)</v>
          </cell>
        </row>
        <row r="4">
          <cell r="B4">
            <v>4000</v>
          </cell>
        </row>
        <row r="16">
          <cell r="B16">
            <v>8314207.3638630863</v>
          </cell>
        </row>
        <row r="18">
          <cell r="B18">
            <v>27003.913078507685</v>
          </cell>
          <cell r="C18">
            <v>130979.39042467087</v>
          </cell>
        </row>
        <row r="20">
          <cell r="B20">
            <v>307.88898407765703</v>
          </cell>
          <cell r="C20">
            <v>63.477218338749026</v>
          </cell>
        </row>
      </sheetData>
      <sheetData sheetId="6">
        <row r="3">
          <cell r="A3" t="str">
            <v>Existing Heat Pumps (Community HP Program)</v>
          </cell>
        </row>
        <row r="4">
          <cell r="B4">
            <v>2000</v>
          </cell>
        </row>
        <row r="16">
          <cell r="B16">
            <v>4314207.3638630863</v>
          </cell>
        </row>
        <row r="18">
          <cell r="B18">
            <v>14055.246246844925</v>
          </cell>
          <cell r="C18">
            <v>59419.026595169293</v>
          </cell>
        </row>
        <row r="20">
          <cell r="B20">
            <v>306.94640905573073</v>
          </cell>
          <cell r="C20">
            <v>72.606496791952281</v>
          </cell>
        </row>
      </sheetData>
      <sheetData sheetId="7">
        <row r="3">
          <cell r="A3" t="str">
            <v>Existing Heat Pumps (Rental HP Program)</v>
          </cell>
        </row>
        <row r="4">
          <cell r="B4">
            <v>6000</v>
          </cell>
        </row>
        <row r="16">
          <cell r="B16">
            <v>12628414.727726173</v>
          </cell>
        </row>
        <row r="18">
          <cell r="B18">
            <v>42165.738740534769</v>
          </cell>
          <cell r="C18">
            <v>178257.07978550787</v>
          </cell>
        </row>
        <row r="20">
          <cell r="B20">
            <v>299.49468703571472</v>
          </cell>
          <cell r="C20">
            <v>70.843832642841548</v>
          </cell>
        </row>
      </sheetData>
      <sheetData sheetId="8">
        <row r="3">
          <cell r="A3" t="str">
            <v>Residential Weatherization - ETO</v>
          </cell>
        </row>
        <row r="4">
          <cell r="B4">
            <v>2200</v>
          </cell>
        </row>
        <row r="18">
          <cell r="B18">
            <v>24166.640118137337</v>
          </cell>
          <cell r="C18">
            <v>98739.759178485809</v>
          </cell>
        </row>
        <row r="20">
          <cell r="B20">
            <v>188.57001468364587</v>
          </cell>
          <cell r="C20">
            <v>46.152671627383114</v>
          </cell>
        </row>
      </sheetData>
      <sheetData sheetId="9">
        <row r="3">
          <cell r="A3" t="str">
            <v>Residential Weatherization - COU</v>
          </cell>
        </row>
        <row r="4">
          <cell r="B4">
            <v>400</v>
          </cell>
        </row>
        <row r="16">
          <cell r="B16">
            <v>1114207.3638630868</v>
          </cell>
        </row>
        <row r="18">
          <cell r="B18">
            <v>4393.934566934061</v>
          </cell>
          <cell r="C18">
            <v>17952.683486997423</v>
          </cell>
        </row>
        <row r="20">
          <cell r="B20">
            <v>253.57850620896775</v>
          </cell>
          <cell r="C20">
            <v>62.063555271281473</v>
          </cell>
        </row>
      </sheetData>
      <sheetData sheetId="10">
        <row r="3">
          <cell r="A3" t="str">
            <v>Residential Weatherization - Healthy Homes OHA</v>
          </cell>
        </row>
        <row r="4">
          <cell r="B4">
            <v>360</v>
          </cell>
        </row>
        <row r="16">
          <cell r="B16">
            <v>2384278.0083815432</v>
          </cell>
        </row>
        <row r="18">
          <cell r="B18">
            <v>3954.5411102406556</v>
          </cell>
          <cell r="C18">
            <v>16157.415138297683</v>
          </cell>
        </row>
        <row r="20">
          <cell r="B20">
            <v>602.921538028074</v>
          </cell>
          <cell r="C20">
            <v>147.56555971196929</v>
          </cell>
        </row>
      </sheetData>
    </sheetDataSet>
  </externalBook>
</externalLink>
</file>

<file path=xl/persons/person.xml><?xml version="1.0" encoding="utf-8"?>
<personList xmlns="http://schemas.microsoft.com/office/spreadsheetml/2018/threadedcomments" xmlns:x="http://schemas.openxmlformats.org/spreadsheetml/2006/main">
  <person displayName="Burnham, Andrew J." id="{1C6F6F15-E4B3-46A9-BBF6-39973589FFBC}" userId="S::aburnham@anl.gov::ead3a5fc-2e5b-47fb-a573-f5844dc20e16" providerId="AD"/>
  <person displayName="ZELENKA Alan * ODOE" id="{FF0F2066-A02D-4ED1-97C9-C00767E38A92}" userId="S::Alan.Zelenka@energy.oregon.gov::33cd12b0-1edf-4ea9-8fa4-e33d09e04b4f" providerId="AD"/>
  <person displayName="SHELIDE Blake * ODOE" id="{C40955FF-894A-48E5-857B-90A200C323CF}" userId="S::Blake.Shelide@energy.oregon.gov::f6f49420-e2b9-4564-b882-43e97a3447a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3" dT="2023-03-09T17:50:31.82" personId="{1C6F6F15-E4B3-46A9-BBF6-39973589FFBC}" id="{2971FB2E-DB0F-4B0B-AA7A-47921ECF9113}">
    <text>compressed natural gas</text>
  </threadedComment>
  <threadedComment ref="B14" dT="2023-03-09T17:50:31.82" personId="{1C6F6F15-E4B3-46A9-BBF6-39973589FFBC}" id="{C00560FE-C8F2-483B-B41E-2245D7AD46A6}">
    <text>liquefied natural gas</text>
  </threadedComment>
  <threadedComment ref="C25" dT="2023-03-10T20:13:50.02" personId="{1C6F6F15-E4B3-46A9-BBF6-39973589FFBC}" id="{0B8883DB-C22E-4EE7-AD33-C29922DA79FF}">
    <text>Steam methane reforming</text>
  </threadedComment>
  <threadedComment ref="I28" dT="2023-03-10T20:27:34.05" personId="{1C6F6F15-E4B3-46A9-BBF6-39973589FFBC}" id="{F86BE0C5-CC1C-4B47-8429-275C1B7B73D1}">
    <text>Default EIA region selected based on State
If you select User Defined, click on hyperlink &amp; enter values in Intro sheet</text>
  </threadedComment>
</ThreadedComments>
</file>

<file path=xl/threadedComments/threadedComment2.xml><?xml version="1.0" encoding="utf-8"?>
<ThreadedComments xmlns="http://schemas.microsoft.com/office/spreadsheetml/2018/threadedcomments" xmlns:x="http://schemas.openxmlformats.org/spreadsheetml/2006/main">
  <threadedComment ref="B13" dT="2023-03-09T17:50:31.82" personId="{1C6F6F15-E4B3-46A9-BBF6-39973589FFBC}" id="{A40DDCB2-7378-44FA-8FB8-A8F3E357BC77}">
    <text>compressed natural gas</text>
  </threadedComment>
  <threadedComment ref="B14" dT="2023-03-09T17:50:31.82" personId="{1C6F6F15-E4B3-46A9-BBF6-39973589FFBC}" id="{ABD4BEC8-6D13-4991-B1A6-B7AF9580B49B}">
    <text>liquefied natural gas</text>
  </threadedComment>
  <threadedComment ref="C25" dT="2023-03-10T20:13:50.02" personId="{1C6F6F15-E4B3-46A9-BBF6-39973589FFBC}" id="{DCDE7949-1944-4604-A6C3-DE4D01AE2A8B}">
    <text>Steam methane reforming</text>
  </threadedComment>
  <threadedComment ref="I28" dT="2023-03-10T20:27:34.05" personId="{1C6F6F15-E4B3-46A9-BBF6-39973589FFBC}" id="{B249BB68-FB17-4376-8308-7C683AED1D5D}">
    <text>Default EIA region selected based on State
If you select User Defined, click on hyperlink &amp; enter values in Intro sheet</text>
  </threadedComment>
</ThreadedComments>
</file>

<file path=xl/threadedComments/threadedComment3.xml><?xml version="1.0" encoding="utf-8"?>
<ThreadedComments xmlns="http://schemas.microsoft.com/office/spreadsheetml/2018/threadedcomments" xmlns:x="http://schemas.openxmlformats.org/spreadsheetml/2006/main">
  <threadedComment ref="H3" dT="2024-02-15T18:34:13.13" personId="{FF0F2066-A02D-4ED1-97C9-C00767E38A92}" id="{5E45CCFE-5778-472F-84C9-773546E9A3D4}">
    <text>Weighted Average</text>
  </threadedComment>
</ThreadedComments>
</file>

<file path=xl/threadedComments/threadedComment4.xml><?xml version="1.0" encoding="utf-8"?>
<ThreadedComments xmlns="http://schemas.microsoft.com/office/spreadsheetml/2018/threadedcomments" xmlns:x="http://schemas.openxmlformats.org/spreadsheetml/2006/main">
  <threadedComment ref="H10" dT="2024-02-12T08:26:16.67" personId="{FF0F2066-A02D-4ED1-97C9-C00767E38A92}" id="{FD802DBD-6326-4797-A6F6-3510D05B5AD6}">
    <text xml:space="preserve">Multiplied by the rate of increase/decrease of New Commercial (row 18).
</text>
  </threadedComment>
  <threadedComment ref="C26" dT="2024-01-31T23:14:26.41" personId="{FF0F2066-A02D-4ED1-97C9-C00767E38A92}" id="{3724D479-115C-4D8F-AE29-63C661310220}">
    <text xml:space="preserve">Stages of Technology Diffusion
Segment	% of population
Innovators	2.5%
Early Adopters	13.5%
Early Majority	34%
Late Majority	34%
Laggards	16%
https://www.investopedia.com/terms/e/early-majority.asp </text>
    <extLst>
      <x:ext xmlns:xltc2="http://schemas.microsoft.com/office/spreadsheetml/2020/threadedcomments2" uri="{F7C98A9C-CBB3-438F-8F68-D28B6AF4A901}">
        <xltc2:checksum>1859348942</xltc2:checksum>
        <xltc2:hyperlink startIndex="142" length="55" url="https://www.investopedia.com/terms/e/early-majority.asp"/>
      </x:ext>
    </extLst>
  </threadedComment>
  <threadedComment ref="B39" dT="2024-02-03T00:39:48.82" personId="{C40955FF-894A-48E5-857B-90A200C323CF}" id="{7813E905-4669-4946-927C-DE768632170A}">
    <text>Average of buildings greater than 200,000 ft2 from Portland benchmarking data (after removing very large buildings greater than 1 million ft2)</text>
  </threadedComment>
  <threadedComment ref="B40" dT="2024-02-03T00:40:36.47" personId="{C40955FF-894A-48E5-857B-90A200C323CF}" id="{5738CA07-F1CA-4CAC-BA8F-5B64C1EB6674}">
    <text>Using Portland benchmarking data, this is the average size of buildings between 90k and 200k ft2</text>
  </threadedComment>
  <threadedComment ref="B41" dT="2024-02-03T00:41:16.90" personId="{C40955FF-894A-48E5-857B-90A200C323CF}" id="{ED88C8D9-ED08-41E1-8C1D-44C2194F6397}">
    <text xml:space="preserve">Using Portland benchmarking data, this is the average size of buildings between 35k and 90k ft2
</text>
  </threadedComment>
  <threadedComment ref="B42" dT="2024-02-03T00:34:28.44" personId="{C40955FF-894A-48E5-857B-90A200C323CF}" id="{EE72BBBA-4668-47FE-A741-3AEA34591400}">
    <text>Analysis for average GHG reduction based on average energy performance from NEEA CBSA and using Washington targets as a proxy for achievable EUI delta.  Use GHG emissions factors for conversion from EUI to potential GHG reduction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17.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eia.gov/analysis/studies/buildings/equipcosts/" TargetMode="External"/></Relationships>
</file>

<file path=xl/worksheets/_rels/sheet19.xml.rels><?xml version="1.0" encoding="UTF-8" standalone="yes"?>
<Relationships xmlns="http://schemas.openxmlformats.org/package/2006/relationships"><Relationship Id="rId1" Type="http://schemas.openxmlformats.org/officeDocument/2006/relationships/hyperlink" Target="https://www.eia.gov/analysis/studies/buildings/equipcosts/" TargetMode="External"/></Relationships>
</file>

<file path=xl/worksheets/_rels/sheet20.xml.rels><?xml version="1.0" encoding="UTF-8" standalone="yes"?>
<Relationships xmlns="http://schemas.openxmlformats.org/package/2006/relationships"><Relationship Id="rId1" Type="http://schemas.openxmlformats.org/officeDocument/2006/relationships/hyperlink" Target="https://www.eia.gov/analysis/studies/buildings/equipcosts/"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6BF78-1C37-4A4F-94E7-6853FF4E2A03}">
  <sheetPr>
    <tabColor theme="5" tint="0.79998168889431442"/>
  </sheetPr>
  <dimension ref="A1:J28"/>
  <sheetViews>
    <sheetView tabSelected="1" topLeftCell="A4" zoomScale="145" zoomScaleNormal="145" workbookViewId="0">
      <selection activeCell="H13" sqref="H13"/>
    </sheetView>
  </sheetViews>
  <sheetFormatPr defaultRowHeight="14.45"/>
  <cols>
    <col min="1" max="1" width="36.85546875" customWidth="1"/>
    <col min="2" max="6" width="19.28515625" customWidth="1"/>
    <col min="8" max="8" width="19.42578125" customWidth="1"/>
    <col min="9" max="9" width="11.140625" customWidth="1"/>
  </cols>
  <sheetData>
    <row r="1" spans="1:10" ht="48" customHeight="1">
      <c r="A1" s="695" t="s">
        <v>0</v>
      </c>
      <c r="B1" s="695"/>
      <c r="C1" s="695"/>
      <c r="D1" s="695"/>
      <c r="E1" s="695"/>
      <c r="F1" s="695"/>
    </row>
    <row r="2" spans="1:10" ht="15">
      <c r="B2" t="s">
        <v>1</v>
      </c>
    </row>
    <row r="3" spans="1:10" ht="46.15" customHeight="1">
      <c r="A3" s="327" t="s">
        <v>2</v>
      </c>
      <c r="B3" s="327" t="s">
        <v>3</v>
      </c>
      <c r="C3" s="327" t="s">
        <v>4</v>
      </c>
      <c r="D3" s="327" t="s">
        <v>5</v>
      </c>
      <c r="E3" s="327" t="s">
        <v>6</v>
      </c>
      <c r="F3" s="327" t="s">
        <v>7</v>
      </c>
    </row>
    <row r="4" spans="1:10" ht="15">
      <c r="A4" s="328" t="s">
        <v>8</v>
      </c>
      <c r="B4" s="328"/>
      <c r="C4" s="328"/>
      <c r="D4" s="328"/>
      <c r="E4" s="328"/>
      <c r="F4" s="328"/>
    </row>
    <row r="5" spans="1:10" ht="15">
      <c r="A5" s="329" t="s">
        <v>9</v>
      </c>
      <c r="B5" s="330">
        <v>190000</v>
      </c>
      <c r="C5" s="330">
        <v>1030000</v>
      </c>
      <c r="D5" s="352">
        <v>30996336</v>
      </c>
      <c r="E5" s="353">
        <f>D5/B5</f>
        <v>163.1386105263158</v>
      </c>
      <c r="F5" s="353">
        <f t="shared" ref="F5:F10" si="0">D5/C5</f>
        <v>30.093530097087378</v>
      </c>
      <c r="H5" s="161"/>
      <c r="I5" s="161"/>
    </row>
    <row r="6" spans="1:10" ht="15">
      <c r="A6" s="329" t="s">
        <v>10</v>
      </c>
      <c r="B6" s="331">
        <v>36958</v>
      </c>
      <c r="C6" s="331">
        <f>'Measure 2 CCR Summary'!C37</f>
        <v>824627</v>
      </c>
      <c r="D6" s="354">
        <v>10900601</v>
      </c>
      <c r="E6" s="352">
        <f t="shared" ref="E5:E10" si="1">D6/B6</f>
        <v>294.94564099788948</v>
      </c>
      <c r="F6" s="352">
        <f t="shared" si="0"/>
        <v>13.218826208697994</v>
      </c>
      <c r="H6" s="161"/>
      <c r="I6" s="161"/>
    </row>
    <row r="7" spans="1:10" ht="15">
      <c r="A7" s="329" t="s">
        <v>11</v>
      </c>
      <c r="B7" s="330">
        <v>71484</v>
      </c>
      <c r="C7" s="330">
        <v>363828</v>
      </c>
      <c r="D7" s="352">
        <v>14843772</v>
      </c>
      <c r="E7" s="352">
        <f t="shared" si="1"/>
        <v>207.65167030384421</v>
      </c>
      <c r="F7" s="352">
        <f t="shared" si="0"/>
        <v>40.798871994458921</v>
      </c>
      <c r="H7" s="161"/>
      <c r="I7" s="161"/>
    </row>
    <row r="8" spans="1:10" ht="15">
      <c r="A8" s="329" t="s">
        <v>12</v>
      </c>
      <c r="B8" s="330">
        <v>19106</v>
      </c>
      <c r="C8" s="330">
        <v>81092</v>
      </c>
      <c r="D8" s="352">
        <v>5989342</v>
      </c>
      <c r="E8" s="352">
        <f t="shared" si="1"/>
        <v>313.47963990369516</v>
      </c>
      <c r="F8" s="352">
        <f t="shared" si="0"/>
        <v>73.858605041187786</v>
      </c>
      <c r="H8" s="161"/>
      <c r="I8" s="161"/>
    </row>
    <row r="9" spans="1:10" ht="15">
      <c r="A9" s="329" t="s">
        <v>13</v>
      </c>
      <c r="B9" s="330">
        <v>3813</v>
      </c>
      <c r="C9" s="330">
        <v>113405</v>
      </c>
      <c r="D9" s="352">
        <v>3020390</v>
      </c>
      <c r="E9" s="352">
        <f>D9/B9</f>
        <v>792.12955677943876</v>
      </c>
      <c r="F9" s="352">
        <f>D9/C9</f>
        <v>26.633658127948504</v>
      </c>
      <c r="H9" s="161"/>
      <c r="I9" s="161"/>
    </row>
    <row r="10" spans="1:10" ht="15">
      <c r="A10" s="332" t="s">
        <v>14</v>
      </c>
      <c r="B10" s="333">
        <f>SUM(B5:B9)</f>
        <v>321361</v>
      </c>
      <c r="C10" s="333">
        <f>SUM(C5:C9)</f>
        <v>2412952</v>
      </c>
      <c r="D10" s="355">
        <f>SUM(D5:D9)</f>
        <v>65750441</v>
      </c>
      <c r="E10" s="355">
        <f>D10/B10</f>
        <v>204.59993900940063</v>
      </c>
      <c r="F10" s="355">
        <f t="shared" si="0"/>
        <v>27.248963510256317</v>
      </c>
      <c r="H10" s="161"/>
      <c r="I10" s="161"/>
      <c r="J10" s="161"/>
    </row>
    <row r="11" spans="1:10" ht="15">
      <c r="A11" s="334" t="s">
        <v>15</v>
      </c>
      <c r="B11" s="335"/>
      <c r="C11" s="335"/>
      <c r="D11" s="356"/>
      <c r="E11" s="356"/>
      <c r="F11" s="356"/>
      <c r="I11" s="49"/>
    </row>
    <row r="12" spans="1:10" ht="15">
      <c r="A12" s="336" t="s">
        <v>16</v>
      </c>
      <c r="B12" s="337">
        <v>116774</v>
      </c>
      <c r="C12" s="337">
        <v>556340</v>
      </c>
      <c r="D12" s="358">
        <v>21290504</v>
      </c>
      <c r="E12" s="357">
        <v>203</v>
      </c>
      <c r="F12" s="357">
        <v>43</v>
      </c>
      <c r="H12" s="161"/>
      <c r="I12" s="161"/>
    </row>
    <row r="13" spans="1:10" ht="15">
      <c r="A13" s="336" t="s">
        <v>17</v>
      </c>
      <c r="B13" s="337">
        <v>100322</v>
      </c>
      <c r="C13" s="337">
        <v>221126</v>
      </c>
      <c r="D13" s="358">
        <v>12092375</v>
      </c>
      <c r="E13" s="357">
        <v>121</v>
      </c>
      <c r="F13" s="357">
        <v>55</v>
      </c>
      <c r="H13" s="161"/>
      <c r="I13" s="161"/>
    </row>
    <row r="14" spans="1:10" ht="15">
      <c r="A14" s="338" t="s">
        <v>18</v>
      </c>
      <c r="B14" s="339">
        <v>83225</v>
      </c>
      <c r="C14" s="339">
        <v>368655</v>
      </c>
      <c r="D14" s="358">
        <v>25256830</v>
      </c>
      <c r="E14" s="358">
        <v>303</v>
      </c>
      <c r="F14" s="358">
        <v>69</v>
      </c>
      <c r="H14" s="161"/>
      <c r="I14" s="161"/>
    </row>
    <row r="15" spans="1:10" ht="15">
      <c r="A15" s="338" t="s">
        <v>19</v>
      </c>
      <c r="B15" s="339">
        <v>32515</v>
      </c>
      <c r="C15" s="339">
        <v>132850</v>
      </c>
      <c r="D15" s="358">
        <v>8055589</v>
      </c>
      <c r="E15" s="358">
        <v>288</v>
      </c>
      <c r="F15" s="358">
        <v>71</v>
      </c>
      <c r="H15" s="161"/>
      <c r="I15" s="161"/>
      <c r="J15" s="49"/>
    </row>
    <row r="16" spans="1:10" ht="15">
      <c r="A16" s="340" t="s">
        <v>20</v>
      </c>
      <c r="B16" s="341">
        <f>SUM(B12:B15)</f>
        <v>332836</v>
      </c>
      <c r="C16" s="341">
        <f>SUM(C12:C15)</f>
        <v>1278971</v>
      </c>
      <c r="D16" s="607">
        <f>SUM(D12:D15)</f>
        <v>66695298</v>
      </c>
      <c r="E16" s="359">
        <f>D16/B16</f>
        <v>200.3848682233893</v>
      </c>
      <c r="F16" s="360">
        <f>D16/C16</f>
        <v>52.147623362844037</v>
      </c>
      <c r="H16" s="161"/>
      <c r="I16" s="161"/>
    </row>
    <row r="17" spans="1:10" ht="15">
      <c r="A17" s="342" t="s">
        <v>21</v>
      </c>
      <c r="B17" s="343"/>
      <c r="C17" s="343"/>
      <c r="D17" s="361"/>
      <c r="E17" s="361"/>
      <c r="F17" s="361"/>
      <c r="I17" s="161"/>
    </row>
    <row r="18" spans="1:10" ht="15">
      <c r="A18" s="542" t="s">
        <v>22</v>
      </c>
      <c r="B18" s="347">
        <v>70862</v>
      </c>
      <c r="C18" s="347">
        <v>343487</v>
      </c>
      <c r="D18" s="362">
        <v>25585015</v>
      </c>
      <c r="E18" s="362">
        <v>360</v>
      </c>
      <c r="F18" s="362">
        <v>74</v>
      </c>
      <c r="H18" s="161"/>
      <c r="I18" s="161"/>
    </row>
    <row r="19" spans="1:10" ht="15">
      <c r="A19" s="344" t="s">
        <v>23</v>
      </c>
      <c r="B19" s="345">
        <v>241500</v>
      </c>
      <c r="C19" s="345">
        <v>1419561</v>
      </c>
      <c r="D19" s="362">
        <v>28867937</v>
      </c>
      <c r="E19" s="362">
        <v>119</v>
      </c>
      <c r="F19" s="362">
        <v>20</v>
      </c>
      <c r="H19" s="161"/>
      <c r="I19" s="161"/>
      <c r="J19" s="161"/>
    </row>
    <row r="20" spans="1:10" ht="15">
      <c r="A20" s="346" t="s">
        <v>24</v>
      </c>
      <c r="B20" s="347">
        <v>275222</v>
      </c>
      <c r="C20" s="347">
        <v>1100693</v>
      </c>
      <c r="D20" s="363">
        <v>6611235</v>
      </c>
      <c r="E20" s="363">
        <v>24</v>
      </c>
      <c r="F20" s="363">
        <v>6</v>
      </c>
      <c r="H20" s="161"/>
      <c r="I20" s="161"/>
    </row>
    <row r="21" spans="1:10" ht="15">
      <c r="A21" s="348" t="s">
        <v>14</v>
      </c>
      <c r="B21" s="349">
        <f>SUM(B18:B20)</f>
        <v>587584</v>
      </c>
      <c r="C21" s="349">
        <f>SUM(C18:C20)</f>
        <v>2863741</v>
      </c>
      <c r="D21" s="364">
        <f>SUM(D18:D20)</f>
        <v>61064187</v>
      </c>
      <c r="E21" s="364">
        <f>D21/B21</f>
        <v>103.9241827551465</v>
      </c>
      <c r="F21" s="364">
        <f>D21/C21</f>
        <v>21.323222665736882</v>
      </c>
      <c r="H21" s="161"/>
      <c r="I21" s="161"/>
    </row>
    <row r="22" spans="1:10" ht="15">
      <c r="A22" s="618" t="s">
        <v>25</v>
      </c>
      <c r="B22" s="619"/>
      <c r="C22" s="619"/>
      <c r="D22" s="620">
        <v>3671870</v>
      </c>
      <c r="E22" s="621"/>
      <c r="F22" s="621"/>
    </row>
    <row r="23" spans="1:10" ht="15">
      <c r="A23" s="350" t="s">
        <v>26</v>
      </c>
      <c r="B23" s="351">
        <f>B21+B16+B10</f>
        <v>1241781</v>
      </c>
      <c r="C23" s="351">
        <f>C10+C16+C21</f>
        <v>6555664</v>
      </c>
      <c r="D23" s="365">
        <f>SUM(D21+D22+D16+D10)</f>
        <v>197181796</v>
      </c>
      <c r="E23" s="365">
        <f>D23/B23</f>
        <v>158.78950958341287</v>
      </c>
      <c r="F23" s="365">
        <f>D23/C23</f>
        <v>30.078081488007928</v>
      </c>
      <c r="H23" s="161"/>
      <c r="I23" s="161"/>
    </row>
    <row r="24" spans="1:10" ht="15">
      <c r="A24" s="326"/>
      <c r="B24" s="322"/>
      <c r="C24" s="322"/>
      <c r="D24" s="323"/>
      <c r="E24" s="322"/>
      <c r="F24" s="322"/>
    </row>
    <row r="25" spans="1:10" ht="15">
      <c r="A25" t="s">
        <v>27</v>
      </c>
      <c r="B25" s="324"/>
      <c r="C25" s="324"/>
      <c r="D25" s="325"/>
      <c r="E25" s="325"/>
      <c r="F25" s="325"/>
    </row>
    <row r="26" spans="1:10" ht="15"/>
    <row r="27" spans="1:10" ht="15"/>
    <row r="28" spans="1:10" ht="15"/>
  </sheetData>
  <mergeCells count="1">
    <mergeCell ref="A1:F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13719-D3CB-4CEF-8CE9-EF495AB12CC8}">
  <sheetPr>
    <tabColor theme="8" tint="0.79998168889431442"/>
  </sheetPr>
  <dimension ref="A1:Z31"/>
  <sheetViews>
    <sheetView workbookViewId="0">
      <selection activeCell="C20" sqref="C20"/>
    </sheetView>
  </sheetViews>
  <sheetFormatPr defaultRowHeight="14.45"/>
  <cols>
    <col min="1" max="1" width="17.7109375" customWidth="1"/>
    <col min="2" max="2" width="8.7109375" customWidth="1"/>
    <col min="4" max="4" width="5.5703125" bestFit="1" customWidth="1"/>
    <col min="7" max="7" width="5.5703125" bestFit="1" customWidth="1"/>
    <col min="10" max="10" width="5.5703125" bestFit="1" customWidth="1"/>
  </cols>
  <sheetData>
    <row r="1" spans="1:26">
      <c r="A1" t="s">
        <v>223</v>
      </c>
    </row>
    <row r="2" spans="1:26">
      <c r="A2" t="s">
        <v>224</v>
      </c>
    </row>
    <row r="3" spans="1:26">
      <c r="A3" t="s">
        <v>225</v>
      </c>
    </row>
    <row r="4" spans="1:26">
      <c r="A4" t="s">
        <v>226</v>
      </c>
    </row>
    <row r="5" spans="1:26">
      <c r="A5" t="s">
        <v>227</v>
      </c>
    </row>
    <row r="6" spans="1:26">
      <c r="A6" t="s">
        <v>228</v>
      </c>
    </row>
    <row r="7" spans="1:26">
      <c r="A7" t="s">
        <v>229</v>
      </c>
    </row>
    <row r="8" spans="1:26">
      <c r="A8" t="s">
        <v>230</v>
      </c>
    </row>
    <row r="9" spans="1:26">
      <c r="A9" t="s">
        <v>231</v>
      </c>
    </row>
    <row r="10" spans="1:26">
      <c r="A10" t="s">
        <v>232</v>
      </c>
    </row>
    <row r="12" spans="1:26">
      <c r="A12" t="s">
        <v>233</v>
      </c>
    </row>
    <row r="13" spans="1:26">
      <c r="A13" s="160">
        <v>2025</v>
      </c>
      <c r="B13" s="160">
        <v>2026</v>
      </c>
      <c r="C13" s="160">
        <v>2027</v>
      </c>
      <c r="D13" s="160">
        <v>2028</v>
      </c>
      <c r="E13" s="160">
        <v>2029</v>
      </c>
      <c r="F13" s="160">
        <v>2030</v>
      </c>
      <c r="G13" s="160">
        <v>2031</v>
      </c>
      <c r="H13" s="160">
        <v>2032</v>
      </c>
      <c r="I13" s="160">
        <v>2033</v>
      </c>
      <c r="J13" s="160">
        <v>2034</v>
      </c>
      <c r="K13" s="160">
        <v>2035</v>
      </c>
      <c r="L13" s="160">
        <v>2036</v>
      </c>
      <c r="M13" s="160">
        <v>2037</v>
      </c>
      <c r="N13" s="160">
        <v>2038</v>
      </c>
      <c r="O13" s="160">
        <v>2039</v>
      </c>
      <c r="P13" s="160">
        <v>2040</v>
      </c>
      <c r="Q13" s="160">
        <v>2041</v>
      </c>
      <c r="R13" s="160">
        <v>2042</v>
      </c>
      <c r="S13" s="160">
        <v>2043</v>
      </c>
      <c r="T13" s="160">
        <v>2044</v>
      </c>
      <c r="U13" s="160">
        <v>2045</v>
      </c>
      <c r="V13" s="160">
        <v>2046</v>
      </c>
      <c r="W13" s="160">
        <v>2047</v>
      </c>
      <c r="X13" s="160">
        <v>2048</v>
      </c>
      <c r="Y13" s="160">
        <v>2049</v>
      </c>
      <c r="Z13" s="160">
        <v>2050</v>
      </c>
    </row>
    <row r="14" spans="1:26">
      <c r="A14" s="159">
        <v>0.21685206544048347</v>
      </c>
      <c r="B14" s="159">
        <v>0.18914014933755791</v>
      </c>
      <c r="C14" s="159">
        <v>0.16142823323463235</v>
      </c>
      <c r="D14" s="159">
        <v>0.13371631713170679</v>
      </c>
      <c r="E14" s="159">
        <v>0.10600440102878124</v>
      </c>
      <c r="F14" s="159">
        <v>7.8292484925855776E-2</v>
      </c>
      <c r="G14" s="159">
        <v>7.2586290036692605E-2</v>
      </c>
      <c r="H14" s="159">
        <v>6.6880095147529434E-2</v>
      </c>
      <c r="I14" s="159">
        <v>6.1173900258366262E-2</v>
      </c>
      <c r="J14" s="159">
        <v>5.5467705369203091E-2</v>
      </c>
      <c r="K14" s="159">
        <v>4.9761510480039912E-2</v>
      </c>
      <c r="L14" s="159">
        <v>4.4142543166768709E-2</v>
      </c>
      <c r="M14" s="159">
        <v>3.8523575853497506E-2</v>
      </c>
      <c r="N14" s="159">
        <v>3.2904608540226303E-2</v>
      </c>
      <c r="O14" s="159">
        <v>2.72856412269551E-2</v>
      </c>
      <c r="P14" s="159">
        <v>2.1666673913683897E-2</v>
      </c>
      <c r="Q14" s="159">
        <v>2.1666673913683897E-2</v>
      </c>
      <c r="R14" s="159">
        <v>2.1666673913683897E-2</v>
      </c>
      <c r="S14" s="159">
        <v>2.1666673913683897E-2</v>
      </c>
      <c r="T14" s="159">
        <v>2.1666673913683897E-2</v>
      </c>
      <c r="U14" s="159">
        <v>2.1666673913683897E-2</v>
      </c>
      <c r="V14" s="159">
        <v>2.1666673913683897E-2</v>
      </c>
      <c r="W14" s="159">
        <v>2.1666673913683897E-2</v>
      </c>
      <c r="X14" s="159">
        <v>2.1666673913683897E-2</v>
      </c>
      <c r="Y14" s="159">
        <v>2.1666673913683897E-2</v>
      </c>
      <c r="Z14" s="159">
        <v>2.1666673913683897E-2</v>
      </c>
    </row>
    <row r="23" spans="1:11">
      <c r="A23" s="716"/>
      <c r="B23" s="716"/>
      <c r="D23" s="716"/>
      <c r="E23" s="716"/>
      <c r="G23" s="716"/>
      <c r="H23" s="716"/>
      <c r="J23" s="716"/>
      <c r="K23" s="716"/>
    </row>
    <row r="25" spans="1:11">
      <c r="A25" s="156"/>
      <c r="B25" s="158"/>
      <c r="D25" s="156"/>
      <c r="E25" s="158"/>
      <c r="G25" s="156"/>
      <c r="H25" s="158"/>
      <c r="J25" s="156"/>
      <c r="K25" s="158"/>
    </row>
    <row r="26" spans="1:11">
      <c r="A26" s="156"/>
      <c r="B26" s="157"/>
      <c r="D26" s="156"/>
      <c r="E26" s="157"/>
      <c r="G26" s="156"/>
      <c r="H26" s="157"/>
      <c r="J26" s="156"/>
      <c r="K26" s="157"/>
    </row>
    <row r="27" spans="1:11">
      <c r="A27" s="156"/>
      <c r="B27" s="157"/>
      <c r="D27" s="156"/>
      <c r="E27" s="157"/>
      <c r="G27" s="156"/>
      <c r="H27" s="157"/>
      <c r="J27" s="156"/>
      <c r="K27" s="157"/>
    </row>
    <row r="28" spans="1:11">
      <c r="A28" s="156"/>
      <c r="B28" s="157"/>
      <c r="D28" s="156"/>
      <c r="E28" s="157"/>
      <c r="G28" s="156"/>
      <c r="H28" s="157"/>
      <c r="J28" s="156"/>
      <c r="K28" s="157"/>
    </row>
    <row r="29" spans="1:11">
      <c r="A29" s="156"/>
      <c r="B29" s="157"/>
      <c r="D29" s="156"/>
      <c r="E29" s="157"/>
      <c r="G29" s="156"/>
      <c r="H29" s="157"/>
      <c r="J29" s="156"/>
      <c r="K29" s="157"/>
    </row>
    <row r="30" spans="1:11">
      <c r="A30" s="156"/>
      <c r="B30" s="157"/>
      <c r="D30" s="156"/>
      <c r="E30" s="157"/>
      <c r="G30" s="156"/>
      <c r="H30" s="157"/>
      <c r="J30" s="156"/>
      <c r="K30" s="157"/>
    </row>
    <row r="31" spans="1:11">
      <c r="A31" s="156"/>
      <c r="B31" s="155"/>
      <c r="D31" s="156"/>
      <c r="E31" s="155"/>
      <c r="G31" s="156"/>
      <c r="H31" s="155"/>
      <c r="J31" s="156"/>
      <c r="K31" s="155"/>
    </row>
  </sheetData>
  <mergeCells count="4">
    <mergeCell ref="A23:B23"/>
    <mergeCell ref="D23:E23"/>
    <mergeCell ref="G23:H23"/>
    <mergeCell ref="J23:K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E3D46-E6B9-4DA6-A31A-36E469A7DADF}">
  <sheetPr>
    <tabColor theme="8" tint="0.79998168889431442"/>
  </sheetPr>
  <dimension ref="A1:AB44"/>
  <sheetViews>
    <sheetView topLeftCell="A30" workbookViewId="0">
      <selection activeCell="E38" sqref="E38"/>
    </sheetView>
  </sheetViews>
  <sheetFormatPr defaultRowHeight="14.45"/>
  <cols>
    <col min="1" max="1" width="38.7109375" customWidth="1"/>
    <col min="2" max="3" width="17" customWidth="1"/>
    <col min="4" max="4" width="23" customWidth="1"/>
    <col min="5" max="5" width="22.5703125" customWidth="1"/>
    <col min="6" max="6" width="24.7109375" customWidth="1"/>
    <col min="7" max="7" width="21.28515625" customWidth="1"/>
    <col min="8" max="8" width="18.28515625" customWidth="1"/>
    <col min="9" max="9" width="23.7109375" customWidth="1"/>
    <col min="10" max="11" width="18.28515625" customWidth="1"/>
    <col min="12" max="28" width="12.42578125" customWidth="1"/>
    <col min="29" max="29" width="7.5703125" customWidth="1"/>
  </cols>
  <sheetData>
    <row r="1" spans="1:28" ht="15" thickBot="1">
      <c r="A1" s="387" t="s">
        <v>234</v>
      </c>
      <c r="B1" s="440">
        <v>45372</v>
      </c>
      <c r="C1" s="717"/>
      <c r="D1" s="717"/>
      <c r="E1" s="717"/>
      <c r="F1" s="686"/>
      <c r="G1" s="441" t="s">
        <v>235</v>
      </c>
      <c r="H1" s="718" t="s">
        <v>236</v>
      </c>
      <c r="I1" s="718"/>
    </row>
    <row r="2" spans="1:28" s="1" customFormat="1" ht="43.5">
      <c r="A2" s="442"/>
      <c r="B2" s="443"/>
      <c r="C2" s="444" t="str">
        <f>[2]eCascadia!CE8</f>
        <v>Amount Reduced per Year (Fuel, gallons)</v>
      </c>
      <c r="D2" s="444" t="str">
        <f>[2]eCascadia!BV8</f>
        <v>Amount Reduced per Year(CO2, short tons)</v>
      </c>
      <c r="E2" s="444" t="s">
        <v>237</v>
      </c>
      <c r="F2" s="445" t="s">
        <v>238</v>
      </c>
      <c r="G2" s="444" t="s">
        <v>239</v>
      </c>
      <c r="H2" s="444" t="s">
        <v>240</v>
      </c>
      <c r="I2" s="446"/>
    </row>
    <row r="3" spans="1:28">
      <c r="A3" s="60" t="s">
        <v>241</v>
      </c>
      <c r="B3" s="52" t="s">
        <v>242</v>
      </c>
      <c r="C3" s="434">
        <f>[2]eCascadia!CE9</f>
        <v>14944.155000000001</v>
      </c>
      <c r="D3" s="434">
        <f>[2]eCascadia!BV9</f>
        <v>168.12174375000001</v>
      </c>
      <c r="E3" s="434">
        <f>D3*0.907185</f>
        <v>152.51752410384375</v>
      </c>
      <c r="F3" s="447">
        <f>'[2]B5 emissions calculation '!S4</f>
        <v>144.85486744299996</v>
      </c>
      <c r="G3" s="439">
        <f>C3/134.27</f>
        <v>111.29928502271542</v>
      </c>
      <c r="H3" s="439">
        <f>G3</f>
        <v>111.29928502271542</v>
      </c>
      <c r="I3" s="448"/>
    </row>
    <row r="4" spans="1:28" ht="15" thickBot="1">
      <c r="A4" s="426" t="s">
        <v>243</v>
      </c>
      <c r="B4" s="53" t="s">
        <v>244</v>
      </c>
      <c r="C4" s="437">
        <f>[2]eM2!CE9</f>
        <v>8966.4930000000004</v>
      </c>
      <c r="D4" s="437">
        <f>[2]eM2!BV9</f>
        <v>100.87304625</v>
      </c>
      <c r="E4" s="437">
        <f>D4*0.907185</f>
        <v>91.510514462306247</v>
      </c>
      <c r="F4" s="449">
        <f>'[2]B5 emissions calculation '!S5</f>
        <v>86.909043194187461</v>
      </c>
      <c r="G4" s="450">
        <f>C4/134.27</f>
        <v>66.779571013629251</v>
      </c>
      <c r="H4" s="450">
        <f>G4</f>
        <v>66.779571013629251</v>
      </c>
      <c r="I4" s="451"/>
    </row>
    <row r="6" spans="1:28" ht="15" thickBot="1"/>
    <row r="7" spans="1:28">
      <c r="A7" s="452" t="s">
        <v>245</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4"/>
    </row>
    <row r="8" spans="1:28" s="386" customFormat="1">
      <c r="A8" s="60" t="s">
        <v>246</v>
      </c>
      <c r="B8" s="393" t="s">
        <v>45</v>
      </c>
      <c r="C8" s="393">
        <v>2025</v>
      </c>
      <c r="D8" s="393">
        <v>2026</v>
      </c>
      <c r="E8" s="393">
        <v>2027</v>
      </c>
      <c r="F8" s="393">
        <v>2028</v>
      </c>
      <c r="G8" s="393">
        <v>2029</v>
      </c>
      <c r="H8" s="393">
        <v>2030</v>
      </c>
      <c r="I8" s="393">
        <v>2031</v>
      </c>
      <c r="J8" s="393">
        <v>2032</v>
      </c>
      <c r="K8" s="393">
        <v>2033</v>
      </c>
      <c r="L8" s="393">
        <v>2034</v>
      </c>
      <c r="M8" s="393">
        <v>2035</v>
      </c>
      <c r="N8" s="393">
        <v>2036</v>
      </c>
      <c r="O8" s="393">
        <v>2037</v>
      </c>
      <c r="P8" s="393">
        <v>2038</v>
      </c>
      <c r="Q8" s="393">
        <v>2039</v>
      </c>
      <c r="R8" s="393">
        <v>2040</v>
      </c>
      <c r="S8" s="393">
        <v>2041</v>
      </c>
      <c r="T8" s="393">
        <v>2042</v>
      </c>
      <c r="U8" s="393">
        <v>2043</v>
      </c>
      <c r="V8" s="393">
        <v>2044</v>
      </c>
      <c r="W8" s="393">
        <v>2045</v>
      </c>
      <c r="X8" s="393">
        <v>2046</v>
      </c>
      <c r="Y8" s="393">
        <v>2047</v>
      </c>
      <c r="Z8" s="393">
        <v>2048</v>
      </c>
      <c r="AA8" s="393">
        <v>2049</v>
      </c>
      <c r="AB8" s="455">
        <v>2050</v>
      </c>
    </row>
    <row r="9" spans="1:28" s="386" customFormat="1">
      <c r="A9" s="433"/>
      <c r="B9" s="393" t="s">
        <v>247</v>
      </c>
      <c r="C9" s="393"/>
      <c r="D9" s="393"/>
      <c r="E9" s="393"/>
      <c r="F9" s="393"/>
      <c r="G9" s="393"/>
      <c r="H9" s="393">
        <v>80</v>
      </c>
      <c r="I9" s="393"/>
      <c r="J9" s="393"/>
      <c r="K9" s="393"/>
      <c r="L9" s="393"/>
      <c r="M9" s="393">
        <v>90</v>
      </c>
      <c r="N9" s="393"/>
      <c r="O9" s="393"/>
      <c r="P9" s="393"/>
      <c r="Q9" s="393"/>
      <c r="R9" s="393"/>
      <c r="S9" s="393"/>
      <c r="T9" s="393"/>
      <c r="U9" s="393"/>
      <c r="V9" s="393"/>
      <c r="W9" s="393"/>
      <c r="X9" s="393"/>
      <c r="Y9" s="393"/>
      <c r="Z9" s="393"/>
      <c r="AA9" s="393"/>
      <c r="AB9" s="455">
        <v>100</v>
      </c>
    </row>
    <row r="10" spans="1:28">
      <c r="A10" s="60"/>
      <c r="B10" s="393" t="s">
        <v>248</v>
      </c>
      <c r="C10" s="407">
        <v>0.21685206544048347</v>
      </c>
      <c r="D10" s="407">
        <v>0.18914014933755791</v>
      </c>
      <c r="E10" s="407">
        <v>0.16142823323463235</v>
      </c>
      <c r="F10" s="407">
        <v>0.13371631713170679</v>
      </c>
      <c r="G10" s="407">
        <v>0.10600440102878124</v>
      </c>
      <c r="H10" s="407">
        <v>7.8292484925855776E-2</v>
      </c>
      <c r="I10" s="407">
        <v>7.2586290036692605E-2</v>
      </c>
      <c r="J10" s="407">
        <v>6.6880095147529434E-2</v>
      </c>
      <c r="K10" s="407">
        <v>6.1173900258366262E-2</v>
      </c>
      <c r="L10" s="407">
        <v>5.5467705369203091E-2</v>
      </c>
      <c r="M10" s="407">
        <v>4.9761510480039912E-2</v>
      </c>
      <c r="N10" s="407">
        <v>4.4142543166768709E-2</v>
      </c>
      <c r="O10" s="407">
        <v>3.8523575853497506E-2</v>
      </c>
      <c r="P10" s="407">
        <v>3.2904608540226303E-2</v>
      </c>
      <c r="Q10" s="407">
        <v>2.72856412269551E-2</v>
      </c>
      <c r="R10" s="407">
        <v>2.1666673913683897E-2</v>
      </c>
      <c r="S10" s="407">
        <v>2.1666673913683897E-2</v>
      </c>
      <c r="T10" s="407">
        <v>2.1666673913683897E-2</v>
      </c>
      <c r="U10" s="407">
        <v>2.1666673913683897E-2</v>
      </c>
      <c r="V10" s="407">
        <v>2.1666673913683897E-2</v>
      </c>
      <c r="W10" s="407">
        <v>2.1666673913683897E-2</v>
      </c>
      <c r="X10" s="407">
        <v>2.1666673913683897E-2</v>
      </c>
      <c r="Y10" s="407">
        <v>2.1666673913683897E-2</v>
      </c>
      <c r="Z10" s="407">
        <v>2.1666673913683897E-2</v>
      </c>
      <c r="AA10" s="407">
        <v>2.1666673913683897E-2</v>
      </c>
      <c r="AB10" s="68">
        <v>2.1666673913683897E-2</v>
      </c>
    </row>
    <row r="11" spans="1:28" hidden="1">
      <c r="A11" s="60"/>
      <c r="B11" s="52"/>
      <c r="C11" s="407"/>
      <c r="D11" s="407"/>
      <c r="E11" s="407"/>
      <c r="F11" s="407"/>
      <c r="G11" s="407"/>
      <c r="H11" s="407">
        <f>C10-H10</f>
        <v>0.13855958051462769</v>
      </c>
      <c r="I11" s="52"/>
      <c r="J11" s="52"/>
      <c r="K11" s="52"/>
      <c r="L11" s="52"/>
      <c r="M11" s="407">
        <f>H10-M10</f>
        <v>2.8530974445815864E-2</v>
      </c>
      <c r="N11" s="52"/>
      <c r="O11" s="52"/>
      <c r="P11" s="52"/>
      <c r="Q11" s="52"/>
      <c r="R11" s="52"/>
      <c r="S11" s="52"/>
      <c r="T11" s="52"/>
      <c r="U11" s="52"/>
      <c r="V11" s="52"/>
      <c r="W11" s="52"/>
      <c r="X11" s="52"/>
      <c r="Y11" s="52"/>
      <c r="Z11" s="52"/>
      <c r="AA11" s="52"/>
      <c r="AB11" s="456">
        <f>M10-AB10</f>
        <v>2.8094836566356016E-2</v>
      </c>
    </row>
    <row r="12" spans="1:28" ht="15" hidden="1" thickBot="1">
      <c r="A12" s="426"/>
      <c r="B12" s="53"/>
      <c r="C12" s="457"/>
      <c r="D12" s="457"/>
      <c r="E12" s="457"/>
      <c r="F12" s="457"/>
      <c r="G12" s="457"/>
      <c r="H12" s="457">
        <f>H11/6</f>
        <v>2.3093263419104615E-2</v>
      </c>
      <c r="I12" s="458"/>
      <c r="J12" s="458"/>
      <c r="K12" s="458"/>
      <c r="L12" s="458"/>
      <c r="M12" s="458">
        <f>M11/5</f>
        <v>5.7061948891631731E-3</v>
      </c>
      <c r="N12" s="53"/>
      <c r="O12" s="53"/>
      <c r="P12" s="53"/>
      <c r="Q12" s="53"/>
      <c r="R12" s="53"/>
      <c r="S12" s="53"/>
      <c r="T12" s="53"/>
      <c r="U12" s="53"/>
      <c r="V12" s="53"/>
      <c r="W12" s="53"/>
      <c r="X12" s="53"/>
      <c r="Y12" s="53"/>
      <c r="Z12" s="53"/>
      <c r="AA12" s="53"/>
      <c r="AB12" s="459">
        <f>AB11/15</f>
        <v>1.8729891044237345E-3</v>
      </c>
    </row>
    <row r="13" spans="1:28" ht="15" thickBot="1">
      <c r="C13" s="460"/>
      <c r="D13" s="460"/>
      <c r="E13" s="460"/>
      <c r="F13" s="460"/>
      <c r="G13" s="460"/>
      <c r="H13" s="460"/>
      <c r="I13" s="386"/>
      <c r="J13" s="386"/>
      <c r="K13" s="386"/>
      <c r="L13" s="386"/>
      <c r="M13" s="386"/>
      <c r="AB13" s="461"/>
    </row>
    <row r="14" spans="1:28">
      <c r="A14" s="452" t="s">
        <v>249</v>
      </c>
      <c r="B14" s="453"/>
      <c r="C14" s="462"/>
      <c r="D14" s="462"/>
      <c r="E14" s="462"/>
      <c r="F14" s="462"/>
      <c r="G14" s="462"/>
      <c r="H14" s="462"/>
      <c r="I14" s="463"/>
      <c r="J14" s="463"/>
      <c r="K14" s="463"/>
      <c r="L14" s="463"/>
      <c r="M14" s="463"/>
      <c r="N14" s="453"/>
      <c r="O14" s="453"/>
      <c r="P14" s="453"/>
      <c r="Q14" s="453"/>
      <c r="R14" s="453"/>
      <c r="S14" s="453"/>
      <c r="T14" s="453"/>
      <c r="U14" s="453"/>
      <c r="V14" s="453"/>
      <c r="W14" s="453"/>
      <c r="X14" s="453"/>
      <c r="Y14" s="453"/>
      <c r="Z14" s="453"/>
      <c r="AA14" s="453"/>
      <c r="AB14" s="464"/>
    </row>
    <row r="15" spans="1:28">
      <c r="A15" s="60" t="s">
        <v>241</v>
      </c>
      <c r="B15" s="52" t="s">
        <v>242</v>
      </c>
      <c r="C15" s="439">
        <f t="shared" ref="C15:AB15" si="0">C10*$H$3</f>
        <v>24.135479839224907</v>
      </c>
      <c r="D15" s="439">
        <f t="shared" si="0"/>
        <v>21.051163390359818</v>
      </c>
      <c r="E15" s="439">
        <f t="shared" si="0"/>
        <v>17.96684694149473</v>
      </c>
      <c r="F15" s="439">
        <f t="shared" si="0"/>
        <v>14.882530492629639</v>
      </c>
      <c r="G15" s="439">
        <f t="shared" si="0"/>
        <v>11.798214043764551</v>
      </c>
      <c r="H15" s="439">
        <f t="shared" si="0"/>
        <v>8.713897594899473</v>
      </c>
      <c r="I15" s="439">
        <f t="shared" si="0"/>
        <v>8.0788021835353394</v>
      </c>
      <c r="J15" s="439">
        <f t="shared" si="0"/>
        <v>7.4437067721712049</v>
      </c>
      <c r="K15" s="439">
        <f t="shared" si="0"/>
        <v>6.8086113608070713</v>
      </c>
      <c r="L15" s="439">
        <f t="shared" si="0"/>
        <v>6.1735159494429377</v>
      </c>
      <c r="M15" s="439">
        <f t="shared" si="0"/>
        <v>5.5384205380788032</v>
      </c>
      <c r="N15" s="439">
        <f t="shared" si="0"/>
        <v>4.9130334935457096</v>
      </c>
      <c r="O15" s="439">
        <f t="shared" si="0"/>
        <v>4.2876464490126169</v>
      </c>
      <c r="P15" s="439">
        <f t="shared" si="0"/>
        <v>3.6622594044795234</v>
      </c>
      <c r="Q15" s="439">
        <f t="shared" si="0"/>
        <v>3.0368723599464302</v>
      </c>
      <c r="R15" s="439">
        <f t="shared" si="0"/>
        <v>2.4114853154133371</v>
      </c>
      <c r="S15" s="439">
        <f t="shared" si="0"/>
        <v>2.4114853154133371</v>
      </c>
      <c r="T15" s="439">
        <f t="shared" si="0"/>
        <v>2.4114853154133371</v>
      </c>
      <c r="U15" s="439">
        <f t="shared" si="0"/>
        <v>2.4114853154133371</v>
      </c>
      <c r="V15" s="439">
        <f t="shared" si="0"/>
        <v>2.4114853154133371</v>
      </c>
      <c r="W15" s="439">
        <f t="shared" si="0"/>
        <v>2.4114853154133371</v>
      </c>
      <c r="X15" s="439">
        <f t="shared" si="0"/>
        <v>2.4114853154133371</v>
      </c>
      <c r="Y15" s="439">
        <f t="shared" si="0"/>
        <v>2.4114853154133371</v>
      </c>
      <c r="Z15" s="439">
        <f t="shared" si="0"/>
        <v>2.4114853154133371</v>
      </c>
      <c r="AA15" s="439">
        <f t="shared" si="0"/>
        <v>2.4114853154133371</v>
      </c>
      <c r="AB15" s="465">
        <f t="shared" si="0"/>
        <v>2.4114853154133371</v>
      </c>
    </row>
    <row r="16" spans="1:28" ht="15" thickBot="1">
      <c r="A16" s="426" t="s">
        <v>243</v>
      </c>
      <c r="B16" s="53" t="s">
        <v>244</v>
      </c>
      <c r="C16" s="450">
        <f t="shared" ref="C16:AB16" si="1">C10*$H$4</f>
        <v>14.481287903534943</v>
      </c>
      <c r="D16" s="450">
        <f t="shared" si="1"/>
        <v>12.630698034215889</v>
      </c>
      <c r="E16" s="450">
        <f t="shared" si="1"/>
        <v>10.780108164896836</v>
      </c>
      <c r="F16" s="450">
        <f t="shared" si="1"/>
        <v>8.9295182955777825</v>
      </c>
      <c r="G16" s="450">
        <f t="shared" si="1"/>
        <v>7.0789284262587309</v>
      </c>
      <c r="H16" s="450">
        <f t="shared" si="1"/>
        <v>5.2283385569396836</v>
      </c>
      <c r="I16" s="450">
        <f t="shared" si="1"/>
        <v>4.8472813101212031</v>
      </c>
      <c r="J16" s="450">
        <f t="shared" si="1"/>
        <v>4.4662240633027226</v>
      </c>
      <c r="K16" s="450">
        <f t="shared" si="1"/>
        <v>4.085166816484243</v>
      </c>
      <c r="L16" s="450">
        <f t="shared" si="1"/>
        <v>3.7041095696657624</v>
      </c>
      <c r="M16" s="450">
        <f t="shared" si="1"/>
        <v>3.3230523228472815</v>
      </c>
      <c r="N16" s="450">
        <f t="shared" si="1"/>
        <v>2.9478200961274257</v>
      </c>
      <c r="O16" s="450">
        <f t="shared" si="1"/>
        <v>2.5725878694075699</v>
      </c>
      <c r="P16" s="450">
        <f t="shared" si="1"/>
        <v>2.1973556426877141</v>
      </c>
      <c r="Q16" s="450">
        <f t="shared" si="1"/>
        <v>1.8221234159678581</v>
      </c>
      <c r="R16" s="450">
        <f t="shared" si="1"/>
        <v>1.4468911892480023</v>
      </c>
      <c r="S16" s="450">
        <f t="shared" si="1"/>
        <v>1.4468911892480023</v>
      </c>
      <c r="T16" s="450">
        <f t="shared" si="1"/>
        <v>1.4468911892480023</v>
      </c>
      <c r="U16" s="450">
        <f t="shared" si="1"/>
        <v>1.4468911892480023</v>
      </c>
      <c r="V16" s="450">
        <f t="shared" si="1"/>
        <v>1.4468911892480023</v>
      </c>
      <c r="W16" s="450">
        <f t="shared" si="1"/>
        <v>1.4468911892480023</v>
      </c>
      <c r="X16" s="450">
        <f t="shared" si="1"/>
        <v>1.4468911892480023</v>
      </c>
      <c r="Y16" s="450">
        <f t="shared" si="1"/>
        <v>1.4468911892480023</v>
      </c>
      <c r="Z16" s="450">
        <f t="shared" si="1"/>
        <v>1.4468911892480023</v>
      </c>
      <c r="AA16" s="450">
        <f t="shared" si="1"/>
        <v>1.4468911892480023</v>
      </c>
      <c r="AB16" s="466">
        <f t="shared" si="1"/>
        <v>1.4468911892480023</v>
      </c>
    </row>
    <row r="18" spans="1:28">
      <c r="A18" s="386" t="s">
        <v>250</v>
      </c>
    </row>
    <row r="19" spans="1:28" s="386" customFormat="1">
      <c r="A19" s="433"/>
      <c r="B19" s="393" t="s">
        <v>45</v>
      </c>
      <c r="C19" s="393">
        <v>2025</v>
      </c>
      <c r="D19" s="393">
        <v>2026</v>
      </c>
      <c r="E19" s="393">
        <v>2027</v>
      </c>
      <c r="F19" s="393">
        <v>2028</v>
      </c>
      <c r="G19" s="393">
        <v>2029</v>
      </c>
      <c r="H19" s="393">
        <v>2030</v>
      </c>
      <c r="I19" s="393">
        <v>2031</v>
      </c>
      <c r="J19" s="393">
        <v>2032</v>
      </c>
      <c r="K19" s="393">
        <v>2033</v>
      </c>
      <c r="L19" s="393">
        <v>2034</v>
      </c>
      <c r="M19" s="393">
        <v>2035</v>
      </c>
      <c r="N19" s="393">
        <v>2036</v>
      </c>
      <c r="O19" s="393">
        <v>2037</v>
      </c>
      <c r="P19" s="393">
        <v>2038</v>
      </c>
      <c r="Q19" s="393">
        <v>2039</v>
      </c>
      <c r="R19" s="393">
        <v>2040</v>
      </c>
      <c r="S19" s="393">
        <v>2041</v>
      </c>
      <c r="T19" s="393">
        <v>2042</v>
      </c>
      <c r="U19" s="393">
        <v>2043</v>
      </c>
      <c r="V19" s="393">
        <v>2044</v>
      </c>
      <c r="W19" s="393">
        <v>2045</v>
      </c>
      <c r="X19" s="393">
        <v>2046</v>
      </c>
      <c r="Y19" s="393">
        <v>2047</v>
      </c>
      <c r="Z19" s="393">
        <v>2048</v>
      </c>
      <c r="AA19" s="393">
        <v>2049</v>
      </c>
      <c r="AB19" s="455">
        <v>2050</v>
      </c>
    </row>
    <row r="20" spans="1:28">
      <c r="A20" s="60" t="s">
        <v>241</v>
      </c>
      <c r="B20" s="52" t="s">
        <v>242</v>
      </c>
      <c r="C20" s="439">
        <f>$F$3-C15</f>
        <v>120.71938760377506</v>
      </c>
      <c r="D20" s="439">
        <f t="shared" ref="D20:AB20" si="2">$F$3-D15</f>
        <v>123.80370405264014</v>
      </c>
      <c r="E20" s="439">
        <f t="shared" si="2"/>
        <v>126.88802050150522</v>
      </c>
      <c r="F20" s="439">
        <f t="shared" si="2"/>
        <v>129.97233695037033</v>
      </c>
      <c r="G20" s="439">
        <f t="shared" si="2"/>
        <v>133.05665339923542</v>
      </c>
      <c r="H20" s="439">
        <f t="shared" si="2"/>
        <v>136.1409698481005</v>
      </c>
      <c r="I20" s="439">
        <f t="shared" si="2"/>
        <v>136.77606525946462</v>
      </c>
      <c r="J20" s="439">
        <f t="shared" si="2"/>
        <v>137.41116067082876</v>
      </c>
      <c r="K20" s="439">
        <f t="shared" si="2"/>
        <v>138.04625608219288</v>
      </c>
      <c r="L20" s="439">
        <f t="shared" si="2"/>
        <v>138.68135149355703</v>
      </c>
      <c r="M20" s="439">
        <f t="shared" si="2"/>
        <v>139.31644690492115</v>
      </c>
      <c r="N20" s="439">
        <f t="shared" si="2"/>
        <v>139.94183394945426</v>
      </c>
      <c r="O20" s="439">
        <f t="shared" si="2"/>
        <v>140.56722099398735</v>
      </c>
      <c r="P20" s="439">
        <f t="shared" si="2"/>
        <v>141.19260803852043</v>
      </c>
      <c r="Q20" s="439">
        <f t="shared" si="2"/>
        <v>141.81799508305352</v>
      </c>
      <c r="R20" s="439">
        <f t="shared" si="2"/>
        <v>142.44338212758663</v>
      </c>
      <c r="S20" s="439">
        <f t="shared" si="2"/>
        <v>142.44338212758663</v>
      </c>
      <c r="T20" s="439">
        <f t="shared" si="2"/>
        <v>142.44338212758663</v>
      </c>
      <c r="U20" s="439">
        <f t="shared" si="2"/>
        <v>142.44338212758663</v>
      </c>
      <c r="V20" s="439">
        <f t="shared" si="2"/>
        <v>142.44338212758663</v>
      </c>
      <c r="W20" s="439">
        <f t="shared" si="2"/>
        <v>142.44338212758663</v>
      </c>
      <c r="X20" s="439">
        <f t="shared" si="2"/>
        <v>142.44338212758663</v>
      </c>
      <c r="Y20" s="439">
        <f t="shared" si="2"/>
        <v>142.44338212758663</v>
      </c>
      <c r="Z20" s="439">
        <f t="shared" si="2"/>
        <v>142.44338212758663</v>
      </c>
      <c r="AA20" s="439">
        <f t="shared" si="2"/>
        <v>142.44338212758663</v>
      </c>
      <c r="AB20" s="439">
        <f t="shared" si="2"/>
        <v>142.44338212758663</v>
      </c>
    </row>
    <row r="21" spans="1:28" ht="15" thickBot="1">
      <c r="A21" s="426" t="s">
        <v>243</v>
      </c>
      <c r="B21" s="53" t="s">
        <v>244</v>
      </c>
      <c r="C21" s="439">
        <f>$F$4-C16</f>
        <v>72.427755290652513</v>
      </c>
      <c r="D21" s="439">
        <f t="shared" ref="D21:AB21" si="3">$F$4-D16</f>
        <v>74.278345159971565</v>
      </c>
      <c r="E21" s="439">
        <f t="shared" si="3"/>
        <v>76.128935029290631</v>
      </c>
      <c r="F21" s="439">
        <f t="shared" si="3"/>
        <v>77.979524898609682</v>
      </c>
      <c r="G21" s="439">
        <f t="shared" si="3"/>
        <v>79.830114767928734</v>
      </c>
      <c r="H21" s="439">
        <f t="shared" si="3"/>
        <v>81.680704637247771</v>
      </c>
      <c r="I21" s="439">
        <f t="shared" si="3"/>
        <v>82.061761884066257</v>
      </c>
      <c r="J21" s="439">
        <f t="shared" si="3"/>
        <v>82.442819130884743</v>
      </c>
      <c r="K21" s="439">
        <f t="shared" si="3"/>
        <v>82.823876377703215</v>
      </c>
      <c r="L21" s="439">
        <f t="shared" si="3"/>
        <v>83.204933624521701</v>
      </c>
      <c r="M21" s="439">
        <f t="shared" si="3"/>
        <v>83.585990871340186</v>
      </c>
      <c r="N21" s="439">
        <f t="shared" si="3"/>
        <v>83.961223098060032</v>
      </c>
      <c r="O21" s="439">
        <f t="shared" si="3"/>
        <v>84.336455324779891</v>
      </c>
      <c r="P21" s="439">
        <f t="shared" si="3"/>
        <v>84.71168755149975</v>
      </c>
      <c r="Q21" s="439">
        <f t="shared" si="3"/>
        <v>85.08691977821961</v>
      </c>
      <c r="R21" s="439">
        <f t="shared" si="3"/>
        <v>85.462152004939455</v>
      </c>
      <c r="S21" s="439">
        <f t="shared" si="3"/>
        <v>85.462152004939455</v>
      </c>
      <c r="T21" s="439">
        <f t="shared" si="3"/>
        <v>85.462152004939455</v>
      </c>
      <c r="U21" s="439">
        <f t="shared" si="3"/>
        <v>85.462152004939455</v>
      </c>
      <c r="V21" s="439">
        <f t="shared" si="3"/>
        <v>85.462152004939455</v>
      </c>
      <c r="W21" s="439">
        <f t="shared" si="3"/>
        <v>85.462152004939455</v>
      </c>
      <c r="X21" s="439">
        <f t="shared" si="3"/>
        <v>85.462152004939455</v>
      </c>
      <c r="Y21" s="439">
        <f t="shared" si="3"/>
        <v>85.462152004939455</v>
      </c>
      <c r="Z21" s="439">
        <f t="shared" si="3"/>
        <v>85.462152004939455</v>
      </c>
      <c r="AA21" s="439">
        <f t="shared" si="3"/>
        <v>85.462152004939455</v>
      </c>
      <c r="AB21" s="439">
        <f t="shared" si="3"/>
        <v>85.462152004939455</v>
      </c>
    </row>
    <row r="23" spans="1:28">
      <c r="C23" s="432" t="s">
        <v>251</v>
      </c>
      <c r="I23" s="5"/>
    </row>
    <row r="24" spans="1:28">
      <c r="A24" s="393" t="s">
        <v>252</v>
      </c>
      <c r="B24" s="52"/>
      <c r="C24" s="52">
        <v>2025</v>
      </c>
      <c r="D24" s="52">
        <v>2026</v>
      </c>
      <c r="E24" s="52">
        <v>2027</v>
      </c>
      <c r="F24" s="52">
        <v>2028</v>
      </c>
      <c r="G24" s="52">
        <v>2029</v>
      </c>
      <c r="H24" s="52">
        <v>2030</v>
      </c>
      <c r="I24" s="52">
        <v>2031</v>
      </c>
      <c r="J24" s="52">
        <v>2032</v>
      </c>
      <c r="K24" s="52">
        <v>2033</v>
      </c>
      <c r="L24" s="52">
        <v>2034</v>
      </c>
      <c r="M24" s="52">
        <v>2035</v>
      </c>
      <c r="N24" s="52">
        <v>2036</v>
      </c>
      <c r="O24" s="52">
        <v>2037</v>
      </c>
      <c r="P24" s="52">
        <v>2038</v>
      </c>
      <c r="Q24" s="52">
        <v>2039</v>
      </c>
      <c r="R24" s="52">
        <v>2040</v>
      </c>
      <c r="S24" s="52">
        <v>2041</v>
      </c>
      <c r="T24" s="52">
        <v>2042</v>
      </c>
      <c r="U24" s="52">
        <v>2043</v>
      </c>
      <c r="V24" s="52">
        <v>2044</v>
      </c>
      <c r="W24" s="52">
        <v>2045</v>
      </c>
      <c r="X24" s="52">
        <v>2046</v>
      </c>
      <c r="Y24" s="52">
        <v>2047</v>
      </c>
      <c r="Z24" s="52">
        <v>2048</v>
      </c>
      <c r="AA24" s="52">
        <v>2049</v>
      </c>
      <c r="AB24" s="52">
        <v>2050</v>
      </c>
    </row>
    <row r="25" spans="1:28">
      <c r="A25" s="52" t="s">
        <v>241</v>
      </c>
      <c r="B25" s="52" t="s">
        <v>242</v>
      </c>
      <c r="C25" s="467">
        <v>0</v>
      </c>
      <c r="D25" s="467">
        <v>35</v>
      </c>
      <c r="E25" s="467">
        <f>25+D25</f>
        <v>60</v>
      </c>
      <c r="F25" s="467">
        <f>22+E25</f>
        <v>82</v>
      </c>
      <c r="G25" s="467">
        <f>F25</f>
        <v>82</v>
      </c>
      <c r="H25" s="467">
        <f>G25</f>
        <v>82</v>
      </c>
      <c r="I25" s="467">
        <f t="shared" ref="I25:W26" si="4">H25</f>
        <v>82</v>
      </c>
      <c r="J25" s="467">
        <f t="shared" si="4"/>
        <v>82</v>
      </c>
      <c r="K25" s="467">
        <f t="shared" si="4"/>
        <v>82</v>
      </c>
      <c r="L25" s="467">
        <f t="shared" si="4"/>
        <v>82</v>
      </c>
      <c r="M25" s="467">
        <f t="shared" si="4"/>
        <v>82</v>
      </c>
      <c r="N25" s="467">
        <f t="shared" si="4"/>
        <v>82</v>
      </c>
      <c r="O25" s="467">
        <f t="shared" si="4"/>
        <v>82</v>
      </c>
      <c r="P25" s="467">
        <f t="shared" si="4"/>
        <v>82</v>
      </c>
      <c r="Q25" s="467">
        <f t="shared" si="4"/>
        <v>82</v>
      </c>
      <c r="R25" s="467">
        <f t="shared" si="4"/>
        <v>82</v>
      </c>
      <c r="S25" s="467">
        <f t="shared" si="4"/>
        <v>82</v>
      </c>
      <c r="T25" s="467">
        <f t="shared" si="4"/>
        <v>82</v>
      </c>
      <c r="U25" s="467">
        <f t="shared" si="4"/>
        <v>82</v>
      </c>
      <c r="V25" s="467">
        <f t="shared" si="4"/>
        <v>82</v>
      </c>
      <c r="W25" s="467">
        <f t="shared" si="4"/>
        <v>82</v>
      </c>
      <c r="X25" s="467">
        <f>W25-D25</f>
        <v>47</v>
      </c>
      <c r="Y25" s="467">
        <f>X25-(E25-D25)</f>
        <v>22</v>
      </c>
      <c r="Z25" s="467">
        <v>0</v>
      </c>
      <c r="AA25" s="467">
        <v>0</v>
      </c>
      <c r="AB25" s="467">
        <v>0</v>
      </c>
    </row>
    <row r="26" spans="1:28">
      <c r="A26" s="52" t="s">
        <v>243</v>
      </c>
      <c r="B26" s="52" t="s">
        <v>244</v>
      </c>
      <c r="C26" s="467">
        <v>0</v>
      </c>
      <c r="D26" s="467">
        <v>35</v>
      </c>
      <c r="E26" s="467">
        <f>25+D26</f>
        <v>60</v>
      </c>
      <c r="F26" s="467">
        <f>22+E26</f>
        <v>82</v>
      </c>
      <c r="G26" s="467">
        <f>F26</f>
        <v>82</v>
      </c>
      <c r="H26" s="467">
        <f>G26</f>
        <v>82</v>
      </c>
      <c r="I26" s="467">
        <f t="shared" si="4"/>
        <v>82</v>
      </c>
      <c r="J26" s="467">
        <f t="shared" si="4"/>
        <v>82</v>
      </c>
      <c r="K26" s="467">
        <f t="shared" si="4"/>
        <v>82</v>
      </c>
      <c r="L26" s="467">
        <f t="shared" si="4"/>
        <v>82</v>
      </c>
      <c r="M26" s="467">
        <f t="shared" si="4"/>
        <v>82</v>
      </c>
      <c r="N26" s="467">
        <f t="shared" si="4"/>
        <v>82</v>
      </c>
      <c r="O26" s="467">
        <f t="shared" si="4"/>
        <v>82</v>
      </c>
      <c r="P26" s="467">
        <f t="shared" si="4"/>
        <v>82</v>
      </c>
      <c r="Q26" s="467">
        <f t="shared" si="4"/>
        <v>82</v>
      </c>
      <c r="R26" s="467">
        <f t="shared" si="4"/>
        <v>82</v>
      </c>
      <c r="S26" s="467">
        <f t="shared" si="4"/>
        <v>82</v>
      </c>
      <c r="T26" s="467">
        <f t="shared" si="4"/>
        <v>82</v>
      </c>
      <c r="U26" s="467">
        <f t="shared" si="4"/>
        <v>82</v>
      </c>
      <c r="V26" s="467">
        <f t="shared" si="4"/>
        <v>82</v>
      </c>
      <c r="W26" s="467">
        <f t="shared" si="4"/>
        <v>82</v>
      </c>
      <c r="X26" s="467">
        <f>W26-D26</f>
        <v>47</v>
      </c>
      <c r="Y26" s="467">
        <f>X26-(E26-D26)</f>
        <v>22</v>
      </c>
      <c r="Z26" s="467">
        <v>0</v>
      </c>
      <c r="AA26" s="467">
        <v>0</v>
      </c>
      <c r="AB26" s="467">
        <v>0</v>
      </c>
    </row>
    <row r="27" spans="1:28" ht="15" thickBot="1">
      <c r="B27" t="s">
        <v>253</v>
      </c>
      <c r="C27">
        <f>SUM(C25:C26)</f>
        <v>0</v>
      </c>
      <c r="D27">
        <f t="shared" ref="D27:AB27" si="5">SUM(D25:D26)</f>
        <v>70</v>
      </c>
      <c r="E27">
        <f t="shared" si="5"/>
        <v>120</v>
      </c>
      <c r="F27" s="386">
        <f t="shared" si="5"/>
        <v>164</v>
      </c>
      <c r="G27">
        <f t="shared" si="5"/>
        <v>164</v>
      </c>
      <c r="H27">
        <f t="shared" si="5"/>
        <v>164</v>
      </c>
      <c r="I27">
        <f t="shared" si="5"/>
        <v>164</v>
      </c>
      <c r="J27">
        <f t="shared" si="5"/>
        <v>164</v>
      </c>
      <c r="K27">
        <f t="shared" si="5"/>
        <v>164</v>
      </c>
      <c r="L27">
        <f t="shared" si="5"/>
        <v>164</v>
      </c>
      <c r="M27">
        <f t="shared" si="5"/>
        <v>164</v>
      </c>
      <c r="N27">
        <f t="shared" si="5"/>
        <v>164</v>
      </c>
      <c r="O27">
        <f t="shared" si="5"/>
        <v>164</v>
      </c>
      <c r="P27">
        <f t="shared" si="5"/>
        <v>164</v>
      </c>
      <c r="Q27">
        <f t="shared" si="5"/>
        <v>164</v>
      </c>
      <c r="R27">
        <f t="shared" si="5"/>
        <v>164</v>
      </c>
      <c r="S27">
        <f t="shared" si="5"/>
        <v>164</v>
      </c>
      <c r="T27">
        <f t="shared" si="5"/>
        <v>164</v>
      </c>
      <c r="U27">
        <f t="shared" si="5"/>
        <v>164</v>
      </c>
      <c r="V27">
        <f t="shared" si="5"/>
        <v>164</v>
      </c>
      <c r="W27">
        <f t="shared" si="5"/>
        <v>164</v>
      </c>
      <c r="X27">
        <f t="shared" si="5"/>
        <v>94</v>
      </c>
      <c r="Y27">
        <f t="shared" si="5"/>
        <v>44</v>
      </c>
      <c r="Z27">
        <f t="shared" si="5"/>
        <v>0</v>
      </c>
      <c r="AA27">
        <f t="shared" si="5"/>
        <v>0</v>
      </c>
      <c r="AB27">
        <f t="shared" si="5"/>
        <v>0</v>
      </c>
    </row>
    <row r="28" spans="1:28">
      <c r="A28" s="452" t="s">
        <v>254</v>
      </c>
      <c r="B28" s="453"/>
      <c r="C28" s="453"/>
      <c r="D28" s="453"/>
      <c r="E28" s="453"/>
      <c r="F28" s="453"/>
      <c r="G28" s="453"/>
      <c r="H28" s="453"/>
      <c r="I28" s="453"/>
      <c r="J28" s="453"/>
      <c r="K28" s="453"/>
      <c r="L28" s="453"/>
      <c r="M28" s="453"/>
      <c r="N28" s="453"/>
      <c r="O28" s="453"/>
      <c r="P28" s="453"/>
      <c r="Q28" s="453"/>
      <c r="R28" s="453"/>
      <c r="S28" s="453"/>
      <c r="T28" s="453"/>
      <c r="U28" s="453"/>
      <c r="V28" s="453"/>
      <c r="W28" s="453"/>
      <c r="X28" s="453"/>
      <c r="Y28" s="453"/>
      <c r="Z28" s="453"/>
      <c r="AA28" s="453"/>
      <c r="AB28" s="454"/>
    </row>
    <row r="29" spans="1:28">
      <c r="A29" s="60" t="s">
        <v>241</v>
      </c>
      <c r="B29" s="52" t="s">
        <v>242</v>
      </c>
      <c r="C29" s="439">
        <f t="shared" ref="C29:AB30" si="6">C25*C20</f>
        <v>0</v>
      </c>
      <c r="D29" s="439">
        <f t="shared" si="6"/>
        <v>4333.1296418424054</v>
      </c>
      <c r="E29" s="439">
        <f t="shared" si="6"/>
        <v>7613.2812300903133</v>
      </c>
      <c r="F29" s="439">
        <f t="shared" si="6"/>
        <v>10657.731629930367</v>
      </c>
      <c r="G29" s="439">
        <f t="shared" si="6"/>
        <v>10910.645578737303</v>
      </c>
      <c r="H29" s="439">
        <f t="shared" si="6"/>
        <v>11163.559527544241</v>
      </c>
      <c r="I29" s="439">
        <f t="shared" si="6"/>
        <v>11215.637351276098</v>
      </c>
      <c r="J29" s="439">
        <f t="shared" si="6"/>
        <v>11267.715175007959</v>
      </c>
      <c r="K29" s="439">
        <f t="shared" si="6"/>
        <v>11319.792998739817</v>
      </c>
      <c r="L29" s="439">
        <f t="shared" si="6"/>
        <v>11371.870822471676</v>
      </c>
      <c r="M29" s="439">
        <f t="shared" si="6"/>
        <v>11423.948646203535</v>
      </c>
      <c r="N29" s="439">
        <f t="shared" si="6"/>
        <v>11475.230383855249</v>
      </c>
      <c r="O29" s="439">
        <f t="shared" si="6"/>
        <v>11526.512121506963</v>
      </c>
      <c r="P29" s="439">
        <f t="shared" si="6"/>
        <v>11577.793859158675</v>
      </c>
      <c r="Q29" s="439">
        <f t="shared" si="6"/>
        <v>11629.075596810388</v>
      </c>
      <c r="R29" s="439">
        <f t="shared" si="6"/>
        <v>11680.357334462104</v>
      </c>
      <c r="S29" s="439">
        <f t="shared" si="6"/>
        <v>11680.357334462104</v>
      </c>
      <c r="T29" s="439">
        <f t="shared" si="6"/>
        <v>11680.357334462104</v>
      </c>
      <c r="U29" s="439">
        <f t="shared" si="6"/>
        <v>11680.357334462104</v>
      </c>
      <c r="V29" s="439">
        <f t="shared" si="6"/>
        <v>11680.357334462104</v>
      </c>
      <c r="W29" s="439">
        <f t="shared" si="6"/>
        <v>11680.357334462104</v>
      </c>
      <c r="X29" s="439">
        <f t="shared" si="6"/>
        <v>6694.8389599965712</v>
      </c>
      <c r="Y29" s="439">
        <f t="shared" si="6"/>
        <v>3133.754406806906</v>
      </c>
      <c r="Z29" s="439">
        <f t="shared" si="6"/>
        <v>0</v>
      </c>
      <c r="AA29" s="439">
        <f t="shared" si="6"/>
        <v>0</v>
      </c>
      <c r="AB29" s="465">
        <f t="shared" si="6"/>
        <v>0</v>
      </c>
    </row>
    <row r="30" spans="1:28" ht="15" thickBot="1">
      <c r="A30" s="426" t="s">
        <v>243</v>
      </c>
      <c r="B30" s="53" t="s">
        <v>244</v>
      </c>
      <c r="C30" s="450">
        <f t="shared" si="6"/>
        <v>0</v>
      </c>
      <c r="D30" s="450">
        <f t="shared" si="6"/>
        <v>2599.7420805990046</v>
      </c>
      <c r="E30" s="450">
        <f t="shared" si="6"/>
        <v>4567.7361017574376</v>
      </c>
      <c r="F30" s="450">
        <f t="shared" si="6"/>
        <v>6394.3210416859938</v>
      </c>
      <c r="G30" s="450">
        <f t="shared" si="6"/>
        <v>6546.0694109701562</v>
      </c>
      <c r="H30" s="450">
        <f t="shared" si="6"/>
        <v>6697.8177802543169</v>
      </c>
      <c r="I30" s="450">
        <f t="shared" si="6"/>
        <v>6729.0644744934334</v>
      </c>
      <c r="J30" s="450">
        <f t="shared" si="6"/>
        <v>6760.311168732549</v>
      </c>
      <c r="K30" s="450">
        <f t="shared" si="6"/>
        <v>6791.5578629716638</v>
      </c>
      <c r="L30" s="450">
        <f t="shared" si="6"/>
        <v>6822.8045572107794</v>
      </c>
      <c r="M30" s="450">
        <f t="shared" si="6"/>
        <v>6854.0512514498951</v>
      </c>
      <c r="N30" s="450">
        <f t="shared" si="6"/>
        <v>6884.8202940409228</v>
      </c>
      <c r="O30" s="450">
        <f t="shared" si="6"/>
        <v>6915.5893366319515</v>
      </c>
      <c r="P30" s="450">
        <f t="shared" si="6"/>
        <v>6946.3583792229792</v>
      </c>
      <c r="Q30" s="450">
        <f t="shared" si="6"/>
        <v>6977.1274218140079</v>
      </c>
      <c r="R30" s="450">
        <f t="shared" si="6"/>
        <v>7007.8964644050357</v>
      </c>
      <c r="S30" s="450">
        <f t="shared" si="6"/>
        <v>7007.8964644050357</v>
      </c>
      <c r="T30" s="450">
        <f t="shared" si="6"/>
        <v>7007.8964644050357</v>
      </c>
      <c r="U30" s="450">
        <f t="shared" si="6"/>
        <v>7007.8964644050357</v>
      </c>
      <c r="V30" s="450">
        <f t="shared" si="6"/>
        <v>7007.8964644050357</v>
      </c>
      <c r="W30" s="450">
        <f t="shared" si="6"/>
        <v>7007.8964644050357</v>
      </c>
      <c r="X30" s="450">
        <f t="shared" si="6"/>
        <v>4016.7211442321545</v>
      </c>
      <c r="Y30" s="450">
        <f t="shared" si="6"/>
        <v>1880.167344108668</v>
      </c>
      <c r="Z30" s="450">
        <f t="shared" si="6"/>
        <v>0</v>
      </c>
      <c r="AA30" s="450">
        <f t="shared" si="6"/>
        <v>0</v>
      </c>
      <c r="AB30" s="466">
        <f t="shared" si="6"/>
        <v>0</v>
      </c>
    </row>
    <row r="31" spans="1:28">
      <c r="A31" t="s">
        <v>106</v>
      </c>
      <c r="C31" s="5">
        <f>SUM(C29:C30)</f>
        <v>0</v>
      </c>
      <c r="D31" s="5">
        <f t="shared" ref="D31:AB31" si="7">SUM(D29:D30)</f>
        <v>6932.8717224414104</v>
      </c>
      <c r="E31" s="5">
        <f t="shared" si="7"/>
        <v>12181.01733184775</v>
      </c>
      <c r="F31" s="5">
        <f t="shared" si="7"/>
        <v>17052.052671616362</v>
      </c>
      <c r="G31" s="5">
        <f t="shared" si="7"/>
        <v>17456.71498970746</v>
      </c>
      <c r="H31" s="5">
        <f t="shared" si="7"/>
        <v>17861.377307798557</v>
      </c>
      <c r="I31" s="5">
        <f t="shared" si="7"/>
        <v>17944.701825769531</v>
      </c>
      <c r="J31" s="5">
        <f t="shared" si="7"/>
        <v>18028.026343740508</v>
      </c>
      <c r="K31" s="5">
        <f t="shared" si="7"/>
        <v>18111.350861711479</v>
      </c>
      <c r="L31" s="5">
        <f t="shared" si="7"/>
        <v>18194.675379682456</v>
      </c>
      <c r="M31" s="5">
        <f t="shared" si="7"/>
        <v>18277.99989765343</v>
      </c>
      <c r="N31" s="5">
        <f t="shared" si="7"/>
        <v>18360.050677896172</v>
      </c>
      <c r="O31" s="5">
        <f t="shared" si="7"/>
        <v>18442.101458138914</v>
      </c>
      <c r="P31" s="5">
        <f t="shared" si="7"/>
        <v>18524.152238381655</v>
      </c>
      <c r="Q31" s="5">
        <f t="shared" si="7"/>
        <v>18606.203018624394</v>
      </c>
      <c r="R31" s="5">
        <f t="shared" si="7"/>
        <v>18688.253798867139</v>
      </c>
      <c r="S31" s="5">
        <f t="shared" si="7"/>
        <v>18688.253798867139</v>
      </c>
      <c r="T31" s="5">
        <f t="shared" si="7"/>
        <v>18688.253798867139</v>
      </c>
      <c r="U31" s="5">
        <f t="shared" si="7"/>
        <v>18688.253798867139</v>
      </c>
      <c r="V31" s="5">
        <f t="shared" si="7"/>
        <v>18688.253798867139</v>
      </c>
      <c r="W31" s="5">
        <f t="shared" si="7"/>
        <v>18688.253798867139</v>
      </c>
      <c r="X31" s="5">
        <f t="shared" si="7"/>
        <v>10711.560104228725</v>
      </c>
      <c r="Y31" s="5">
        <f t="shared" si="7"/>
        <v>5013.9217509155742</v>
      </c>
      <c r="Z31" s="5">
        <f t="shared" si="7"/>
        <v>0</v>
      </c>
      <c r="AA31" s="5">
        <f t="shared" si="7"/>
        <v>0</v>
      </c>
      <c r="AB31" s="5">
        <f t="shared" si="7"/>
        <v>0</v>
      </c>
    </row>
    <row r="32" spans="1:28" ht="15" thickBot="1"/>
    <row r="33" spans="1:9" ht="15" thickBot="1">
      <c r="A33" s="468" t="s">
        <v>255</v>
      </c>
      <c r="B33" s="687" t="s">
        <v>60</v>
      </c>
      <c r="C33" s="688" t="s">
        <v>61</v>
      </c>
    </row>
    <row r="34" spans="1:9" ht="15" thickBot="1">
      <c r="A34" s="430" t="s">
        <v>256</v>
      </c>
      <c r="B34" s="469">
        <f>SUM(C31:H31)</f>
        <v>71484.034023411528</v>
      </c>
      <c r="C34" s="470">
        <f>SUM(C31:AB31)</f>
        <v>363828.30037335708</v>
      </c>
    </row>
    <row r="35" spans="1:9" ht="15" thickBot="1">
      <c r="A35" s="430"/>
      <c r="C35" s="429"/>
      <c r="E35" s="441"/>
    </row>
    <row r="36" spans="1:9" ht="15" thickBot="1">
      <c r="A36" s="471" t="s">
        <v>257</v>
      </c>
      <c r="B36" s="472">
        <v>14843772</v>
      </c>
      <c r="C36" s="425"/>
      <c r="E36" s="42"/>
      <c r="I36" s="3"/>
    </row>
    <row r="37" spans="1:9" ht="15" thickBot="1">
      <c r="A37" s="473" t="s">
        <v>258</v>
      </c>
      <c r="B37" s="472">
        <f>B36/B34</f>
        <v>207.65157147033082</v>
      </c>
      <c r="C37" s="474">
        <f>B36/C34</f>
        <v>40.798838311278878</v>
      </c>
    </row>
    <row r="38" spans="1:9" ht="15" thickBot="1">
      <c r="A38" s="430"/>
      <c r="B38" s="432" t="s">
        <v>259</v>
      </c>
      <c r="C38" s="429"/>
    </row>
    <row r="39" spans="1:9" ht="15" thickBot="1">
      <c r="A39" s="719" t="s">
        <v>260</v>
      </c>
      <c r="B39" s="720"/>
      <c r="C39" s="721"/>
    </row>
    <row r="40" spans="1:9">
      <c r="A40" s="452"/>
      <c r="B40" s="475" t="s">
        <v>60</v>
      </c>
      <c r="C40" s="476" t="s">
        <v>61</v>
      </c>
    </row>
    <row r="41" spans="1:9">
      <c r="A41" s="60" t="s">
        <v>261</v>
      </c>
      <c r="B41" s="50">
        <f>SUM('[2]Non GHG Emission Factors'!D11:I11)+SUM('[2]Non GHG Emission Factors'!D17:I17)</f>
        <v>220.28668051551335</v>
      </c>
      <c r="C41" s="56">
        <f>SUM('[2]Non GHG Emission Factors'!D11:AC11)+SUM('[2]Non GHG Emission Factors'!E17:AC17)</f>
        <v>1045.2312289563065</v>
      </c>
      <c r="D41" s="477"/>
    </row>
    <row r="42" spans="1:9">
      <c r="A42" s="60" t="s">
        <v>262</v>
      </c>
      <c r="B42" s="50">
        <f>SUM('[2]Non GHG Emission Factors'!D12:I12)+SUM('[2]Non GHG Emission Factors'!D18:I18)</f>
        <v>13.192935935357934</v>
      </c>
      <c r="C42" s="56">
        <f>SUM('[2]Non GHG Emission Factors'!D12:AC12)+SUM('[2]Non GHG Emission Factors'!E18:AC18)</f>
        <v>62.598740009997449</v>
      </c>
      <c r="D42" s="477"/>
    </row>
    <row r="43" spans="1:9">
      <c r="A43" s="60" t="s">
        <v>263</v>
      </c>
      <c r="B43" s="50">
        <f>SUM('[2]Non GHG Emission Factors'!D13:I13)+SUM('[2]Non GHG Emission Factors'!D19:I19)</f>
        <v>23.616286094143234</v>
      </c>
      <c r="C43" s="56">
        <f>SUM('[2]Non GHG Emission Factors'!D13:AC13)+SUM('[2]Non GHG Emission Factors'!E19:AC19)</f>
        <v>112.05616099801686</v>
      </c>
      <c r="D43" s="477"/>
    </row>
    <row r="44" spans="1:9" ht="15" thickBot="1">
      <c r="A44" s="426" t="s">
        <v>264</v>
      </c>
      <c r="B44" s="478">
        <f>SUM('[2]Non GHG Emission Factors'!D14:I14)+SUM('[2]Non GHG Emission Factors'!D20:I20)</f>
        <v>76.091563458053002</v>
      </c>
      <c r="C44" s="479">
        <f>SUM('[2]Non GHG Emission Factors'!D14:AC14)+SUM('[2]Non GHG Emission Factors'!E20:AC20)</f>
        <v>361.04442719979397</v>
      </c>
      <c r="D44" s="477"/>
    </row>
  </sheetData>
  <mergeCells count="3">
    <mergeCell ref="C1:E1"/>
    <mergeCell ref="H1:I1"/>
    <mergeCell ref="A39:C3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1FA6D-8837-4EA9-9397-C0DCAB3D42C2}">
  <sheetPr>
    <tabColor theme="8" tint="0.79998168889431442"/>
  </sheetPr>
  <dimension ref="A1:AB45"/>
  <sheetViews>
    <sheetView topLeftCell="A20" workbookViewId="0">
      <selection activeCell="D35" sqref="D35"/>
    </sheetView>
  </sheetViews>
  <sheetFormatPr defaultRowHeight="14.45"/>
  <cols>
    <col min="1" max="1" width="28.7109375" customWidth="1"/>
    <col min="2" max="2" width="23.28515625" customWidth="1"/>
    <col min="3" max="3" width="19.7109375" customWidth="1"/>
    <col min="4" max="4" width="23" customWidth="1"/>
    <col min="5" max="5" width="22.5703125" customWidth="1"/>
    <col min="6" max="6" width="24.7109375" customWidth="1"/>
    <col min="7" max="7" width="21.28515625" customWidth="1"/>
    <col min="8" max="11" width="18.28515625" customWidth="1"/>
    <col min="12" max="28" width="12.42578125" customWidth="1"/>
    <col min="29" max="29" width="7.5703125" customWidth="1"/>
  </cols>
  <sheetData>
    <row r="1" spans="1:28" ht="15" thickBot="1">
      <c r="A1" s="387" t="s">
        <v>234</v>
      </c>
      <c r="B1" s="440">
        <v>45372</v>
      </c>
      <c r="C1" s="717"/>
      <c r="D1" s="717"/>
      <c r="E1" s="717"/>
      <c r="F1" s="480"/>
      <c r="G1" t="s">
        <v>265</v>
      </c>
      <c r="H1" s="480" t="s">
        <v>236</v>
      </c>
    </row>
    <row r="2" spans="1:28" s="1" customFormat="1" ht="29.1">
      <c r="A2" s="442"/>
      <c r="B2" s="443"/>
      <c r="C2" s="444" t="str">
        <f>[2]eCascadia!CE8</f>
        <v>Amount Reduced per Year (Fuel, gallons)</v>
      </c>
      <c r="D2" s="444" t="str">
        <f>[2]eCascadia!BV8</f>
        <v>Amount Reduced per Year(CO2, short tons)</v>
      </c>
      <c r="E2" s="444" t="s">
        <v>237</v>
      </c>
      <c r="F2" s="445" t="s">
        <v>238</v>
      </c>
      <c r="G2" s="444" t="s">
        <v>239</v>
      </c>
      <c r="H2" s="444" t="s">
        <v>240</v>
      </c>
      <c r="I2" s="446"/>
    </row>
    <row r="3" spans="1:28">
      <c r="A3" s="60" t="s">
        <v>241</v>
      </c>
      <c r="B3" s="52" t="s">
        <v>242</v>
      </c>
      <c r="C3" s="434">
        <f>[2]eCascadia!CE9</f>
        <v>14944.155000000001</v>
      </c>
      <c r="D3" s="434">
        <f>[2]eCascadia!BV9</f>
        <v>168.12174375000001</v>
      </c>
      <c r="E3" s="434">
        <f>D3*0.907185</f>
        <v>152.51752410384375</v>
      </c>
      <c r="F3" s="447">
        <f>'[2]B5 emissions calculation '!S4</f>
        <v>144.85486744299996</v>
      </c>
      <c r="G3" s="439">
        <f>C3/134.27</f>
        <v>111.29928502271542</v>
      </c>
      <c r="H3" s="439">
        <f>G3</f>
        <v>111.29928502271542</v>
      </c>
      <c r="I3" s="448"/>
    </row>
    <row r="4" spans="1:28" ht="15" thickBot="1">
      <c r="A4" s="426" t="s">
        <v>243</v>
      </c>
      <c r="B4" s="53" t="s">
        <v>244</v>
      </c>
      <c r="C4" s="437">
        <f>[2]eM2!CE9</f>
        <v>8966.4930000000004</v>
      </c>
      <c r="D4" s="437">
        <f>[2]eM2!BV9</f>
        <v>100.87304625</v>
      </c>
      <c r="E4" s="437">
        <f>D4*0.907185</f>
        <v>91.510514462306247</v>
      </c>
      <c r="F4" s="449">
        <f>'[2]B5 emissions calculation '!S5</f>
        <v>86.909043194187461</v>
      </c>
      <c r="G4" s="450">
        <f>C4/134.27</f>
        <v>66.779571013629251</v>
      </c>
      <c r="H4" s="450">
        <f>G4</f>
        <v>66.779571013629251</v>
      </c>
      <c r="I4" s="451"/>
    </row>
    <row r="6" spans="1:28" ht="15" thickBot="1"/>
    <row r="7" spans="1:28">
      <c r="A7" s="452" t="s">
        <v>245</v>
      </c>
      <c r="B7" s="453"/>
      <c r="C7" s="453"/>
      <c r="D7" s="453"/>
      <c r="E7" s="453"/>
      <c r="F7" s="453"/>
      <c r="G7" s="453"/>
      <c r="H7" s="453"/>
      <c r="I7" s="453"/>
      <c r="J7" s="453"/>
      <c r="K7" s="453"/>
      <c r="L7" s="453"/>
      <c r="M7" s="453"/>
      <c r="N7" s="453"/>
      <c r="O7" s="453"/>
      <c r="P7" s="453"/>
      <c r="Q7" s="453"/>
      <c r="R7" s="453"/>
      <c r="S7" s="453"/>
      <c r="T7" s="453"/>
      <c r="U7" s="453"/>
      <c r="V7" s="453"/>
      <c r="W7" s="453"/>
      <c r="X7" s="453"/>
      <c r="Y7" s="453"/>
      <c r="Z7" s="453"/>
      <c r="AA7" s="453"/>
      <c r="AB7" s="454"/>
    </row>
    <row r="8" spans="1:28" s="386" customFormat="1">
      <c r="A8" s="433"/>
      <c r="B8" s="393" t="s">
        <v>45</v>
      </c>
      <c r="C8" s="393">
        <v>2025</v>
      </c>
      <c r="D8" s="393">
        <v>2026</v>
      </c>
      <c r="E8" s="393">
        <v>2027</v>
      </c>
      <c r="F8" s="393">
        <v>2028</v>
      </c>
      <c r="G8" s="393">
        <v>2029</v>
      </c>
      <c r="H8" s="393">
        <v>2030</v>
      </c>
      <c r="I8" s="393">
        <v>2031</v>
      </c>
      <c r="J8" s="393">
        <v>2032</v>
      </c>
      <c r="K8" s="393">
        <v>2033</v>
      </c>
      <c r="L8" s="393">
        <v>2034</v>
      </c>
      <c r="M8" s="393">
        <v>2035</v>
      </c>
      <c r="N8" s="393">
        <v>2036</v>
      </c>
      <c r="O8" s="393">
        <v>2037</v>
      </c>
      <c r="P8" s="393">
        <v>2038</v>
      </c>
      <c r="Q8" s="393">
        <v>2039</v>
      </c>
      <c r="R8" s="393">
        <v>2040</v>
      </c>
      <c r="S8" s="393">
        <v>2041</v>
      </c>
      <c r="T8" s="393">
        <v>2042</v>
      </c>
      <c r="U8" s="393">
        <v>2043</v>
      </c>
      <c r="V8" s="393">
        <v>2044</v>
      </c>
      <c r="W8" s="393">
        <v>2045</v>
      </c>
      <c r="X8" s="393">
        <v>2046</v>
      </c>
      <c r="Y8" s="393">
        <v>2047</v>
      </c>
      <c r="Z8" s="393">
        <v>2048</v>
      </c>
      <c r="AA8" s="393">
        <v>2049</v>
      </c>
      <c r="AB8" s="455">
        <v>2050</v>
      </c>
    </row>
    <row r="9" spans="1:28" s="386" customFormat="1">
      <c r="A9" s="433"/>
      <c r="B9" s="393" t="s">
        <v>247</v>
      </c>
      <c r="C9" s="393"/>
      <c r="D9" s="393"/>
      <c r="E9" s="393"/>
      <c r="F9" s="393"/>
      <c r="G9" s="393"/>
      <c r="H9" s="393">
        <v>80</v>
      </c>
      <c r="I9" s="393"/>
      <c r="J9" s="393"/>
      <c r="K9" s="393"/>
      <c r="L9" s="393"/>
      <c r="M9" s="393">
        <v>90</v>
      </c>
      <c r="N9" s="393"/>
      <c r="O9" s="393"/>
      <c r="P9" s="393"/>
      <c r="Q9" s="393"/>
      <c r="R9" s="393"/>
      <c r="S9" s="393"/>
      <c r="T9" s="393"/>
      <c r="U9" s="393"/>
      <c r="V9" s="393"/>
      <c r="W9" s="393"/>
      <c r="X9" s="393"/>
      <c r="Y9" s="393"/>
      <c r="Z9" s="393"/>
      <c r="AA9" s="393"/>
      <c r="AB9" s="455">
        <v>100</v>
      </c>
    </row>
    <row r="10" spans="1:28">
      <c r="A10" s="60"/>
      <c r="B10" s="393" t="s">
        <v>248</v>
      </c>
      <c r="C10" s="407">
        <v>0.21685206544048347</v>
      </c>
      <c r="D10" s="407">
        <v>0.18914014933755791</v>
      </c>
      <c r="E10" s="407">
        <v>0.16142823323463235</v>
      </c>
      <c r="F10" s="407">
        <v>0.13371631713170679</v>
      </c>
      <c r="G10" s="407">
        <v>0.10600440102878124</v>
      </c>
      <c r="H10" s="407">
        <v>7.8292484925855776E-2</v>
      </c>
      <c r="I10" s="407">
        <v>7.2586290036692605E-2</v>
      </c>
      <c r="J10" s="407">
        <v>6.6880095147529434E-2</v>
      </c>
      <c r="K10" s="407">
        <v>6.1173900258366262E-2</v>
      </c>
      <c r="L10" s="407">
        <v>5.5467705369203091E-2</v>
      </c>
      <c r="M10" s="407">
        <v>4.9761510480039912E-2</v>
      </c>
      <c r="N10" s="407">
        <v>4.4142543166768709E-2</v>
      </c>
      <c r="O10" s="407">
        <v>3.8523575853497506E-2</v>
      </c>
      <c r="P10" s="407">
        <v>3.2904608540226303E-2</v>
      </c>
      <c r="Q10" s="407">
        <v>2.72856412269551E-2</v>
      </c>
      <c r="R10" s="407">
        <v>2.1666673913683897E-2</v>
      </c>
      <c r="S10" s="407">
        <v>2.1666673913683897E-2</v>
      </c>
      <c r="T10" s="407">
        <v>2.1666673913683897E-2</v>
      </c>
      <c r="U10" s="407">
        <v>2.1666673913683897E-2</v>
      </c>
      <c r="V10" s="407">
        <v>2.1666673913683897E-2</v>
      </c>
      <c r="W10" s="407">
        <v>2.1666673913683897E-2</v>
      </c>
      <c r="X10" s="407">
        <v>2.1666673913683897E-2</v>
      </c>
      <c r="Y10" s="407">
        <v>2.1666673913683897E-2</v>
      </c>
      <c r="Z10" s="407">
        <v>2.1666673913683897E-2</v>
      </c>
      <c r="AA10" s="407">
        <v>2.1666673913683897E-2</v>
      </c>
      <c r="AB10" s="68">
        <v>2.1666673913683897E-2</v>
      </c>
    </row>
    <row r="11" spans="1:28" hidden="1">
      <c r="A11" s="60"/>
      <c r="B11" s="52"/>
      <c r="C11" s="407"/>
      <c r="D11" s="407"/>
      <c r="E11" s="407"/>
      <c r="F11" s="407"/>
      <c r="G11" s="407"/>
      <c r="H11" s="407">
        <f>C10-H10</f>
        <v>0.13855958051462769</v>
      </c>
      <c r="I11" s="52"/>
      <c r="J11" s="52"/>
      <c r="K11" s="52"/>
      <c r="L11" s="52"/>
      <c r="M11" s="407">
        <f>H10-M10</f>
        <v>2.8530974445815864E-2</v>
      </c>
      <c r="N11" s="52"/>
      <c r="O11" s="52"/>
      <c r="P11" s="52"/>
      <c r="Q11" s="52"/>
      <c r="R11" s="52"/>
      <c r="S11" s="52"/>
      <c r="T11" s="52"/>
      <c r="U11" s="52"/>
      <c r="V11" s="52"/>
      <c r="W11" s="52"/>
      <c r="X11" s="52"/>
      <c r="Y11" s="52"/>
      <c r="Z11" s="52"/>
      <c r="AA11" s="52"/>
      <c r="AB11" s="456">
        <f>M10-AB10</f>
        <v>2.8094836566356016E-2</v>
      </c>
    </row>
    <row r="12" spans="1:28" ht="15" hidden="1" thickBot="1">
      <c r="A12" s="426"/>
      <c r="B12" s="53"/>
      <c r="C12" s="457"/>
      <c r="D12" s="457"/>
      <c r="E12" s="457"/>
      <c r="F12" s="457"/>
      <c r="G12" s="457"/>
      <c r="H12" s="457">
        <f>H11/6</f>
        <v>2.3093263419104615E-2</v>
      </c>
      <c r="I12" s="458"/>
      <c r="J12" s="458"/>
      <c r="K12" s="458"/>
      <c r="L12" s="458"/>
      <c r="M12" s="458">
        <f>M11/5</f>
        <v>5.7061948891631731E-3</v>
      </c>
      <c r="N12" s="53"/>
      <c r="O12" s="53"/>
      <c r="P12" s="53"/>
      <c r="Q12" s="53"/>
      <c r="R12" s="53"/>
      <c r="S12" s="53"/>
      <c r="T12" s="53"/>
      <c r="U12" s="53"/>
      <c r="V12" s="53"/>
      <c r="W12" s="53"/>
      <c r="X12" s="53"/>
      <c r="Y12" s="53"/>
      <c r="Z12" s="53"/>
      <c r="AA12" s="53"/>
      <c r="AB12" s="459">
        <f>AB11/15</f>
        <v>1.8729891044237345E-3</v>
      </c>
    </row>
    <row r="13" spans="1:28" ht="15" thickBot="1">
      <c r="C13" s="460"/>
      <c r="D13" s="460"/>
      <c r="E13" s="460"/>
      <c r="F13" s="460"/>
      <c r="G13" s="460"/>
      <c r="H13" s="460"/>
      <c r="I13" s="386"/>
      <c r="J13" s="386"/>
      <c r="K13" s="386"/>
      <c r="L13" s="386"/>
      <c r="M13" s="386"/>
      <c r="AB13" s="461"/>
    </row>
    <row r="14" spans="1:28">
      <c r="A14" s="452" t="s">
        <v>249</v>
      </c>
      <c r="B14" s="453"/>
      <c r="C14" s="462"/>
      <c r="D14" s="462"/>
      <c r="E14" s="462"/>
      <c r="F14" s="462"/>
      <c r="G14" s="462"/>
      <c r="H14" s="462"/>
      <c r="I14" s="463"/>
      <c r="J14" s="463"/>
      <c r="K14" s="463"/>
      <c r="L14" s="463"/>
      <c r="M14" s="463"/>
      <c r="N14" s="453"/>
      <c r="O14" s="453"/>
      <c r="P14" s="453"/>
      <c r="Q14" s="453"/>
      <c r="R14" s="453"/>
      <c r="S14" s="453"/>
      <c r="T14" s="453"/>
      <c r="U14" s="453"/>
      <c r="V14" s="453"/>
      <c r="W14" s="453"/>
      <c r="X14" s="453"/>
      <c r="Y14" s="453"/>
      <c r="Z14" s="453"/>
      <c r="AA14" s="453"/>
      <c r="AB14" s="464"/>
    </row>
    <row r="15" spans="1:28">
      <c r="A15" s="60" t="s">
        <v>241</v>
      </c>
      <c r="B15" s="52" t="s">
        <v>242</v>
      </c>
      <c r="C15" s="439">
        <f t="shared" ref="C15:AB15" si="0">C10*$H$3</f>
        <v>24.135479839224907</v>
      </c>
      <c r="D15" s="439">
        <f t="shared" si="0"/>
        <v>21.051163390359818</v>
      </c>
      <c r="E15" s="439">
        <f t="shared" si="0"/>
        <v>17.96684694149473</v>
      </c>
      <c r="F15" s="439">
        <f t="shared" si="0"/>
        <v>14.882530492629639</v>
      </c>
      <c r="G15" s="439">
        <f t="shared" si="0"/>
        <v>11.798214043764551</v>
      </c>
      <c r="H15" s="439">
        <f t="shared" si="0"/>
        <v>8.713897594899473</v>
      </c>
      <c r="I15" s="439">
        <f t="shared" si="0"/>
        <v>8.0788021835353394</v>
      </c>
      <c r="J15" s="439">
        <f t="shared" si="0"/>
        <v>7.4437067721712049</v>
      </c>
      <c r="K15" s="439">
        <f t="shared" si="0"/>
        <v>6.8086113608070713</v>
      </c>
      <c r="L15" s="439">
        <f t="shared" si="0"/>
        <v>6.1735159494429377</v>
      </c>
      <c r="M15" s="439">
        <f t="shared" si="0"/>
        <v>5.5384205380788032</v>
      </c>
      <c r="N15" s="439">
        <f t="shared" si="0"/>
        <v>4.9130334935457096</v>
      </c>
      <c r="O15" s="439">
        <f t="shared" si="0"/>
        <v>4.2876464490126169</v>
      </c>
      <c r="P15" s="439">
        <f t="shared" si="0"/>
        <v>3.6622594044795234</v>
      </c>
      <c r="Q15" s="439">
        <f t="shared" si="0"/>
        <v>3.0368723599464302</v>
      </c>
      <c r="R15" s="439">
        <f t="shared" si="0"/>
        <v>2.4114853154133371</v>
      </c>
      <c r="S15" s="439">
        <f t="shared" si="0"/>
        <v>2.4114853154133371</v>
      </c>
      <c r="T15" s="439">
        <f t="shared" si="0"/>
        <v>2.4114853154133371</v>
      </c>
      <c r="U15" s="439">
        <f t="shared" si="0"/>
        <v>2.4114853154133371</v>
      </c>
      <c r="V15" s="439">
        <f t="shared" si="0"/>
        <v>2.4114853154133371</v>
      </c>
      <c r="W15" s="439">
        <f t="shared" si="0"/>
        <v>2.4114853154133371</v>
      </c>
      <c r="X15" s="439">
        <f t="shared" si="0"/>
        <v>2.4114853154133371</v>
      </c>
      <c r="Y15" s="439">
        <f t="shared" si="0"/>
        <v>2.4114853154133371</v>
      </c>
      <c r="Z15" s="439">
        <f t="shared" si="0"/>
        <v>2.4114853154133371</v>
      </c>
      <c r="AA15" s="439">
        <f t="shared" si="0"/>
        <v>2.4114853154133371</v>
      </c>
      <c r="AB15" s="465">
        <f t="shared" si="0"/>
        <v>2.4114853154133371</v>
      </c>
    </row>
    <row r="16" spans="1:28" ht="15" thickBot="1">
      <c r="A16" s="426" t="s">
        <v>243</v>
      </c>
      <c r="B16" s="53" t="s">
        <v>244</v>
      </c>
      <c r="C16" s="450">
        <f t="shared" ref="C16:AB16" si="1">C10*$H$4</f>
        <v>14.481287903534943</v>
      </c>
      <c r="D16" s="450">
        <f t="shared" si="1"/>
        <v>12.630698034215889</v>
      </c>
      <c r="E16" s="450">
        <f t="shared" si="1"/>
        <v>10.780108164896836</v>
      </c>
      <c r="F16" s="450">
        <f t="shared" si="1"/>
        <v>8.9295182955777825</v>
      </c>
      <c r="G16" s="450">
        <f t="shared" si="1"/>
        <v>7.0789284262587309</v>
      </c>
      <c r="H16" s="450">
        <f t="shared" si="1"/>
        <v>5.2283385569396836</v>
      </c>
      <c r="I16" s="450">
        <f t="shared" si="1"/>
        <v>4.8472813101212031</v>
      </c>
      <c r="J16" s="450">
        <f t="shared" si="1"/>
        <v>4.4662240633027226</v>
      </c>
      <c r="K16" s="450">
        <f t="shared" si="1"/>
        <v>4.085166816484243</v>
      </c>
      <c r="L16" s="450">
        <f t="shared" si="1"/>
        <v>3.7041095696657624</v>
      </c>
      <c r="M16" s="450">
        <f t="shared" si="1"/>
        <v>3.3230523228472815</v>
      </c>
      <c r="N16" s="450">
        <f t="shared" si="1"/>
        <v>2.9478200961274257</v>
      </c>
      <c r="O16" s="450">
        <f t="shared" si="1"/>
        <v>2.5725878694075699</v>
      </c>
      <c r="P16" s="450">
        <f t="shared" si="1"/>
        <v>2.1973556426877141</v>
      </c>
      <c r="Q16" s="450">
        <f t="shared" si="1"/>
        <v>1.8221234159678581</v>
      </c>
      <c r="R16" s="450">
        <f t="shared" si="1"/>
        <v>1.4468911892480023</v>
      </c>
      <c r="S16" s="450">
        <f t="shared" si="1"/>
        <v>1.4468911892480023</v>
      </c>
      <c r="T16" s="450">
        <f t="shared" si="1"/>
        <v>1.4468911892480023</v>
      </c>
      <c r="U16" s="450">
        <f t="shared" si="1"/>
        <v>1.4468911892480023</v>
      </c>
      <c r="V16" s="450">
        <f t="shared" si="1"/>
        <v>1.4468911892480023</v>
      </c>
      <c r="W16" s="450">
        <f t="shared" si="1"/>
        <v>1.4468911892480023</v>
      </c>
      <c r="X16" s="450">
        <f t="shared" si="1"/>
        <v>1.4468911892480023</v>
      </c>
      <c r="Y16" s="450">
        <f t="shared" si="1"/>
        <v>1.4468911892480023</v>
      </c>
      <c r="Z16" s="450">
        <f t="shared" si="1"/>
        <v>1.4468911892480023</v>
      </c>
      <c r="AA16" s="450">
        <f t="shared" si="1"/>
        <v>1.4468911892480023</v>
      </c>
      <c r="AB16" s="466">
        <f t="shared" si="1"/>
        <v>1.4468911892480023</v>
      </c>
    </row>
    <row r="18" spans="1:28">
      <c r="A18" s="386" t="s">
        <v>111</v>
      </c>
    </row>
    <row r="19" spans="1:28" s="386" customFormat="1">
      <c r="A19" s="433"/>
      <c r="B19" s="393" t="s">
        <v>45</v>
      </c>
      <c r="C19" s="393">
        <v>2025</v>
      </c>
      <c r="D19" s="393">
        <v>2026</v>
      </c>
      <c r="E19" s="393">
        <v>2027</v>
      </c>
      <c r="F19" s="393">
        <v>2028</v>
      </c>
      <c r="G19" s="393">
        <v>2029</v>
      </c>
      <c r="H19" s="393">
        <v>2030</v>
      </c>
      <c r="I19" s="393">
        <v>2031</v>
      </c>
      <c r="J19" s="393">
        <v>2032</v>
      </c>
      <c r="K19" s="393">
        <v>2033</v>
      </c>
      <c r="L19" s="393">
        <v>2034</v>
      </c>
      <c r="M19" s="393">
        <v>2035</v>
      </c>
      <c r="N19" s="393">
        <v>2036</v>
      </c>
      <c r="O19" s="393">
        <v>2037</v>
      </c>
      <c r="P19" s="393">
        <v>2038</v>
      </c>
      <c r="Q19" s="393">
        <v>2039</v>
      </c>
      <c r="R19" s="393">
        <v>2040</v>
      </c>
      <c r="S19" s="393">
        <v>2041</v>
      </c>
      <c r="T19" s="393">
        <v>2042</v>
      </c>
      <c r="U19" s="393">
        <v>2043</v>
      </c>
      <c r="V19" s="393">
        <v>2044</v>
      </c>
      <c r="W19" s="393">
        <v>2045</v>
      </c>
      <c r="X19" s="393">
        <v>2046</v>
      </c>
      <c r="Y19" s="393">
        <v>2047</v>
      </c>
      <c r="Z19" s="393">
        <v>2048</v>
      </c>
      <c r="AA19" s="393">
        <v>2049</v>
      </c>
      <c r="AB19" s="455">
        <v>2050</v>
      </c>
    </row>
    <row r="20" spans="1:28">
      <c r="A20" s="60" t="s">
        <v>241</v>
      </c>
      <c r="B20" s="52" t="s">
        <v>242</v>
      </c>
      <c r="C20" s="5">
        <f>$F$3-C15</f>
        <v>120.71938760377506</v>
      </c>
      <c r="D20" s="5">
        <f t="shared" ref="D20:AB20" si="2">$F$3-D15</f>
        <v>123.80370405264014</v>
      </c>
      <c r="E20" s="5">
        <f t="shared" si="2"/>
        <v>126.88802050150522</v>
      </c>
      <c r="F20" s="5">
        <f t="shared" si="2"/>
        <v>129.97233695037033</v>
      </c>
      <c r="G20" s="5">
        <f t="shared" si="2"/>
        <v>133.05665339923542</v>
      </c>
      <c r="H20" s="5">
        <f t="shared" si="2"/>
        <v>136.1409698481005</v>
      </c>
      <c r="I20" s="5">
        <f t="shared" si="2"/>
        <v>136.77606525946462</v>
      </c>
      <c r="J20" s="5">
        <f t="shared" si="2"/>
        <v>137.41116067082876</v>
      </c>
      <c r="K20" s="5">
        <f t="shared" si="2"/>
        <v>138.04625608219288</v>
      </c>
      <c r="L20" s="5">
        <f t="shared" si="2"/>
        <v>138.68135149355703</v>
      </c>
      <c r="M20" s="5">
        <f t="shared" si="2"/>
        <v>139.31644690492115</v>
      </c>
      <c r="N20" s="5">
        <f t="shared" si="2"/>
        <v>139.94183394945426</v>
      </c>
      <c r="O20" s="5">
        <f t="shared" si="2"/>
        <v>140.56722099398735</v>
      </c>
      <c r="P20" s="5">
        <f t="shared" si="2"/>
        <v>141.19260803852043</v>
      </c>
      <c r="Q20" s="5">
        <f t="shared" si="2"/>
        <v>141.81799508305352</v>
      </c>
      <c r="R20" s="5">
        <f t="shared" si="2"/>
        <v>142.44338212758663</v>
      </c>
      <c r="S20" s="5">
        <f t="shared" si="2"/>
        <v>142.44338212758663</v>
      </c>
      <c r="T20" s="5">
        <f t="shared" si="2"/>
        <v>142.44338212758663</v>
      </c>
      <c r="U20" s="5">
        <f t="shared" si="2"/>
        <v>142.44338212758663</v>
      </c>
      <c r="V20" s="5">
        <f t="shared" si="2"/>
        <v>142.44338212758663</v>
      </c>
      <c r="W20" s="5">
        <f t="shared" si="2"/>
        <v>142.44338212758663</v>
      </c>
      <c r="X20" s="5">
        <f t="shared" si="2"/>
        <v>142.44338212758663</v>
      </c>
      <c r="Y20" s="5">
        <f t="shared" si="2"/>
        <v>142.44338212758663</v>
      </c>
      <c r="Z20" s="5">
        <f t="shared" si="2"/>
        <v>142.44338212758663</v>
      </c>
      <c r="AA20" s="5">
        <f t="shared" si="2"/>
        <v>142.44338212758663</v>
      </c>
      <c r="AB20" s="5">
        <f t="shared" si="2"/>
        <v>142.44338212758663</v>
      </c>
    </row>
    <row r="21" spans="1:28" ht="15" thickBot="1">
      <c r="A21" s="426" t="s">
        <v>243</v>
      </c>
      <c r="B21" s="53" t="s">
        <v>244</v>
      </c>
      <c r="C21" s="5">
        <f>$F$4-C16</f>
        <v>72.427755290652513</v>
      </c>
      <c r="D21" s="5">
        <f t="shared" ref="D21:AB21" si="3">$F$4-D16</f>
        <v>74.278345159971565</v>
      </c>
      <c r="E21" s="5">
        <f t="shared" si="3"/>
        <v>76.128935029290631</v>
      </c>
      <c r="F21" s="5">
        <f t="shared" si="3"/>
        <v>77.979524898609682</v>
      </c>
      <c r="G21" s="5">
        <f t="shared" si="3"/>
        <v>79.830114767928734</v>
      </c>
      <c r="H21" s="5">
        <f t="shared" si="3"/>
        <v>81.680704637247771</v>
      </c>
      <c r="I21" s="5">
        <f t="shared" si="3"/>
        <v>82.061761884066257</v>
      </c>
      <c r="J21" s="5">
        <f t="shared" si="3"/>
        <v>82.442819130884743</v>
      </c>
      <c r="K21" s="5">
        <f t="shared" si="3"/>
        <v>82.823876377703215</v>
      </c>
      <c r="L21" s="5">
        <f t="shared" si="3"/>
        <v>83.204933624521701</v>
      </c>
      <c r="M21" s="5">
        <f t="shared" si="3"/>
        <v>83.585990871340186</v>
      </c>
      <c r="N21" s="5">
        <f t="shared" si="3"/>
        <v>83.961223098060032</v>
      </c>
      <c r="O21" s="5">
        <f t="shared" si="3"/>
        <v>84.336455324779891</v>
      </c>
      <c r="P21" s="5">
        <f t="shared" si="3"/>
        <v>84.71168755149975</v>
      </c>
      <c r="Q21" s="5">
        <f t="shared" si="3"/>
        <v>85.08691977821961</v>
      </c>
      <c r="R21" s="5">
        <f t="shared" si="3"/>
        <v>85.462152004939455</v>
      </c>
      <c r="S21" s="5">
        <f t="shared" si="3"/>
        <v>85.462152004939455</v>
      </c>
      <c r="T21" s="5">
        <f t="shared" si="3"/>
        <v>85.462152004939455</v>
      </c>
      <c r="U21" s="5">
        <f t="shared" si="3"/>
        <v>85.462152004939455</v>
      </c>
      <c r="V21" s="5">
        <f t="shared" si="3"/>
        <v>85.462152004939455</v>
      </c>
      <c r="W21" s="5">
        <f t="shared" si="3"/>
        <v>85.462152004939455</v>
      </c>
      <c r="X21" s="5">
        <f t="shared" si="3"/>
        <v>85.462152004939455</v>
      </c>
      <c r="Y21" s="5">
        <f t="shared" si="3"/>
        <v>85.462152004939455</v>
      </c>
      <c r="Z21" s="5">
        <f t="shared" si="3"/>
        <v>85.462152004939455</v>
      </c>
      <c r="AA21" s="5">
        <f t="shared" si="3"/>
        <v>85.462152004939455</v>
      </c>
      <c r="AB21" s="5">
        <f t="shared" si="3"/>
        <v>85.462152004939455</v>
      </c>
    </row>
    <row r="23" spans="1:28">
      <c r="C23" s="432" t="s">
        <v>251</v>
      </c>
      <c r="I23" s="5"/>
    </row>
    <row r="24" spans="1:28">
      <c r="A24" s="393" t="s">
        <v>252</v>
      </c>
      <c r="B24" s="52"/>
      <c r="C24" s="52">
        <v>2025</v>
      </c>
      <c r="D24" s="52">
        <v>2026</v>
      </c>
      <c r="E24" s="52">
        <v>2027</v>
      </c>
      <c r="F24" s="52">
        <v>2028</v>
      </c>
      <c r="G24" s="52">
        <v>2029</v>
      </c>
      <c r="H24" s="52">
        <v>2030</v>
      </c>
      <c r="I24" s="52">
        <v>2031</v>
      </c>
      <c r="J24" s="52">
        <v>2032</v>
      </c>
      <c r="K24" s="52">
        <v>2033</v>
      </c>
      <c r="L24" s="52">
        <v>2034</v>
      </c>
      <c r="M24" s="52">
        <v>2035</v>
      </c>
      <c r="N24" s="52">
        <v>2036</v>
      </c>
      <c r="O24" s="52">
        <v>2037</v>
      </c>
      <c r="P24" s="52">
        <v>2038</v>
      </c>
      <c r="Q24" s="52">
        <v>2039</v>
      </c>
      <c r="R24" s="52">
        <v>2040</v>
      </c>
      <c r="S24" s="52">
        <v>2041</v>
      </c>
      <c r="T24" s="52">
        <v>2042</v>
      </c>
      <c r="U24" s="52">
        <v>2043</v>
      </c>
      <c r="V24" s="52">
        <v>2044</v>
      </c>
      <c r="W24" s="52">
        <v>2045</v>
      </c>
      <c r="X24" s="52">
        <v>2046</v>
      </c>
      <c r="Y24" s="52">
        <v>2047</v>
      </c>
      <c r="Z24" s="52">
        <v>2048</v>
      </c>
      <c r="AA24" s="52">
        <v>2049</v>
      </c>
      <c r="AB24" s="52">
        <v>2050</v>
      </c>
    </row>
    <row r="25" spans="1:28">
      <c r="A25" s="52" t="s">
        <v>241</v>
      </c>
      <c r="B25" s="52" t="s">
        <v>242</v>
      </c>
      <c r="C25" s="467">
        <v>0</v>
      </c>
      <c r="D25" s="467">
        <v>18</v>
      </c>
      <c r="E25" s="467">
        <v>18</v>
      </c>
      <c r="F25" s="467">
        <v>18</v>
      </c>
      <c r="G25" s="467">
        <v>18</v>
      </c>
      <c r="H25" s="467">
        <v>18</v>
      </c>
      <c r="I25" s="467">
        <v>18</v>
      </c>
      <c r="J25" s="467">
        <v>18</v>
      </c>
      <c r="K25" s="467">
        <v>18</v>
      </c>
      <c r="L25" s="467">
        <v>18</v>
      </c>
      <c r="M25" s="467">
        <v>18</v>
      </c>
      <c r="N25" s="467">
        <v>18</v>
      </c>
      <c r="O25" s="467">
        <v>18</v>
      </c>
      <c r="P25" s="467">
        <v>18</v>
      </c>
      <c r="Q25" s="467">
        <v>18</v>
      </c>
      <c r="R25" s="467">
        <v>18</v>
      </c>
      <c r="S25" s="467">
        <v>18</v>
      </c>
      <c r="T25" s="467">
        <v>18</v>
      </c>
      <c r="U25" s="467">
        <v>18</v>
      </c>
      <c r="V25" s="467">
        <v>18</v>
      </c>
      <c r="W25" s="467">
        <v>18</v>
      </c>
      <c r="X25" s="467">
        <v>0</v>
      </c>
      <c r="Y25" s="467">
        <v>0</v>
      </c>
      <c r="Z25" s="467">
        <v>0</v>
      </c>
      <c r="AA25" s="467">
        <v>0</v>
      </c>
      <c r="AB25" s="467">
        <v>0</v>
      </c>
    </row>
    <row r="26" spans="1:28">
      <c r="A26" s="52" t="s">
        <v>243</v>
      </c>
      <c r="B26" s="52" t="s">
        <v>244</v>
      </c>
      <c r="C26" s="467">
        <v>0</v>
      </c>
      <c r="D26" s="467">
        <v>19</v>
      </c>
      <c r="E26" s="467">
        <v>19</v>
      </c>
      <c r="F26" s="467">
        <v>19</v>
      </c>
      <c r="G26" s="467">
        <v>19</v>
      </c>
      <c r="H26" s="467">
        <v>19</v>
      </c>
      <c r="I26" s="467">
        <v>19</v>
      </c>
      <c r="J26" s="467">
        <v>19</v>
      </c>
      <c r="K26" s="467">
        <v>19</v>
      </c>
      <c r="L26" s="467">
        <v>19</v>
      </c>
      <c r="M26" s="467">
        <v>19</v>
      </c>
      <c r="N26" s="467">
        <v>19</v>
      </c>
      <c r="O26" s="467">
        <v>19</v>
      </c>
      <c r="P26" s="467">
        <v>19</v>
      </c>
      <c r="Q26" s="467">
        <v>19</v>
      </c>
      <c r="R26" s="467">
        <v>19</v>
      </c>
      <c r="S26" s="467">
        <v>19</v>
      </c>
      <c r="T26" s="467">
        <v>19</v>
      </c>
      <c r="U26" s="467">
        <v>19</v>
      </c>
      <c r="V26" s="467">
        <v>19</v>
      </c>
      <c r="W26" s="467">
        <v>19</v>
      </c>
      <c r="X26" s="467">
        <v>0</v>
      </c>
      <c r="Y26" s="467">
        <v>0</v>
      </c>
      <c r="Z26" s="467">
        <v>0</v>
      </c>
      <c r="AA26" s="467">
        <v>0</v>
      </c>
      <c r="AB26" s="467">
        <v>0</v>
      </c>
    </row>
    <row r="27" spans="1:28" ht="15" thickBot="1">
      <c r="B27" t="s">
        <v>106</v>
      </c>
      <c r="C27">
        <f>SUM(C25:C26)</f>
        <v>0</v>
      </c>
      <c r="D27">
        <f t="shared" ref="D27:AB27" si="4">SUM(D25:D26)</f>
        <v>37</v>
      </c>
      <c r="E27">
        <f t="shared" si="4"/>
        <v>37</v>
      </c>
      <c r="F27">
        <f t="shared" si="4"/>
        <v>37</v>
      </c>
      <c r="G27">
        <f t="shared" si="4"/>
        <v>37</v>
      </c>
      <c r="H27">
        <f t="shared" si="4"/>
        <v>37</v>
      </c>
      <c r="I27">
        <f t="shared" si="4"/>
        <v>37</v>
      </c>
      <c r="J27">
        <f t="shared" si="4"/>
        <v>37</v>
      </c>
      <c r="K27">
        <f t="shared" si="4"/>
        <v>37</v>
      </c>
      <c r="L27">
        <f t="shared" si="4"/>
        <v>37</v>
      </c>
      <c r="M27">
        <f t="shared" si="4"/>
        <v>37</v>
      </c>
      <c r="N27">
        <f t="shared" si="4"/>
        <v>37</v>
      </c>
      <c r="O27">
        <f t="shared" si="4"/>
        <v>37</v>
      </c>
      <c r="P27">
        <f t="shared" si="4"/>
        <v>37</v>
      </c>
      <c r="Q27">
        <f t="shared" si="4"/>
        <v>37</v>
      </c>
      <c r="R27">
        <f t="shared" si="4"/>
        <v>37</v>
      </c>
      <c r="S27">
        <f t="shared" si="4"/>
        <v>37</v>
      </c>
      <c r="T27">
        <f t="shared" si="4"/>
        <v>37</v>
      </c>
      <c r="U27">
        <f t="shared" si="4"/>
        <v>37</v>
      </c>
      <c r="V27">
        <f t="shared" si="4"/>
        <v>37</v>
      </c>
      <c r="W27">
        <f t="shared" si="4"/>
        <v>37</v>
      </c>
      <c r="X27">
        <f t="shared" si="4"/>
        <v>0</v>
      </c>
      <c r="Y27">
        <f t="shared" si="4"/>
        <v>0</v>
      </c>
      <c r="Z27">
        <f t="shared" si="4"/>
        <v>0</v>
      </c>
      <c r="AA27">
        <f t="shared" si="4"/>
        <v>0</v>
      </c>
      <c r="AB27">
        <f t="shared" si="4"/>
        <v>0</v>
      </c>
    </row>
    <row r="28" spans="1:28">
      <c r="A28" s="452" t="s">
        <v>254</v>
      </c>
      <c r="B28" s="453"/>
      <c r="C28" s="453"/>
      <c r="D28" s="453"/>
      <c r="E28" s="453"/>
      <c r="F28" s="453"/>
      <c r="G28" s="453"/>
      <c r="H28" s="453"/>
      <c r="I28" s="453"/>
      <c r="J28" s="453"/>
      <c r="K28" s="453"/>
      <c r="L28" s="453"/>
      <c r="M28" s="453"/>
      <c r="N28" s="453"/>
      <c r="O28" s="453"/>
      <c r="P28" s="453"/>
      <c r="Q28" s="453"/>
      <c r="R28" s="453"/>
      <c r="S28" s="453"/>
      <c r="T28" s="453"/>
      <c r="U28" s="453"/>
      <c r="V28" s="453"/>
      <c r="W28" s="453"/>
      <c r="X28" s="453"/>
      <c r="Y28" s="453"/>
      <c r="Z28" s="453"/>
      <c r="AA28" s="453"/>
      <c r="AB28" s="454"/>
    </row>
    <row r="29" spans="1:28">
      <c r="A29" s="60" t="s">
        <v>241</v>
      </c>
      <c r="B29" s="52" t="s">
        <v>242</v>
      </c>
      <c r="C29" s="439">
        <f t="shared" ref="C29:AB30" si="5">C25*C20</f>
        <v>0</v>
      </c>
      <c r="D29" s="439">
        <f t="shared" si="5"/>
        <v>2228.4666729475225</v>
      </c>
      <c r="E29" s="439">
        <f t="shared" si="5"/>
        <v>2283.9843690270941</v>
      </c>
      <c r="F29" s="439">
        <f t="shared" si="5"/>
        <v>2339.5020651066661</v>
      </c>
      <c r="G29" s="439">
        <f t="shared" si="5"/>
        <v>2395.0197611862377</v>
      </c>
      <c r="H29" s="439">
        <f t="shared" si="5"/>
        <v>2450.5374572658088</v>
      </c>
      <c r="I29" s="439">
        <f t="shared" si="5"/>
        <v>2461.9691746703629</v>
      </c>
      <c r="J29" s="439">
        <f t="shared" si="5"/>
        <v>2473.4008920749179</v>
      </c>
      <c r="K29" s="439">
        <f t="shared" si="5"/>
        <v>2484.832609479472</v>
      </c>
      <c r="L29" s="439">
        <f t="shared" si="5"/>
        <v>2496.2643268840266</v>
      </c>
      <c r="M29" s="439">
        <f t="shared" si="5"/>
        <v>2507.6960442885807</v>
      </c>
      <c r="N29" s="439">
        <f t="shared" si="5"/>
        <v>2518.9530110901769</v>
      </c>
      <c r="O29" s="439">
        <f t="shared" si="5"/>
        <v>2530.2099778917723</v>
      </c>
      <c r="P29" s="439">
        <f t="shared" si="5"/>
        <v>2541.4669446933676</v>
      </c>
      <c r="Q29" s="439">
        <f t="shared" si="5"/>
        <v>2552.7239114949634</v>
      </c>
      <c r="R29" s="439">
        <f t="shared" si="5"/>
        <v>2563.9808782965592</v>
      </c>
      <c r="S29" s="439">
        <f t="shared" si="5"/>
        <v>2563.9808782965592</v>
      </c>
      <c r="T29" s="439">
        <f t="shared" si="5"/>
        <v>2563.9808782965592</v>
      </c>
      <c r="U29" s="439">
        <f t="shared" si="5"/>
        <v>2563.9808782965592</v>
      </c>
      <c r="V29" s="439">
        <f t="shared" si="5"/>
        <v>2563.9808782965592</v>
      </c>
      <c r="W29" s="439">
        <f t="shared" si="5"/>
        <v>2563.9808782965592</v>
      </c>
      <c r="X29" s="439">
        <f t="shared" si="5"/>
        <v>0</v>
      </c>
      <c r="Y29" s="439">
        <f t="shared" si="5"/>
        <v>0</v>
      </c>
      <c r="Z29" s="439">
        <f t="shared" si="5"/>
        <v>0</v>
      </c>
      <c r="AA29" s="439">
        <f t="shared" si="5"/>
        <v>0</v>
      </c>
      <c r="AB29" s="465">
        <f t="shared" si="5"/>
        <v>0</v>
      </c>
    </row>
    <row r="30" spans="1:28" ht="15" thickBot="1">
      <c r="A30" s="426" t="s">
        <v>243</v>
      </c>
      <c r="B30" s="53" t="s">
        <v>244</v>
      </c>
      <c r="C30" s="450">
        <f t="shared" si="5"/>
        <v>0</v>
      </c>
      <c r="D30" s="450">
        <f t="shared" si="5"/>
        <v>1411.2885580394598</v>
      </c>
      <c r="E30" s="450">
        <f t="shared" si="5"/>
        <v>1446.4497655565219</v>
      </c>
      <c r="F30" s="450">
        <f t="shared" si="5"/>
        <v>1481.6109730735839</v>
      </c>
      <c r="G30" s="450">
        <f t="shared" si="5"/>
        <v>1516.772180590646</v>
      </c>
      <c r="H30" s="450">
        <f t="shared" si="5"/>
        <v>1551.9333881077077</v>
      </c>
      <c r="I30" s="450">
        <f t="shared" si="5"/>
        <v>1559.1734757972588</v>
      </c>
      <c r="J30" s="450">
        <f t="shared" si="5"/>
        <v>1566.4135634868101</v>
      </c>
      <c r="K30" s="450">
        <f t="shared" si="5"/>
        <v>1573.6536511763611</v>
      </c>
      <c r="L30" s="450">
        <f t="shared" si="5"/>
        <v>1580.8937388659124</v>
      </c>
      <c r="M30" s="450">
        <f t="shared" si="5"/>
        <v>1588.1338265554637</v>
      </c>
      <c r="N30" s="450">
        <f t="shared" si="5"/>
        <v>1595.2632388631405</v>
      </c>
      <c r="O30" s="450">
        <f t="shared" si="5"/>
        <v>1602.392651170818</v>
      </c>
      <c r="P30" s="450">
        <f t="shared" si="5"/>
        <v>1609.5220634784953</v>
      </c>
      <c r="Q30" s="450">
        <f t="shared" si="5"/>
        <v>1616.6514757861726</v>
      </c>
      <c r="R30" s="450">
        <f t="shared" si="5"/>
        <v>1623.7808880938496</v>
      </c>
      <c r="S30" s="450">
        <f t="shared" si="5"/>
        <v>1623.7808880938496</v>
      </c>
      <c r="T30" s="450">
        <f t="shared" si="5"/>
        <v>1623.7808880938496</v>
      </c>
      <c r="U30" s="450">
        <f t="shared" si="5"/>
        <v>1623.7808880938496</v>
      </c>
      <c r="V30" s="450">
        <f t="shared" si="5"/>
        <v>1623.7808880938496</v>
      </c>
      <c r="W30" s="450">
        <f t="shared" si="5"/>
        <v>1623.7808880938496</v>
      </c>
      <c r="X30" s="450">
        <f t="shared" si="5"/>
        <v>0</v>
      </c>
      <c r="Y30" s="450">
        <f t="shared" si="5"/>
        <v>0</v>
      </c>
      <c r="Z30" s="450">
        <f t="shared" si="5"/>
        <v>0</v>
      </c>
      <c r="AA30" s="450">
        <f t="shared" si="5"/>
        <v>0</v>
      </c>
      <c r="AB30" s="466">
        <f t="shared" si="5"/>
        <v>0</v>
      </c>
    </row>
    <row r="31" spans="1:28">
      <c r="A31" t="s">
        <v>106</v>
      </c>
      <c r="C31" s="5">
        <f>SUM(C29:C30)</f>
        <v>0</v>
      </c>
      <c r="D31" s="5">
        <f t="shared" ref="D31:AB31" si="6">SUM(D29:D30)</f>
        <v>3639.7552309869825</v>
      </c>
      <c r="E31" s="5">
        <f t="shared" si="6"/>
        <v>3730.434134583616</v>
      </c>
      <c r="F31" s="5">
        <f t="shared" si="6"/>
        <v>3821.11303818025</v>
      </c>
      <c r="G31" s="5">
        <f t="shared" si="6"/>
        <v>3911.7919417768835</v>
      </c>
      <c r="H31" s="5">
        <f t="shared" si="6"/>
        <v>4002.4708453735166</v>
      </c>
      <c r="I31" s="5">
        <f t="shared" si="6"/>
        <v>4021.1426504676219</v>
      </c>
      <c r="J31" s="5">
        <f t="shared" si="6"/>
        <v>4039.8144555617282</v>
      </c>
      <c r="K31" s="5">
        <f t="shared" si="6"/>
        <v>4058.4862606558331</v>
      </c>
      <c r="L31" s="5">
        <f t="shared" si="6"/>
        <v>4077.1580657499389</v>
      </c>
      <c r="M31" s="5">
        <f t="shared" si="6"/>
        <v>4095.8298708440443</v>
      </c>
      <c r="N31" s="5">
        <f t="shared" si="6"/>
        <v>4114.2162499533169</v>
      </c>
      <c r="O31" s="5">
        <f t="shared" si="6"/>
        <v>4132.6026290625905</v>
      </c>
      <c r="P31" s="5">
        <f t="shared" si="6"/>
        <v>4150.9890081718631</v>
      </c>
      <c r="Q31" s="5">
        <f t="shared" si="6"/>
        <v>4169.3753872811358</v>
      </c>
      <c r="R31" s="5">
        <f t="shared" si="6"/>
        <v>4187.7617663904093</v>
      </c>
      <c r="S31" s="5">
        <f t="shared" si="6"/>
        <v>4187.7617663904093</v>
      </c>
      <c r="T31" s="5">
        <f t="shared" si="6"/>
        <v>4187.7617663904093</v>
      </c>
      <c r="U31" s="5">
        <f t="shared" si="6"/>
        <v>4187.7617663904093</v>
      </c>
      <c r="V31" s="5">
        <f t="shared" si="6"/>
        <v>4187.7617663904093</v>
      </c>
      <c r="W31" s="5">
        <f t="shared" si="6"/>
        <v>4187.7617663904093</v>
      </c>
      <c r="X31" s="5">
        <f t="shared" si="6"/>
        <v>0</v>
      </c>
      <c r="Y31" s="5">
        <f t="shared" si="6"/>
        <v>0</v>
      </c>
      <c r="Z31" s="5">
        <f t="shared" si="6"/>
        <v>0</v>
      </c>
      <c r="AA31" s="5">
        <f t="shared" si="6"/>
        <v>0</v>
      </c>
      <c r="AB31" s="5">
        <f t="shared" si="6"/>
        <v>0</v>
      </c>
    </row>
    <row r="32" spans="1:28" ht="15" thickBot="1"/>
    <row r="33" spans="1:5" ht="15" thickBot="1">
      <c r="A33" s="430" t="s">
        <v>255</v>
      </c>
      <c r="B33" s="481" t="s">
        <v>60</v>
      </c>
      <c r="C33" s="482" t="s">
        <v>61</v>
      </c>
    </row>
    <row r="34" spans="1:5" ht="15" thickBot="1">
      <c r="A34" s="430" t="s">
        <v>256</v>
      </c>
      <c r="B34" s="483">
        <f>SUM(C31:H31)</f>
        <v>19105.565190901252</v>
      </c>
      <c r="C34" s="484">
        <f>SUM(C31:AB31)</f>
        <v>81091.750366991764</v>
      </c>
    </row>
    <row r="35" spans="1:5" ht="15">
      <c r="A35" s="430"/>
      <c r="B35" s="388"/>
      <c r="C35" s="388"/>
      <c r="E35" s="441"/>
    </row>
    <row r="36" spans="1:5" ht="15">
      <c r="A36" s="471" t="s">
        <v>257</v>
      </c>
      <c r="B36" s="485">
        <v>5989342</v>
      </c>
      <c r="C36" s="486"/>
      <c r="E36" s="42"/>
    </row>
    <row r="37" spans="1:5" ht="15">
      <c r="A37" s="473" t="s">
        <v>258</v>
      </c>
      <c r="B37" s="485">
        <f>B36/B34</f>
        <v>313.4867741495728</v>
      </c>
      <c r="C37" s="487">
        <f>B36/C34</f>
        <v>73.858832407666839</v>
      </c>
    </row>
    <row r="38" spans="1:5">
      <c r="B38" s="432" t="s">
        <v>259</v>
      </c>
    </row>
    <row r="39" spans="1:5" ht="15" thickBot="1"/>
    <row r="40" spans="1:5" ht="15" thickBot="1">
      <c r="A40" s="719" t="s">
        <v>260</v>
      </c>
      <c r="B40" s="720"/>
      <c r="C40" s="721"/>
    </row>
    <row r="41" spans="1:5">
      <c r="A41" s="452" t="s">
        <v>266</v>
      </c>
      <c r="B41" s="475" t="s">
        <v>60</v>
      </c>
      <c r="C41" s="476" t="s">
        <v>61</v>
      </c>
    </row>
    <row r="42" spans="1:5">
      <c r="A42" s="60" t="s">
        <v>261</v>
      </c>
      <c r="B42" s="50">
        <f>SUM('[2]Non GHG Emission Factors'!D28:I28)+SUM('[2]Non GHG Emission Factors'!D34:I34)</f>
        <v>58.859788279266667</v>
      </c>
      <c r="C42" s="56">
        <f>SUM('[2]Non GHG Emission Factors'!D28:AC28)+SUM('[2]Non GHG Emission Factors'!D34:AC34)</f>
        <v>235.4391531170667</v>
      </c>
    </row>
    <row r="43" spans="1:5">
      <c r="A43" s="60" t="s">
        <v>262</v>
      </c>
      <c r="B43" s="50">
        <f>SUM('[2]Non GHG Emission Factors'!D29:I29)+SUM('[2]Non GHG Emission Factors'!D35:I35)</f>
        <v>3.5275417096504995</v>
      </c>
      <c r="C43" s="56">
        <f>SUM('[2]Non GHG Emission Factors'!D29:AC29)+SUM('[2]Non GHG Emission Factors'!D35:AC35)</f>
        <v>14.110166838601998</v>
      </c>
    </row>
    <row r="44" spans="1:5">
      <c r="A44" s="60" t="s">
        <v>263</v>
      </c>
      <c r="B44" s="50">
        <f>SUM('[2]Non GHG Emission Factors'!D30:I30)+SUM('[2]Non GHG Emission Factors'!D36:I36)</f>
        <v>6.3244884337154996</v>
      </c>
      <c r="C44" s="56">
        <f>SUM('[2]Non GHG Emission Factors'!D30:AC30)+SUM('[2]Non GHG Emission Factors'!D36:AC36)</f>
        <v>25.297953734861998</v>
      </c>
    </row>
    <row r="45" spans="1:5" ht="15" thickBot="1">
      <c r="A45" s="426" t="s">
        <v>264</v>
      </c>
      <c r="B45" s="478">
        <f>SUM('[2]Non GHG Emission Factors'!D31:I31)+SUM('[2]Non GHG Emission Factors'!D37:I37)</f>
        <v>20.435855051826664</v>
      </c>
      <c r="C45" s="479">
        <f>SUM('[2]Non GHG Emission Factors'!D31:AC31)+SUM('[2]Non GHG Emission Factors'!D37:AC37)</f>
        <v>81.743420207306684</v>
      </c>
    </row>
  </sheetData>
  <mergeCells count="2">
    <mergeCell ref="C1:E1"/>
    <mergeCell ref="A40:C4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4F7E1-EA71-4916-89F7-12A6E7E04D2D}">
  <sheetPr>
    <tabColor theme="8" tint="0.79998168889431442"/>
  </sheetPr>
  <dimension ref="A1:AB118"/>
  <sheetViews>
    <sheetView topLeftCell="A35" workbookViewId="0">
      <selection activeCell="G48" sqref="G48"/>
    </sheetView>
  </sheetViews>
  <sheetFormatPr defaultRowHeight="14.45"/>
  <cols>
    <col min="1" max="1" width="37.28515625" customWidth="1"/>
    <col min="2" max="4" width="15" customWidth="1"/>
    <col min="5" max="5" width="18.42578125" customWidth="1"/>
    <col min="6" max="8" width="15" customWidth="1"/>
    <col min="9" max="9" width="31.42578125" customWidth="1"/>
    <col min="10" max="28" width="15" customWidth="1"/>
  </cols>
  <sheetData>
    <row r="1" spans="1:28">
      <c r="A1" s="386" t="s">
        <v>267</v>
      </c>
      <c r="B1" s="387" t="s">
        <v>268</v>
      </c>
      <c r="G1" s="5"/>
    </row>
    <row r="2" spans="1:28">
      <c r="A2" t="s">
        <v>90</v>
      </c>
      <c r="B2" s="388">
        <v>9.6</v>
      </c>
      <c r="C2" t="s">
        <v>91</v>
      </c>
      <c r="G2" s="5"/>
    </row>
    <row r="3" spans="1:28">
      <c r="A3" t="s">
        <v>92</v>
      </c>
      <c r="B3" s="388">
        <v>125</v>
      </c>
      <c r="C3" t="s">
        <v>91</v>
      </c>
    </row>
    <row r="4" spans="1:28" ht="15" thickBot="1"/>
    <row r="5" spans="1:28" ht="18.75" customHeight="1">
      <c r="A5" s="722" t="s">
        <v>269</v>
      </c>
      <c r="B5" s="723"/>
      <c r="C5" s="723"/>
      <c r="D5" s="723"/>
      <c r="E5" s="723"/>
      <c r="F5" s="723"/>
      <c r="G5" s="724"/>
      <c r="I5" s="722" t="s">
        <v>270</v>
      </c>
      <c r="J5" s="723"/>
      <c r="K5" s="723"/>
      <c r="L5" s="723"/>
      <c r="M5" s="723"/>
      <c r="N5" s="723"/>
      <c r="O5" s="724"/>
    </row>
    <row r="6" spans="1:28" ht="60" customHeight="1">
      <c r="A6" s="64" t="s">
        <v>271</v>
      </c>
      <c r="B6" s="67" t="s">
        <v>95</v>
      </c>
      <c r="C6" s="67" t="s">
        <v>96</v>
      </c>
      <c r="D6" s="67" t="s">
        <v>97</v>
      </c>
      <c r="E6" s="67" t="s">
        <v>272</v>
      </c>
      <c r="F6" s="66" t="s">
        <v>273</v>
      </c>
      <c r="G6" s="65" t="s">
        <v>274</v>
      </c>
      <c r="I6" s="64" t="s">
        <v>271</v>
      </c>
      <c r="J6" s="66" t="s">
        <v>95</v>
      </c>
      <c r="K6" s="66" t="s">
        <v>101</v>
      </c>
      <c r="L6" s="66" t="s">
        <v>97</v>
      </c>
      <c r="M6" s="67" t="s">
        <v>272</v>
      </c>
      <c r="N6" s="66" t="s">
        <v>273</v>
      </c>
      <c r="O6" s="65" t="s">
        <v>274</v>
      </c>
    </row>
    <row r="7" spans="1:28">
      <c r="A7" s="389" t="s">
        <v>104</v>
      </c>
      <c r="B7" s="63">
        <v>1</v>
      </c>
      <c r="C7" s="390">
        <v>0.12</v>
      </c>
      <c r="D7" s="62">
        <f>(24*C7)*B2*365</f>
        <v>10091.52</v>
      </c>
      <c r="E7" s="61">
        <f>D7*B7</f>
        <v>10091.52</v>
      </c>
      <c r="F7" s="57">
        <f>'[2]AFLEET CFI EPA HIGH'!B32</f>
        <v>9.5723164190810781</v>
      </c>
      <c r="G7" s="56">
        <f>F7*0.907185</f>
        <v>8.6838618706440673</v>
      </c>
      <c r="I7" s="60" t="s">
        <v>104</v>
      </c>
      <c r="J7" s="59">
        <v>1</v>
      </c>
      <c r="K7" s="391">
        <v>0.3</v>
      </c>
      <c r="L7" s="50">
        <f>(24*K7)*B2*365</f>
        <v>25228.799999999996</v>
      </c>
      <c r="M7" s="58">
        <f>L7*J7</f>
        <v>25228.799999999996</v>
      </c>
      <c r="N7" s="57">
        <f>'[2]AFLEET CFI EPA 30%'!C32</f>
        <v>24.149805647371259</v>
      </c>
      <c r="O7" s="56">
        <f>N7*0.907185</f>
        <v>21.908341436210495</v>
      </c>
    </row>
    <row r="8" spans="1:28">
      <c r="A8" s="389" t="s">
        <v>105</v>
      </c>
      <c r="B8" s="63">
        <v>1</v>
      </c>
      <c r="C8" s="390">
        <v>4.8000000000000001E-2</v>
      </c>
      <c r="D8" s="62">
        <f>(24*C8)*B3*365</f>
        <v>52560.000000000007</v>
      </c>
      <c r="E8" s="61">
        <f>D8*B8</f>
        <v>52560.000000000007</v>
      </c>
      <c r="F8" s="57">
        <f>'[2]AFLEET CFI EPA HIGH'!B33</f>
        <v>49.7760453792216</v>
      </c>
      <c r="G8" s="56">
        <f>F8*0.907185</f>
        <v>45.156081727349147</v>
      </c>
      <c r="I8" s="60" t="s">
        <v>105</v>
      </c>
      <c r="J8" s="59">
        <v>1</v>
      </c>
      <c r="K8" s="391">
        <v>0.3</v>
      </c>
      <c r="L8" s="50">
        <v>328499.99999999994</v>
      </c>
      <c r="M8" s="58">
        <f>L8*J8</f>
        <v>328499.99999999994</v>
      </c>
      <c r="N8" s="57">
        <f>'[2]AFLEET CFI EPA 30%'!C33</f>
        <v>314.45059436681328</v>
      </c>
      <c r="O8" s="56">
        <f>N8*0.907185</f>
        <v>285.26486245065752</v>
      </c>
    </row>
    <row r="9" spans="1:28" ht="15" thickBot="1">
      <c r="A9" s="725" t="s">
        <v>106</v>
      </c>
      <c r="B9" s="726"/>
      <c r="C9" s="726"/>
      <c r="D9" s="726"/>
      <c r="E9" s="727"/>
      <c r="F9" s="55">
        <f>SUM(F7:F8)</f>
        <v>59.348361798302676</v>
      </c>
      <c r="G9" s="54">
        <f>SUM(G7:G8)</f>
        <v>53.839943597993212</v>
      </c>
      <c r="I9" s="725" t="s">
        <v>106</v>
      </c>
      <c r="J9" s="726"/>
      <c r="K9" s="726"/>
      <c r="L9" s="726"/>
      <c r="M9" s="727"/>
      <c r="N9" s="55">
        <f>SUM(N7:N8)</f>
        <v>338.60040001418452</v>
      </c>
      <c r="O9" s="54">
        <f>SUM(O7:O8)</f>
        <v>307.17320388686801</v>
      </c>
    </row>
    <row r="11" spans="1:28">
      <c r="A11" s="392" t="s">
        <v>275</v>
      </c>
      <c r="H11" t="s">
        <v>276</v>
      </c>
    </row>
    <row r="12" spans="1:28" s="386" customFormat="1">
      <c r="A12" s="393" t="s">
        <v>45</v>
      </c>
      <c r="B12" s="393" t="s">
        <v>107</v>
      </c>
      <c r="C12" s="393">
        <v>2026</v>
      </c>
      <c r="D12" s="393">
        <v>2027</v>
      </c>
      <c r="E12" s="393">
        <v>2028</v>
      </c>
      <c r="F12" s="393">
        <v>2029</v>
      </c>
      <c r="G12" s="393">
        <v>2030</v>
      </c>
      <c r="H12" s="394">
        <v>2031</v>
      </c>
      <c r="I12" s="393">
        <v>2032</v>
      </c>
      <c r="J12" s="393">
        <v>2033</v>
      </c>
      <c r="K12" s="393">
        <v>2034</v>
      </c>
      <c r="L12" s="393">
        <v>2035</v>
      </c>
      <c r="M12" s="393">
        <v>2036</v>
      </c>
      <c r="N12" s="393">
        <v>2037</v>
      </c>
      <c r="O12" s="393">
        <v>2038</v>
      </c>
      <c r="P12" s="393">
        <v>2039</v>
      </c>
      <c r="Q12" s="393">
        <v>2040</v>
      </c>
      <c r="R12" s="393">
        <v>2041</v>
      </c>
      <c r="S12" s="393">
        <v>2042</v>
      </c>
      <c r="T12" s="393">
        <v>2043</v>
      </c>
      <c r="U12" s="393">
        <v>2044</v>
      </c>
      <c r="V12" s="393">
        <v>2045</v>
      </c>
      <c r="W12" s="393">
        <v>2046</v>
      </c>
      <c r="X12" s="393">
        <v>2047</v>
      </c>
      <c r="Y12" s="393">
        <v>2048</v>
      </c>
      <c r="Z12" s="393">
        <v>2049</v>
      </c>
      <c r="AA12" s="393">
        <v>2050</v>
      </c>
      <c r="AB12" s="393" t="s">
        <v>106</v>
      </c>
    </row>
    <row r="13" spans="1:28" s="398" customFormat="1">
      <c r="A13" s="395" t="s">
        <v>277</v>
      </c>
      <c r="B13" s="396"/>
      <c r="C13" s="397">
        <f>G7</f>
        <v>8.6838618706440673</v>
      </c>
      <c r="D13" s="397">
        <f t="shared" ref="D13:G13" si="0">C13</f>
        <v>8.6838618706440673</v>
      </c>
      <c r="E13" s="397">
        <f t="shared" si="0"/>
        <v>8.6838618706440673</v>
      </c>
      <c r="F13" s="397">
        <f t="shared" si="0"/>
        <v>8.6838618706440673</v>
      </c>
      <c r="G13" s="397">
        <f t="shared" si="0"/>
        <v>8.6838618706440673</v>
      </c>
      <c r="H13" s="396">
        <f>O7</f>
        <v>21.908341436210495</v>
      </c>
      <c r="I13" s="396">
        <f>H13</f>
        <v>21.908341436210495</v>
      </c>
      <c r="J13" s="396">
        <f t="shared" ref="J13:AA13" si="1">I13</f>
        <v>21.908341436210495</v>
      </c>
      <c r="K13" s="396">
        <f t="shared" si="1"/>
        <v>21.908341436210495</v>
      </c>
      <c r="L13" s="396">
        <f t="shared" si="1"/>
        <v>21.908341436210495</v>
      </c>
      <c r="M13" s="396">
        <f t="shared" si="1"/>
        <v>21.908341436210495</v>
      </c>
      <c r="N13" s="396">
        <f t="shared" si="1"/>
        <v>21.908341436210495</v>
      </c>
      <c r="O13" s="396">
        <f t="shared" si="1"/>
        <v>21.908341436210495</v>
      </c>
      <c r="P13" s="396">
        <f t="shared" si="1"/>
        <v>21.908341436210495</v>
      </c>
      <c r="Q13" s="396">
        <f t="shared" si="1"/>
        <v>21.908341436210495</v>
      </c>
      <c r="R13" s="396">
        <f t="shared" si="1"/>
        <v>21.908341436210495</v>
      </c>
      <c r="S13" s="396">
        <f t="shared" si="1"/>
        <v>21.908341436210495</v>
      </c>
      <c r="T13" s="396">
        <f t="shared" si="1"/>
        <v>21.908341436210495</v>
      </c>
      <c r="U13" s="396">
        <f t="shared" si="1"/>
        <v>21.908341436210495</v>
      </c>
      <c r="V13" s="396">
        <f t="shared" si="1"/>
        <v>21.908341436210495</v>
      </c>
      <c r="W13" s="396">
        <f t="shared" si="1"/>
        <v>21.908341436210495</v>
      </c>
      <c r="X13" s="396">
        <f t="shared" si="1"/>
        <v>21.908341436210495</v>
      </c>
      <c r="Y13" s="396">
        <f t="shared" si="1"/>
        <v>21.908341436210495</v>
      </c>
      <c r="Z13" s="396">
        <f t="shared" si="1"/>
        <v>21.908341436210495</v>
      </c>
      <c r="AA13" s="396">
        <f t="shared" si="1"/>
        <v>21.908341436210495</v>
      </c>
      <c r="AB13" s="396">
        <f>SUM(B13:AA13)</f>
        <v>481.58613807743018</v>
      </c>
    </row>
    <row r="14" spans="1:28" s="398" customFormat="1">
      <c r="A14" s="399" t="s">
        <v>278</v>
      </c>
      <c r="B14" s="400"/>
      <c r="C14" s="401">
        <f>C25*($E$7/1000)</f>
        <v>1.9087115998429525</v>
      </c>
      <c r="D14" s="401">
        <f>D25*($E$7/1000)</f>
        <v>1.6290562442519572</v>
      </c>
      <c r="E14" s="401">
        <f>E25*($E$7/1000)</f>
        <v>1.3494008886609619</v>
      </c>
      <c r="F14" s="401">
        <f>F25*($E$7/1000)</f>
        <v>1.0697455330699666</v>
      </c>
      <c r="G14" s="401">
        <f>G25*($E$7/1000)</f>
        <v>0.79009017747897214</v>
      </c>
      <c r="H14" s="401">
        <f>H25*($M$7/1000)</f>
        <v>1.8312649940777102</v>
      </c>
      <c r="I14" s="401">
        <f t="shared" ref="I14:AA14" si="2">I25*($M$7/1000)</f>
        <v>1.6873045444579904</v>
      </c>
      <c r="J14" s="401">
        <f t="shared" si="2"/>
        <v>1.5433440948382706</v>
      </c>
      <c r="K14" s="401">
        <f t="shared" si="2"/>
        <v>1.3993836452185506</v>
      </c>
      <c r="L14" s="401">
        <f t="shared" si="2"/>
        <v>1.2554231955988306</v>
      </c>
      <c r="M14" s="401">
        <f t="shared" si="2"/>
        <v>1.1136633930457742</v>
      </c>
      <c r="N14" s="401">
        <f t="shared" si="2"/>
        <v>0.97190359049271768</v>
      </c>
      <c r="O14" s="401">
        <f t="shared" si="2"/>
        <v>0.83014378793966126</v>
      </c>
      <c r="P14" s="401">
        <f t="shared" si="2"/>
        <v>0.68838398538660472</v>
      </c>
      <c r="Q14" s="401">
        <f t="shared" si="2"/>
        <v>0.54662418283354819</v>
      </c>
      <c r="R14" s="401">
        <f t="shared" si="2"/>
        <v>0.54662418283354819</v>
      </c>
      <c r="S14" s="401">
        <f t="shared" si="2"/>
        <v>0.54662418283354819</v>
      </c>
      <c r="T14" s="401">
        <f t="shared" si="2"/>
        <v>0.54662418283354819</v>
      </c>
      <c r="U14" s="401">
        <f t="shared" si="2"/>
        <v>0.54662418283354819</v>
      </c>
      <c r="V14" s="401">
        <f t="shared" si="2"/>
        <v>0.54662418283354819</v>
      </c>
      <c r="W14" s="401">
        <f t="shared" si="2"/>
        <v>0.54662418283354819</v>
      </c>
      <c r="X14" s="401">
        <f t="shared" si="2"/>
        <v>0.54662418283354819</v>
      </c>
      <c r="Y14" s="401">
        <f t="shared" si="2"/>
        <v>0.54662418283354819</v>
      </c>
      <c r="Z14" s="401">
        <f t="shared" si="2"/>
        <v>0.54662418283354819</v>
      </c>
      <c r="AA14" s="401">
        <f t="shared" si="2"/>
        <v>0.54662418283354819</v>
      </c>
      <c r="AB14" s="402"/>
    </row>
    <row r="15" spans="1:28" s="403" customFormat="1">
      <c r="A15" s="403" t="s">
        <v>279</v>
      </c>
      <c r="B15" s="404">
        <f>B13-B14</f>
        <v>0</v>
      </c>
      <c r="C15" s="404">
        <f t="shared" ref="C15:AA15" si="3">C13-C14</f>
        <v>6.7751502708011149</v>
      </c>
      <c r="D15" s="404">
        <f t="shared" si="3"/>
        <v>7.0548056263921097</v>
      </c>
      <c r="E15" s="404">
        <f t="shared" si="3"/>
        <v>7.3344609819831055</v>
      </c>
      <c r="F15" s="404">
        <f t="shared" si="3"/>
        <v>7.6141163375741012</v>
      </c>
      <c r="G15" s="404">
        <f t="shared" si="3"/>
        <v>7.8937716931650952</v>
      </c>
      <c r="H15" s="404">
        <f t="shared" si="3"/>
        <v>20.077076442132785</v>
      </c>
      <c r="I15" s="404">
        <f t="shared" si="3"/>
        <v>20.221036891752505</v>
      </c>
      <c r="J15" s="404">
        <f t="shared" si="3"/>
        <v>20.364997341372224</v>
      </c>
      <c r="K15" s="404">
        <f t="shared" si="3"/>
        <v>20.508957790991946</v>
      </c>
      <c r="L15" s="404">
        <f t="shared" si="3"/>
        <v>20.652918240611665</v>
      </c>
      <c r="M15" s="404">
        <f t="shared" si="3"/>
        <v>20.794678043164723</v>
      </c>
      <c r="N15" s="404">
        <f t="shared" si="3"/>
        <v>20.936437845717776</v>
      </c>
      <c r="O15" s="404">
        <f t="shared" si="3"/>
        <v>21.078197648270834</v>
      </c>
      <c r="P15" s="404">
        <f t="shared" si="3"/>
        <v>21.219957450823891</v>
      </c>
      <c r="Q15" s="404">
        <f t="shared" si="3"/>
        <v>21.361717253376948</v>
      </c>
      <c r="R15" s="404">
        <f t="shared" si="3"/>
        <v>21.361717253376948</v>
      </c>
      <c r="S15" s="404">
        <f t="shared" si="3"/>
        <v>21.361717253376948</v>
      </c>
      <c r="T15" s="404">
        <f t="shared" si="3"/>
        <v>21.361717253376948</v>
      </c>
      <c r="U15" s="404">
        <f t="shared" si="3"/>
        <v>21.361717253376948</v>
      </c>
      <c r="V15" s="404">
        <f t="shared" si="3"/>
        <v>21.361717253376948</v>
      </c>
      <c r="W15" s="404">
        <f t="shared" si="3"/>
        <v>21.361717253376948</v>
      </c>
      <c r="X15" s="404">
        <f t="shared" si="3"/>
        <v>21.361717253376948</v>
      </c>
      <c r="Y15" s="404">
        <f t="shared" si="3"/>
        <v>21.361717253376948</v>
      </c>
      <c r="Z15" s="404">
        <f t="shared" si="3"/>
        <v>21.361717253376948</v>
      </c>
      <c r="AA15" s="404">
        <f t="shared" si="3"/>
        <v>21.361717253376948</v>
      </c>
      <c r="AB15" s="404">
        <f>SUM(B15:AA15)</f>
        <v>457.50545239190012</v>
      </c>
    </row>
    <row r="16" spans="1:28">
      <c r="C16" s="5"/>
    </row>
    <row r="17" spans="1:28">
      <c r="A17" s="392" t="s">
        <v>105</v>
      </c>
    </row>
    <row r="18" spans="1:28" s="386" customFormat="1">
      <c r="A18" s="393" t="s">
        <v>45</v>
      </c>
      <c r="B18" s="393" t="s">
        <v>107</v>
      </c>
      <c r="C18" s="393">
        <v>2026</v>
      </c>
      <c r="D18" s="393">
        <v>2027</v>
      </c>
      <c r="E18" s="393">
        <v>2028</v>
      </c>
      <c r="F18" s="393">
        <v>2029</v>
      </c>
      <c r="G18" s="393">
        <v>2030</v>
      </c>
      <c r="H18" s="394">
        <v>2031</v>
      </c>
      <c r="I18" s="393">
        <v>2032</v>
      </c>
      <c r="J18" s="393">
        <v>2033</v>
      </c>
      <c r="K18" s="393">
        <v>2034</v>
      </c>
      <c r="L18" s="393">
        <v>2035</v>
      </c>
      <c r="M18" s="393">
        <v>2036</v>
      </c>
      <c r="N18" s="393">
        <v>2037</v>
      </c>
      <c r="O18" s="393">
        <v>2038</v>
      </c>
      <c r="P18" s="393">
        <v>2039</v>
      </c>
      <c r="Q18" s="393">
        <v>2040</v>
      </c>
      <c r="R18" s="393">
        <v>2041</v>
      </c>
      <c r="S18" s="393">
        <v>2042</v>
      </c>
      <c r="T18" s="393">
        <v>2043</v>
      </c>
      <c r="U18" s="393">
        <v>2044</v>
      </c>
      <c r="V18" s="393">
        <v>2045</v>
      </c>
      <c r="W18" s="393">
        <v>2046</v>
      </c>
      <c r="X18" s="393">
        <v>2047</v>
      </c>
      <c r="Y18" s="393">
        <v>2048</v>
      </c>
      <c r="Z18" s="393">
        <v>2049</v>
      </c>
      <c r="AA18" s="393">
        <v>2050</v>
      </c>
      <c r="AB18" s="393" t="s">
        <v>106</v>
      </c>
    </row>
    <row r="19" spans="1:28" s="398" customFormat="1">
      <c r="A19" s="395" t="s">
        <v>280</v>
      </c>
      <c r="B19" s="396"/>
      <c r="C19" s="401">
        <f>G8</f>
        <v>45.156081727349147</v>
      </c>
      <c r="D19" s="401">
        <f t="shared" ref="D19:G19" si="4">C19</f>
        <v>45.156081727349147</v>
      </c>
      <c r="E19" s="401">
        <f t="shared" si="4"/>
        <v>45.156081727349147</v>
      </c>
      <c r="F19" s="401">
        <f t="shared" si="4"/>
        <v>45.156081727349147</v>
      </c>
      <c r="G19" s="401">
        <f t="shared" si="4"/>
        <v>45.156081727349147</v>
      </c>
      <c r="H19" s="396">
        <f>O8</f>
        <v>285.26486245065752</v>
      </c>
      <c r="I19" s="396">
        <f>H19</f>
        <v>285.26486245065752</v>
      </c>
      <c r="J19" s="396">
        <f t="shared" ref="J19:AA19" si="5">I19</f>
        <v>285.26486245065752</v>
      </c>
      <c r="K19" s="396">
        <f t="shared" si="5"/>
        <v>285.26486245065752</v>
      </c>
      <c r="L19" s="396">
        <f t="shared" si="5"/>
        <v>285.26486245065752</v>
      </c>
      <c r="M19" s="396">
        <f t="shared" si="5"/>
        <v>285.26486245065752</v>
      </c>
      <c r="N19" s="396">
        <f t="shared" si="5"/>
        <v>285.26486245065752</v>
      </c>
      <c r="O19" s="396">
        <f t="shared" si="5"/>
        <v>285.26486245065752</v>
      </c>
      <c r="P19" s="396">
        <f t="shared" si="5"/>
        <v>285.26486245065752</v>
      </c>
      <c r="Q19" s="396">
        <f t="shared" si="5"/>
        <v>285.26486245065752</v>
      </c>
      <c r="R19" s="396">
        <f t="shared" si="5"/>
        <v>285.26486245065752</v>
      </c>
      <c r="S19" s="396">
        <f t="shared" si="5"/>
        <v>285.26486245065752</v>
      </c>
      <c r="T19" s="396">
        <f t="shared" si="5"/>
        <v>285.26486245065752</v>
      </c>
      <c r="U19" s="396">
        <f t="shared" si="5"/>
        <v>285.26486245065752</v>
      </c>
      <c r="V19" s="396">
        <f t="shared" si="5"/>
        <v>285.26486245065752</v>
      </c>
      <c r="W19" s="396">
        <f t="shared" si="5"/>
        <v>285.26486245065752</v>
      </c>
      <c r="X19" s="396">
        <f t="shared" si="5"/>
        <v>285.26486245065752</v>
      </c>
      <c r="Y19" s="396">
        <f t="shared" si="5"/>
        <v>285.26486245065752</v>
      </c>
      <c r="Z19" s="396">
        <f t="shared" si="5"/>
        <v>285.26486245065752</v>
      </c>
      <c r="AA19" s="396">
        <f t="shared" si="5"/>
        <v>285.26486245065752</v>
      </c>
      <c r="AB19" s="396">
        <f>SUM(B19:AA19)</f>
        <v>5931.0776576498938</v>
      </c>
    </row>
    <row r="20" spans="1:28" s="398" customFormat="1">
      <c r="A20" s="399" t="s">
        <v>278</v>
      </c>
      <c r="B20" s="405"/>
      <c r="C20" s="405">
        <f t="shared" ref="C20:G20" si="6">C25*($D$8/1000)</f>
        <v>9.941206249182045</v>
      </c>
      <c r="D20" s="405">
        <f t="shared" si="6"/>
        <v>8.4846679388122777</v>
      </c>
      <c r="E20" s="405">
        <f t="shared" si="6"/>
        <v>7.0281296284425103</v>
      </c>
      <c r="F20" s="405">
        <f t="shared" si="6"/>
        <v>5.571591318072743</v>
      </c>
      <c r="G20" s="405">
        <f t="shared" si="6"/>
        <v>4.1150530077029801</v>
      </c>
      <c r="H20" s="405">
        <f>H25*($M$8/1000)</f>
        <v>23.844596277053515</v>
      </c>
      <c r="I20" s="405">
        <f t="shared" ref="I20:AA20" si="7">I25*($M$8/1000)</f>
        <v>21.970111255963417</v>
      </c>
      <c r="J20" s="405">
        <f t="shared" si="7"/>
        <v>20.095626234873315</v>
      </c>
      <c r="K20" s="405">
        <f t="shared" si="7"/>
        <v>18.221141213783213</v>
      </c>
      <c r="L20" s="405">
        <f t="shared" si="7"/>
        <v>16.346656192693107</v>
      </c>
      <c r="M20" s="405">
        <f t="shared" si="7"/>
        <v>14.500825430283518</v>
      </c>
      <c r="N20" s="405">
        <f t="shared" si="7"/>
        <v>12.654994667873929</v>
      </c>
      <c r="O20" s="405">
        <f t="shared" si="7"/>
        <v>10.809163905464338</v>
      </c>
      <c r="P20" s="405">
        <f t="shared" si="7"/>
        <v>8.9633331430547489</v>
      </c>
      <c r="Q20" s="405">
        <f t="shared" si="7"/>
        <v>7.1175023806451589</v>
      </c>
      <c r="R20" s="405">
        <f t="shared" si="7"/>
        <v>7.1175023806451589</v>
      </c>
      <c r="S20" s="405">
        <f t="shared" si="7"/>
        <v>7.1175023806451589</v>
      </c>
      <c r="T20" s="405">
        <f t="shared" si="7"/>
        <v>7.1175023806451589</v>
      </c>
      <c r="U20" s="405">
        <f t="shared" si="7"/>
        <v>7.1175023806451589</v>
      </c>
      <c r="V20" s="405">
        <f t="shared" si="7"/>
        <v>7.1175023806451589</v>
      </c>
      <c r="W20" s="405">
        <f t="shared" si="7"/>
        <v>7.1175023806451589</v>
      </c>
      <c r="X20" s="405">
        <f t="shared" si="7"/>
        <v>7.1175023806451589</v>
      </c>
      <c r="Y20" s="405">
        <f t="shared" si="7"/>
        <v>7.1175023806451589</v>
      </c>
      <c r="Z20" s="405">
        <f t="shared" si="7"/>
        <v>7.1175023806451589</v>
      </c>
      <c r="AA20" s="405">
        <f t="shared" si="7"/>
        <v>7.1175023806451589</v>
      </c>
      <c r="AB20" s="402"/>
    </row>
    <row r="21" spans="1:28" s="403" customFormat="1">
      <c r="A21" s="403" t="s">
        <v>279</v>
      </c>
      <c r="B21" s="404">
        <f>B19-B20</f>
        <v>0</v>
      </c>
      <c r="C21" s="404">
        <f t="shared" ref="C21:AA21" si="8">C19-C20</f>
        <v>35.214875478167102</v>
      </c>
      <c r="D21" s="404">
        <f t="shared" si="8"/>
        <v>36.671413788536867</v>
      </c>
      <c r="E21" s="404">
        <f t="shared" si="8"/>
        <v>38.127952098906633</v>
      </c>
      <c r="F21" s="404">
        <f t="shared" si="8"/>
        <v>39.584490409276405</v>
      </c>
      <c r="G21" s="404">
        <f t="shared" si="8"/>
        <v>41.041028719646164</v>
      </c>
      <c r="H21" s="404">
        <f t="shared" si="8"/>
        <v>261.42026617360398</v>
      </c>
      <c r="I21" s="404">
        <f t="shared" si="8"/>
        <v>263.29475119469407</v>
      </c>
      <c r="J21" s="404">
        <f t="shared" si="8"/>
        <v>265.16923621578422</v>
      </c>
      <c r="K21" s="404">
        <f t="shared" si="8"/>
        <v>267.04372123687432</v>
      </c>
      <c r="L21" s="404">
        <f t="shared" si="8"/>
        <v>268.91820625796441</v>
      </c>
      <c r="M21" s="404">
        <f t="shared" si="8"/>
        <v>270.76403702037402</v>
      </c>
      <c r="N21" s="404">
        <f t="shared" si="8"/>
        <v>272.60986778278357</v>
      </c>
      <c r="O21" s="404">
        <f t="shared" si="8"/>
        <v>274.45569854519317</v>
      </c>
      <c r="P21" s="404">
        <f t="shared" si="8"/>
        <v>276.30152930760278</v>
      </c>
      <c r="Q21" s="404">
        <f t="shared" si="8"/>
        <v>278.14736007001238</v>
      </c>
      <c r="R21" s="404">
        <f t="shared" si="8"/>
        <v>278.14736007001238</v>
      </c>
      <c r="S21" s="404">
        <f t="shared" si="8"/>
        <v>278.14736007001238</v>
      </c>
      <c r="T21" s="404">
        <f t="shared" si="8"/>
        <v>278.14736007001238</v>
      </c>
      <c r="U21" s="404">
        <f t="shared" si="8"/>
        <v>278.14736007001238</v>
      </c>
      <c r="V21" s="404">
        <f t="shared" si="8"/>
        <v>278.14736007001238</v>
      </c>
      <c r="W21" s="404">
        <f t="shared" si="8"/>
        <v>278.14736007001238</v>
      </c>
      <c r="X21" s="404">
        <f t="shared" si="8"/>
        <v>278.14736007001238</v>
      </c>
      <c r="Y21" s="404">
        <f t="shared" si="8"/>
        <v>278.14736007001238</v>
      </c>
      <c r="Z21" s="404">
        <f t="shared" si="8"/>
        <v>278.14736007001238</v>
      </c>
      <c r="AA21" s="404">
        <f t="shared" si="8"/>
        <v>278.14736007001238</v>
      </c>
      <c r="AB21" s="404">
        <f>SUM(B21:AA21)</f>
        <v>5670.2380349995419</v>
      </c>
    </row>
    <row r="22" spans="1:28">
      <c r="A22" t="s">
        <v>281</v>
      </c>
      <c r="B22" s="406"/>
      <c r="C22" s="406">
        <f t="shared" ref="C22:AA22" si="9">C21*20</f>
        <v>704.29750956334203</v>
      </c>
      <c r="D22" s="406">
        <f t="shared" si="9"/>
        <v>733.4282757707374</v>
      </c>
      <c r="E22" s="406">
        <f t="shared" si="9"/>
        <v>762.55904197813265</v>
      </c>
      <c r="F22" s="406">
        <f t="shared" si="9"/>
        <v>791.68980818552814</v>
      </c>
      <c r="G22" s="406">
        <f t="shared" si="9"/>
        <v>820.82057439292328</v>
      </c>
      <c r="H22" s="406">
        <f t="shared" si="9"/>
        <v>5228.4053234720795</v>
      </c>
      <c r="I22" s="406">
        <f t="shared" si="9"/>
        <v>5265.8950238938814</v>
      </c>
      <c r="J22" s="406">
        <f t="shared" si="9"/>
        <v>5303.3847243156843</v>
      </c>
      <c r="K22" s="406">
        <f t="shared" si="9"/>
        <v>5340.8744247374862</v>
      </c>
      <c r="L22" s="406">
        <f t="shared" si="9"/>
        <v>5378.3641251592881</v>
      </c>
      <c r="M22" s="406">
        <f t="shared" si="9"/>
        <v>5415.2807404074802</v>
      </c>
      <c r="N22" s="406">
        <f t="shared" si="9"/>
        <v>5452.1973556556713</v>
      </c>
      <c r="O22" s="406">
        <f t="shared" si="9"/>
        <v>5489.1139709038634</v>
      </c>
      <c r="P22" s="406">
        <f t="shared" si="9"/>
        <v>5526.0305861520555</v>
      </c>
      <c r="Q22" s="406">
        <f t="shared" si="9"/>
        <v>5562.9472014002476</v>
      </c>
      <c r="R22" s="406">
        <f t="shared" si="9"/>
        <v>5562.9472014002476</v>
      </c>
      <c r="S22" s="406">
        <f t="shared" si="9"/>
        <v>5562.9472014002476</v>
      </c>
      <c r="T22" s="406">
        <f t="shared" si="9"/>
        <v>5562.9472014002476</v>
      </c>
      <c r="U22" s="406">
        <f t="shared" si="9"/>
        <v>5562.9472014002476</v>
      </c>
      <c r="V22" s="406">
        <f t="shared" si="9"/>
        <v>5562.9472014002476</v>
      </c>
      <c r="W22" s="406">
        <f t="shared" si="9"/>
        <v>5562.9472014002476</v>
      </c>
      <c r="X22" s="406">
        <f t="shared" si="9"/>
        <v>5562.9472014002476</v>
      </c>
      <c r="Y22" s="406">
        <f t="shared" si="9"/>
        <v>5562.9472014002476</v>
      </c>
      <c r="Z22" s="406">
        <f t="shared" si="9"/>
        <v>5562.9472014002476</v>
      </c>
      <c r="AA22" s="406">
        <f t="shared" si="9"/>
        <v>5562.9472014002476</v>
      </c>
      <c r="AB22" s="406">
        <f>SUM(B22:AA22)</f>
        <v>113404.76069999092</v>
      </c>
    </row>
    <row r="24" spans="1:28" s="386" customFormat="1">
      <c r="A24" s="393" t="s">
        <v>282</v>
      </c>
      <c r="B24" s="393">
        <v>2025</v>
      </c>
      <c r="C24" s="393">
        <v>2026</v>
      </c>
      <c r="D24" s="393">
        <v>2027</v>
      </c>
      <c r="E24" s="393">
        <v>2028</v>
      </c>
      <c r="F24" s="393">
        <v>2029</v>
      </c>
      <c r="G24" s="393">
        <v>2030</v>
      </c>
      <c r="H24" s="393">
        <v>2031</v>
      </c>
      <c r="I24" s="393">
        <v>2032</v>
      </c>
      <c r="J24" s="393">
        <v>2033</v>
      </c>
      <c r="K24" s="393">
        <v>2034</v>
      </c>
      <c r="L24" s="393">
        <v>2035</v>
      </c>
      <c r="M24" s="393">
        <v>2036</v>
      </c>
      <c r="N24" s="393">
        <v>2037</v>
      </c>
      <c r="O24" s="393">
        <v>2038</v>
      </c>
      <c r="P24" s="393">
        <v>2039</v>
      </c>
      <c r="Q24" s="393">
        <v>2040</v>
      </c>
      <c r="R24" s="393">
        <v>2041</v>
      </c>
      <c r="S24" s="393">
        <v>2042</v>
      </c>
      <c r="T24" s="393">
        <v>2043</v>
      </c>
      <c r="U24" s="393">
        <v>2044</v>
      </c>
      <c r="V24" s="393">
        <v>2045</v>
      </c>
      <c r="W24" s="393">
        <v>2046</v>
      </c>
      <c r="X24" s="393">
        <v>2047</v>
      </c>
      <c r="Y24" s="393">
        <v>2048</v>
      </c>
      <c r="Z24" s="393">
        <v>2049</v>
      </c>
      <c r="AA24" s="393">
        <v>2050</v>
      </c>
    </row>
    <row r="25" spans="1:28">
      <c r="A25" s="52"/>
      <c r="B25" s="407">
        <v>0.21685206544048347</v>
      </c>
      <c r="C25" s="407">
        <v>0.18914014933755791</v>
      </c>
      <c r="D25" s="407">
        <v>0.16142823323463235</v>
      </c>
      <c r="E25" s="407">
        <v>0.13371631713170679</v>
      </c>
      <c r="F25" s="407">
        <v>0.10600440102878124</v>
      </c>
      <c r="G25" s="407">
        <v>7.8292484925855776E-2</v>
      </c>
      <c r="H25" s="407">
        <v>7.2586290036692605E-2</v>
      </c>
      <c r="I25" s="407">
        <v>6.6880095147529434E-2</v>
      </c>
      <c r="J25" s="407">
        <v>6.1173900258366262E-2</v>
      </c>
      <c r="K25" s="407">
        <v>5.5467705369203091E-2</v>
      </c>
      <c r="L25" s="407">
        <v>4.9761510480039912E-2</v>
      </c>
      <c r="M25" s="407">
        <v>4.4142543166768709E-2</v>
      </c>
      <c r="N25" s="407">
        <v>3.8523575853497506E-2</v>
      </c>
      <c r="O25" s="407">
        <v>3.2904608540226303E-2</v>
      </c>
      <c r="P25" s="407">
        <v>2.72856412269551E-2</v>
      </c>
      <c r="Q25" s="407">
        <v>2.1666673913683897E-2</v>
      </c>
      <c r="R25" s="407">
        <v>2.1666673913683897E-2</v>
      </c>
      <c r="S25" s="407">
        <v>2.1666673913683897E-2</v>
      </c>
      <c r="T25" s="407">
        <v>2.1666673913683897E-2</v>
      </c>
      <c r="U25" s="407">
        <v>2.1666673913683897E-2</v>
      </c>
      <c r="V25" s="407">
        <v>2.1666673913683897E-2</v>
      </c>
      <c r="W25" s="407">
        <v>2.1666673913683897E-2</v>
      </c>
      <c r="X25" s="407">
        <v>2.1666673913683897E-2</v>
      </c>
      <c r="Y25" s="407">
        <v>2.1666673913683897E-2</v>
      </c>
      <c r="Z25" s="407">
        <v>2.1666673913683897E-2</v>
      </c>
      <c r="AA25" s="407">
        <v>2.1666673913683897E-2</v>
      </c>
    </row>
    <row r="26" spans="1:28" ht="13.5" customHeight="1"/>
    <row r="27" spans="1:28" ht="15" hidden="1" thickBot="1">
      <c r="A27" s="408" t="s">
        <v>283</v>
      </c>
      <c r="B27" s="409">
        <f>SUM(B15+B21)</f>
        <v>0</v>
      </c>
      <c r="C27" s="409">
        <f t="shared" ref="C27:AB27" si="10">SUM(C15+C21)</f>
        <v>41.990025748968215</v>
      </c>
      <c r="D27" s="409">
        <f t="shared" si="10"/>
        <v>43.726219414928977</v>
      </c>
      <c r="E27" s="409">
        <f t="shared" si="10"/>
        <v>45.462413080889739</v>
      </c>
      <c r="F27" s="409">
        <f t="shared" si="10"/>
        <v>47.198606746850508</v>
      </c>
      <c r="G27" s="409">
        <f t="shared" si="10"/>
        <v>48.934800412811256</v>
      </c>
      <c r="H27" s="409">
        <f t="shared" si="10"/>
        <v>281.49734261573678</v>
      </c>
      <c r="I27" s="409">
        <f t="shared" si="10"/>
        <v>283.51578808644661</v>
      </c>
      <c r="J27" s="409">
        <f t="shared" si="10"/>
        <v>285.53423355715643</v>
      </c>
      <c r="K27" s="409">
        <f t="shared" si="10"/>
        <v>287.55267902786625</v>
      </c>
      <c r="L27" s="409">
        <f t="shared" si="10"/>
        <v>289.57112449857607</v>
      </c>
      <c r="M27" s="409">
        <f t="shared" si="10"/>
        <v>291.55871506353873</v>
      </c>
      <c r="N27" s="409">
        <f t="shared" si="10"/>
        <v>293.54630562850133</v>
      </c>
      <c r="O27" s="409">
        <f t="shared" si="10"/>
        <v>295.53389619346399</v>
      </c>
      <c r="P27" s="409">
        <f t="shared" si="10"/>
        <v>297.52148675842665</v>
      </c>
      <c r="Q27" s="409">
        <f t="shared" si="10"/>
        <v>299.50907732338931</v>
      </c>
      <c r="R27" s="409">
        <f t="shared" si="10"/>
        <v>299.50907732338931</v>
      </c>
      <c r="S27" s="409">
        <f t="shared" si="10"/>
        <v>299.50907732338931</v>
      </c>
      <c r="T27" s="409">
        <f t="shared" si="10"/>
        <v>299.50907732338931</v>
      </c>
      <c r="U27" s="409">
        <f t="shared" si="10"/>
        <v>299.50907732338931</v>
      </c>
      <c r="V27" s="409">
        <f t="shared" si="10"/>
        <v>299.50907732338931</v>
      </c>
      <c r="W27" s="409">
        <f t="shared" si="10"/>
        <v>299.50907732338931</v>
      </c>
      <c r="X27" s="409">
        <f t="shared" si="10"/>
        <v>299.50907732338931</v>
      </c>
      <c r="Y27" s="409">
        <f t="shared" si="10"/>
        <v>299.50907732338931</v>
      </c>
      <c r="Z27" s="409">
        <f t="shared" si="10"/>
        <v>299.50907732338931</v>
      </c>
      <c r="AA27" s="409">
        <f t="shared" si="10"/>
        <v>299.50907732338931</v>
      </c>
      <c r="AB27" s="410">
        <f t="shared" si="10"/>
        <v>6127.7434873914417</v>
      </c>
    </row>
    <row r="31" spans="1:28" ht="21" customHeight="1">
      <c r="A31" s="728" t="s">
        <v>284</v>
      </c>
      <c r="B31" s="728"/>
      <c r="C31" s="728"/>
      <c r="D31" s="728"/>
    </row>
    <row r="32" spans="1:28">
      <c r="A32" s="52"/>
      <c r="B32" s="411" t="s">
        <v>60</v>
      </c>
      <c r="C32" s="411" t="s">
        <v>285</v>
      </c>
      <c r="D32" s="411" t="s">
        <v>286</v>
      </c>
      <c r="E32" s="411" t="s">
        <v>286</v>
      </c>
      <c r="L32" s="412"/>
    </row>
    <row r="33" spans="1:15">
      <c r="A33" s="393" t="s">
        <v>287</v>
      </c>
      <c r="B33" s="50">
        <f>SUM(B15:G15)</f>
        <v>36.672304909915525</v>
      </c>
      <c r="C33" s="50">
        <f>SUM(F15:G15)</f>
        <v>15.507888030739196</v>
      </c>
      <c r="D33" s="50">
        <f>SUM(H15:AA15)</f>
        <v>420.83314748198461</v>
      </c>
    </row>
    <row r="34" spans="1:15">
      <c r="A34" s="393" t="s">
        <v>105</v>
      </c>
      <c r="B34" s="50">
        <f>SUM(B21:G21)</f>
        <v>190.63976049453316</v>
      </c>
      <c r="C34" s="50">
        <f>SUM(F21:G21)</f>
        <v>80.625519128922576</v>
      </c>
      <c r="D34" s="50">
        <f>SUM(H21:AA21)</f>
        <v>5479.5982745050096</v>
      </c>
    </row>
    <row r="35" spans="1:15">
      <c r="A35" s="386"/>
      <c r="B35" s="413" t="s">
        <v>288</v>
      </c>
      <c r="C35" s="414"/>
      <c r="D35" s="414"/>
      <c r="E35" s="414"/>
    </row>
    <row r="36" spans="1:15">
      <c r="A36" s="393" t="s">
        <v>289</v>
      </c>
      <c r="B36" s="52">
        <v>2026</v>
      </c>
      <c r="C36" s="52">
        <v>2027</v>
      </c>
      <c r="D36" s="52">
        <v>2028</v>
      </c>
      <c r="E36" s="415" t="s">
        <v>290</v>
      </c>
      <c r="F36" s="414"/>
    </row>
    <row r="37" spans="1:15">
      <c r="A37" s="393" t="s">
        <v>287</v>
      </c>
      <c r="B37" s="416">
        <v>0</v>
      </c>
      <c r="C37" s="416">
        <v>0</v>
      </c>
      <c r="D37" s="416">
        <v>0</v>
      </c>
      <c r="E37" s="417">
        <f>SUM(B37:D37)</f>
        <v>0</v>
      </c>
      <c r="F37" s="414"/>
    </row>
    <row r="38" spans="1:15">
      <c r="A38" s="393" t="s">
        <v>105</v>
      </c>
      <c r="B38" s="416">
        <v>20</v>
      </c>
      <c r="C38" s="416">
        <v>0</v>
      </c>
      <c r="D38" s="416">
        <v>0</v>
      </c>
      <c r="E38" s="417">
        <f>SUM(B38:D38)</f>
        <v>20</v>
      </c>
      <c r="F38" s="414"/>
      <c r="G38" s="413"/>
      <c r="H38" s="413"/>
      <c r="N38" s="414"/>
      <c r="O38" s="13"/>
    </row>
    <row r="39" spans="1:15">
      <c r="A39" s="386"/>
      <c r="B39" s="413"/>
      <c r="C39" s="413"/>
      <c r="D39" s="413"/>
      <c r="E39" s="418"/>
      <c r="F39" s="414"/>
      <c r="G39" s="413"/>
      <c r="H39" s="413"/>
      <c r="N39" s="414"/>
      <c r="O39" s="13"/>
    </row>
    <row r="40" spans="1:15" ht="29.1">
      <c r="A40" s="52" t="s">
        <v>291</v>
      </c>
      <c r="B40" s="419">
        <v>2026</v>
      </c>
      <c r="C40" s="419">
        <v>2027</v>
      </c>
      <c r="D40" s="419">
        <v>2028</v>
      </c>
      <c r="E40" s="419" t="s">
        <v>285</v>
      </c>
      <c r="F40" s="420" t="s">
        <v>286</v>
      </c>
      <c r="G40" s="411" t="s">
        <v>292</v>
      </c>
      <c r="H40" s="421"/>
      <c r="I40" s="488"/>
      <c r="J40" s="421"/>
      <c r="K40" s="421"/>
      <c r="L40" s="421"/>
      <c r="M40" s="421"/>
      <c r="N40" s="421"/>
      <c r="O40" s="421"/>
    </row>
    <row r="41" spans="1:15">
      <c r="A41" s="393" t="s">
        <v>287</v>
      </c>
      <c r="B41" s="50">
        <f>B37*C15</f>
        <v>0</v>
      </c>
      <c r="C41" s="50">
        <f>SUM(B37:C37)*D15</f>
        <v>0</v>
      </c>
      <c r="D41" s="50">
        <f>SUM(B37:D37)*E15</f>
        <v>0</v>
      </c>
      <c r="E41" s="50">
        <f>E37*C33</f>
        <v>0</v>
      </c>
      <c r="F41" s="50">
        <f>D33*E37</f>
        <v>0</v>
      </c>
    </row>
    <row r="42" spans="1:15">
      <c r="A42" s="393" t="s">
        <v>105</v>
      </c>
      <c r="B42" s="422">
        <f>B38*C21</f>
        <v>704.29750956334203</v>
      </c>
      <c r="C42" s="50">
        <f>SUM(B38:C38)*D21</f>
        <v>733.4282757707374</v>
      </c>
      <c r="D42" s="50">
        <f>SUM(B38:D38)*E21</f>
        <v>762.55904197813265</v>
      </c>
      <c r="E42" s="50">
        <f>E38*C34</f>
        <v>1612.5103825784515</v>
      </c>
      <c r="F42" s="422">
        <f>D34*E38</f>
        <v>109591.96549010019</v>
      </c>
      <c r="G42" s="5">
        <f>F42/20</f>
        <v>5479.5982745050096</v>
      </c>
    </row>
    <row r="43" spans="1:15" ht="15" thickBot="1">
      <c r="I43" s="13"/>
    </row>
    <row r="44" spans="1:15" ht="15.75" customHeight="1">
      <c r="A44" s="423" t="s">
        <v>255</v>
      </c>
      <c r="B44" s="691" t="s">
        <v>60</v>
      </c>
      <c r="C44" s="692" t="s">
        <v>61</v>
      </c>
      <c r="D44" s="424"/>
      <c r="E44" s="425"/>
    </row>
    <row r="45" spans="1:15" ht="15" thickBot="1">
      <c r="A45" s="426" t="s">
        <v>256</v>
      </c>
      <c r="B45" s="427">
        <f>SUM(B41:E42)</f>
        <v>3812.7952098906635</v>
      </c>
      <c r="C45" s="428">
        <f>SUM(B41:F42)</f>
        <v>113404.76069999086</v>
      </c>
      <c r="E45" s="429"/>
    </row>
    <row r="46" spans="1:15">
      <c r="A46" s="430"/>
      <c r="E46" s="429"/>
    </row>
    <row r="47" spans="1:15">
      <c r="A47" s="60" t="s">
        <v>257</v>
      </c>
      <c r="B47" s="431">
        <v>2750000</v>
      </c>
      <c r="C47" s="52"/>
      <c r="E47" s="429"/>
      <c r="G47" s="12"/>
      <c r="I47" s="12"/>
    </row>
    <row r="48" spans="1:15">
      <c r="A48" s="576" t="s">
        <v>258</v>
      </c>
      <c r="B48" s="577">
        <f>B51/B45</f>
        <v>792.17210307149264</v>
      </c>
      <c r="C48" s="577">
        <f>B51/C45</f>
        <v>26.63371432871639</v>
      </c>
      <c r="E48" s="429"/>
      <c r="K48" s="413"/>
    </row>
    <row r="49" spans="1:11">
      <c r="A49" s="573" t="s">
        <v>293</v>
      </c>
      <c r="B49" s="574">
        <f>B47/SUM(E37:E38)</f>
        <v>137500</v>
      </c>
      <c r="C49" s="574"/>
      <c r="E49" s="429"/>
      <c r="K49" s="413"/>
    </row>
    <row r="50" spans="1:11" ht="15">
      <c r="A50" s="573" t="s">
        <v>294</v>
      </c>
      <c r="B50" s="575">
        <v>270390</v>
      </c>
      <c r="C50" s="573"/>
      <c r="D50" s="432" t="s">
        <v>295</v>
      </c>
      <c r="E50" s="432"/>
      <c r="F50" s="578"/>
    </row>
    <row r="51" spans="1:11" ht="15">
      <c r="A51" s="573" t="s">
        <v>296</v>
      </c>
      <c r="B51" s="575">
        <v>3020390</v>
      </c>
      <c r="C51" s="573"/>
      <c r="E51" s="429"/>
    </row>
    <row r="52" spans="1:11" ht="15">
      <c r="A52" s="573" t="s">
        <v>297</v>
      </c>
      <c r="B52" s="575">
        <f>B51/20</f>
        <v>151019.5</v>
      </c>
      <c r="C52" s="573"/>
      <c r="E52" s="429"/>
    </row>
    <row r="53" spans="1:11">
      <c r="A53" s="729" t="s">
        <v>298</v>
      </c>
      <c r="B53" s="730"/>
      <c r="C53" s="730"/>
      <c r="D53" s="731"/>
      <c r="E53" s="732"/>
    </row>
    <row r="54" spans="1:11">
      <c r="A54" s="433" t="s">
        <v>299</v>
      </c>
      <c r="B54" s="733" t="s">
        <v>300</v>
      </c>
      <c r="C54" s="733"/>
      <c r="D54" s="733" t="s">
        <v>301</v>
      </c>
      <c r="E54" s="734"/>
      <c r="G54" s="682"/>
    </row>
    <row r="55" spans="1:11">
      <c r="A55" s="60"/>
      <c r="B55" s="689" t="s">
        <v>60</v>
      </c>
      <c r="C55" s="689" t="s">
        <v>61</v>
      </c>
      <c r="D55" s="689" t="s">
        <v>60</v>
      </c>
      <c r="E55" s="690" t="s">
        <v>61</v>
      </c>
    </row>
    <row r="56" spans="1:11">
      <c r="A56" s="60" t="s">
        <v>112</v>
      </c>
      <c r="B56" s="434">
        <f t="shared" ref="B56:C61" si="11">B83+B109</f>
        <v>7274.5142779773551</v>
      </c>
      <c r="C56" s="434">
        <f t="shared" si="11"/>
        <v>183821.38002427391</v>
      </c>
      <c r="D56" s="434">
        <f>B56*0.0005</f>
        <v>3.6372571389886774</v>
      </c>
      <c r="E56" s="435">
        <f>C56*0.0005</f>
        <v>91.910690012136953</v>
      </c>
      <c r="F56" s="436"/>
    </row>
    <row r="57" spans="1:11">
      <c r="A57" s="60" t="s">
        <v>113</v>
      </c>
      <c r="B57" s="434">
        <f t="shared" si="11"/>
        <v>11554.144360510365</v>
      </c>
      <c r="C57" s="434">
        <f t="shared" si="11"/>
        <v>291964.34018674266</v>
      </c>
      <c r="D57" s="434">
        <f t="shared" ref="D57:E61" si="12">B57*0.0005</f>
        <v>5.7770721802551828</v>
      </c>
      <c r="E57" s="435">
        <f t="shared" si="12"/>
        <v>145.98217009337134</v>
      </c>
      <c r="F57" s="436"/>
    </row>
    <row r="58" spans="1:11">
      <c r="A58" s="60" t="s">
        <v>302</v>
      </c>
      <c r="B58" s="434">
        <f t="shared" si="11"/>
        <v>97.865162118107904</v>
      </c>
      <c r="C58" s="434">
        <f t="shared" si="11"/>
        <v>2472.9773658306485</v>
      </c>
      <c r="D58" s="434">
        <f t="shared" si="12"/>
        <v>4.8932581059053952E-2</v>
      </c>
      <c r="E58" s="435">
        <f t="shared" si="12"/>
        <v>1.2364886829153243</v>
      </c>
      <c r="F58" s="436"/>
    </row>
    <row r="59" spans="1:11">
      <c r="A59" s="60" t="s">
        <v>303</v>
      </c>
      <c r="B59" s="434">
        <f t="shared" si="11"/>
        <v>88.699485828393492</v>
      </c>
      <c r="C59" s="434">
        <f t="shared" si="11"/>
        <v>2241.3677765097882</v>
      </c>
      <c r="D59" s="434">
        <f t="shared" si="12"/>
        <v>4.4349742914196744E-2</v>
      </c>
      <c r="E59" s="435">
        <f t="shared" si="12"/>
        <v>1.1206838882548942</v>
      </c>
      <c r="F59" s="436"/>
    </row>
    <row r="60" spans="1:11">
      <c r="A60" s="60" t="s">
        <v>304</v>
      </c>
      <c r="B60" s="434">
        <f t="shared" si="11"/>
        <v>573.31778990082682</v>
      </c>
      <c r="C60" s="434">
        <f t="shared" si="11"/>
        <v>14487.299537109355</v>
      </c>
      <c r="D60" s="434">
        <f t="shared" si="12"/>
        <v>0.28665889495041341</v>
      </c>
      <c r="E60" s="435">
        <f t="shared" si="12"/>
        <v>7.2436497685546772</v>
      </c>
      <c r="F60" s="436"/>
    </row>
    <row r="61" spans="1:11" ht="15" thickBot="1">
      <c r="A61" s="426" t="s">
        <v>127</v>
      </c>
      <c r="B61" s="437">
        <f t="shared" si="11"/>
        <v>21.306977191494397</v>
      </c>
      <c r="C61" s="437">
        <f t="shared" si="11"/>
        <v>538.41092364660858</v>
      </c>
      <c r="D61" s="437">
        <f t="shared" si="12"/>
        <v>1.0653488595747199E-2</v>
      </c>
      <c r="E61" s="438">
        <f t="shared" si="12"/>
        <v>0.26920546182330429</v>
      </c>
      <c r="F61" s="436"/>
    </row>
    <row r="63" spans="1:11" ht="18.75" customHeight="1"/>
    <row r="64" spans="1:11" ht="18.75" customHeight="1">
      <c r="A64" s="403" t="s">
        <v>305</v>
      </c>
    </row>
    <row r="65" spans="1:27" s="386" customFormat="1" ht="18.75" customHeight="1">
      <c r="A65" s="386" t="s">
        <v>306</v>
      </c>
      <c r="B65" s="386">
        <v>2025</v>
      </c>
      <c r="C65" s="386">
        <v>2026</v>
      </c>
      <c r="D65" s="386">
        <v>2027</v>
      </c>
      <c r="E65" s="386">
        <v>2028</v>
      </c>
      <c r="F65" s="386">
        <v>2029</v>
      </c>
      <c r="G65" s="386">
        <v>2030</v>
      </c>
      <c r="H65" s="386">
        <v>2031</v>
      </c>
      <c r="I65" s="386">
        <v>2032</v>
      </c>
      <c r="J65" s="386">
        <v>2033</v>
      </c>
      <c r="K65" s="386">
        <v>2034</v>
      </c>
      <c r="L65" s="386">
        <v>2035</v>
      </c>
      <c r="M65" s="386">
        <v>2036</v>
      </c>
      <c r="N65" s="386">
        <v>2037</v>
      </c>
      <c r="O65" s="386">
        <v>2038</v>
      </c>
      <c r="P65" s="386">
        <v>2039</v>
      </c>
      <c r="Q65" s="386">
        <v>2040</v>
      </c>
      <c r="R65" s="386">
        <v>2041</v>
      </c>
      <c r="S65" s="386">
        <v>2042</v>
      </c>
      <c r="T65" s="386">
        <v>2043</v>
      </c>
      <c r="U65" s="386">
        <v>2044</v>
      </c>
      <c r="V65" s="386">
        <v>2045</v>
      </c>
      <c r="W65" s="386">
        <v>2046</v>
      </c>
      <c r="X65" s="386">
        <v>2047</v>
      </c>
      <c r="Y65" s="386">
        <v>2048</v>
      </c>
      <c r="Z65" s="386">
        <v>2049</v>
      </c>
      <c r="AA65" s="386">
        <v>2050</v>
      </c>
    </row>
    <row r="66" spans="1:27" ht="18.75" customHeight="1">
      <c r="A66" t="str">
        <f>'[2]AFLEET CFI EPA 30%'!D30</f>
        <v>CO</v>
      </c>
      <c r="B66">
        <v>0</v>
      </c>
      <c r="C66" s="5">
        <f>C74*$B$37</f>
        <v>0</v>
      </c>
      <c r="D66" s="5">
        <f>D74*SUM($B$37:$C$37)</f>
        <v>0</v>
      </c>
      <c r="E66" s="5">
        <f>E74*SUM($B$37:$D$37)</f>
        <v>0</v>
      </c>
      <c r="F66" s="5">
        <f t="shared" ref="F66:G66" si="13">F74*$E$37</f>
        <v>0</v>
      </c>
      <c r="G66" s="5">
        <f t="shared" si="13"/>
        <v>0</v>
      </c>
      <c r="H66" s="5">
        <f>H74*$E$37</f>
        <v>0</v>
      </c>
      <c r="I66" s="5">
        <f t="shared" ref="I66:AA71" si="14">I74*$E$37</f>
        <v>0</v>
      </c>
      <c r="J66" s="5">
        <f t="shared" si="14"/>
        <v>0</v>
      </c>
      <c r="K66" s="5">
        <f t="shared" si="14"/>
        <v>0</v>
      </c>
      <c r="L66" s="5">
        <f t="shared" si="14"/>
        <v>0</v>
      </c>
      <c r="M66" s="5">
        <f t="shared" si="14"/>
        <v>0</v>
      </c>
      <c r="N66" s="5">
        <f t="shared" si="14"/>
        <v>0</v>
      </c>
      <c r="O66" s="5">
        <f t="shared" si="14"/>
        <v>0</v>
      </c>
      <c r="P66" s="5">
        <f t="shared" si="14"/>
        <v>0</v>
      </c>
      <c r="Q66" s="5">
        <f t="shared" si="14"/>
        <v>0</v>
      </c>
      <c r="R66" s="5">
        <f t="shared" si="14"/>
        <v>0</v>
      </c>
      <c r="S66" s="5">
        <f t="shared" si="14"/>
        <v>0</v>
      </c>
      <c r="T66" s="5">
        <f t="shared" si="14"/>
        <v>0</v>
      </c>
      <c r="U66" s="5">
        <f t="shared" si="14"/>
        <v>0</v>
      </c>
      <c r="V66" s="5">
        <f t="shared" si="14"/>
        <v>0</v>
      </c>
      <c r="W66" s="5">
        <f t="shared" si="14"/>
        <v>0</v>
      </c>
      <c r="X66" s="5">
        <f t="shared" si="14"/>
        <v>0</v>
      </c>
      <c r="Y66" s="5">
        <f t="shared" si="14"/>
        <v>0</v>
      </c>
      <c r="Z66" s="5">
        <f t="shared" si="14"/>
        <v>0</v>
      </c>
      <c r="AA66" s="5">
        <f t="shared" si="14"/>
        <v>0</v>
      </c>
    </row>
    <row r="67" spans="1:27" ht="18.75" customHeight="1">
      <c r="A67" t="str">
        <f>'[2]AFLEET CFI EPA 30%'!E30</f>
        <v>NOx</v>
      </c>
      <c r="B67">
        <v>0</v>
      </c>
      <c r="C67" s="5">
        <f t="shared" ref="C67:C71" si="15">C75*$B$37</f>
        <v>0</v>
      </c>
      <c r="D67" s="5">
        <f t="shared" ref="D67:D71" si="16">D75*SUM($B$37:$C$37)</f>
        <v>0</v>
      </c>
      <c r="E67" s="5">
        <f t="shared" ref="E67:E71" si="17">E75*SUM($B$37:$D$37)</f>
        <v>0</v>
      </c>
      <c r="F67" s="5">
        <f t="shared" ref="F67:H71" si="18">$E$37*F75</f>
        <v>0</v>
      </c>
      <c r="G67" s="5">
        <f t="shared" si="18"/>
        <v>0</v>
      </c>
      <c r="H67" s="5">
        <f t="shared" si="18"/>
        <v>0</v>
      </c>
      <c r="I67" s="5">
        <f t="shared" si="14"/>
        <v>0</v>
      </c>
      <c r="J67" s="5">
        <f t="shared" si="14"/>
        <v>0</v>
      </c>
      <c r="K67" s="5">
        <f t="shared" si="14"/>
        <v>0</v>
      </c>
      <c r="L67" s="5">
        <f t="shared" si="14"/>
        <v>0</v>
      </c>
      <c r="M67" s="5">
        <f t="shared" si="14"/>
        <v>0</v>
      </c>
      <c r="N67" s="5">
        <f t="shared" si="14"/>
        <v>0</v>
      </c>
      <c r="O67" s="5">
        <f t="shared" si="14"/>
        <v>0</v>
      </c>
      <c r="P67" s="5">
        <f t="shared" si="14"/>
        <v>0</v>
      </c>
      <c r="Q67" s="5">
        <f t="shared" si="14"/>
        <v>0</v>
      </c>
      <c r="R67" s="5">
        <f t="shared" si="14"/>
        <v>0</v>
      </c>
      <c r="S67" s="5">
        <f t="shared" si="14"/>
        <v>0</v>
      </c>
      <c r="T67" s="5">
        <f t="shared" si="14"/>
        <v>0</v>
      </c>
      <c r="U67" s="5">
        <f t="shared" si="14"/>
        <v>0</v>
      </c>
      <c r="V67" s="5">
        <f t="shared" si="14"/>
        <v>0</v>
      </c>
      <c r="W67" s="5">
        <f t="shared" si="14"/>
        <v>0</v>
      </c>
      <c r="X67" s="5">
        <f t="shared" si="14"/>
        <v>0</v>
      </c>
      <c r="Y67" s="5">
        <f t="shared" si="14"/>
        <v>0</v>
      </c>
      <c r="Z67" s="5">
        <f t="shared" si="14"/>
        <v>0</v>
      </c>
      <c r="AA67" s="5">
        <f t="shared" si="14"/>
        <v>0</v>
      </c>
    </row>
    <row r="68" spans="1:27" ht="18.75" customHeight="1">
      <c r="A68" t="str">
        <f>'[2]AFLEET CFI EPA 30%'!F30</f>
        <v>PM10</v>
      </c>
      <c r="B68">
        <v>0</v>
      </c>
      <c r="C68" s="5">
        <f t="shared" si="15"/>
        <v>0</v>
      </c>
      <c r="D68" s="5">
        <f t="shared" si="16"/>
        <v>0</v>
      </c>
      <c r="E68" s="5">
        <f t="shared" si="17"/>
        <v>0</v>
      </c>
      <c r="F68" s="5">
        <f t="shared" si="18"/>
        <v>0</v>
      </c>
      <c r="G68" s="5">
        <f t="shared" si="18"/>
        <v>0</v>
      </c>
      <c r="H68" s="5">
        <f t="shared" si="18"/>
        <v>0</v>
      </c>
      <c r="I68" s="5">
        <f t="shared" si="14"/>
        <v>0</v>
      </c>
      <c r="J68" s="5">
        <f t="shared" si="14"/>
        <v>0</v>
      </c>
      <c r="K68" s="5">
        <f t="shared" si="14"/>
        <v>0</v>
      </c>
      <c r="L68" s="5">
        <f t="shared" si="14"/>
        <v>0</v>
      </c>
      <c r="M68" s="5">
        <f t="shared" si="14"/>
        <v>0</v>
      </c>
      <c r="N68" s="5">
        <f t="shared" si="14"/>
        <v>0</v>
      </c>
      <c r="O68" s="5">
        <f t="shared" si="14"/>
        <v>0</v>
      </c>
      <c r="P68" s="5">
        <f t="shared" si="14"/>
        <v>0</v>
      </c>
      <c r="Q68" s="5">
        <f t="shared" si="14"/>
        <v>0</v>
      </c>
      <c r="R68" s="5">
        <f t="shared" si="14"/>
        <v>0</v>
      </c>
      <c r="S68" s="5">
        <f t="shared" si="14"/>
        <v>0</v>
      </c>
      <c r="T68" s="5">
        <f t="shared" si="14"/>
        <v>0</v>
      </c>
      <c r="U68" s="5">
        <f t="shared" si="14"/>
        <v>0</v>
      </c>
      <c r="V68" s="5">
        <f t="shared" si="14"/>
        <v>0</v>
      </c>
      <c r="W68" s="5">
        <f t="shared" si="14"/>
        <v>0</v>
      </c>
      <c r="X68" s="5">
        <f t="shared" si="14"/>
        <v>0</v>
      </c>
      <c r="Y68" s="5">
        <f t="shared" si="14"/>
        <v>0</v>
      </c>
      <c r="Z68" s="5">
        <f t="shared" si="14"/>
        <v>0</v>
      </c>
      <c r="AA68" s="5">
        <f t="shared" si="14"/>
        <v>0</v>
      </c>
    </row>
    <row r="69" spans="1:27" ht="18.75" customHeight="1">
      <c r="A69" t="str">
        <f>'[2]AFLEET CFI EPA 30%'!G30</f>
        <v>PM2.5</v>
      </c>
      <c r="B69">
        <v>0</v>
      </c>
      <c r="C69" s="5">
        <f t="shared" si="15"/>
        <v>0</v>
      </c>
      <c r="D69" s="5">
        <f t="shared" si="16"/>
        <v>0</v>
      </c>
      <c r="E69" s="5">
        <f t="shared" si="17"/>
        <v>0</v>
      </c>
      <c r="F69" s="5">
        <f t="shared" si="18"/>
        <v>0</v>
      </c>
      <c r="G69" s="5">
        <f t="shared" si="18"/>
        <v>0</v>
      </c>
      <c r="H69" s="5">
        <f t="shared" si="18"/>
        <v>0</v>
      </c>
      <c r="I69" s="5">
        <f t="shared" si="14"/>
        <v>0</v>
      </c>
      <c r="J69" s="5">
        <f t="shared" si="14"/>
        <v>0</v>
      </c>
      <c r="K69" s="5">
        <f t="shared" si="14"/>
        <v>0</v>
      </c>
      <c r="L69" s="5">
        <f t="shared" si="14"/>
        <v>0</v>
      </c>
      <c r="M69" s="5">
        <f t="shared" si="14"/>
        <v>0</v>
      </c>
      <c r="N69" s="5">
        <f t="shared" si="14"/>
        <v>0</v>
      </c>
      <c r="O69" s="5">
        <f t="shared" si="14"/>
        <v>0</v>
      </c>
      <c r="P69" s="5">
        <f t="shared" si="14"/>
        <v>0</v>
      </c>
      <c r="Q69" s="5">
        <f t="shared" si="14"/>
        <v>0</v>
      </c>
      <c r="R69" s="5">
        <f t="shared" si="14"/>
        <v>0</v>
      </c>
      <c r="S69" s="5">
        <f t="shared" si="14"/>
        <v>0</v>
      </c>
      <c r="T69" s="5">
        <f t="shared" si="14"/>
        <v>0</v>
      </c>
      <c r="U69" s="5">
        <f t="shared" si="14"/>
        <v>0</v>
      </c>
      <c r="V69" s="5">
        <f t="shared" si="14"/>
        <v>0</v>
      </c>
      <c r="W69" s="5">
        <f t="shared" si="14"/>
        <v>0</v>
      </c>
      <c r="X69" s="5">
        <f t="shared" si="14"/>
        <v>0</v>
      </c>
      <c r="Y69" s="5">
        <f t="shared" si="14"/>
        <v>0</v>
      </c>
      <c r="Z69" s="5">
        <f t="shared" si="14"/>
        <v>0</v>
      </c>
      <c r="AA69" s="5">
        <f t="shared" si="14"/>
        <v>0</v>
      </c>
    </row>
    <row r="70" spans="1:27" ht="18.75" customHeight="1">
      <c r="A70" t="str">
        <f>'[2]AFLEET CFI EPA 30%'!H30</f>
        <v>VOC</v>
      </c>
      <c r="B70">
        <v>0</v>
      </c>
      <c r="C70" s="5">
        <f t="shared" si="15"/>
        <v>0</v>
      </c>
      <c r="D70" s="5">
        <f t="shared" si="16"/>
        <v>0</v>
      </c>
      <c r="E70" s="5">
        <f t="shared" si="17"/>
        <v>0</v>
      </c>
      <c r="F70" s="5">
        <f t="shared" si="18"/>
        <v>0</v>
      </c>
      <c r="G70" s="5">
        <f t="shared" si="18"/>
        <v>0</v>
      </c>
      <c r="H70" s="5">
        <f t="shared" si="18"/>
        <v>0</v>
      </c>
      <c r="I70" s="5">
        <f t="shared" si="14"/>
        <v>0</v>
      </c>
      <c r="J70" s="5">
        <f t="shared" si="14"/>
        <v>0</v>
      </c>
      <c r="K70" s="5">
        <f t="shared" si="14"/>
        <v>0</v>
      </c>
      <c r="L70" s="5">
        <f t="shared" si="14"/>
        <v>0</v>
      </c>
      <c r="M70" s="5">
        <f t="shared" si="14"/>
        <v>0</v>
      </c>
      <c r="N70" s="5">
        <f t="shared" si="14"/>
        <v>0</v>
      </c>
      <c r="O70" s="5">
        <f t="shared" si="14"/>
        <v>0</v>
      </c>
      <c r="P70" s="5">
        <f t="shared" si="14"/>
        <v>0</v>
      </c>
      <c r="Q70" s="5">
        <f t="shared" si="14"/>
        <v>0</v>
      </c>
      <c r="R70" s="5">
        <f t="shared" si="14"/>
        <v>0</v>
      </c>
      <c r="S70" s="5">
        <f t="shared" si="14"/>
        <v>0</v>
      </c>
      <c r="T70" s="5">
        <f t="shared" si="14"/>
        <v>0</v>
      </c>
      <c r="U70" s="5">
        <f t="shared" si="14"/>
        <v>0</v>
      </c>
      <c r="V70" s="5">
        <f t="shared" si="14"/>
        <v>0</v>
      </c>
      <c r="W70" s="5">
        <f t="shared" si="14"/>
        <v>0</v>
      </c>
      <c r="X70" s="5">
        <f t="shared" si="14"/>
        <v>0</v>
      </c>
      <c r="Y70" s="5">
        <f t="shared" si="14"/>
        <v>0</v>
      </c>
      <c r="Z70" s="5">
        <f t="shared" si="14"/>
        <v>0</v>
      </c>
      <c r="AA70" s="5">
        <f t="shared" si="14"/>
        <v>0</v>
      </c>
    </row>
    <row r="71" spans="1:27" ht="18.75" customHeight="1">
      <c r="A71" t="str">
        <f>'[2]AFLEET CFI EPA 30%'!I30</f>
        <v>SOx</v>
      </c>
      <c r="B71">
        <v>0</v>
      </c>
      <c r="C71" s="5">
        <f t="shared" si="15"/>
        <v>0</v>
      </c>
      <c r="D71" s="5">
        <f t="shared" si="16"/>
        <v>0</v>
      </c>
      <c r="E71" s="5">
        <f t="shared" si="17"/>
        <v>0</v>
      </c>
      <c r="F71" s="5">
        <f t="shared" si="18"/>
        <v>0</v>
      </c>
      <c r="G71" s="5">
        <f t="shared" si="18"/>
        <v>0</v>
      </c>
      <c r="H71" s="5">
        <f t="shared" si="18"/>
        <v>0</v>
      </c>
      <c r="I71" s="5">
        <f t="shared" si="14"/>
        <v>0</v>
      </c>
      <c r="J71" s="5">
        <f t="shared" si="14"/>
        <v>0</v>
      </c>
      <c r="K71" s="5">
        <f t="shared" si="14"/>
        <v>0</v>
      </c>
      <c r="L71" s="5">
        <f t="shared" si="14"/>
        <v>0</v>
      </c>
      <c r="M71" s="5">
        <f t="shared" si="14"/>
        <v>0</v>
      </c>
      <c r="N71" s="5">
        <f t="shared" si="14"/>
        <v>0</v>
      </c>
      <c r="O71" s="5">
        <f t="shared" si="14"/>
        <v>0</v>
      </c>
      <c r="P71" s="5">
        <f t="shared" si="14"/>
        <v>0</v>
      </c>
      <c r="Q71" s="5">
        <f t="shared" si="14"/>
        <v>0</v>
      </c>
      <c r="R71" s="5">
        <f t="shared" si="14"/>
        <v>0</v>
      </c>
      <c r="S71" s="5">
        <f t="shared" si="14"/>
        <v>0</v>
      </c>
      <c r="T71" s="5">
        <f t="shared" si="14"/>
        <v>0</v>
      </c>
      <c r="U71" s="5">
        <f t="shared" si="14"/>
        <v>0</v>
      </c>
      <c r="V71" s="5">
        <f t="shared" si="14"/>
        <v>0</v>
      </c>
      <c r="W71" s="5">
        <f t="shared" si="14"/>
        <v>0</v>
      </c>
      <c r="X71" s="5">
        <f t="shared" si="14"/>
        <v>0</v>
      </c>
      <c r="Y71" s="5">
        <f t="shared" si="14"/>
        <v>0</v>
      </c>
      <c r="Z71" s="5">
        <f t="shared" si="14"/>
        <v>0</v>
      </c>
      <c r="AA71" s="5">
        <f t="shared" si="14"/>
        <v>0</v>
      </c>
    </row>
    <row r="72" spans="1:27" ht="18.75" customHeight="1">
      <c r="H72" s="5"/>
    </row>
    <row r="73" spans="1:27" ht="18.75" customHeight="1">
      <c r="A73" s="386" t="s">
        <v>307</v>
      </c>
      <c r="B73" s="386" t="s">
        <v>308</v>
      </c>
      <c r="H73" s="386" t="s">
        <v>308</v>
      </c>
    </row>
    <row r="74" spans="1:27" ht="18.75" customHeight="1">
      <c r="A74" t="s">
        <v>205</v>
      </c>
      <c r="B74">
        <f>'[2]AFLEET CFI EPA HIGH'!C32</f>
        <v>13.989450534571834</v>
      </c>
      <c r="C74">
        <f>B74</f>
        <v>13.989450534571834</v>
      </c>
      <c r="D74">
        <f t="shared" ref="D74:G74" si="19">C74</f>
        <v>13.989450534571834</v>
      </c>
      <c r="E74">
        <f t="shared" si="19"/>
        <v>13.989450534571834</v>
      </c>
      <c r="F74">
        <f t="shared" si="19"/>
        <v>13.989450534571834</v>
      </c>
      <c r="G74">
        <f t="shared" si="19"/>
        <v>13.989450534571834</v>
      </c>
      <c r="H74">
        <f>'[2]AFLEET CFI EPA 30%'!D32</f>
        <v>35.293704964660584</v>
      </c>
      <c r="I74">
        <f>H74</f>
        <v>35.293704964660584</v>
      </c>
      <c r="J74">
        <f t="shared" ref="J74:AA79" si="20">I74</f>
        <v>35.293704964660584</v>
      </c>
      <c r="K74">
        <f t="shared" si="20"/>
        <v>35.293704964660584</v>
      </c>
      <c r="L74">
        <f t="shared" si="20"/>
        <v>35.293704964660584</v>
      </c>
      <c r="M74">
        <f t="shared" si="20"/>
        <v>35.293704964660584</v>
      </c>
      <c r="N74">
        <f t="shared" si="20"/>
        <v>35.293704964660584</v>
      </c>
      <c r="O74">
        <f t="shared" si="20"/>
        <v>35.293704964660584</v>
      </c>
      <c r="P74">
        <f t="shared" si="20"/>
        <v>35.293704964660584</v>
      </c>
      <c r="Q74">
        <f t="shared" si="20"/>
        <v>35.293704964660584</v>
      </c>
      <c r="R74">
        <f t="shared" si="20"/>
        <v>35.293704964660584</v>
      </c>
      <c r="S74">
        <f t="shared" si="20"/>
        <v>35.293704964660584</v>
      </c>
      <c r="T74">
        <f t="shared" si="20"/>
        <v>35.293704964660584</v>
      </c>
      <c r="U74">
        <f t="shared" si="20"/>
        <v>35.293704964660584</v>
      </c>
      <c r="V74">
        <f t="shared" si="20"/>
        <v>35.293704964660584</v>
      </c>
      <c r="W74">
        <f t="shared" si="20"/>
        <v>35.293704964660584</v>
      </c>
      <c r="X74">
        <f t="shared" si="20"/>
        <v>35.293704964660584</v>
      </c>
      <c r="Y74">
        <f t="shared" si="20"/>
        <v>35.293704964660584</v>
      </c>
      <c r="Z74">
        <f t="shared" si="20"/>
        <v>35.293704964660584</v>
      </c>
      <c r="AA74">
        <f t="shared" si="20"/>
        <v>35.293704964660584</v>
      </c>
    </row>
    <row r="75" spans="1:27" ht="18.75" customHeight="1">
      <c r="A75" t="s">
        <v>206</v>
      </c>
      <c r="B75">
        <f>'[2]AFLEET CFI EPA HIGH'!D32</f>
        <v>22.219508385596857</v>
      </c>
      <c r="C75">
        <f t="shared" ref="C75:G79" si="21">B75</f>
        <v>22.219508385596857</v>
      </c>
      <c r="D75">
        <f t="shared" si="21"/>
        <v>22.219508385596857</v>
      </c>
      <c r="E75">
        <f t="shared" si="21"/>
        <v>22.219508385596857</v>
      </c>
      <c r="F75">
        <f t="shared" si="21"/>
        <v>22.219508385596857</v>
      </c>
      <c r="G75">
        <f t="shared" si="21"/>
        <v>22.219508385596857</v>
      </c>
      <c r="H75">
        <f>'[2]AFLEET CFI EPA 30%'!E32</f>
        <v>56.057153315854585</v>
      </c>
      <c r="I75">
        <f t="shared" ref="I75:X79" si="22">H75</f>
        <v>56.057153315854585</v>
      </c>
      <c r="J75">
        <f t="shared" si="22"/>
        <v>56.057153315854585</v>
      </c>
      <c r="K75">
        <f t="shared" si="22"/>
        <v>56.057153315854585</v>
      </c>
      <c r="L75">
        <f t="shared" si="22"/>
        <v>56.057153315854585</v>
      </c>
      <c r="M75">
        <f t="shared" si="22"/>
        <v>56.057153315854585</v>
      </c>
      <c r="N75">
        <f t="shared" si="22"/>
        <v>56.057153315854585</v>
      </c>
      <c r="O75">
        <f t="shared" si="22"/>
        <v>56.057153315854585</v>
      </c>
      <c r="P75">
        <f t="shared" si="22"/>
        <v>56.057153315854585</v>
      </c>
      <c r="Q75">
        <f t="shared" si="22"/>
        <v>56.057153315854585</v>
      </c>
      <c r="R75">
        <f t="shared" si="22"/>
        <v>56.057153315854585</v>
      </c>
      <c r="S75">
        <f t="shared" si="22"/>
        <v>56.057153315854585</v>
      </c>
      <c r="T75">
        <f t="shared" si="22"/>
        <v>56.057153315854585</v>
      </c>
      <c r="U75">
        <f t="shared" si="22"/>
        <v>56.057153315854585</v>
      </c>
      <c r="V75">
        <f t="shared" si="22"/>
        <v>56.057153315854585</v>
      </c>
      <c r="W75">
        <f t="shared" si="22"/>
        <v>56.057153315854585</v>
      </c>
      <c r="X75">
        <f t="shared" si="22"/>
        <v>56.057153315854585</v>
      </c>
      <c r="Y75">
        <f t="shared" si="20"/>
        <v>56.057153315854585</v>
      </c>
      <c r="Z75">
        <f t="shared" si="20"/>
        <v>56.057153315854585</v>
      </c>
      <c r="AA75">
        <f t="shared" si="20"/>
        <v>56.057153315854585</v>
      </c>
    </row>
    <row r="76" spans="1:27" ht="18.75" customHeight="1">
      <c r="A76" t="s">
        <v>207</v>
      </c>
      <c r="B76">
        <f>'[2]AFLEET CFI EPA HIGH'!E32</f>
        <v>0.18820223484251516</v>
      </c>
      <c r="C76">
        <f t="shared" si="21"/>
        <v>0.18820223484251516</v>
      </c>
      <c r="D76">
        <f t="shared" si="21"/>
        <v>0.18820223484251516</v>
      </c>
      <c r="E76">
        <f t="shared" si="21"/>
        <v>0.18820223484251516</v>
      </c>
      <c r="F76">
        <f t="shared" si="21"/>
        <v>0.18820223484251516</v>
      </c>
      <c r="G76">
        <f t="shared" si="21"/>
        <v>0.18820223484251516</v>
      </c>
      <c r="H76">
        <f>'[2]AFLEET CFI EPA 30%'!F32</f>
        <v>0.47481165423948457</v>
      </c>
      <c r="I76">
        <f t="shared" si="22"/>
        <v>0.47481165423948457</v>
      </c>
      <c r="J76">
        <f t="shared" si="22"/>
        <v>0.47481165423948457</v>
      </c>
      <c r="K76">
        <f t="shared" si="22"/>
        <v>0.47481165423948457</v>
      </c>
      <c r="L76">
        <f t="shared" si="22"/>
        <v>0.47481165423948457</v>
      </c>
      <c r="M76">
        <f t="shared" si="22"/>
        <v>0.47481165423948457</v>
      </c>
      <c r="N76">
        <f t="shared" si="22"/>
        <v>0.47481165423948457</v>
      </c>
      <c r="O76">
        <f t="shared" si="22"/>
        <v>0.47481165423948457</v>
      </c>
      <c r="P76">
        <f t="shared" si="22"/>
        <v>0.47481165423948457</v>
      </c>
      <c r="Q76">
        <f t="shared" si="22"/>
        <v>0.47481165423948457</v>
      </c>
      <c r="R76">
        <f t="shared" si="22"/>
        <v>0.47481165423948457</v>
      </c>
      <c r="S76">
        <f t="shared" si="22"/>
        <v>0.47481165423948457</v>
      </c>
      <c r="T76">
        <f t="shared" si="22"/>
        <v>0.47481165423948457</v>
      </c>
      <c r="U76">
        <f t="shared" si="22"/>
        <v>0.47481165423948457</v>
      </c>
      <c r="V76">
        <f t="shared" si="22"/>
        <v>0.47481165423948457</v>
      </c>
      <c r="W76">
        <f t="shared" si="22"/>
        <v>0.47481165423948457</v>
      </c>
      <c r="X76">
        <f t="shared" si="22"/>
        <v>0.47481165423948457</v>
      </c>
      <c r="Y76">
        <f t="shared" si="20"/>
        <v>0.47481165423948457</v>
      </c>
      <c r="Z76">
        <f t="shared" si="20"/>
        <v>0.47481165423948457</v>
      </c>
      <c r="AA76">
        <f t="shared" si="20"/>
        <v>0.47481165423948457</v>
      </c>
    </row>
    <row r="77" spans="1:27" ht="18.75" customHeight="1">
      <c r="A77" t="s">
        <v>208</v>
      </c>
      <c r="B77">
        <f>'[2]AFLEET CFI EPA HIGH'!F32</f>
        <v>0.1705759342853721</v>
      </c>
      <c r="C77">
        <f t="shared" si="21"/>
        <v>0.1705759342853721</v>
      </c>
      <c r="D77">
        <f t="shared" si="21"/>
        <v>0.1705759342853721</v>
      </c>
      <c r="E77">
        <f t="shared" si="21"/>
        <v>0.1705759342853721</v>
      </c>
      <c r="F77">
        <f t="shared" si="21"/>
        <v>0.1705759342853721</v>
      </c>
      <c r="G77">
        <f t="shared" si="21"/>
        <v>0.1705759342853721</v>
      </c>
      <c r="H77">
        <f>'[2]AFLEET CFI EPA 30%'!G32</f>
        <v>0.43034261308987948</v>
      </c>
      <c r="I77">
        <f t="shared" si="22"/>
        <v>0.43034261308987948</v>
      </c>
      <c r="J77">
        <f t="shared" si="22"/>
        <v>0.43034261308987948</v>
      </c>
      <c r="K77">
        <f t="shared" si="22"/>
        <v>0.43034261308987948</v>
      </c>
      <c r="L77">
        <f t="shared" si="22"/>
        <v>0.43034261308987948</v>
      </c>
      <c r="M77">
        <f t="shared" si="22"/>
        <v>0.43034261308987948</v>
      </c>
      <c r="N77">
        <f t="shared" si="22"/>
        <v>0.43034261308987948</v>
      </c>
      <c r="O77">
        <f t="shared" si="22"/>
        <v>0.43034261308987948</v>
      </c>
      <c r="P77">
        <f t="shared" si="22"/>
        <v>0.43034261308987948</v>
      </c>
      <c r="Q77">
        <f t="shared" si="22"/>
        <v>0.43034261308987948</v>
      </c>
      <c r="R77">
        <f t="shared" si="22"/>
        <v>0.43034261308987948</v>
      </c>
      <c r="S77">
        <f t="shared" si="22"/>
        <v>0.43034261308987948</v>
      </c>
      <c r="T77">
        <f t="shared" si="22"/>
        <v>0.43034261308987948</v>
      </c>
      <c r="U77">
        <f t="shared" si="22"/>
        <v>0.43034261308987948</v>
      </c>
      <c r="V77">
        <f t="shared" si="22"/>
        <v>0.43034261308987948</v>
      </c>
      <c r="W77">
        <f t="shared" si="22"/>
        <v>0.43034261308987948</v>
      </c>
      <c r="X77">
        <f t="shared" si="22"/>
        <v>0.43034261308987948</v>
      </c>
      <c r="Y77">
        <f t="shared" si="20"/>
        <v>0.43034261308987948</v>
      </c>
      <c r="Z77">
        <f t="shared" si="20"/>
        <v>0.43034261308987948</v>
      </c>
      <c r="AA77">
        <f t="shared" si="20"/>
        <v>0.43034261308987948</v>
      </c>
    </row>
    <row r="78" spans="1:27" ht="18.75" customHeight="1">
      <c r="A78" t="s">
        <v>209</v>
      </c>
      <c r="B78">
        <f>'[2]AFLEET CFI EPA HIGH'!G32</f>
        <v>1.1025342113477437</v>
      </c>
      <c r="C78">
        <f t="shared" si="21"/>
        <v>1.1025342113477437</v>
      </c>
      <c r="D78">
        <f t="shared" si="21"/>
        <v>1.1025342113477437</v>
      </c>
      <c r="E78">
        <f t="shared" si="21"/>
        <v>1.1025342113477437</v>
      </c>
      <c r="F78">
        <f t="shared" si="21"/>
        <v>1.1025342113477437</v>
      </c>
      <c r="G78">
        <f t="shared" si="21"/>
        <v>1.1025342113477437</v>
      </c>
      <c r="H78">
        <f>'[2]AFLEET CFI EPA 30%'!H32</f>
        <v>2.7815615111249952</v>
      </c>
      <c r="I78">
        <f t="shared" si="22"/>
        <v>2.7815615111249952</v>
      </c>
      <c r="J78">
        <f t="shared" si="22"/>
        <v>2.7815615111249952</v>
      </c>
      <c r="K78">
        <f t="shared" si="22"/>
        <v>2.7815615111249952</v>
      </c>
      <c r="L78">
        <f t="shared" si="22"/>
        <v>2.7815615111249952</v>
      </c>
      <c r="M78">
        <f t="shared" si="22"/>
        <v>2.7815615111249952</v>
      </c>
      <c r="N78">
        <f t="shared" si="22"/>
        <v>2.7815615111249952</v>
      </c>
      <c r="O78">
        <f t="shared" si="22"/>
        <v>2.7815615111249952</v>
      </c>
      <c r="P78">
        <f t="shared" si="22"/>
        <v>2.7815615111249952</v>
      </c>
      <c r="Q78">
        <f t="shared" si="22"/>
        <v>2.7815615111249952</v>
      </c>
      <c r="R78">
        <f t="shared" si="22"/>
        <v>2.7815615111249952</v>
      </c>
      <c r="S78">
        <f t="shared" si="22"/>
        <v>2.7815615111249952</v>
      </c>
      <c r="T78">
        <f t="shared" si="22"/>
        <v>2.7815615111249952</v>
      </c>
      <c r="U78">
        <f t="shared" si="22"/>
        <v>2.7815615111249952</v>
      </c>
      <c r="V78">
        <f t="shared" si="22"/>
        <v>2.7815615111249952</v>
      </c>
      <c r="W78">
        <f t="shared" si="22"/>
        <v>2.7815615111249952</v>
      </c>
      <c r="X78">
        <f t="shared" si="22"/>
        <v>2.7815615111249952</v>
      </c>
      <c r="Y78">
        <f t="shared" si="20"/>
        <v>2.7815615111249952</v>
      </c>
      <c r="Z78">
        <f t="shared" si="20"/>
        <v>2.7815615111249952</v>
      </c>
      <c r="AA78">
        <f t="shared" si="20"/>
        <v>2.7815615111249952</v>
      </c>
    </row>
    <row r="79" spans="1:27" ht="18.75" customHeight="1">
      <c r="A79" t="s">
        <v>210</v>
      </c>
      <c r="B79">
        <f>'[2]AFLEET CFI EPA HIGH'!H32</f>
        <v>4.0974956137489221E-2</v>
      </c>
      <c r="C79">
        <f t="shared" si="21"/>
        <v>4.0974956137489221E-2</v>
      </c>
      <c r="D79">
        <f t="shared" si="21"/>
        <v>4.0974956137489221E-2</v>
      </c>
      <c r="E79">
        <f t="shared" si="21"/>
        <v>4.0974956137489221E-2</v>
      </c>
      <c r="F79">
        <f t="shared" si="21"/>
        <v>4.0974956137489221E-2</v>
      </c>
      <c r="G79">
        <f t="shared" si="21"/>
        <v>4.0974956137489221E-2</v>
      </c>
      <c r="H79">
        <f>'[2]AFLEET CFI EPA 30%'!I32</f>
        <v>0.10337489734014879</v>
      </c>
      <c r="I79">
        <f t="shared" si="22"/>
        <v>0.10337489734014879</v>
      </c>
      <c r="J79">
        <f t="shared" si="22"/>
        <v>0.10337489734014879</v>
      </c>
      <c r="K79">
        <f t="shared" si="22"/>
        <v>0.10337489734014879</v>
      </c>
      <c r="L79">
        <f t="shared" si="22"/>
        <v>0.10337489734014879</v>
      </c>
      <c r="M79">
        <f t="shared" si="22"/>
        <v>0.10337489734014879</v>
      </c>
      <c r="N79">
        <f t="shared" si="22"/>
        <v>0.10337489734014879</v>
      </c>
      <c r="O79">
        <f t="shared" si="22"/>
        <v>0.10337489734014879</v>
      </c>
      <c r="P79">
        <f t="shared" si="22"/>
        <v>0.10337489734014879</v>
      </c>
      <c r="Q79">
        <f t="shared" si="22"/>
        <v>0.10337489734014879</v>
      </c>
      <c r="R79">
        <f t="shared" si="22"/>
        <v>0.10337489734014879</v>
      </c>
      <c r="S79">
        <f t="shared" si="22"/>
        <v>0.10337489734014879</v>
      </c>
      <c r="T79">
        <f t="shared" si="22"/>
        <v>0.10337489734014879</v>
      </c>
      <c r="U79">
        <f t="shared" si="22"/>
        <v>0.10337489734014879</v>
      </c>
      <c r="V79">
        <f t="shared" si="22"/>
        <v>0.10337489734014879</v>
      </c>
      <c r="W79">
        <f t="shared" si="22"/>
        <v>0.10337489734014879</v>
      </c>
      <c r="X79">
        <f t="shared" si="22"/>
        <v>0.10337489734014879</v>
      </c>
      <c r="Y79">
        <f t="shared" si="20"/>
        <v>0.10337489734014879</v>
      </c>
      <c r="Z79">
        <f t="shared" si="20"/>
        <v>0.10337489734014879</v>
      </c>
      <c r="AA79">
        <f t="shared" si="20"/>
        <v>0.10337489734014879</v>
      </c>
    </row>
    <row r="80" spans="1:27" ht="18.75" customHeight="1"/>
    <row r="81" spans="1:27" ht="18.75" customHeight="1">
      <c r="A81" s="393" t="s">
        <v>309</v>
      </c>
      <c r="B81" s="735" t="s">
        <v>310</v>
      </c>
      <c r="C81" s="736"/>
    </row>
    <row r="82" spans="1:27" ht="18.75" customHeight="1">
      <c r="A82" s="52"/>
      <c r="B82" s="52" t="s">
        <v>60</v>
      </c>
      <c r="C82" s="52" t="s">
        <v>61</v>
      </c>
    </row>
    <row r="83" spans="1:27" ht="18.75" customHeight="1">
      <c r="A83" s="52" t="s">
        <v>112</v>
      </c>
      <c r="B83" s="434">
        <f>SUM(B66:G66)</f>
        <v>0</v>
      </c>
      <c r="C83" s="439">
        <f>SUM(H66:AA66)</f>
        <v>0</v>
      </c>
    </row>
    <row r="84" spans="1:27" ht="18.75" customHeight="1">
      <c r="A84" s="52" t="s">
        <v>113</v>
      </c>
      <c r="B84" s="434">
        <f t="shared" ref="B84:B88" si="23">SUM(B67:G67)</f>
        <v>0</v>
      </c>
      <c r="C84" s="439">
        <f t="shared" ref="C84:C88" si="24">SUM(H67:AA67)</f>
        <v>0</v>
      </c>
    </row>
    <row r="85" spans="1:27" ht="18.75" customHeight="1">
      <c r="A85" s="52" t="s">
        <v>302</v>
      </c>
      <c r="B85" s="434">
        <f t="shared" si="23"/>
        <v>0</v>
      </c>
      <c r="C85" s="439">
        <f t="shared" si="24"/>
        <v>0</v>
      </c>
    </row>
    <row r="86" spans="1:27" ht="18.75" customHeight="1">
      <c r="A86" s="52" t="s">
        <v>303</v>
      </c>
      <c r="B86" s="434">
        <f t="shared" si="23"/>
        <v>0</v>
      </c>
      <c r="C86" s="439">
        <f t="shared" si="24"/>
        <v>0</v>
      </c>
    </row>
    <row r="87" spans="1:27" ht="18.75" customHeight="1">
      <c r="A87" s="52" t="s">
        <v>304</v>
      </c>
      <c r="B87" s="434">
        <f t="shared" si="23"/>
        <v>0</v>
      </c>
      <c r="C87" s="439">
        <f t="shared" si="24"/>
        <v>0</v>
      </c>
    </row>
    <row r="88" spans="1:27" ht="18.75" customHeight="1">
      <c r="A88" s="52" t="s">
        <v>127</v>
      </c>
      <c r="B88" s="434">
        <f t="shared" si="23"/>
        <v>0</v>
      </c>
      <c r="C88" s="439">
        <f t="shared" si="24"/>
        <v>0</v>
      </c>
    </row>
    <row r="89" spans="1:27" ht="18.75" customHeight="1"/>
    <row r="90" spans="1:27" ht="18.75" customHeight="1"/>
    <row r="91" spans="1:27" s="386" customFormat="1" ht="18.75" customHeight="1">
      <c r="A91" s="386" t="s">
        <v>311</v>
      </c>
      <c r="B91" s="386">
        <v>2025</v>
      </c>
      <c r="C91" s="386">
        <v>2026</v>
      </c>
      <c r="D91" s="386">
        <v>2027</v>
      </c>
      <c r="E91" s="386">
        <v>2028</v>
      </c>
      <c r="F91" s="386">
        <v>2029</v>
      </c>
      <c r="G91" s="386">
        <v>2030</v>
      </c>
      <c r="H91" s="386">
        <v>2031</v>
      </c>
      <c r="I91" s="386">
        <v>2032</v>
      </c>
      <c r="J91" s="386">
        <v>2033</v>
      </c>
      <c r="K91" s="386">
        <v>2034</v>
      </c>
      <c r="L91" s="386">
        <v>2035</v>
      </c>
      <c r="M91" s="386">
        <v>2036</v>
      </c>
      <c r="N91" s="386">
        <v>2037</v>
      </c>
      <c r="O91" s="386">
        <v>2038</v>
      </c>
      <c r="P91" s="386">
        <v>2039</v>
      </c>
      <c r="Q91" s="386">
        <v>2040</v>
      </c>
      <c r="R91" s="386">
        <v>2041</v>
      </c>
      <c r="S91" s="386">
        <v>2042</v>
      </c>
      <c r="T91" s="386">
        <v>2043</v>
      </c>
      <c r="U91" s="386">
        <v>2044</v>
      </c>
      <c r="V91" s="386">
        <v>2045</v>
      </c>
      <c r="W91" s="386">
        <v>2046</v>
      </c>
      <c r="X91" s="386">
        <v>2047</v>
      </c>
      <c r="Y91" s="386">
        <v>2048</v>
      </c>
      <c r="Z91" s="386">
        <v>2049</v>
      </c>
      <c r="AA91" s="386">
        <v>2050</v>
      </c>
    </row>
    <row r="92" spans="1:27" ht="18.75" customHeight="1">
      <c r="A92">
        <f>'[2]AFLEET CFI EPA 30%'!D56</f>
        <v>0</v>
      </c>
      <c r="B92">
        <v>0</v>
      </c>
      <c r="C92" s="5">
        <f t="shared" ref="C92:C97" si="25">C100*$B$38</f>
        <v>1454.902855595471</v>
      </c>
      <c r="D92" s="5">
        <f>D100*SUM($B$38:$C$38)</f>
        <v>1454.902855595471</v>
      </c>
      <c r="E92" s="5">
        <f>E100*SUM($B$38:$D$38)</f>
        <v>1454.902855595471</v>
      </c>
      <c r="F92" s="5">
        <f>F100*$E$38</f>
        <v>1454.902855595471</v>
      </c>
      <c r="G92" s="5">
        <f>G100*$E$38</f>
        <v>1454.902855595471</v>
      </c>
      <c r="H92" s="5">
        <f>H100*$E$38</f>
        <v>9191.0690012136947</v>
      </c>
      <c r="I92" s="5">
        <f t="shared" ref="I92:AA97" si="26">I100*$E$38</f>
        <v>9191.0690012136947</v>
      </c>
      <c r="J92" s="5">
        <f t="shared" si="26"/>
        <v>9191.0690012136947</v>
      </c>
      <c r="K92" s="5">
        <f t="shared" si="26"/>
        <v>9191.0690012136947</v>
      </c>
      <c r="L92" s="5">
        <f t="shared" si="26"/>
        <v>9191.0690012136947</v>
      </c>
      <c r="M92" s="5">
        <f t="shared" si="26"/>
        <v>9191.0690012136947</v>
      </c>
      <c r="N92" s="5">
        <f t="shared" si="26"/>
        <v>9191.0690012136947</v>
      </c>
      <c r="O92" s="5">
        <f t="shared" si="26"/>
        <v>9191.0690012136947</v>
      </c>
      <c r="P92" s="5">
        <f t="shared" si="26"/>
        <v>9191.0690012136947</v>
      </c>
      <c r="Q92" s="5">
        <f t="shared" si="26"/>
        <v>9191.0690012136947</v>
      </c>
      <c r="R92" s="5">
        <f t="shared" si="26"/>
        <v>9191.0690012136947</v>
      </c>
      <c r="S92" s="5">
        <f t="shared" si="26"/>
        <v>9191.0690012136947</v>
      </c>
      <c r="T92" s="5">
        <f t="shared" si="26"/>
        <v>9191.0690012136947</v>
      </c>
      <c r="U92" s="5">
        <f t="shared" si="26"/>
        <v>9191.0690012136947</v>
      </c>
      <c r="V92" s="5">
        <f t="shared" si="26"/>
        <v>9191.0690012136947</v>
      </c>
      <c r="W92" s="5">
        <f t="shared" si="26"/>
        <v>9191.0690012136947</v>
      </c>
      <c r="X92" s="5">
        <f t="shared" si="26"/>
        <v>9191.0690012136947</v>
      </c>
      <c r="Y92" s="5">
        <f t="shared" si="26"/>
        <v>9191.0690012136947</v>
      </c>
      <c r="Z92" s="5">
        <f t="shared" si="26"/>
        <v>9191.0690012136947</v>
      </c>
      <c r="AA92" s="5">
        <f t="shared" si="26"/>
        <v>9191.0690012136947</v>
      </c>
    </row>
    <row r="93" spans="1:27" ht="18.75" customHeight="1">
      <c r="A93">
        <f>'[2]AFLEET CFI EPA 30%'!E56</f>
        <v>0</v>
      </c>
      <c r="B93">
        <v>0</v>
      </c>
      <c r="C93" s="5">
        <f t="shared" si="25"/>
        <v>2310.8288721020731</v>
      </c>
      <c r="D93" s="5">
        <f t="shared" ref="D93:D97" si="27">D101*SUM($B$38:$C$38)</f>
        <v>2310.8288721020731</v>
      </c>
      <c r="E93" s="5">
        <f t="shared" ref="E93:E97" si="28">E101*SUM($B$38:$D$38)</f>
        <v>2310.8288721020731</v>
      </c>
      <c r="F93" s="5">
        <f t="shared" ref="F93:H97" si="29">F101*$E$38</f>
        <v>2310.8288721020731</v>
      </c>
      <c r="G93" s="5">
        <f t="shared" si="29"/>
        <v>2310.8288721020731</v>
      </c>
      <c r="H93" s="5">
        <f t="shared" si="29"/>
        <v>14598.217009337133</v>
      </c>
      <c r="I93" s="5">
        <f t="shared" si="26"/>
        <v>14598.217009337133</v>
      </c>
      <c r="J93" s="5">
        <f t="shared" si="26"/>
        <v>14598.217009337133</v>
      </c>
      <c r="K93" s="5">
        <f t="shared" si="26"/>
        <v>14598.217009337133</v>
      </c>
      <c r="L93" s="5">
        <f t="shared" si="26"/>
        <v>14598.217009337133</v>
      </c>
      <c r="M93" s="5">
        <f t="shared" si="26"/>
        <v>14598.217009337133</v>
      </c>
      <c r="N93" s="5">
        <f t="shared" si="26"/>
        <v>14598.217009337133</v>
      </c>
      <c r="O93" s="5">
        <f t="shared" si="26"/>
        <v>14598.217009337133</v>
      </c>
      <c r="P93" s="5">
        <f t="shared" si="26"/>
        <v>14598.217009337133</v>
      </c>
      <c r="Q93" s="5">
        <f t="shared" si="26"/>
        <v>14598.217009337133</v>
      </c>
      <c r="R93" s="5">
        <f t="shared" si="26"/>
        <v>14598.217009337133</v>
      </c>
      <c r="S93" s="5">
        <f t="shared" si="26"/>
        <v>14598.217009337133</v>
      </c>
      <c r="T93" s="5">
        <f t="shared" si="26"/>
        <v>14598.217009337133</v>
      </c>
      <c r="U93" s="5">
        <f t="shared" si="26"/>
        <v>14598.217009337133</v>
      </c>
      <c r="V93" s="5">
        <f t="shared" si="26"/>
        <v>14598.217009337133</v>
      </c>
      <c r="W93" s="5">
        <f t="shared" si="26"/>
        <v>14598.217009337133</v>
      </c>
      <c r="X93" s="5">
        <f t="shared" si="26"/>
        <v>14598.217009337133</v>
      </c>
      <c r="Y93" s="5">
        <f t="shared" si="26"/>
        <v>14598.217009337133</v>
      </c>
      <c r="Z93" s="5">
        <f t="shared" si="26"/>
        <v>14598.217009337133</v>
      </c>
      <c r="AA93" s="5">
        <f t="shared" si="26"/>
        <v>14598.217009337133</v>
      </c>
    </row>
    <row r="94" spans="1:27" ht="18.75" customHeight="1">
      <c r="A94">
        <f>'[2]AFLEET CFI EPA 30%'!F56</f>
        <v>0</v>
      </c>
      <c r="B94">
        <v>0</v>
      </c>
      <c r="C94" s="5">
        <f t="shared" si="25"/>
        <v>19.57303242362158</v>
      </c>
      <c r="D94" s="5">
        <f t="shared" si="27"/>
        <v>19.57303242362158</v>
      </c>
      <c r="E94" s="5">
        <f t="shared" si="28"/>
        <v>19.57303242362158</v>
      </c>
      <c r="F94" s="5">
        <f t="shared" si="29"/>
        <v>19.57303242362158</v>
      </c>
      <c r="G94" s="5">
        <f t="shared" si="29"/>
        <v>19.57303242362158</v>
      </c>
      <c r="H94" s="5">
        <f t="shared" si="29"/>
        <v>123.64886829153247</v>
      </c>
      <c r="I94" s="5">
        <f t="shared" si="26"/>
        <v>123.64886829153247</v>
      </c>
      <c r="J94" s="5">
        <f t="shared" si="26"/>
        <v>123.64886829153247</v>
      </c>
      <c r="K94" s="5">
        <f t="shared" si="26"/>
        <v>123.64886829153247</v>
      </c>
      <c r="L94" s="5">
        <f t="shared" si="26"/>
        <v>123.64886829153247</v>
      </c>
      <c r="M94" s="5">
        <f t="shared" si="26"/>
        <v>123.64886829153247</v>
      </c>
      <c r="N94" s="5">
        <f t="shared" si="26"/>
        <v>123.64886829153247</v>
      </c>
      <c r="O94" s="5">
        <f t="shared" si="26"/>
        <v>123.64886829153247</v>
      </c>
      <c r="P94" s="5">
        <f t="shared" si="26"/>
        <v>123.64886829153247</v>
      </c>
      <c r="Q94" s="5">
        <f t="shared" si="26"/>
        <v>123.64886829153247</v>
      </c>
      <c r="R94" s="5">
        <f t="shared" si="26"/>
        <v>123.64886829153247</v>
      </c>
      <c r="S94" s="5">
        <f t="shared" si="26"/>
        <v>123.64886829153247</v>
      </c>
      <c r="T94" s="5">
        <f t="shared" si="26"/>
        <v>123.64886829153247</v>
      </c>
      <c r="U94" s="5">
        <f t="shared" si="26"/>
        <v>123.64886829153247</v>
      </c>
      <c r="V94" s="5">
        <f t="shared" si="26"/>
        <v>123.64886829153247</v>
      </c>
      <c r="W94" s="5">
        <f t="shared" si="26"/>
        <v>123.64886829153247</v>
      </c>
      <c r="X94" s="5">
        <f t="shared" si="26"/>
        <v>123.64886829153247</v>
      </c>
      <c r="Y94" s="5">
        <f t="shared" si="26"/>
        <v>123.64886829153247</v>
      </c>
      <c r="Z94" s="5">
        <f t="shared" si="26"/>
        <v>123.64886829153247</v>
      </c>
      <c r="AA94" s="5">
        <f t="shared" si="26"/>
        <v>123.64886829153247</v>
      </c>
    </row>
    <row r="95" spans="1:27" ht="18.75" customHeight="1">
      <c r="A95">
        <f>'[2]AFLEET CFI EPA 30%'!G56</f>
        <v>0</v>
      </c>
      <c r="B95">
        <v>0</v>
      </c>
      <c r="C95" s="5">
        <f t="shared" si="25"/>
        <v>17.739897165678698</v>
      </c>
      <c r="D95" s="5">
        <f t="shared" si="27"/>
        <v>17.739897165678698</v>
      </c>
      <c r="E95" s="5">
        <f t="shared" si="28"/>
        <v>17.739897165678698</v>
      </c>
      <c r="F95" s="5">
        <f t="shared" si="29"/>
        <v>17.739897165678698</v>
      </c>
      <c r="G95" s="5">
        <f t="shared" si="29"/>
        <v>17.739897165678698</v>
      </c>
      <c r="H95" s="5">
        <f t="shared" si="29"/>
        <v>112.06838882548945</v>
      </c>
      <c r="I95" s="5">
        <f t="shared" si="26"/>
        <v>112.06838882548945</v>
      </c>
      <c r="J95" s="5">
        <f t="shared" si="26"/>
        <v>112.06838882548945</v>
      </c>
      <c r="K95" s="5">
        <f t="shared" si="26"/>
        <v>112.06838882548945</v>
      </c>
      <c r="L95" s="5">
        <f t="shared" si="26"/>
        <v>112.06838882548945</v>
      </c>
      <c r="M95" s="5">
        <f t="shared" si="26"/>
        <v>112.06838882548945</v>
      </c>
      <c r="N95" s="5">
        <f t="shared" si="26"/>
        <v>112.06838882548945</v>
      </c>
      <c r="O95" s="5">
        <f t="shared" si="26"/>
        <v>112.06838882548945</v>
      </c>
      <c r="P95" s="5">
        <f t="shared" si="26"/>
        <v>112.06838882548945</v>
      </c>
      <c r="Q95" s="5">
        <f t="shared" si="26"/>
        <v>112.06838882548945</v>
      </c>
      <c r="R95" s="5">
        <f t="shared" si="26"/>
        <v>112.06838882548945</v>
      </c>
      <c r="S95" s="5">
        <f t="shared" si="26"/>
        <v>112.06838882548945</v>
      </c>
      <c r="T95" s="5">
        <f t="shared" si="26"/>
        <v>112.06838882548945</v>
      </c>
      <c r="U95" s="5">
        <f t="shared" si="26"/>
        <v>112.06838882548945</v>
      </c>
      <c r="V95" s="5">
        <f t="shared" si="26"/>
        <v>112.06838882548945</v>
      </c>
      <c r="W95" s="5">
        <f t="shared" si="26"/>
        <v>112.06838882548945</v>
      </c>
      <c r="X95" s="5">
        <f t="shared" si="26"/>
        <v>112.06838882548945</v>
      </c>
      <c r="Y95" s="5">
        <f t="shared" si="26"/>
        <v>112.06838882548945</v>
      </c>
      <c r="Z95" s="5">
        <f t="shared" si="26"/>
        <v>112.06838882548945</v>
      </c>
      <c r="AA95" s="5">
        <f t="shared" si="26"/>
        <v>112.06838882548945</v>
      </c>
    </row>
    <row r="96" spans="1:27" ht="18.75" customHeight="1">
      <c r="A96">
        <f>'[2]AFLEET CFI EPA 30%'!H56</f>
        <v>0</v>
      </c>
      <c r="B96">
        <v>0</v>
      </c>
      <c r="C96" s="5">
        <f t="shared" si="25"/>
        <v>114.66355798016536</v>
      </c>
      <c r="D96" s="5">
        <f t="shared" si="27"/>
        <v>114.66355798016536</v>
      </c>
      <c r="E96" s="5">
        <f t="shared" si="28"/>
        <v>114.66355798016536</v>
      </c>
      <c r="F96" s="5">
        <f t="shared" si="29"/>
        <v>114.66355798016536</v>
      </c>
      <c r="G96" s="5">
        <f t="shared" si="29"/>
        <v>114.66355798016536</v>
      </c>
      <c r="H96" s="5">
        <f t="shared" si="29"/>
        <v>724.3649768554676</v>
      </c>
      <c r="I96" s="5">
        <f t="shared" si="26"/>
        <v>724.3649768554676</v>
      </c>
      <c r="J96" s="5">
        <f t="shared" si="26"/>
        <v>724.3649768554676</v>
      </c>
      <c r="K96" s="5">
        <f t="shared" si="26"/>
        <v>724.3649768554676</v>
      </c>
      <c r="L96" s="5">
        <f t="shared" si="26"/>
        <v>724.3649768554676</v>
      </c>
      <c r="M96" s="5">
        <f t="shared" si="26"/>
        <v>724.3649768554676</v>
      </c>
      <c r="N96" s="5">
        <f t="shared" si="26"/>
        <v>724.3649768554676</v>
      </c>
      <c r="O96" s="5">
        <f t="shared" si="26"/>
        <v>724.3649768554676</v>
      </c>
      <c r="P96" s="5">
        <f t="shared" si="26"/>
        <v>724.3649768554676</v>
      </c>
      <c r="Q96" s="5">
        <f t="shared" si="26"/>
        <v>724.3649768554676</v>
      </c>
      <c r="R96" s="5">
        <f t="shared" si="26"/>
        <v>724.3649768554676</v>
      </c>
      <c r="S96" s="5">
        <f t="shared" si="26"/>
        <v>724.3649768554676</v>
      </c>
      <c r="T96" s="5">
        <f t="shared" si="26"/>
        <v>724.3649768554676</v>
      </c>
      <c r="U96" s="5">
        <f t="shared" si="26"/>
        <v>724.3649768554676</v>
      </c>
      <c r="V96" s="5">
        <f t="shared" si="26"/>
        <v>724.3649768554676</v>
      </c>
      <c r="W96" s="5">
        <f t="shared" si="26"/>
        <v>724.3649768554676</v>
      </c>
      <c r="X96" s="5">
        <f t="shared" si="26"/>
        <v>724.3649768554676</v>
      </c>
      <c r="Y96" s="5">
        <f t="shared" si="26"/>
        <v>724.3649768554676</v>
      </c>
      <c r="Z96" s="5">
        <f t="shared" si="26"/>
        <v>724.3649768554676</v>
      </c>
      <c r="AA96" s="5">
        <f t="shared" si="26"/>
        <v>724.3649768554676</v>
      </c>
    </row>
    <row r="97" spans="1:27" ht="18.75" customHeight="1">
      <c r="A97">
        <f>'[2]AFLEET CFI EPA 30%'!I56</f>
        <v>0</v>
      </c>
      <c r="B97">
        <v>0</v>
      </c>
      <c r="C97" s="5">
        <f t="shared" si="25"/>
        <v>4.2613954382988792</v>
      </c>
      <c r="D97" s="5">
        <f t="shared" si="27"/>
        <v>4.2613954382988792</v>
      </c>
      <c r="E97" s="5">
        <f t="shared" si="28"/>
        <v>4.2613954382988792</v>
      </c>
      <c r="F97" s="5">
        <f t="shared" si="29"/>
        <v>4.2613954382988792</v>
      </c>
      <c r="G97" s="5">
        <f t="shared" si="29"/>
        <v>4.2613954382988792</v>
      </c>
      <c r="H97" s="5">
        <f t="shared" si="29"/>
        <v>26.920546182330419</v>
      </c>
      <c r="I97" s="5">
        <f t="shared" si="26"/>
        <v>26.920546182330419</v>
      </c>
      <c r="J97" s="5">
        <f t="shared" si="26"/>
        <v>26.920546182330419</v>
      </c>
      <c r="K97" s="5">
        <f t="shared" si="26"/>
        <v>26.920546182330419</v>
      </c>
      <c r="L97" s="5">
        <f t="shared" si="26"/>
        <v>26.920546182330419</v>
      </c>
      <c r="M97" s="5">
        <f t="shared" si="26"/>
        <v>26.920546182330419</v>
      </c>
      <c r="N97" s="5">
        <f t="shared" si="26"/>
        <v>26.920546182330419</v>
      </c>
      <c r="O97" s="5">
        <f t="shared" si="26"/>
        <v>26.920546182330419</v>
      </c>
      <c r="P97" s="5">
        <f t="shared" si="26"/>
        <v>26.920546182330419</v>
      </c>
      <c r="Q97" s="5">
        <f t="shared" si="26"/>
        <v>26.920546182330419</v>
      </c>
      <c r="R97" s="5">
        <f t="shared" si="26"/>
        <v>26.920546182330419</v>
      </c>
      <c r="S97" s="5">
        <f t="shared" si="26"/>
        <v>26.920546182330419</v>
      </c>
      <c r="T97" s="5">
        <f t="shared" si="26"/>
        <v>26.920546182330419</v>
      </c>
      <c r="U97" s="5">
        <f t="shared" si="26"/>
        <v>26.920546182330419</v>
      </c>
      <c r="V97" s="5">
        <f t="shared" si="26"/>
        <v>26.920546182330419</v>
      </c>
      <c r="W97" s="5">
        <f t="shared" si="26"/>
        <v>26.920546182330419</v>
      </c>
      <c r="X97" s="5">
        <f t="shared" si="26"/>
        <v>26.920546182330419</v>
      </c>
      <c r="Y97" s="5">
        <f t="shared" si="26"/>
        <v>26.920546182330419</v>
      </c>
      <c r="Z97" s="5">
        <f t="shared" si="26"/>
        <v>26.920546182330419</v>
      </c>
      <c r="AA97" s="5">
        <f t="shared" si="26"/>
        <v>26.920546182330419</v>
      </c>
    </row>
    <row r="98" spans="1:27" ht="18.75" customHeight="1">
      <c r="H98" s="5"/>
    </row>
    <row r="99" spans="1:27" ht="18.75" customHeight="1">
      <c r="A99" s="386" t="s">
        <v>312</v>
      </c>
      <c r="B99" s="386" t="s">
        <v>308</v>
      </c>
      <c r="H99" s="386" t="s">
        <v>308</v>
      </c>
    </row>
    <row r="100" spans="1:27" ht="18.75" customHeight="1">
      <c r="A100" t="s">
        <v>205</v>
      </c>
      <c r="B100">
        <f>'[2]AFLEET CFI EPA HIGH'!C33</f>
        <v>72.745142779773545</v>
      </c>
      <c r="C100">
        <f>B100</f>
        <v>72.745142779773545</v>
      </c>
      <c r="D100">
        <f t="shared" ref="D100:G100" si="30">C100</f>
        <v>72.745142779773545</v>
      </c>
      <c r="E100">
        <f t="shared" si="30"/>
        <v>72.745142779773545</v>
      </c>
      <c r="F100">
        <f t="shared" si="30"/>
        <v>72.745142779773545</v>
      </c>
      <c r="G100">
        <f t="shared" si="30"/>
        <v>72.745142779773545</v>
      </c>
      <c r="H100">
        <f>'[2]AFLEET CFI EPA 30%'!D33</f>
        <v>459.55345006068472</v>
      </c>
      <c r="I100">
        <f>H100</f>
        <v>459.55345006068472</v>
      </c>
      <c r="J100">
        <f t="shared" ref="J100:AA105" si="31">I100</f>
        <v>459.55345006068472</v>
      </c>
      <c r="K100">
        <f t="shared" si="31"/>
        <v>459.55345006068472</v>
      </c>
      <c r="L100">
        <f t="shared" si="31"/>
        <v>459.55345006068472</v>
      </c>
      <c r="M100">
        <f t="shared" si="31"/>
        <v>459.55345006068472</v>
      </c>
      <c r="N100">
        <f t="shared" si="31"/>
        <v>459.55345006068472</v>
      </c>
      <c r="O100">
        <f t="shared" si="31"/>
        <v>459.55345006068472</v>
      </c>
      <c r="P100">
        <f t="shared" si="31"/>
        <v>459.55345006068472</v>
      </c>
      <c r="Q100">
        <f t="shared" si="31"/>
        <v>459.55345006068472</v>
      </c>
      <c r="R100">
        <f t="shared" si="31"/>
        <v>459.55345006068472</v>
      </c>
      <c r="S100">
        <f t="shared" si="31"/>
        <v>459.55345006068472</v>
      </c>
      <c r="T100">
        <f t="shared" si="31"/>
        <v>459.55345006068472</v>
      </c>
      <c r="U100">
        <f t="shared" si="31"/>
        <v>459.55345006068472</v>
      </c>
      <c r="V100">
        <f t="shared" si="31"/>
        <v>459.55345006068472</v>
      </c>
      <c r="W100">
        <f t="shared" si="31"/>
        <v>459.55345006068472</v>
      </c>
      <c r="X100">
        <f t="shared" si="31"/>
        <v>459.55345006068472</v>
      </c>
      <c r="Y100">
        <f t="shared" si="31"/>
        <v>459.55345006068472</v>
      </c>
      <c r="Z100">
        <f t="shared" si="31"/>
        <v>459.55345006068472</v>
      </c>
      <c r="AA100">
        <f t="shared" si="31"/>
        <v>459.55345006068472</v>
      </c>
    </row>
    <row r="101" spans="1:27" ht="18.75" customHeight="1">
      <c r="A101" t="s">
        <v>206</v>
      </c>
      <c r="B101">
        <f>'[2]AFLEET CFI EPA HIGH'!D33</f>
        <v>115.54144360510365</v>
      </c>
      <c r="C101">
        <f t="shared" ref="C101:G105" si="32">B101</f>
        <v>115.54144360510365</v>
      </c>
      <c r="D101">
        <f t="shared" si="32"/>
        <v>115.54144360510365</v>
      </c>
      <c r="E101">
        <f t="shared" si="32"/>
        <v>115.54144360510365</v>
      </c>
      <c r="F101">
        <f t="shared" si="32"/>
        <v>115.54144360510365</v>
      </c>
      <c r="G101">
        <f t="shared" si="32"/>
        <v>115.54144360510365</v>
      </c>
      <c r="H101">
        <f>'[2]AFLEET CFI EPA 30%'!E33</f>
        <v>729.91085046685669</v>
      </c>
      <c r="I101">
        <f t="shared" ref="I101:X105" si="33">H101</f>
        <v>729.91085046685669</v>
      </c>
      <c r="J101">
        <f t="shared" si="33"/>
        <v>729.91085046685669</v>
      </c>
      <c r="K101">
        <f t="shared" si="33"/>
        <v>729.91085046685669</v>
      </c>
      <c r="L101">
        <f t="shared" si="33"/>
        <v>729.91085046685669</v>
      </c>
      <c r="M101">
        <f t="shared" si="33"/>
        <v>729.91085046685669</v>
      </c>
      <c r="N101">
        <f t="shared" si="33"/>
        <v>729.91085046685669</v>
      </c>
      <c r="O101">
        <f t="shared" si="33"/>
        <v>729.91085046685669</v>
      </c>
      <c r="P101">
        <f t="shared" si="33"/>
        <v>729.91085046685669</v>
      </c>
      <c r="Q101">
        <f t="shared" si="33"/>
        <v>729.91085046685669</v>
      </c>
      <c r="R101">
        <f t="shared" si="33"/>
        <v>729.91085046685669</v>
      </c>
      <c r="S101">
        <f t="shared" si="33"/>
        <v>729.91085046685669</v>
      </c>
      <c r="T101">
        <f t="shared" si="33"/>
        <v>729.91085046685669</v>
      </c>
      <c r="U101">
        <f t="shared" si="33"/>
        <v>729.91085046685669</v>
      </c>
      <c r="V101">
        <f t="shared" si="33"/>
        <v>729.91085046685669</v>
      </c>
      <c r="W101">
        <f t="shared" si="33"/>
        <v>729.91085046685669</v>
      </c>
      <c r="X101">
        <f t="shared" si="33"/>
        <v>729.91085046685669</v>
      </c>
      <c r="Y101">
        <f t="shared" si="31"/>
        <v>729.91085046685669</v>
      </c>
      <c r="Z101">
        <f t="shared" si="31"/>
        <v>729.91085046685669</v>
      </c>
      <c r="AA101">
        <f t="shared" si="31"/>
        <v>729.91085046685669</v>
      </c>
    </row>
    <row r="102" spans="1:27" ht="18.75" customHeight="1">
      <c r="A102" t="s">
        <v>207</v>
      </c>
      <c r="B102">
        <f>'[2]AFLEET CFI EPA HIGH'!E33</f>
        <v>0.97865162118107896</v>
      </c>
      <c r="C102">
        <f t="shared" si="32"/>
        <v>0.97865162118107896</v>
      </c>
      <c r="D102">
        <f t="shared" si="32"/>
        <v>0.97865162118107896</v>
      </c>
      <c r="E102">
        <f t="shared" si="32"/>
        <v>0.97865162118107896</v>
      </c>
      <c r="F102">
        <f t="shared" si="32"/>
        <v>0.97865162118107896</v>
      </c>
      <c r="G102">
        <f t="shared" si="32"/>
        <v>0.97865162118107896</v>
      </c>
      <c r="H102">
        <f>'[2]AFLEET CFI EPA 30%'!F33</f>
        <v>6.1824434145766229</v>
      </c>
      <c r="I102">
        <f t="shared" si="33"/>
        <v>6.1824434145766229</v>
      </c>
      <c r="J102">
        <f t="shared" si="33"/>
        <v>6.1824434145766229</v>
      </c>
      <c r="K102">
        <f t="shared" si="33"/>
        <v>6.1824434145766229</v>
      </c>
      <c r="L102">
        <f t="shared" si="33"/>
        <v>6.1824434145766229</v>
      </c>
      <c r="M102">
        <f t="shared" si="33"/>
        <v>6.1824434145766229</v>
      </c>
      <c r="N102">
        <f t="shared" si="33"/>
        <v>6.1824434145766229</v>
      </c>
      <c r="O102">
        <f t="shared" si="33"/>
        <v>6.1824434145766229</v>
      </c>
      <c r="P102">
        <f t="shared" si="33"/>
        <v>6.1824434145766229</v>
      </c>
      <c r="Q102">
        <f t="shared" si="33"/>
        <v>6.1824434145766229</v>
      </c>
      <c r="R102">
        <f t="shared" si="33"/>
        <v>6.1824434145766229</v>
      </c>
      <c r="S102">
        <f t="shared" si="33"/>
        <v>6.1824434145766229</v>
      </c>
      <c r="T102">
        <f t="shared" si="33"/>
        <v>6.1824434145766229</v>
      </c>
      <c r="U102">
        <f t="shared" si="33"/>
        <v>6.1824434145766229</v>
      </c>
      <c r="V102">
        <f t="shared" si="33"/>
        <v>6.1824434145766229</v>
      </c>
      <c r="W102">
        <f t="shared" si="33"/>
        <v>6.1824434145766229</v>
      </c>
      <c r="X102">
        <f t="shared" si="33"/>
        <v>6.1824434145766229</v>
      </c>
      <c r="Y102">
        <f t="shared" si="31"/>
        <v>6.1824434145766229</v>
      </c>
      <c r="Z102">
        <f t="shared" si="31"/>
        <v>6.1824434145766229</v>
      </c>
      <c r="AA102">
        <f t="shared" si="31"/>
        <v>6.1824434145766229</v>
      </c>
    </row>
    <row r="103" spans="1:27" ht="18.75" customHeight="1">
      <c r="A103" t="s">
        <v>208</v>
      </c>
      <c r="B103">
        <f>'[2]AFLEET CFI EPA HIGH'!F33</f>
        <v>0.88699485828393498</v>
      </c>
      <c r="C103">
        <f t="shared" si="32"/>
        <v>0.88699485828393498</v>
      </c>
      <c r="D103">
        <f t="shared" si="32"/>
        <v>0.88699485828393498</v>
      </c>
      <c r="E103">
        <f t="shared" si="32"/>
        <v>0.88699485828393498</v>
      </c>
      <c r="F103">
        <f t="shared" si="32"/>
        <v>0.88699485828393498</v>
      </c>
      <c r="G103">
        <f t="shared" si="32"/>
        <v>0.88699485828393498</v>
      </c>
      <c r="H103">
        <f>'[2]AFLEET CFI EPA 30%'!G33</f>
        <v>5.6034194412744727</v>
      </c>
      <c r="I103">
        <f t="shared" si="33"/>
        <v>5.6034194412744727</v>
      </c>
      <c r="J103">
        <f t="shared" si="33"/>
        <v>5.6034194412744727</v>
      </c>
      <c r="K103">
        <f t="shared" si="33"/>
        <v>5.6034194412744727</v>
      </c>
      <c r="L103">
        <f t="shared" si="33"/>
        <v>5.6034194412744727</v>
      </c>
      <c r="M103">
        <f t="shared" si="33"/>
        <v>5.6034194412744727</v>
      </c>
      <c r="N103">
        <f t="shared" si="33"/>
        <v>5.6034194412744727</v>
      </c>
      <c r="O103">
        <f t="shared" si="33"/>
        <v>5.6034194412744727</v>
      </c>
      <c r="P103">
        <f t="shared" si="33"/>
        <v>5.6034194412744727</v>
      </c>
      <c r="Q103">
        <f t="shared" si="33"/>
        <v>5.6034194412744727</v>
      </c>
      <c r="R103">
        <f t="shared" si="33"/>
        <v>5.6034194412744727</v>
      </c>
      <c r="S103">
        <f t="shared" si="33"/>
        <v>5.6034194412744727</v>
      </c>
      <c r="T103">
        <f t="shared" si="33"/>
        <v>5.6034194412744727</v>
      </c>
      <c r="U103">
        <f t="shared" si="33"/>
        <v>5.6034194412744727</v>
      </c>
      <c r="V103">
        <f t="shared" si="33"/>
        <v>5.6034194412744727</v>
      </c>
      <c r="W103">
        <f t="shared" si="33"/>
        <v>5.6034194412744727</v>
      </c>
      <c r="X103">
        <f t="shared" si="33"/>
        <v>5.6034194412744727</v>
      </c>
      <c r="Y103">
        <f t="shared" si="31"/>
        <v>5.6034194412744727</v>
      </c>
      <c r="Z103">
        <f t="shared" si="31"/>
        <v>5.6034194412744727</v>
      </c>
      <c r="AA103">
        <f t="shared" si="31"/>
        <v>5.6034194412744727</v>
      </c>
    </row>
    <row r="104" spans="1:27" ht="18.75" customHeight="1">
      <c r="A104" t="s">
        <v>209</v>
      </c>
      <c r="B104">
        <f>'[2]AFLEET CFI EPA HIGH'!G33</f>
        <v>5.7331778990082682</v>
      </c>
      <c r="C104">
        <f t="shared" si="32"/>
        <v>5.7331778990082682</v>
      </c>
      <c r="D104">
        <f t="shared" si="32"/>
        <v>5.7331778990082682</v>
      </c>
      <c r="E104">
        <f t="shared" si="32"/>
        <v>5.7331778990082682</v>
      </c>
      <c r="F104">
        <f t="shared" si="32"/>
        <v>5.7331778990082682</v>
      </c>
      <c r="G104">
        <f t="shared" si="32"/>
        <v>5.7331778990082682</v>
      </c>
      <c r="H104">
        <f>'[2]AFLEET CFI EPA 30%'!H33</f>
        <v>36.218248842773377</v>
      </c>
      <c r="I104">
        <f t="shared" si="33"/>
        <v>36.218248842773377</v>
      </c>
      <c r="J104">
        <f t="shared" si="33"/>
        <v>36.218248842773377</v>
      </c>
      <c r="K104">
        <f t="shared" si="33"/>
        <v>36.218248842773377</v>
      </c>
      <c r="L104">
        <f t="shared" si="33"/>
        <v>36.218248842773377</v>
      </c>
      <c r="M104">
        <f t="shared" si="33"/>
        <v>36.218248842773377</v>
      </c>
      <c r="N104">
        <f t="shared" si="33"/>
        <v>36.218248842773377</v>
      </c>
      <c r="O104">
        <f t="shared" si="33"/>
        <v>36.218248842773377</v>
      </c>
      <c r="P104">
        <f t="shared" si="33"/>
        <v>36.218248842773377</v>
      </c>
      <c r="Q104">
        <f t="shared" si="33"/>
        <v>36.218248842773377</v>
      </c>
      <c r="R104">
        <f t="shared" si="33"/>
        <v>36.218248842773377</v>
      </c>
      <c r="S104">
        <f t="shared" si="33"/>
        <v>36.218248842773377</v>
      </c>
      <c r="T104">
        <f t="shared" si="33"/>
        <v>36.218248842773377</v>
      </c>
      <c r="U104">
        <f t="shared" si="33"/>
        <v>36.218248842773377</v>
      </c>
      <c r="V104">
        <f t="shared" si="33"/>
        <v>36.218248842773377</v>
      </c>
      <c r="W104">
        <f t="shared" si="33"/>
        <v>36.218248842773377</v>
      </c>
      <c r="X104">
        <f t="shared" si="33"/>
        <v>36.218248842773377</v>
      </c>
      <c r="Y104">
        <f t="shared" si="31"/>
        <v>36.218248842773377</v>
      </c>
      <c r="Z104">
        <f t="shared" si="31"/>
        <v>36.218248842773377</v>
      </c>
      <c r="AA104">
        <f t="shared" si="31"/>
        <v>36.218248842773377</v>
      </c>
    </row>
    <row r="105" spans="1:27" ht="18.75" customHeight="1">
      <c r="A105" t="s">
        <v>210</v>
      </c>
      <c r="B105">
        <f>'[2]AFLEET CFI EPA HIGH'!H33</f>
        <v>0.21306977191494395</v>
      </c>
      <c r="C105">
        <f t="shared" si="32"/>
        <v>0.21306977191494395</v>
      </c>
      <c r="D105">
        <f t="shared" si="32"/>
        <v>0.21306977191494395</v>
      </c>
      <c r="E105">
        <f t="shared" si="32"/>
        <v>0.21306977191494395</v>
      </c>
      <c r="F105">
        <f t="shared" si="32"/>
        <v>0.21306977191494395</v>
      </c>
      <c r="G105">
        <f t="shared" si="32"/>
        <v>0.21306977191494395</v>
      </c>
      <c r="H105">
        <f>'[2]AFLEET CFI EPA 30%'!I33</f>
        <v>1.3460273091165209</v>
      </c>
      <c r="I105">
        <f t="shared" si="33"/>
        <v>1.3460273091165209</v>
      </c>
      <c r="J105">
        <f t="shared" si="33"/>
        <v>1.3460273091165209</v>
      </c>
      <c r="K105">
        <f t="shared" si="33"/>
        <v>1.3460273091165209</v>
      </c>
      <c r="L105">
        <f t="shared" si="33"/>
        <v>1.3460273091165209</v>
      </c>
      <c r="M105">
        <f t="shared" si="33"/>
        <v>1.3460273091165209</v>
      </c>
      <c r="N105">
        <f t="shared" si="33"/>
        <v>1.3460273091165209</v>
      </c>
      <c r="O105">
        <f t="shared" si="33"/>
        <v>1.3460273091165209</v>
      </c>
      <c r="P105">
        <f t="shared" si="33"/>
        <v>1.3460273091165209</v>
      </c>
      <c r="Q105">
        <f t="shared" si="33"/>
        <v>1.3460273091165209</v>
      </c>
      <c r="R105">
        <f t="shared" si="33"/>
        <v>1.3460273091165209</v>
      </c>
      <c r="S105">
        <f t="shared" si="33"/>
        <v>1.3460273091165209</v>
      </c>
      <c r="T105">
        <f t="shared" si="33"/>
        <v>1.3460273091165209</v>
      </c>
      <c r="U105">
        <f t="shared" si="33"/>
        <v>1.3460273091165209</v>
      </c>
      <c r="V105">
        <f t="shared" si="33"/>
        <v>1.3460273091165209</v>
      </c>
      <c r="W105">
        <f t="shared" si="33"/>
        <v>1.3460273091165209</v>
      </c>
      <c r="X105">
        <f t="shared" si="33"/>
        <v>1.3460273091165209</v>
      </c>
      <c r="Y105">
        <f t="shared" si="31"/>
        <v>1.3460273091165209</v>
      </c>
      <c r="Z105">
        <f t="shared" si="31"/>
        <v>1.3460273091165209</v>
      </c>
      <c r="AA105">
        <f t="shared" si="31"/>
        <v>1.3460273091165209</v>
      </c>
    </row>
    <row r="106" spans="1:27" ht="18.75" customHeight="1"/>
    <row r="107" spans="1:27" ht="18.75" customHeight="1">
      <c r="A107" s="393" t="s">
        <v>121</v>
      </c>
      <c r="B107" s="735" t="s">
        <v>105</v>
      </c>
      <c r="C107" s="736"/>
    </row>
    <row r="108" spans="1:27" ht="18.75" customHeight="1">
      <c r="A108" s="52"/>
      <c r="B108" s="393" t="s">
        <v>60</v>
      </c>
      <c r="C108" s="393" t="s">
        <v>61</v>
      </c>
    </row>
    <row r="109" spans="1:27" ht="18.75" customHeight="1">
      <c r="A109" s="52" t="s">
        <v>112</v>
      </c>
      <c r="B109" s="434">
        <f>SUM(B92:G92)</f>
        <v>7274.5142779773551</v>
      </c>
      <c r="C109" s="439">
        <f>SUM(H92:AA92)</f>
        <v>183821.38002427391</v>
      </c>
    </row>
    <row r="110" spans="1:27" ht="18.75" customHeight="1">
      <c r="A110" s="52" t="s">
        <v>113</v>
      </c>
      <c r="B110" s="434">
        <f t="shared" ref="B110:B114" si="34">SUM(B93:G93)</f>
        <v>11554.144360510365</v>
      </c>
      <c r="C110" s="439">
        <f t="shared" ref="C110:C114" si="35">SUM(H93:AA93)</f>
        <v>291964.34018674266</v>
      </c>
    </row>
    <row r="111" spans="1:27" ht="18.75" customHeight="1">
      <c r="A111" s="52" t="s">
        <v>302</v>
      </c>
      <c r="B111" s="434">
        <f t="shared" si="34"/>
        <v>97.865162118107904</v>
      </c>
      <c r="C111" s="439">
        <f t="shared" si="35"/>
        <v>2472.9773658306485</v>
      </c>
    </row>
    <row r="112" spans="1:27" ht="18.75" customHeight="1">
      <c r="A112" s="52" t="s">
        <v>303</v>
      </c>
      <c r="B112" s="434">
        <f t="shared" si="34"/>
        <v>88.699485828393492</v>
      </c>
      <c r="C112" s="439">
        <f t="shared" si="35"/>
        <v>2241.3677765097882</v>
      </c>
    </row>
    <row r="113" spans="1:3" ht="18.75" customHeight="1">
      <c r="A113" s="52" t="s">
        <v>304</v>
      </c>
      <c r="B113" s="434">
        <f t="shared" si="34"/>
        <v>573.31778990082682</v>
      </c>
      <c r="C113" s="439">
        <f t="shared" si="35"/>
        <v>14487.299537109355</v>
      </c>
    </row>
    <row r="114" spans="1:3" ht="18.75" customHeight="1">
      <c r="A114" s="52" t="s">
        <v>127</v>
      </c>
      <c r="B114" s="434">
        <f t="shared" si="34"/>
        <v>21.306977191494397</v>
      </c>
      <c r="C114" s="439">
        <f t="shared" si="35"/>
        <v>538.41092364660858</v>
      </c>
    </row>
    <row r="115" spans="1:3" ht="18.75" customHeight="1"/>
    <row r="116" spans="1:3" ht="18.75" customHeight="1"/>
    <row r="117" spans="1:3" ht="18.75" customHeight="1"/>
    <row r="118" spans="1:3" ht="18.75" customHeight="1"/>
  </sheetData>
  <mergeCells count="10">
    <mergeCell ref="B54:C54"/>
    <mergeCell ref="D54:E54"/>
    <mergeCell ref="B81:C81"/>
    <mergeCell ref="B107:C107"/>
    <mergeCell ref="A5:G5"/>
    <mergeCell ref="I5:O5"/>
    <mergeCell ref="A9:E9"/>
    <mergeCell ref="I9:M9"/>
    <mergeCell ref="A31:D31"/>
    <mergeCell ref="A53:E5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C036D-696D-4DCD-82F6-9B4CBC8770DA}">
  <sheetPr>
    <tabColor theme="9" tint="0.79998168889431442"/>
  </sheetPr>
  <dimension ref="A1:M25"/>
  <sheetViews>
    <sheetView topLeftCell="A7" workbookViewId="0">
      <selection activeCell="D21" sqref="D21"/>
    </sheetView>
  </sheetViews>
  <sheetFormatPr defaultRowHeight="14.45"/>
  <cols>
    <col min="1" max="1" width="51" customWidth="1"/>
    <col min="2" max="3" width="15.7109375" customWidth="1"/>
    <col min="4" max="4" width="16.28515625" customWidth="1"/>
    <col min="5" max="10" width="15.7109375" customWidth="1"/>
    <col min="11" max="11" width="9.140625" bestFit="1" customWidth="1"/>
  </cols>
  <sheetData>
    <row r="1" spans="1:13" ht="21">
      <c r="A1" s="193" t="s">
        <v>313</v>
      </c>
    </row>
    <row r="2" spans="1:13">
      <c r="G2" s="192" t="s">
        <v>314</v>
      </c>
      <c r="H2" s="192" t="s">
        <v>314</v>
      </c>
    </row>
    <row r="3" spans="1:13" ht="30.75" customHeight="1">
      <c r="A3" s="191" t="s">
        <v>315</v>
      </c>
      <c r="B3" s="737" t="s">
        <v>316</v>
      </c>
      <c r="C3" s="737"/>
      <c r="D3" s="693" t="s">
        <v>317</v>
      </c>
      <c r="E3" s="738" t="s">
        <v>318</v>
      </c>
      <c r="F3" s="739"/>
      <c r="G3" s="190" t="s">
        <v>319</v>
      </c>
      <c r="H3" s="189" t="s">
        <v>320</v>
      </c>
      <c r="I3" s="693" t="s">
        <v>321</v>
      </c>
      <c r="J3" s="693" t="s">
        <v>322</v>
      </c>
    </row>
    <row r="4" spans="1:13">
      <c r="A4" s="188" t="s">
        <v>323</v>
      </c>
      <c r="B4" s="185" t="s">
        <v>60</v>
      </c>
      <c r="C4" s="185" t="s">
        <v>61</v>
      </c>
      <c r="D4" s="185" t="s">
        <v>324</v>
      </c>
      <c r="E4" s="185" t="s">
        <v>60</v>
      </c>
      <c r="F4" s="185" t="s">
        <v>61</v>
      </c>
      <c r="G4" s="187"/>
      <c r="H4" s="186"/>
      <c r="I4" s="185" t="s">
        <v>325</v>
      </c>
      <c r="J4" s="185" t="s">
        <v>60</v>
      </c>
    </row>
    <row r="5" spans="1:13">
      <c r="A5" s="184" t="s">
        <v>16</v>
      </c>
      <c r="B5" s="171">
        <f>SUM(B12:B14)</f>
        <v>116773.68538828996</v>
      </c>
      <c r="C5" s="171">
        <f>SUM(C12:C14)</f>
        <v>556339.69799622346</v>
      </c>
      <c r="D5" s="616">
        <f>SUM(D12:D14)</f>
        <v>21290504</v>
      </c>
      <c r="E5" s="170">
        <f>+D5/B5</f>
        <v>182.3227889845721</v>
      </c>
      <c r="F5" s="170">
        <f>+D5/C5</f>
        <v>38.268892327263913</v>
      </c>
      <c r="G5" s="183">
        <f>SUM(G12:G14)</f>
        <v>2355</v>
      </c>
      <c r="H5" s="170">
        <f>(H12*(G12/G5))+(H13*(G13/G5))+(H14*(G14/G5))</f>
        <v>2000</v>
      </c>
      <c r="I5" s="171">
        <f>SUM(I12:I14)</f>
        <v>9420</v>
      </c>
      <c r="J5" s="170">
        <f>+D5/I5</f>
        <v>2260.1384288747345</v>
      </c>
    </row>
    <row r="6" spans="1:13">
      <c r="A6" s="52" t="s">
        <v>17</v>
      </c>
      <c r="B6" s="171">
        <f>SUM(B15)</f>
        <v>100321.62983314115</v>
      </c>
      <c r="C6" s="171">
        <f>SUM(C15)</f>
        <v>221125.91760868367</v>
      </c>
      <c r="D6" s="616">
        <f>SUM(D15)</f>
        <v>12092375</v>
      </c>
      <c r="E6" s="170">
        <f>+D6/B6</f>
        <v>120.53607003905847</v>
      </c>
      <c r="F6" s="170">
        <f>+D6/C6</f>
        <v>54.685471204688533</v>
      </c>
      <c r="G6" s="183">
        <f>SUM(G15)</f>
        <v>81</v>
      </c>
      <c r="H6" s="170">
        <f>(H15*(G15/G6))</f>
        <v>37024.922118380062</v>
      </c>
      <c r="I6" s="171">
        <f>SUM(I15)</f>
        <v>321</v>
      </c>
      <c r="J6" s="170">
        <f>+D6/I6</f>
        <v>37670.950155763239</v>
      </c>
    </row>
    <row r="7" spans="1:13">
      <c r="A7" s="52" t="s">
        <v>18</v>
      </c>
      <c r="B7" s="171">
        <f>SUM(B16:B18)</f>
        <v>83224.898065887377</v>
      </c>
      <c r="C7" s="171">
        <f>SUM(C16:C18)</f>
        <v>368655.49680534803</v>
      </c>
      <c r="D7" s="616">
        <f>SUM(D16:D18)</f>
        <v>25256829.455452345</v>
      </c>
      <c r="E7" s="170">
        <f>+D7/B7</f>
        <v>303.4768445790952</v>
      </c>
      <c r="F7" s="170">
        <f>+D7/C7</f>
        <v>68.510654728656007</v>
      </c>
      <c r="G7" s="183">
        <f>SUM(G16:G18)</f>
        <v>3000</v>
      </c>
      <c r="H7" s="170">
        <f>(H16*(G16/G7))+(H17*(G17/G7))+(H18*(G18/G7))</f>
        <v>2000</v>
      </c>
      <c r="I7" s="171">
        <f>SUM(I16:I18)</f>
        <v>12000</v>
      </c>
      <c r="J7" s="170">
        <f>+D7/I7</f>
        <v>2104.735787954362</v>
      </c>
    </row>
    <row r="8" spans="1:13">
      <c r="A8" s="52" t="s">
        <v>19</v>
      </c>
      <c r="B8" s="171">
        <f>SUM(B19:B21)</f>
        <v>32515.115795312053</v>
      </c>
      <c r="C8" s="171">
        <f>SUM(C19:C21)</f>
        <v>132849.85780378091</v>
      </c>
      <c r="D8" s="616">
        <f>SUM(D19:D21)</f>
        <v>8055588.37224463</v>
      </c>
      <c r="E8" s="170">
        <f>+D8/B8</f>
        <v>247.74902918863555</v>
      </c>
      <c r="F8" s="170">
        <f>+D8/C8</f>
        <v>60.636785807800599</v>
      </c>
      <c r="G8" s="183">
        <f>SUM(G19:G21)</f>
        <v>740</v>
      </c>
      <c r="H8" s="170">
        <f>(H19*(G19/G8))+(H20*(G20/G8))+(H21*(G21/G8))</f>
        <v>2364.864864864865</v>
      </c>
      <c r="I8" s="171">
        <f>SUM(I19:I21)</f>
        <v>2960</v>
      </c>
      <c r="J8" s="170">
        <f>+D8/I8</f>
        <v>2721.4825581907535</v>
      </c>
    </row>
    <row r="9" spans="1:13">
      <c r="A9" s="169" t="s">
        <v>326</v>
      </c>
      <c r="B9" s="167">
        <f>SUM(B5:B8)</f>
        <v>332835.32908263052</v>
      </c>
      <c r="C9" s="167">
        <f>SUM(C5:C8)</f>
        <v>1278970.9702140361</v>
      </c>
      <c r="D9" s="166">
        <f>SUM(D5:D8)</f>
        <v>66695296.827696979</v>
      </c>
      <c r="E9" s="166">
        <f>+D9/B9</f>
        <v>200.38526862975849</v>
      </c>
      <c r="F9" s="166">
        <f>+D9/C9</f>
        <v>52.147623660711787</v>
      </c>
      <c r="G9" s="168">
        <f>SUM(G5:G8)</f>
        <v>6176</v>
      </c>
      <c r="H9" s="166"/>
      <c r="I9" s="167">
        <f>SUM(I5:I8)</f>
        <v>24701</v>
      </c>
      <c r="J9" s="166"/>
    </row>
    <row r="11" spans="1:13" ht="24" customHeight="1" thickBot="1">
      <c r="A11" s="740" t="s">
        <v>327</v>
      </c>
      <c r="B11" s="741"/>
      <c r="C11" s="741"/>
      <c r="D11" s="741"/>
      <c r="E11" s="741"/>
      <c r="F11" s="741"/>
      <c r="G11" s="741"/>
      <c r="H11" s="741"/>
      <c r="I11" s="741"/>
      <c r="J11" s="741"/>
    </row>
    <row r="12" spans="1:13" ht="15.6" thickTop="1" thickBot="1">
      <c r="A12" s="175" t="str">
        <f>+'[3]New Const ETO'!A3</f>
        <v>New Residential SF Construction - ETO</v>
      </c>
      <c r="B12" s="175">
        <f>+'[3]New Const ETO'!B18</f>
        <v>60990.077718724693</v>
      </c>
      <c r="C12" s="175">
        <f>+'[3]New Const ETO'!C18</f>
        <v>290572.32634197664</v>
      </c>
      <c r="D12" s="617">
        <v>9997103</v>
      </c>
      <c r="E12" s="174">
        <f>+'[3]New Const ETO'!B20</f>
        <v>163.9136078500571</v>
      </c>
      <c r="F12" s="182">
        <f>+'[3]New Const ETO'!C20</f>
        <v>34.40487195661531</v>
      </c>
      <c r="G12" s="177">
        <v>1230</v>
      </c>
      <c r="H12" s="176">
        <v>2000</v>
      </c>
      <c r="I12" s="181">
        <f>+'[3]New Const ETO'!B4</f>
        <v>4920</v>
      </c>
      <c r="J12" s="174">
        <f t="shared" ref="J12:J22" si="0">+D12/I12</f>
        <v>2031.9315040650406</v>
      </c>
      <c r="K12" s="163"/>
      <c r="L12" s="49"/>
      <c r="M12" s="49"/>
    </row>
    <row r="13" spans="1:13" ht="15.6" hidden="1" thickTop="1" thickBot="1">
      <c r="A13" s="175" t="str">
        <f>+'[3]New Const COU'!A3</f>
        <v>New Residential SF Construction - COU</v>
      </c>
      <c r="B13" s="175">
        <f>+'[3]New Const COU'!B18</f>
        <v>0</v>
      </c>
      <c r="C13" s="175">
        <f>+'[3]New Const COU'!C18</f>
        <v>0</v>
      </c>
      <c r="D13" s="617">
        <f>+'[3]New Const COU'!B16</f>
        <v>0</v>
      </c>
      <c r="E13" s="174" t="e">
        <f>+'[3]New Const COU'!B20</f>
        <v>#DIV/0!</v>
      </c>
      <c r="F13" s="174" t="e">
        <f>+'[3]New Const COU'!C20</f>
        <v>#DIV/0!</v>
      </c>
      <c r="G13" s="177">
        <v>0</v>
      </c>
      <c r="H13" s="176">
        <v>0</v>
      </c>
      <c r="I13" s="175">
        <f>+'[3]New Const COU'!B4</f>
        <v>0</v>
      </c>
      <c r="J13" s="174" t="e">
        <f t="shared" si="0"/>
        <v>#DIV/0!</v>
      </c>
      <c r="K13" s="163"/>
      <c r="L13" s="49"/>
      <c r="M13" s="49"/>
    </row>
    <row r="14" spans="1:13" ht="15.6" thickTop="1" thickBot="1">
      <c r="A14" s="175" t="str">
        <f>+'[3]New Const OHCS'!A3</f>
        <v>New Residential MF Construction - OHCS OR-MEP (COU)</v>
      </c>
      <c r="B14" s="175">
        <f>+'[3]New Const OHCS'!B18</f>
        <v>55783.607669565266</v>
      </c>
      <c r="C14" s="175">
        <f>+'[3]New Const OHCS'!C18</f>
        <v>265767.37165424682</v>
      </c>
      <c r="D14" s="617">
        <v>11293401</v>
      </c>
      <c r="E14" s="174">
        <f>+'[3]New Const OHCS'!B20</f>
        <v>202.44254156302674</v>
      </c>
      <c r="F14" s="174">
        <f>+'[3]New Const OHCS'!C20</f>
        <v>42.49195544166826</v>
      </c>
      <c r="G14" s="177">
        <v>1125</v>
      </c>
      <c r="H14" s="176">
        <v>2000</v>
      </c>
      <c r="I14" s="175">
        <f>+'[3]New Const OHCS'!B4</f>
        <v>4500</v>
      </c>
      <c r="J14" s="174">
        <f t="shared" si="0"/>
        <v>2509.6446666666666</v>
      </c>
      <c r="K14" s="163"/>
      <c r="L14" s="49"/>
      <c r="M14" s="49"/>
    </row>
    <row r="15" spans="1:13" ht="15.6" thickTop="1" thickBot="1">
      <c r="A15" s="171" t="str">
        <f>+[3]BPS!A3</f>
        <v>Commercial Building Performance Standard (BPS)</v>
      </c>
      <c r="B15" s="171">
        <f>+[3]BPS!B18</f>
        <v>100321.62983314115</v>
      </c>
      <c r="C15" s="171">
        <f>+[3]BPS!C18</f>
        <v>221125.91760868367</v>
      </c>
      <c r="D15" s="616">
        <v>12092375</v>
      </c>
      <c r="E15" s="170">
        <f>+[3]BPS!B20</f>
        <v>120.53608858091869</v>
      </c>
      <c r="F15" s="170">
        <f>+[3]BPS!C20</f>
        <v>54.685479616862274</v>
      </c>
      <c r="G15" s="180">
        <f>+[3]BPS!I49</f>
        <v>81</v>
      </c>
      <c r="H15" s="179">
        <f>+[3]BPS!H57</f>
        <v>37024.922118380062</v>
      </c>
      <c r="I15" s="171">
        <f>+[3]BPS!B4</f>
        <v>321</v>
      </c>
      <c r="J15" s="178">
        <f t="shared" si="0"/>
        <v>37670.950155763239</v>
      </c>
      <c r="K15" s="163"/>
      <c r="L15" s="49"/>
      <c r="M15" s="49"/>
    </row>
    <row r="16" spans="1:13" ht="15.6" thickTop="1" thickBot="1">
      <c r="A16" s="175" t="str">
        <f>+'[3]New HPs'!A3</f>
        <v>New Heat Pumps (Community HP Program)</v>
      </c>
      <c r="B16" s="175">
        <f>+'[3]New HPs'!B18</f>
        <v>27003.913078507685</v>
      </c>
      <c r="C16" s="175">
        <f>+'[3]New HPs'!C18</f>
        <v>130979.39042467087</v>
      </c>
      <c r="D16" s="617">
        <f>+'[3]New HPs'!B16</f>
        <v>8314207.3638630863</v>
      </c>
      <c r="E16" s="174">
        <f>+'[3]New HPs'!B20</f>
        <v>307.88898407765703</v>
      </c>
      <c r="F16" s="174">
        <f>+'[3]New HPs'!C20</f>
        <v>63.477218338749026</v>
      </c>
      <c r="G16" s="177">
        <v>1000</v>
      </c>
      <c r="H16" s="176">
        <v>2000</v>
      </c>
      <c r="I16" s="175">
        <f>+'[3]New HPs'!B4</f>
        <v>4000</v>
      </c>
      <c r="J16" s="174">
        <f t="shared" si="0"/>
        <v>2078.5518409657716</v>
      </c>
      <c r="K16" s="163"/>
      <c r="L16" s="49"/>
      <c r="M16" s="49"/>
    </row>
    <row r="17" spans="1:13" ht="15.6" thickTop="1" thickBot="1">
      <c r="A17" s="175" t="str">
        <f>+'[3]Existing HPs Com'!A3</f>
        <v>Existing Heat Pumps (Community HP Program)</v>
      </c>
      <c r="B17" s="175">
        <f>+'[3]Existing HPs Com'!B18</f>
        <v>14055.246246844925</v>
      </c>
      <c r="C17" s="175">
        <f>+'[3]Existing HPs Com'!C18</f>
        <v>59419.026595169293</v>
      </c>
      <c r="D17" s="617">
        <f>+'[3]Existing HPs Com'!B16</f>
        <v>4314207.3638630863</v>
      </c>
      <c r="E17" s="174">
        <f>+'[3]Existing HPs Com'!B20</f>
        <v>306.94640905573073</v>
      </c>
      <c r="F17" s="174">
        <f>+'[3]Existing HPs Com'!C20</f>
        <v>72.606496791952281</v>
      </c>
      <c r="G17" s="177">
        <v>500</v>
      </c>
      <c r="H17" s="176">
        <v>2000</v>
      </c>
      <c r="I17" s="175">
        <f>+'[3]Existing HPs Com'!B4</f>
        <v>2000</v>
      </c>
      <c r="J17" s="174">
        <f t="shared" si="0"/>
        <v>2157.1036819315432</v>
      </c>
      <c r="K17" s="163"/>
      <c r="L17" s="49"/>
      <c r="M17" s="49"/>
    </row>
    <row r="18" spans="1:13" ht="15.6" thickTop="1" thickBot="1">
      <c r="A18" s="175" t="str">
        <f>+'[3]Existing HPs Rental'!A3</f>
        <v>Existing Heat Pumps (Rental HP Program)</v>
      </c>
      <c r="B18" s="175">
        <f>+'[3]Existing HPs Rental'!B18</f>
        <v>42165.738740534769</v>
      </c>
      <c r="C18" s="175">
        <f>+'[3]Existing HPs Rental'!C18</f>
        <v>178257.07978550787</v>
      </c>
      <c r="D18" s="617">
        <f>+'[3]Existing HPs Rental'!B16</f>
        <v>12628414.727726173</v>
      </c>
      <c r="E18" s="174">
        <f>+'[3]Existing HPs Rental'!B20</f>
        <v>299.49468703571472</v>
      </c>
      <c r="F18" s="174">
        <f>+'[3]Existing HPs Rental'!C20</f>
        <v>70.843832642841548</v>
      </c>
      <c r="G18" s="177">
        <v>1500</v>
      </c>
      <c r="H18" s="176">
        <v>2000</v>
      </c>
      <c r="I18" s="175">
        <f>+'[3]Existing HPs Rental'!B4</f>
        <v>6000</v>
      </c>
      <c r="J18" s="174">
        <f t="shared" si="0"/>
        <v>2104.735787954362</v>
      </c>
      <c r="K18" s="163"/>
      <c r="L18" s="49"/>
      <c r="M18" s="49"/>
    </row>
    <row r="19" spans="1:13" ht="15.6" thickTop="1" thickBot="1">
      <c r="A19" s="171" t="str">
        <f>+'[3]Res Wz ETO'!A3</f>
        <v>Residential Weatherization - ETO</v>
      </c>
      <c r="B19" s="171">
        <f>+'[3]Res Wz ETO'!B18</f>
        <v>24166.640118137337</v>
      </c>
      <c r="C19" s="171">
        <f>+'[3]Res Wz ETO'!C18</f>
        <v>98739.759178485809</v>
      </c>
      <c r="D19" s="616">
        <v>4557103</v>
      </c>
      <c r="E19" s="170">
        <f>+'[3]Res Wz ETO'!B20</f>
        <v>188.57001468364587</v>
      </c>
      <c r="F19" s="170">
        <f>+'[3]Res Wz ETO'!C20</f>
        <v>46.152671627383114</v>
      </c>
      <c r="G19" s="173">
        <v>550</v>
      </c>
      <c r="H19" s="172">
        <v>2000</v>
      </c>
      <c r="I19" s="171">
        <f>+'[3]Res Wz ETO'!B4</f>
        <v>2200</v>
      </c>
      <c r="J19" s="170">
        <f t="shared" si="0"/>
        <v>2071.4104545454547</v>
      </c>
      <c r="K19" s="163"/>
      <c r="L19" s="49"/>
      <c r="M19" s="49"/>
    </row>
    <row r="20" spans="1:13" ht="15.6" thickTop="1" thickBot="1">
      <c r="A20" s="171" t="str">
        <f>+'[3]Res Wz COU'!A3</f>
        <v>Residential Weatherization - COU</v>
      </c>
      <c r="B20" s="171">
        <f>+'[3]Res Wz COU'!B18</f>
        <v>4393.934566934061</v>
      </c>
      <c r="C20" s="171">
        <f>+'[3]Res Wz COU'!C18</f>
        <v>17952.683486997423</v>
      </c>
      <c r="D20" s="616">
        <f>+'[3]Res Wz COU'!B16</f>
        <v>1114207.3638630868</v>
      </c>
      <c r="E20" s="170">
        <f>+'[3]Res Wz COU'!B20</f>
        <v>253.57850620896775</v>
      </c>
      <c r="F20" s="170">
        <f>+'[3]Res Wz COU'!C20</f>
        <v>62.063555271281473</v>
      </c>
      <c r="G20" s="173">
        <v>100</v>
      </c>
      <c r="H20" s="172">
        <v>2000</v>
      </c>
      <c r="I20" s="171">
        <f>+'[3]Res Wz COU'!B4</f>
        <v>400</v>
      </c>
      <c r="J20" s="170">
        <f t="shared" si="0"/>
        <v>2785.5184096577168</v>
      </c>
      <c r="K20" s="163"/>
      <c r="L20" s="49"/>
      <c r="M20" s="49"/>
    </row>
    <row r="21" spans="1:13" ht="15.6" thickTop="1" thickBot="1">
      <c r="A21" s="171" t="str">
        <f>+'[3]Res Wz HH'!A3</f>
        <v>Residential Weatherization - Healthy Homes OHA</v>
      </c>
      <c r="B21" s="171">
        <f>+'[3]Res Wz HH'!B18</f>
        <v>3954.5411102406556</v>
      </c>
      <c r="C21" s="171">
        <f>+'[3]Res Wz HH'!C18</f>
        <v>16157.415138297683</v>
      </c>
      <c r="D21" s="616">
        <f>+'[3]Res Wz HH'!B16</f>
        <v>2384278.0083815432</v>
      </c>
      <c r="E21" s="170">
        <f>+'[3]Res Wz HH'!B20</f>
        <v>602.921538028074</v>
      </c>
      <c r="F21" s="170">
        <f>+'[3]Res Wz HH'!C20</f>
        <v>147.56555971196929</v>
      </c>
      <c r="G21" s="173">
        <v>90</v>
      </c>
      <c r="H21" s="172">
        <v>5000</v>
      </c>
      <c r="I21" s="171">
        <f>+'[3]Res Wz HH'!B4</f>
        <v>360</v>
      </c>
      <c r="J21" s="170">
        <f t="shared" si="0"/>
        <v>6622.9944677265094</v>
      </c>
      <c r="K21" s="163"/>
      <c r="L21" s="49"/>
      <c r="M21" s="49"/>
    </row>
    <row r="22" spans="1:13" ht="15.75" customHeight="1" thickTop="1">
      <c r="A22" s="169" t="s">
        <v>328</v>
      </c>
      <c r="B22" s="167">
        <f>SUM(B12:B21)</f>
        <v>332835.32908263057</v>
      </c>
      <c r="C22" s="167">
        <f>SUM(C12:C21)</f>
        <v>1278970.9702140361</v>
      </c>
      <c r="D22" s="166">
        <f>SUM(D12:D21)</f>
        <v>66695296.827696986</v>
      </c>
      <c r="E22" s="166">
        <f>+D22/B22</f>
        <v>200.38526862975846</v>
      </c>
      <c r="F22" s="166">
        <f>+D22/C22</f>
        <v>52.147623660711794</v>
      </c>
      <c r="G22" s="168">
        <f>SUM(G12:G21)</f>
        <v>6176</v>
      </c>
      <c r="H22" s="166"/>
      <c r="I22" s="167">
        <f>SUM(I12:I21)</f>
        <v>24701</v>
      </c>
      <c r="J22" s="166">
        <f t="shared" si="0"/>
        <v>2700.1051304682801</v>
      </c>
      <c r="K22" s="163"/>
      <c r="L22" s="49"/>
      <c r="M22" s="49"/>
    </row>
    <row r="23" spans="1:13">
      <c r="B23" s="165"/>
      <c r="C23" s="165"/>
      <c r="D23" s="161"/>
      <c r="E23" s="161"/>
      <c r="G23" s="164"/>
      <c r="I23" s="161"/>
      <c r="J23" s="161"/>
    </row>
    <row r="24" spans="1:13">
      <c r="D24" s="170"/>
      <c r="G24" s="608"/>
      <c r="I24" s="165"/>
    </row>
    <row r="25" spans="1:13">
      <c r="C25" s="47"/>
      <c r="D25" s="161"/>
      <c r="G25" s="609"/>
    </row>
  </sheetData>
  <mergeCells count="3">
    <mergeCell ref="B3:C3"/>
    <mergeCell ref="E3:F3"/>
    <mergeCell ref="A11:J11"/>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4C8C5-D30C-4F38-A902-D6BF366DCD45}">
  <sheetPr>
    <tabColor theme="9" tint="0.79998168889431442"/>
  </sheetPr>
  <dimension ref="A1:AD46"/>
  <sheetViews>
    <sheetView zoomScaleNormal="100" workbookViewId="0">
      <selection activeCell="B7" sqref="B7"/>
    </sheetView>
  </sheetViews>
  <sheetFormatPr defaultRowHeight="14.45"/>
  <cols>
    <col min="1" max="1" width="54.5703125" customWidth="1"/>
    <col min="2" max="2" width="18.42578125" customWidth="1"/>
    <col min="3" max="3" width="20" customWidth="1"/>
    <col min="4" max="5" width="17.42578125" bestFit="1" customWidth="1"/>
    <col min="6" max="29" width="18.42578125" bestFit="1" customWidth="1"/>
  </cols>
  <sheetData>
    <row r="1" spans="1:30" ht="21">
      <c r="A1" s="193" t="s">
        <v>329</v>
      </c>
      <c r="B1" s="193"/>
      <c r="C1" s="193"/>
      <c r="E1" s="171"/>
    </row>
    <row r="2" spans="1:30" s="165" customFormat="1">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30" s="165" customFormat="1" ht="29.1">
      <c r="A3" s="167" t="s">
        <v>330</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30" s="165" customFormat="1" ht="15.6" thickTop="1" thickBot="1">
      <c r="A4" s="222" t="s">
        <v>333</v>
      </c>
      <c r="B4" s="171">
        <f>SUM(D4:I4)</f>
        <v>4920</v>
      </c>
      <c r="C4" s="247"/>
      <c r="D4" s="246">
        <f>+[3]Dashboard!G12</f>
        <v>1230</v>
      </c>
      <c r="E4" s="245">
        <f>+$D$4</f>
        <v>1230</v>
      </c>
      <c r="F4" s="171">
        <f>+$D$4</f>
        <v>1230</v>
      </c>
      <c r="G4" s="171">
        <f>+$D$4</f>
        <v>1230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30" s="239" customFormat="1" ht="15.6" thickTop="1" thickBot="1">
      <c r="A5" s="244" t="s">
        <v>334</v>
      </c>
      <c r="B5" s="240">
        <f>+D5</f>
        <v>2000</v>
      </c>
      <c r="C5" s="243"/>
      <c r="D5" s="242">
        <f>+[3]Dashboard!H12</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30" s="236" customFormat="1" ht="15" thickTop="1">
      <c r="A6" s="237" t="s">
        <v>335</v>
      </c>
      <c r="B6" s="237">
        <f>SUM(D6:I6)</f>
        <v>9840000</v>
      </c>
      <c r="C6" s="237"/>
      <c r="D6" s="238">
        <f t="shared" ref="D6:I6" si="0">+D5*D4</f>
        <v>2460000</v>
      </c>
      <c r="E6" s="237">
        <f t="shared" si="0"/>
        <v>2460000</v>
      </c>
      <c r="F6" s="237">
        <f t="shared" si="0"/>
        <v>2460000</v>
      </c>
      <c r="G6" s="237">
        <f t="shared" si="0"/>
        <v>2460000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30" s="234" customFormat="1">
      <c r="A7" s="235" t="s">
        <v>336</v>
      </c>
      <c r="B7" s="235">
        <v>157103</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30" s="232" customFormat="1">
      <c r="A8" s="233" t="s">
        <v>337</v>
      </c>
      <c r="B8" s="233">
        <v>9997103</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30" s="165" customFormat="1">
      <c r="A9" s="222"/>
      <c r="B9" s="171"/>
      <c r="C9" s="231" t="s">
        <v>338</v>
      </c>
      <c r="D9" s="171">
        <f>+D4</f>
        <v>1230</v>
      </c>
      <c r="E9" s="171">
        <f>+D4+E4</f>
        <v>2460</v>
      </c>
      <c r="F9" s="171">
        <f>+F4+E4+D4</f>
        <v>3690</v>
      </c>
      <c r="G9" s="171">
        <f>+G4+F4+E4+D4</f>
        <v>4920</v>
      </c>
      <c r="H9" s="171">
        <f>++H4+G4+F4+E4+D4</f>
        <v>4920</v>
      </c>
      <c r="I9" s="171">
        <f>+I4+H4+G4+F4+E4+D4</f>
        <v>4920</v>
      </c>
      <c r="J9" s="171">
        <f t="shared" ref="J9:AC9" si="1">+I9</f>
        <v>4920</v>
      </c>
      <c r="K9" s="171">
        <f t="shared" si="1"/>
        <v>4920</v>
      </c>
      <c r="L9" s="171">
        <f t="shared" si="1"/>
        <v>4920</v>
      </c>
      <c r="M9" s="171">
        <f t="shared" si="1"/>
        <v>4920</v>
      </c>
      <c r="N9" s="171">
        <f t="shared" si="1"/>
        <v>4920</v>
      </c>
      <c r="O9" s="171">
        <f t="shared" si="1"/>
        <v>4920</v>
      </c>
      <c r="P9" s="171">
        <f t="shared" si="1"/>
        <v>4920</v>
      </c>
      <c r="Q9" s="171">
        <f t="shared" si="1"/>
        <v>4920</v>
      </c>
      <c r="R9" s="171">
        <f t="shared" si="1"/>
        <v>4920</v>
      </c>
      <c r="S9" s="171">
        <f t="shared" si="1"/>
        <v>4920</v>
      </c>
      <c r="T9" s="171">
        <f t="shared" si="1"/>
        <v>4920</v>
      </c>
      <c r="U9" s="171">
        <f t="shared" si="1"/>
        <v>4920</v>
      </c>
      <c r="V9" s="171">
        <f t="shared" si="1"/>
        <v>4920</v>
      </c>
      <c r="W9" s="171">
        <f t="shared" si="1"/>
        <v>4920</v>
      </c>
      <c r="X9" s="171">
        <f t="shared" si="1"/>
        <v>4920</v>
      </c>
      <c r="Y9" s="171">
        <f t="shared" si="1"/>
        <v>4920</v>
      </c>
      <c r="Z9" s="171">
        <f t="shared" si="1"/>
        <v>4920</v>
      </c>
      <c r="AA9" s="171">
        <f t="shared" si="1"/>
        <v>4920</v>
      </c>
      <c r="AB9" s="171">
        <f t="shared" si="1"/>
        <v>4920</v>
      </c>
      <c r="AC9" s="171">
        <f t="shared" si="1"/>
        <v>4920</v>
      </c>
    </row>
    <row r="10" spans="1:30" s="226" customFormat="1">
      <c r="A10" s="229" t="s">
        <v>339</v>
      </c>
      <c r="B10" s="229">
        <f>SUM(D10:I10)</f>
        <v>60990.077718724693</v>
      </c>
      <c r="C10" s="229">
        <f>SUM(D10:AC10)</f>
        <v>290572.32634197664</v>
      </c>
      <c r="D10" s="230">
        <f t="shared" ref="D10:J10" si="2">+D9*D39</f>
        <v>4903.9341010143935</v>
      </c>
      <c r="E10" s="230">
        <f t="shared" si="2"/>
        <v>8126.434474327888</v>
      </c>
      <c r="F10" s="230">
        <f t="shared" si="2"/>
        <v>11002.043856555814</v>
      </c>
      <c r="G10" s="230">
        <f t="shared" si="2"/>
        <v>13393.60464543637</v>
      </c>
      <c r="H10" s="230">
        <f t="shared" si="2"/>
        <v>12094.795632974299</v>
      </c>
      <c r="I10" s="230">
        <f t="shared" si="2"/>
        <v>11469.265008415934</v>
      </c>
      <c r="J10" s="230">
        <f t="shared" si="2"/>
        <v>11666.213463349173</v>
      </c>
      <c r="K10" s="230">
        <f t="shared" ref="K10:AC10" si="3">+$I$10</f>
        <v>11469.265008415934</v>
      </c>
      <c r="L10" s="230">
        <f t="shared" si="3"/>
        <v>11469.265008415934</v>
      </c>
      <c r="M10" s="230">
        <f t="shared" si="3"/>
        <v>11469.265008415934</v>
      </c>
      <c r="N10" s="230">
        <f t="shared" si="3"/>
        <v>11469.265008415934</v>
      </c>
      <c r="O10" s="230">
        <f t="shared" si="3"/>
        <v>11469.265008415934</v>
      </c>
      <c r="P10" s="230">
        <f t="shared" si="3"/>
        <v>11469.265008415934</v>
      </c>
      <c r="Q10" s="230">
        <f t="shared" si="3"/>
        <v>11469.265008415934</v>
      </c>
      <c r="R10" s="230">
        <f t="shared" si="3"/>
        <v>11469.265008415934</v>
      </c>
      <c r="S10" s="230">
        <f t="shared" si="3"/>
        <v>11469.265008415934</v>
      </c>
      <c r="T10" s="230">
        <f t="shared" si="3"/>
        <v>11469.265008415934</v>
      </c>
      <c r="U10" s="230">
        <f t="shared" si="3"/>
        <v>11469.265008415934</v>
      </c>
      <c r="V10" s="230">
        <f t="shared" si="3"/>
        <v>11469.265008415934</v>
      </c>
      <c r="W10" s="230">
        <f t="shared" si="3"/>
        <v>11469.265008415934</v>
      </c>
      <c r="X10" s="230">
        <f t="shared" si="3"/>
        <v>11469.265008415934</v>
      </c>
      <c r="Y10" s="230">
        <f t="shared" si="3"/>
        <v>11469.265008415934</v>
      </c>
      <c r="Z10" s="230">
        <f t="shared" si="3"/>
        <v>11469.265008415934</v>
      </c>
      <c r="AA10" s="230">
        <f t="shared" si="3"/>
        <v>11469.265008415934</v>
      </c>
      <c r="AB10" s="230">
        <f t="shared" si="3"/>
        <v>11469.265008415934</v>
      </c>
      <c r="AC10" s="230">
        <f t="shared" si="3"/>
        <v>11469.265008415934</v>
      </c>
      <c r="AD10" s="226">
        <f>SUM(D10:AC10)</f>
        <v>290572.32634197664</v>
      </c>
    </row>
    <row r="11" spans="1:30" s="226" customFormat="1">
      <c r="A11" s="229" t="s">
        <v>340</v>
      </c>
      <c r="B11" s="228"/>
      <c r="C11" s="228"/>
      <c r="D11" s="227">
        <f t="shared" ref="D11:AC11" si="4">+D39</f>
        <v>3.9869382935076367</v>
      </c>
      <c r="E11" s="227">
        <f t="shared" si="4"/>
        <v>3.3034286481007675</v>
      </c>
      <c r="F11" s="227">
        <f t="shared" si="4"/>
        <v>2.9815837009636352</v>
      </c>
      <c r="G11" s="227">
        <f t="shared" si="4"/>
        <v>2.7222773669586116</v>
      </c>
      <c r="H11" s="227">
        <f t="shared" si="4"/>
        <v>2.4582917953199797</v>
      </c>
      <c r="I11" s="227">
        <f t="shared" si="4"/>
        <v>2.3311514244747835</v>
      </c>
      <c r="J11" s="227">
        <f t="shared" si="4"/>
        <v>2.3711815982417019</v>
      </c>
      <c r="K11" s="227">
        <f t="shared" si="4"/>
        <v>2.3770608369389254</v>
      </c>
      <c r="L11" s="227">
        <f t="shared" si="4"/>
        <v>2.362348165719466</v>
      </c>
      <c r="M11" s="227">
        <f t="shared" si="4"/>
        <v>2.334118555427307</v>
      </c>
      <c r="N11" s="227">
        <f t="shared" si="4"/>
        <v>2.2943092806815084</v>
      </c>
      <c r="O11" s="227">
        <f t="shared" si="4"/>
        <v>2.2676920861418917</v>
      </c>
      <c r="P11" s="227">
        <f t="shared" si="4"/>
        <v>2.1915467416985392</v>
      </c>
      <c r="Q11" s="227">
        <f t="shared" si="4"/>
        <v>2.131389192829539</v>
      </c>
      <c r="R11" s="227">
        <f t="shared" si="4"/>
        <v>2.0918225994306514</v>
      </c>
      <c r="S11" s="227">
        <f t="shared" si="4"/>
        <v>2.0310898046135857</v>
      </c>
      <c r="T11" s="227">
        <f t="shared" si="4"/>
        <v>2.0368820658466107</v>
      </c>
      <c r="U11" s="227">
        <f t="shared" si="4"/>
        <v>2.0545902030633867</v>
      </c>
      <c r="V11" s="227">
        <f t="shared" si="4"/>
        <v>2.0610255954151837</v>
      </c>
      <c r="W11" s="227">
        <f t="shared" si="4"/>
        <v>2.0738347575421447</v>
      </c>
      <c r="X11" s="227">
        <f t="shared" si="4"/>
        <v>2.0928908094525855</v>
      </c>
      <c r="Y11" s="227">
        <f t="shared" si="4"/>
        <v>2.0919986152947865</v>
      </c>
      <c r="Z11" s="227">
        <f t="shared" si="4"/>
        <v>2.0953829601736258</v>
      </c>
      <c r="AA11" s="227">
        <f t="shared" si="4"/>
        <v>2.1057975943837244</v>
      </c>
      <c r="AB11" s="227">
        <f t="shared" si="4"/>
        <v>2.0994545265398976</v>
      </c>
      <c r="AC11" s="227">
        <f t="shared" si="4"/>
        <v>2.090003809865272</v>
      </c>
    </row>
    <row r="12" spans="1:30" s="223" customFormat="1">
      <c r="A12" s="225" t="s">
        <v>341</v>
      </c>
      <c r="B12" s="225">
        <f>B8/B10</f>
        <v>163.91359666903276</v>
      </c>
      <c r="C12" s="225">
        <f>+B8/C10</f>
        <v>34.40486960975884</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30" s="165" customFormat="1">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30" s="165" customFormat="1" ht="15.6">
      <c r="A14" s="221" t="s">
        <v>342</v>
      </c>
      <c r="B14" s="220"/>
      <c r="C14" s="220"/>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row>
    <row r="15" spans="1:30" s="165" customFormat="1">
      <c r="A15" s="219" t="s">
        <v>343</v>
      </c>
      <c r="B15" s="220">
        <f t="shared" ref="B15:B20" si="5">SUM(D15:I15)</f>
        <v>77.270940912628689</v>
      </c>
      <c r="C15" s="220">
        <f t="shared" ref="C15:C20" si="6">SUM(D15:AC15)</f>
        <v>77.270940912628689</v>
      </c>
      <c r="D15" s="219">
        <f>+D41*D4</f>
        <v>23.586395849169573</v>
      </c>
      <c r="E15" s="219">
        <f>+E41*E4</f>
        <v>20.07440945592732</v>
      </c>
      <c r="F15" s="219">
        <f>+F41*F4</f>
        <v>17.70382791303534</v>
      </c>
      <c r="G15" s="219">
        <f>+G41*G4</f>
        <v>15.906307694496459</v>
      </c>
      <c r="H15" s="219">
        <f>+H41*H4</f>
        <v>0</v>
      </c>
      <c r="I15" s="219">
        <f t="shared" ref="I15:AC15" si="7">H15</f>
        <v>0</v>
      </c>
      <c r="J15" s="219">
        <f t="shared" si="7"/>
        <v>0</v>
      </c>
      <c r="K15" s="219">
        <f t="shared" si="7"/>
        <v>0</v>
      </c>
      <c r="L15" s="219">
        <f t="shared" si="7"/>
        <v>0</v>
      </c>
      <c r="M15" s="219">
        <f t="shared" si="7"/>
        <v>0</v>
      </c>
      <c r="N15" s="219">
        <f t="shared" si="7"/>
        <v>0</v>
      </c>
      <c r="O15" s="219">
        <f t="shared" si="7"/>
        <v>0</v>
      </c>
      <c r="P15" s="219">
        <f t="shared" si="7"/>
        <v>0</v>
      </c>
      <c r="Q15" s="219">
        <f t="shared" si="7"/>
        <v>0</v>
      </c>
      <c r="R15" s="219">
        <f t="shared" si="7"/>
        <v>0</v>
      </c>
      <c r="S15" s="219">
        <f t="shared" si="7"/>
        <v>0</v>
      </c>
      <c r="T15" s="219">
        <f t="shared" si="7"/>
        <v>0</v>
      </c>
      <c r="U15" s="219">
        <f t="shared" si="7"/>
        <v>0</v>
      </c>
      <c r="V15" s="219">
        <f t="shared" si="7"/>
        <v>0</v>
      </c>
      <c r="W15" s="219">
        <f t="shared" si="7"/>
        <v>0</v>
      </c>
      <c r="X15" s="219">
        <f t="shared" si="7"/>
        <v>0</v>
      </c>
      <c r="Y15" s="219">
        <f t="shared" si="7"/>
        <v>0</v>
      </c>
      <c r="Z15" s="219">
        <f t="shared" si="7"/>
        <v>0</v>
      </c>
      <c r="AA15" s="219">
        <f t="shared" si="7"/>
        <v>0</v>
      </c>
      <c r="AB15" s="219">
        <f t="shared" si="7"/>
        <v>0</v>
      </c>
      <c r="AC15" s="219">
        <f t="shared" si="7"/>
        <v>0</v>
      </c>
    </row>
    <row r="16" spans="1:30" s="161" customFormat="1">
      <c r="A16" s="217" t="s">
        <v>344</v>
      </c>
      <c r="B16" s="218">
        <f t="shared" si="5"/>
        <v>11599434.848224729</v>
      </c>
      <c r="C16" s="218">
        <f t="shared" si="6"/>
        <v>69764862.848453</v>
      </c>
      <c r="D16" s="217">
        <f t="shared" ref="D16:AC16" si="8">+D42*D9</f>
        <v>1075282.7456623078</v>
      </c>
      <c r="E16" s="217">
        <f t="shared" si="8"/>
        <v>1471690.4902251295</v>
      </c>
      <c r="F16" s="217">
        <f t="shared" si="8"/>
        <v>1869785.7131548077</v>
      </c>
      <c r="G16" s="217">
        <f t="shared" si="8"/>
        <v>2274673.2533923136</v>
      </c>
      <c r="H16" s="217">
        <f t="shared" si="8"/>
        <v>2404886.9936487847</v>
      </c>
      <c r="I16" s="217">
        <f t="shared" si="8"/>
        <v>2503115.6521413876</v>
      </c>
      <c r="J16" s="217">
        <f t="shared" si="8"/>
        <v>2607705.9861496696</v>
      </c>
      <c r="K16" s="217">
        <f t="shared" si="8"/>
        <v>2696302.9640207039</v>
      </c>
      <c r="L16" s="217">
        <f t="shared" si="8"/>
        <v>2799158.1082259696</v>
      </c>
      <c r="M16" s="217">
        <f t="shared" si="8"/>
        <v>2891060.4273626963</v>
      </c>
      <c r="N16" s="217">
        <f t="shared" si="8"/>
        <v>2973872.6040208731</v>
      </c>
      <c r="O16" s="217">
        <f t="shared" si="8"/>
        <v>2951715.1460316256</v>
      </c>
      <c r="P16" s="217">
        <f t="shared" si="8"/>
        <v>2936253.9651012667</v>
      </c>
      <c r="Q16" s="217">
        <f t="shared" si="8"/>
        <v>2926360.9052440836</v>
      </c>
      <c r="R16" s="217">
        <f t="shared" si="8"/>
        <v>2921197.040610075</v>
      </c>
      <c r="S16" s="217">
        <f t="shared" si="8"/>
        <v>2916485.9280139292</v>
      </c>
      <c r="T16" s="217">
        <f t="shared" si="8"/>
        <v>2926231.2229338107</v>
      </c>
      <c r="U16" s="217">
        <f t="shared" si="8"/>
        <v>2935281.6921196366</v>
      </c>
      <c r="V16" s="217">
        <f t="shared" si="8"/>
        <v>2943707.5622983533</v>
      </c>
      <c r="W16" s="217">
        <f t="shared" si="8"/>
        <v>2951571.560930334</v>
      </c>
      <c r="X16" s="217">
        <f t="shared" si="8"/>
        <v>2958919.2125534839</v>
      </c>
      <c r="Y16" s="217">
        <f t="shared" si="8"/>
        <v>2961452.3720738729</v>
      </c>
      <c r="Z16" s="217">
        <f t="shared" si="8"/>
        <v>2963825.6278172475</v>
      </c>
      <c r="AA16" s="217">
        <f t="shared" si="8"/>
        <v>2966053.4252128745</v>
      </c>
      <c r="AB16" s="217">
        <f t="shared" si="8"/>
        <v>2968148.945594633</v>
      </c>
      <c r="AC16" s="217">
        <f t="shared" si="8"/>
        <v>2970123.3039131304</v>
      </c>
    </row>
    <row r="17" spans="1:29" s="214" customFormat="1">
      <c r="A17" s="215" t="s">
        <v>345</v>
      </c>
      <c r="B17" s="216">
        <f t="shared" si="5"/>
        <v>27.462168666398963</v>
      </c>
      <c r="C17" s="216">
        <f t="shared" si="6"/>
        <v>177.28370357483792</v>
      </c>
      <c r="D17" s="215">
        <f t="shared" ref="D17:AC17" si="9">+D43*D9</f>
        <v>2.1396299728088048</v>
      </c>
      <c r="E17" s="215">
        <f t="shared" si="9"/>
        <v>3.2291643667283738</v>
      </c>
      <c r="F17" s="215">
        <f t="shared" si="9"/>
        <v>4.4579814325707252</v>
      </c>
      <c r="G17" s="215">
        <f t="shared" si="9"/>
        <v>5.8025199106545831</v>
      </c>
      <c r="H17" s="215">
        <f t="shared" si="9"/>
        <v>5.7483163141021558</v>
      </c>
      <c r="I17" s="215">
        <f t="shared" si="9"/>
        <v>6.0845566695343178</v>
      </c>
      <c r="J17" s="215">
        <f t="shared" si="9"/>
        <v>6.3746579162388528</v>
      </c>
      <c r="K17" s="215">
        <f t="shared" si="9"/>
        <v>6.6022548808450034</v>
      </c>
      <c r="L17" s="215">
        <f t="shared" si="9"/>
        <v>6.792312080675643</v>
      </c>
      <c r="M17" s="215">
        <f t="shared" si="9"/>
        <v>6.9611290592475639</v>
      </c>
      <c r="N17" s="215">
        <f t="shared" si="9"/>
        <v>7.1141734936638894</v>
      </c>
      <c r="O17" s="215">
        <f t="shared" si="9"/>
        <v>7.3004713337041585</v>
      </c>
      <c r="P17" s="215">
        <f t="shared" si="9"/>
        <v>7.3172377047387487</v>
      </c>
      <c r="Q17" s="215">
        <f t="shared" si="9"/>
        <v>7.3978994129020945</v>
      </c>
      <c r="R17" s="215">
        <f t="shared" si="9"/>
        <v>7.5835408768878887</v>
      </c>
      <c r="S17" s="215">
        <f t="shared" si="9"/>
        <v>7.6971091181683615</v>
      </c>
      <c r="T17" s="215">
        <f t="shared" si="9"/>
        <v>7.7035681616832532</v>
      </c>
      <c r="U17" s="215">
        <f t="shared" si="9"/>
        <v>7.7661365243847253</v>
      </c>
      <c r="V17" s="215">
        <f t="shared" si="9"/>
        <v>7.7878907547441445</v>
      </c>
      <c r="W17" s="215">
        <f t="shared" si="9"/>
        <v>7.8370692934455981</v>
      </c>
      <c r="X17" s="215">
        <f t="shared" si="9"/>
        <v>7.91845250765485</v>
      </c>
      <c r="Y17" s="215">
        <f t="shared" si="9"/>
        <v>7.9130027114190717</v>
      </c>
      <c r="Z17" s="215">
        <f t="shared" si="9"/>
        <v>7.9274926698695944</v>
      </c>
      <c r="AA17" s="215">
        <f t="shared" si="9"/>
        <v>7.9742079653930462</v>
      </c>
      <c r="AB17" s="215">
        <f t="shared" si="9"/>
        <v>7.9458913515271226</v>
      </c>
      <c r="AC17" s="215">
        <f t="shared" si="9"/>
        <v>7.9070370912453836</v>
      </c>
    </row>
    <row r="18" spans="1:29" s="214" customFormat="1">
      <c r="A18" s="215" t="s">
        <v>346</v>
      </c>
      <c r="B18" s="216">
        <f t="shared" si="5"/>
        <v>10.020669307237316</v>
      </c>
      <c r="C18" s="216">
        <f t="shared" si="6"/>
        <v>61.346766253864786</v>
      </c>
      <c r="D18" s="215">
        <f t="shared" ref="D18:AC18" si="10">+D44*D9</f>
        <v>0.80995208224405313</v>
      </c>
      <c r="E18" s="215">
        <f t="shared" si="10"/>
        <v>1.1953444278405645</v>
      </c>
      <c r="F18" s="215">
        <f t="shared" si="10"/>
        <v>1.631035165127777</v>
      </c>
      <c r="G18" s="215">
        <f t="shared" si="10"/>
        <v>2.1085343149218012</v>
      </c>
      <c r="H18" s="215">
        <f t="shared" si="10"/>
        <v>2.0836660169348007</v>
      </c>
      <c r="I18" s="215">
        <f t="shared" si="10"/>
        <v>2.1921373001683184</v>
      </c>
      <c r="J18" s="215">
        <f t="shared" si="10"/>
        <v>2.2856562761888726</v>
      </c>
      <c r="K18" s="215">
        <f t="shared" si="10"/>
        <v>2.3614449689571675</v>
      </c>
      <c r="L18" s="215">
        <f t="shared" si="10"/>
        <v>2.4179013660295379</v>
      </c>
      <c r="M18" s="215">
        <f t="shared" si="10"/>
        <v>2.4679078989541079</v>
      </c>
      <c r="N18" s="215">
        <f t="shared" si="10"/>
        <v>2.5129101730405385</v>
      </c>
      <c r="O18" s="215">
        <f t="shared" si="10"/>
        <v>2.5639929046051795</v>
      </c>
      <c r="P18" s="215">
        <f t="shared" si="10"/>
        <v>2.5583465541641424</v>
      </c>
      <c r="Q18" s="215">
        <f t="shared" si="10"/>
        <v>2.5750777670845801</v>
      </c>
      <c r="R18" s="215">
        <f t="shared" si="10"/>
        <v>2.6246838116022513</v>
      </c>
      <c r="S18" s="215">
        <f t="shared" si="10"/>
        <v>2.6499229089760834</v>
      </c>
      <c r="T18" s="215">
        <f t="shared" si="10"/>
        <v>2.6395287990850624</v>
      </c>
      <c r="U18" s="215">
        <f t="shared" si="10"/>
        <v>2.6468707427363309</v>
      </c>
      <c r="V18" s="215">
        <f t="shared" si="10"/>
        <v>2.6390522632472639</v>
      </c>
      <c r="W18" s="215">
        <f t="shared" si="10"/>
        <v>2.6411716198130222</v>
      </c>
      <c r="X18" s="215">
        <f t="shared" si="10"/>
        <v>2.6557844966485975</v>
      </c>
      <c r="Y18" s="215">
        <f t="shared" si="10"/>
        <v>2.637411483715276</v>
      </c>
      <c r="Z18" s="215">
        <f t="shared" si="10"/>
        <v>2.6286907729692626</v>
      </c>
      <c r="AA18" s="215">
        <f t="shared" si="10"/>
        <v>2.6273566036936851</v>
      </c>
      <c r="AB18" s="215">
        <f t="shared" si="10"/>
        <v>2.6089214129574976</v>
      </c>
      <c r="AC18" s="215">
        <f t="shared" si="10"/>
        <v>2.5834641221590049</v>
      </c>
    </row>
    <row r="19" spans="1:29" s="214" customFormat="1">
      <c r="A19" s="215" t="s">
        <v>347</v>
      </c>
      <c r="B19" s="216">
        <f t="shared" si="5"/>
        <v>32.467355321553427</v>
      </c>
      <c r="C19" s="216">
        <f t="shared" si="6"/>
        <v>242.67043896751235</v>
      </c>
      <c r="D19" s="215">
        <f t="shared" ref="D19:AC19" si="11">+D45*D9</f>
        <v>1.6264600795732183</v>
      </c>
      <c r="E19" s="215">
        <f t="shared" si="11"/>
        <v>3.3742041958606421</v>
      </c>
      <c r="F19" s="215">
        <f t="shared" si="11"/>
        <v>5.2709700675768065</v>
      </c>
      <c r="G19" s="215">
        <f t="shared" si="11"/>
        <v>7.1792185143314917</v>
      </c>
      <c r="H19" s="215">
        <f t="shared" si="11"/>
        <v>7.0184501687184691</v>
      </c>
      <c r="I19" s="215">
        <f t="shared" si="11"/>
        <v>7.9980522954927995</v>
      </c>
      <c r="J19" s="215">
        <f t="shared" si="11"/>
        <v>8.625720240103842</v>
      </c>
      <c r="K19" s="215">
        <f t="shared" si="11"/>
        <v>9.1208646661069146</v>
      </c>
      <c r="L19" s="215">
        <f t="shared" si="11"/>
        <v>9.4155589849557781</v>
      </c>
      <c r="M19" s="215">
        <f t="shared" si="11"/>
        <v>9.6949779416825113</v>
      </c>
      <c r="N19" s="215">
        <f t="shared" si="11"/>
        <v>10.000680026667155</v>
      </c>
      <c r="O19" s="215">
        <f t="shared" si="11"/>
        <v>10.368863801351896</v>
      </c>
      <c r="P19" s="215">
        <f t="shared" si="11"/>
        <v>10.243455269092976</v>
      </c>
      <c r="Q19" s="215">
        <f t="shared" si="11"/>
        <v>10.266441727470589</v>
      </c>
      <c r="R19" s="215">
        <f t="shared" si="11"/>
        <v>10.724177414138195</v>
      </c>
      <c r="S19" s="215">
        <f t="shared" si="11"/>
        <v>10.965013594584091</v>
      </c>
      <c r="T19" s="215">
        <f t="shared" si="11"/>
        <v>10.789949764560799</v>
      </c>
      <c r="U19" s="215">
        <f t="shared" si="11"/>
        <v>10.831177994931252</v>
      </c>
      <c r="V19" s="215">
        <f t="shared" si="11"/>
        <v>10.840273748896777</v>
      </c>
      <c r="W19" s="215">
        <f t="shared" si="11"/>
        <v>10.928541750188662</v>
      </c>
      <c r="X19" s="215">
        <f t="shared" si="11"/>
        <v>11.170027214065271</v>
      </c>
      <c r="Y19" s="215">
        <f t="shared" si="11"/>
        <v>11.14577842216873</v>
      </c>
      <c r="Z19" s="215">
        <f t="shared" si="11"/>
        <v>11.201365181880576</v>
      </c>
      <c r="AA19" s="215">
        <f t="shared" si="11"/>
        <v>11.368242715840994</v>
      </c>
      <c r="AB19" s="215">
        <f t="shared" si="11"/>
        <v>11.289202879618319</v>
      </c>
      <c r="AC19" s="215">
        <f t="shared" si="11"/>
        <v>11.21277030765361</v>
      </c>
    </row>
    <row r="20" spans="1:29" s="214" customFormat="1">
      <c r="A20" s="215" t="s">
        <v>348</v>
      </c>
      <c r="B20" s="216">
        <f t="shared" si="5"/>
        <v>149.56166044122497</v>
      </c>
      <c r="C20" s="216">
        <f t="shared" si="6"/>
        <v>1124.4321475470008</v>
      </c>
      <c r="D20" s="215">
        <f t="shared" ref="D20:AC20" si="12">+D46*D9</f>
        <v>7.3133169319337199</v>
      </c>
      <c r="E20" s="215">
        <f t="shared" si="12"/>
        <v>15.455520459414133</v>
      </c>
      <c r="F20" s="215">
        <f t="shared" si="12"/>
        <v>24.280853890883968</v>
      </c>
      <c r="G20" s="215">
        <f t="shared" si="12"/>
        <v>33.134432519805593</v>
      </c>
      <c r="H20" s="215">
        <f t="shared" si="12"/>
        <v>32.374812155177842</v>
      </c>
      <c r="I20" s="215">
        <f t="shared" si="12"/>
        <v>37.002724484009725</v>
      </c>
      <c r="J20" s="215">
        <f t="shared" si="12"/>
        <v>39.950539717319067</v>
      </c>
      <c r="K20" s="215">
        <f t="shared" si="12"/>
        <v>42.276260288746073</v>
      </c>
      <c r="L20" s="215">
        <f t="shared" si="12"/>
        <v>43.647650107172957</v>
      </c>
      <c r="M20" s="215">
        <f t="shared" si="12"/>
        <v>44.950621861487612</v>
      </c>
      <c r="N20" s="215">
        <f t="shared" si="12"/>
        <v>46.383665258016414</v>
      </c>
      <c r="O20" s="215">
        <f t="shared" si="12"/>
        <v>48.109060358189218</v>
      </c>
      <c r="P20" s="215">
        <f t="shared" si="12"/>
        <v>47.502640060982642</v>
      </c>
      <c r="Q20" s="215">
        <f t="shared" si="12"/>
        <v>47.594234262866252</v>
      </c>
      <c r="R20" s="215">
        <f t="shared" si="12"/>
        <v>49.750079146583744</v>
      </c>
      <c r="S20" s="215">
        <f t="shared" si="12"/>
        <v>50.880632810056547</v>
      </c>
      <c r="T20" s="215">
        <f t="shared" si="12"/>
        <v>50.038067831672905</v>
      </c>
      <c r="U20" s="215">
        <f t="shared" si="12"/>
        <v>50.221605948273158</v>
      </c>
      <c r="V20" s="215">
        <f t="shared" si="12"/>
        <v>50.260274594597682</v>
      </c>
      <c r="W20" s="215">
        <f t="shared" si="12"/>
        <v>50.672895257457803</v>
      </c>
      <c r="X20" s="215">
        <f t="shared" si="12"/>
        <v>51.814111157802401</v>
      </c>
      <c r="Y20" s="215">
        <f t="shared" si="12"/>
        <v>51.698944114100165</v>
      </c>
      <c r="Z20" s="215">
        <f t="shared" si="12"/>
        <v>51.962672953310204</v>
      </c>
      <c r="AA20" s="215">
        <f t="shared" si="12"/>
        <v>52.753581624954855</v>
      </c>
      <c r="AB20" s="215">
        <f t="shared" si="12"/>
        <v>52.380532087932657</v>
      </c>
      <c r="AC20" s="215">
        <f t="shared" si="12"/>
        <v>52.022417664253531</v>
      </c>
    </row>
    <row r="21" spans="1:29">
      <c r="A21" s="165"/>
    </row>
    <row r="22" spans="1:29" ht="18.600000000000001">
      <c r="A22" s="213" t="s">
        <v>349</v>
      </c>
      <c r="B22" s="213"/>
      <c r="C22" s="213"/>
    </row>
    <row r="23" spans="1:29" ht="15" customHeight="1">
      <c r="A23" s="742" t="s">
        <v>350</v>
      </c>
      <c r="B23" s="742"/>
      <c r="C23" s="742"/>
      <c r="D23" s="742"/>
      <c r="E23" s="742"/>
      <c r="F23" s="742"/>
    </row>
    <row r="24" spans="1:29">
      <c r="A24" s="694"/>
      <c r="B24" s="694"/>
      <c r="C24" s="694"/>
      <c r="D24" s="694"/>
      <c r="E24" s="694"/>
      <c r="F24" s="694"/>
    </row>
    <row r="25" spans="1:29" ht="18.600000000000001">
      <c r="A25" s="213" t="s">
        <v>351</v>
      </c>
    </row>
    <row r="26" spans="1:29" s="6" customFormat="1" ht="29.1">
      <c r="A26" s="169" t="s">
        <v>352</v>
      </c>
      <c r="B26" s="212" t="s">
        <v>331</v>
      </c>
      <c r="C26" s="212" t="s">
        <v>332</v>
      </c>
      <c r="D26" s="169">
        <v>2025</v>
      </c>
      <c r="E26" s="169">
        <v>2026</v>
      </c>
      <c r="F26" s="169">
        <v>2027</v>
      </c>
      <c r="G26" s="169">
        <v>2028</v>
      </c>
      <c r="H26" s="169">
        <v>2029</v>
      </c>
      <c r="I26" s="169">
        <v>2030</v>
      </c>
      <c r="J26" s="169">
        <v>2031</v>
      </c>
      <c r="K26" s="169">
        <v>2032</v>
      </c>
      <c r="L26" s="169">
        <v>2033</v>
      </c>
      <c r="M26" s="169">
        <v>2034</v>
      </c>
      <c r="N26" s="169">
        <v>2035</v>
      </c>
      <c r="O26" s="169">
        <v>2036</v>
      </c>
      <c r="P26" s="169">
        <v>2037</v>
      </c>
      <c r="Q26" s="169">
        <v>2038</v>
      </c>
      <c r="R26" s="169">
        <v>2039</v>
      </c>
      <c r="S26" s="169">
        <v>2040</v>
      </c>
      <c r="T26" s="169">
        <v>2041</v>
      </c>
      <c r="U26" s="169">
        <v>2042</v>
      </c>
      <c r="V26" s="169">
        <v>2043</v>
      </c>
      <c r="W26" s="169">
        <v>2044</v>
      </c>
      <c r="X26" s="169">
        <v>2045</v>
      </c>
      <c r="Y26" s="169">
        <v>2046</v>
      </c>
      <c r="Z26" s="169">
        <v>2047</v>
      </c>
      <c r="AA26" s="169">
        <v>2048</v>
      </c>
      <c r="AB26" s="169">
        <v>2049</v>
      </c>
      <c r="AC26" s="169">
        <v>2050</v>
      </c>
    </row>
    <row r="27" spans="1:29" s="164" customFormat="1">
      <c r="A27" s="183" t="s">
        <v>353</v>
      </c>
      <c r="B27" s="183">
        <f t="shared" ref="B27:B36" si="13">+I27</f>
        <v>80205</v>
      </c>
      <c r="C27" s="183">
        <f t="shared" ref="C27:C36" si="14">+AC27</f>
        <v>236071.34</v>
      </c>
      <c r="D27" s="183">
        <v>14497.34</v>
      </c>
      <c r="E27" s="183">
        <v>28246.41</v>
      </c>
      <c r="F27" s="183">
        <v>41685.9</v>
      </c>
      <c r="G27" s="183">
        <v>54825.42</v>
      </c>
      <c r="H27" s="183">
        <v>67668.94</v>
      </c>
      <c r="I27" s="183">
        <v>80205</v>
      </c>
      <c r="J27" s="183">
        <v>91570.38</v>
      </c>
      <c r="K27" s="183">
        <v>102664.6</v>
      </c>
      <c r="L27" s="183">
        <v>112477.07</v>
      </c>
      <c r="M27" s="183">
        <v>122054.64</v>
      </c>
      <c r="N27" s="183">
        <v>131442.60999999999</v>
      </c>
      <c r="O27" s="183">
        <v>139436.91999999998</v>
      </c>
      <c r="P27" s="183">
        <v>147215.66</v>
      </c>
      <c r="Q27" s="183">
        <v>154781.68</v>
      </c>
      <c r="R27" s="183">
        <v>162136.12</v>
      </c>
      <c r="S27" s="183">
        <v>169490.29</v>
      </c>
      <c r="T27" s="183">
        <v>175994.47999999998</v>
      </c>
      <c r="U27" s="183">
        <v>182498.68</v>
      </c>
      <c r="V27" s="183">
        <v>189002.99</v>
      </c>
      <c r="W27" s="183">
        <v>195507.38</v>
      </c>
      <c r="X27" s="183">
        <v>202012.45</v>
      </c>
      <c r="Y27" s="183">
        <v>208824.23</v>
      </c>
      <c r="Z27" s="183">
        <v>215636</v>
      </c>
      <c r="AA27" s="183">
        <v>222447.78</v>
      </c>
      <c r="AB27" s="183">
        <v>229259.55</v>
      </c>
      <c r="AC27" s="183">
        <v>236071.34</v>
      </c>
    </row>
    <row r="28" spans="1:29" s="164" customFormat="1">
      <c r="A28" s="171" t="s">
        <v>339</v>
      </c>
      <c r="B28" s="183">
        <f t="shared" si="13"/>
        <v>186970</v>
      </c>
      <c r="C28" s="183">
        <f t="shared" si="14"/>
        <v>493390</v>
      </c>
      <c r="D28" s="183">
        <v>57800</v>
      </c>
      <c r="E28" s="183">
        <v>93310</v>
      </c>
      <c r="F28" s="183">
        <v>124290</v>
      </c>
      <c r="G28" s="183">
        <v>149250</v>
      </c>
      <c r="H28" s="183">
        <v>166350</v>
      </c>
      <c r="I28" s="183">
        <v>186970</v>
      </c>
      <c r="J28" s="183">
        <v>217130</v>
      </c>
      <c r="K28" s="183">
        <v>244040</v>
      </c>
      <c r="L28" s="183">
        <v>265710</v>
      </c>
      <c r="M28" s="183">
        <v>284890</v>
      </c>
      <c r="N28" s="183">
        <v>301570</v>
      </c>
      <c r="O28" s="183">
        <v>316200</v>
      </c>
      <c r="P28" s="183">
        <v>322630</v>
      </c>
      <c r="Q28" s="183">
        <v>329900</v>
      </c>
      <c r="R28" s="183">
        <v>339160</v>
      </c>
      <c r="S28" s="183">
        <v>344250</v>
      </c>
      <c r="T28" s="183">
        <v>358480</v>
      </c>
      <c r="U28" s="183">
        <v>374960</v>
      </c>
      <c r="V28" s="183">
        <v>389540</v>
      </c>
      <c r="W28" s="183">
        <v>405450</v>
      </c>
      <c r="X28" s="183">
        <v>422790</v>
      </c>
      <c r="Y28" s="183">
        <v>436860</v>
      </c>
      <c r="Z28" s="183">
        <v>451840</v>
      </c>
      <c r="AA28" s="183">
        <v>468430</v>
      </c>
      <c r="AB28" s="183">
        <v>481320</v>
      </c>
      <c r="AC28" s="183">
        <v>493390</v>
      </c>
    </row>
    <row r="29" spans="1:29" s="161" customFormat="1">
      <c r="A29" s="170" t="s">
        <v>354</v>
      </c>
      <c r="B29" s="170">
        <f t="shared" si="13"/>
        <v>177370711.92750001</v>
      </c>
      <c r="C29" s="170">
        <f t="shared" si="14"/>
        <v>1250570323.3</v>
      </c>
      <c r="D29" s="210">
        <v>15621960.264999999</v>
      </c>
      <c r="E29" s="210">
        <v>30442866.403499998</v>
      </c>
      <c r="F29" s="210">
        <v>45085655.213250004</v>
      </c>
      <c r="G29" s="210">
        <v>59555316.934999995</v>
      </c>
      <c r="H29" s="210">
        <v>73854038.349999994</v>
      </c>
      <c r="I29" s="210">
        <v>177370711.92750001</v>
      </c>
      <c r="J29" s="210">
        <v>200959555.48499998</v>
      </c>
      <c r="K29" s="210">
        <v>224259505.95749998</v>
      </c>
      <c r="L29" s="210">
        <v>245580616.31999999</v>
      </c>
      <c r="M29" s="210">
        <v>266694608.79750001</v>
      </c>
      <c r="N29" s="210">
        <v>286469202.23999995</v>
      </c>
      <c r="O29" s="210">
        <v>303295494.9375</v>
      </c>
      <c r="P29" s="210">
        <v>319922669.72250003</v>
      </c>
      <c r="Q29" s="210">
        <v>336343760.80500001</v>
      </c>
      <c r="R29" s="210">
        <v>352555688.84250003</v>
      </c>
      <c r="S29" s="210">
        <v>898379566.66250002</v>
      </c>
      <c r="T29" s="210">
        <v>932616967.21249998</v>
      </c>
      <c r="U29" s="210">
        <v>966929783.27499998</v>
      </c>
      <c r="V29" s="210">
        <v>1001283291.6374999</v>
      </c>
      <c r="W29" s="210">
        <v>1035662090.1875</v>
      </c>
      <c r="X29" s="210">
        <v>1070150709.4499999</v>
      </c>
      <c r="Y29" s="210">
        <v>1106234195.5999999</v>
      </c>
      <c r="Z29" s="210">
        <v>1142317944.425</v>
      </c>
      <c r="AA29" s="210">
        <v>1178401880.875</v>
      </c>
      <c r="AB29" s="210">
        <v>1214485884.0625</v>
      </c>
      <c r="AC29" s="210">
        <v>1250570323.3</v>
      </c>
    </row>
    <row r="30" spans="1:29" s="165" customFormat="1">
      <c r="A30" s="206" t="s">
        <v>355</v>
      </c>
      <c r="B30" s="206">
        <f t="shared" si="13"/>
        <v>901</v>
      </c>
      <c r="C30" s="206">
        <f t="shared" si="14"/>
        <v>1412</v>
      </c>
      <c r="D30" s="206">
        <v>278</v>
      </c>
      <c r="E30" s="206">
        <v>461</v>
      </c>
      <c r="F30" s="206">
        <v>600</v>
      </c>
      <c r="G30" s="206">
        <v>709</v>
      </c>
      <c r="H30" s="206">
        <v>1566</v>
      </c>
      <c r="I30" s="206">
        <v>901</v>
      </c>
      <c r="J30" s="206">
        <v>932</v>
      </c>
      <c r="K30" s="206">
        <v>1003</v>
      </c>
      <c r="L30" s="206">
        <v>1006</v>
      </c>
      <c r="M30" s="206">
        <v>2290</v>
      </c>
      <c r="N30" s="206">
        <v>1915</v>
      </c>
      <c r="O30" s="206">
        <v>1701</v>
      </c>
      <c r="P30" s="206">
        <v>1728</v>
      </c>
      <c r="Q30" s="206">
        <v>1750</v>
      </c>
      <c r="R30" s="206">
        <v>1767</v>
      </c>
      <c r="S30" s="206">
        <v>1549</v>
      </c>
      <c r="T30" s="206">
        <v>1397</v>
      </c>
      <c r="U30" s="206">
        <v>1437</v>
      </c>
      <c r="V30" s="206">
        <v>1472</v>
      </c>
      <c r="W30" s="206">
        <v>1504</v>
      </c>
      <c r="X30" s="206">
        <v>1352</v>
      </c>
      <c r="Y30" s="206">
        <v>1447</v>
      </c>
      <c r="Z30" s="206">
        <v>1480</v>
      </c>
      <c r="AA30" s="206">
        <v>1511</v>
      </c>
      <c r="AB30" s="206">
        <v>1539</v>
      </c>
      <c r="AC30" s="206">
        <v>1412</v>
      </c>
    </row>
    <row r="31" spans="1:29" s="48" customFormat="1">
      <c r="A31" s="209" t="s">
        <v>356</v>
      </c>
      <c r="B31" s="209">
        <f t="shared" si="13"/>
        <v>0.16159999999999999</v>
      </c>
      <c r="C31" s="209">
        <f t="shared" si="14"/>
        <v>0.16159999999999999</v>
      </c>
      <c r="D31" s="209">
        <v>0.16159999999999999</v>
      </c>
      <c r="E31" s="209">
        <v>0.16159999999999999</v>
      </c>
      <c r="F31" s="209">
        <v>0.16159999999999999</v>
      </c>
      <c r="G31" s="209">
        <v>0.16159999999999999</v>
      </c>
      <c r="H31" s="209">
        <v>0.16159999999999999</v>
      </c>
      <c r="I31" s="209">
        <v>0.16159999999999999</v>
      </c>
      <c r="J31" s="209">
        <v>0.16159999999999999</v>
      </c>
      <c r="K31" s="209">
        <v>0.16159999999999999</v>
      </c>
      <c r="L31" s="209">
        <v>0.16159999999999999</v>
      </c>
      <c r="M31" s="209">
        <v>0.16159999999999999</v>
      </c>
      <c r="N31" s="209">
        <v>0.16159999999999999</v>
      </c>
      <c r="O31" s="209">
        <v>0.16159999999999999</v>
      </c>
      <c r="P31" s="209">
        <v>0.16159999999999999</v>
      </c>
      <c r="Q31" s="209">
        <v>0.16159999999999999</v>
      </c>
      <c r="R31" s="209">
        <v>0.16159999999999999</v>
      </c>
      <c r="S31" s="209">
        <v>0.16159999999999999</v>
      </c>
      <c r="T31" s="209">
        <v>0.16159999999999999</v>
      </c>
      <c r="U31" s="209">
        <v>0.16159999999999999</v>
      </c>
      <c r="V31" s="209">
        <v>0.16159999999999999</v>
      </c>
      <c r="W31" s="209">
        <v>0.16159999999999999</v>
      </c>
      <c r="X31" s="209">
        <v>0.16159999999999999</v>
      </c>
      <c r="Y31" s="209">
        <v>0.16159999999999999</v>
      </c>
      <c r="Z31" s="209">
        <v>0.16159999999999999</v>
      </c>
      <c r="AA31" s="209">
        <v>0.16159999999999999</v>
      </c>
      <c r="AB31" s="209">
        <v>0.16159999999999999</v>
      </c>
      <c r="AC31" s="209">
        <v>0.16159999999999999</v>
      </c>
    </row>
    <row r="32" spans="1:29" s="207" customFormat="1">
      <c r="A32" s="208" t="s">
        <v>344</v>
      </c>
      <c r="B32" s="208">
        <f t="shared" si="13"/>
        <v>-40805364</v>
      </c>
      <c r="C32" s="208">
        <f t="shared" si="14"/>
        <v>-142512396</v>
      </c>
      <c r="D32" s="208">
        <v>-12673772</v>
      </c>
      <c r="E32" s="208">
        <v>-16898363</v>
      </c>
      <c r="F32" s="208">
        <v>-21122954</v>
      </c>
      <c r="G32" s="208">
        <v>-25347544</v>
      </c>
      <c r="H32" s="208">
        <v>-33076454</v>
      </c>
      <c r="I32" s="208">
        <v>-40805364</v>
      </c>
      <c r="J32" s="208">
        <v>-48534274</v>
      </c>
      <c r="K32" s="208">
        <v>-56263184</v>
      </c>
      <c r="L32" s="208">
        <v>-63992094</v>
      </c>
      <c r="M32" s="208">
        <v>-71721004</v>
      </c>
      <c r="N32" s="208">
        <v>-79449914</v>
      </c>
      <c r="O32" s="208">
        <v>-83654079</v>
      </c>
      <c r="P32" s="208">
        <v>-87858245</v>
      </c>
      <c r="Q32" s="208">
        <v>-92062410</v>
      </c>
      <c r="R32" s="208">
        <v>-96266576</v>
      </c>
      <c r="S32" s="208">
        <v>-100470741</v>
      </c>
      <c r="T32" s="208">
        <v>-104674907</v>
      </c>
      <c r="U32" s="208">
        <v>-108879072</v>
      </c>
      <c r="V32" s="208">
        <v>-113083238</v>
      </c>
      <c r="W32" s="208">
        <v>-117287403</v>
      </c>
      <c r="X32" s="208">
        <v>-121491569</v>
      </c>
      <c r="Y32" s="208">
        <v>-125695734</v>
      </c>
      <c r="Z32" s="208">
        <v>-129899899</v>
      </c>
      <c r="AA32" s="208">
        <v>-134104065</v>
      </c>
      <c r="AB32" s="208">
        <v>-138308230</v>
      </c>
      <c r="AC32" s="208">
        <v>-142512396</v>
      </c>
    </row>
    <row r="33" spans="1:29" s="165" customFormat="1">
      <c r="A33" s="206" t="s">
        <v>345</v>
      </c>
      <c r="B33" s="206">
        <f t="shared" si="13"/>
        <v>-99.189403999999996</v>
      </c>
      <c r="C33" s="206">
        <f t="shared" si="14"/>
        <v>-379.39529299999998</v>
      </c>
      <c r="D33" s="206">
        <v>-25.218653</v>
      </c>
      <c r="E33" s="206">
        <v>-37.078170999999998</v>
      </c>
      <c r="F33" s="206">
        <v>-50.361780000000003</v>
      </c>
      <c r="G33" s="206">
        <v>-64.659672999999998</v>
      </c>
      <c r="H33" s="206">
        <v>-79.061477999999994</v>
      </c>
      <c r="I33" s="206">
        <v>-99.189403999999996</v>
      </c>
      <c r="J33" s="206">
        <v>-118.644278</v>
      </c>
      <c r="K33" s="206">
        <v>-137.76785699999999</v>
      </c>
      <c r="L33" s="206">
        <v>-155.28035800000001</v>
      </c>
      <c r="M33" s="206">
        <v>-172.69067100000001</v>
      </c>
      <c r="N33" s="206">
        <v>-190.06209999999999</v>
      </c>
      <c r="O33" s="206">
        <v>-206.90147099999999</v>
      </c>
      <c r="P33" s="206">
        <v>-218.94552400000001</v>
      </c>
      <c r="Q33" s="206">
        <v>-232.73562999999999</v>
      </c>
      <c r="R33" s="206">
        <v>-249.911767</v>
      </c>
      <c r="S33" s="206">
        <v>-265.159605</v>
      </c>
      <c r="T33" s="206">
        <v>-275.56615299999999</v>
      </c>
      <c r="U33" s="206">
        <v>-288.07107000000002</v>
      </c>
      <c r="V33" s="206">
        <v>-299.17370699999998</v>
      </c>
      <c r="W33" s="206">
        <v>-311.42375700000002</v>
      </c>
      <c r="X33" s="206">
        <v>-325.12723399999999</v>
      </c>
      <c r="Y33" s="206">
        <v>-335.85908499999999</v>
      </c>
      <c r="Z33" s="206">
        <v>-347.44975799999997</v>
      </c>
      <c r="AA33" s="206">
        <v>-360.53757300000001</v>
      </c>
      <c r="AB33" s="206">
        <v>-370.25842999999998</v>
      </c>
      <c r="AC33" s="206">
        <v>-379.39529299999998</v>
      </c>
    </row>
    <row r="34" spans="1:29" s="165" customFormat="1">
      <c r="A34" s="206" t="s">
        <v>347</v>
      </c>
      <c r="B34" s="206">
        <f t="shared" si="13"/>
        <v>-35.735847999999997</v>
      </c>
      <c r="C34" s="206">
        <f t="shared" si="14"/>
        <v>-123.959723</v>
      </c>
      <c r="D34" s="206">
        <v>-9.5464640000000003</v>
      </c>
      <c r="E34" s="206">
        <v>-13.72528</v>
      </c>
      <c r="F34" s="206">
        <v>-18.425791</v>
      </c>
      <c r="G34" s="206">
        <v>-23.496195</v>
      </c>
      <c r="H34" s="206">
        <v>-28.658429000000002</v>
      </c>
      <c r="I34" s="206">
        <v>-35.735847999999997</v>
      </c>
      <c r="J34" s="206">
        <v>-42.540328000000002</v>
      </c>
      <c r="K34" s="206">
        <v>-49.275773000000001</v>
      </c>
      <c r="L34" s="206">
        <v>-55.276110000000003</v>
      </c>
      <c r="M34" s="206">
        <v>-61.223497999999999</v>
      </c>
      <c r="N34" s="206">
        <v>-67.134851999999995</v>
      </c>
      <c r="O34" s="206">
        <v>-72.665706</v>
      </c>
      <c r="P34" s="206">
        <v>-76.550544000000002</v>
      </c>
      <c r="Q34" s="206">
        <v>-81.011150999999998</v>
      </c>
      <c r="R34" s="206">
        <v>-86.495131999999998</v>
      </c>
      <c r="S34" s="206">
        <v>-91.287846000000002</v>
      </c>
      <c r="T34" s="206">
        <v>-94.419207</v>
      </c>
      <c r="U34" s="206">
        <v>-98.180978999999994</v>
      </c>
      <c r="V34" s="206">
        <v>-101.379831</v>
      </c>
      <c r="W34" s="206">
        <v>-104.952956</v>
      </c>
      <c r="X34" s="206">
        <v>-109.045027</v>
      </c>
      <c r="Y34" s="206">
        <v>-111.942159</v>
      </c>
      <c r="Z34" s="206">
        <v>-115.211456</v>
      </c>
      <c r="AA34" s="206">
        <v>-118.790578</v>
      </c>
      <c r="AB34" s="206">
        <v>-121.569136</v>
      </c>
      <c r="AC34" s="206">
        <v>-123.959723</v>
      </c>
    </row>
    <row r="35" spans="1:29" s="165" customFormat="1">
      <c r="A35" s="206" t="s">
        <v>346</v>
      </c>
      <c r="B35" s="206">
        <f t="shared" si="13"/>
        <v>-130.38288299999999</v>
      </c>
      <c r="C35" s="206">
        <f t="shared" si="14"/>
        <v>-538.01091699999995</v>
      </c>
      <c r="D35" s="206">
        <v>-19.170199</v>
      </c>
      <c r="E35" s="206">
        <v>-38.743558999999998</v>
      </c>
      <c r="F35" s="206">
        <v>-59.546106000000002</v>
      </c>
      <c r="G35" s="206">
        <v>-80.000746000000007</v>
      </c>
      <c r="H35" s="206">
        <v>-96.530708000000004</v>
      </c>
      <c r="I35" s="206">
        <v>-130.38288299999999</v>
      </c>
      <c r="J35" s="206">
        <v>-160.54074800000001</v>
      </c>
      <c r="K35" s="206">
        <v>-190.32315500000001</v>
      </c>
      <c r="L35" s="206">
        <v>-215.250912</v>
      </c>
      <c r="M35" s="206">
        <v>-240.511594</v>
      </c>
      <c r="N35" s="206">
        <v>-267.17794400000002</v>
      </c>
      <c r="O35" s="206">
        <v>-293.86228299999999</v>
      </c>
      <c r="P35" s="206">
        <v>-306.50346100000002</v>
      </c>
      <c r="Q35" s="206">
        <v>-322.979085</v>
      </c>
      <c r="R35" s="206">
        <v>-353.40986099999998</v>
      </c>
      <c r="S35" s="206">
        <v>-377.73644999999999</v>
      </c>
      <c r="T35" s="206">
        <v>-385.96983699999998</v>
      </c>
      <c r="U35" s="206">
        <v>-401.763351</v>
      </c>
      <c r="V35" s="206">
        <v>-416.431738</v>
      </c>
      <c r="W35" s="206">
        <v>-434.27044000000001</v>
      </c>
      <c r="X35" s="206">
        <v>-458.63507399999997</v>
      </c>
      <c r="Y35" s="206">
        <v>-473.070853</v>
      </c>
      <c r="Z35" s="206">
        <v>-490.93853300000001</v>
      </c>
      <c r="AA35" s="206">
        <v>-513.99194199999999</v>
      </c>
      <c r="AB35" s="206">
        <v>-526.04828699999996</v>
      </c>
      <c r="AC35" s="206">
        <v>-538.01091699999995</v>
      </c>
    </row>
    <row r="36" spans="1:29" s="165" customFormat="1">
      <c r="A36" s="206" t="s">
        <v>348</v>
      </c>
      <c r="B36" s="206">
        <f t="shared" si="13"/>
        <v>-603.21209699999997</v>
      </c>
      <c r="C36" s="206">
        <f t="shared" si="14"/>
        <v>-2496.1385869999999</v>
      </c>
      <c r="D36" s="206">
        <v>-86.198082999999997</v>
      </c>
      <c r="E36" s="206">
        <v>-177.46462099999999</v>
      </c>
      <c r="F36" s="206">
        <v>-274.30060900000001</v>
      </c>
      <c r="G36" s="206">
        <v>-369.22950800000001</v>
      </c>
      <c r="H36" s="206">
        <v>-445.27829700000001</v>
      </c>
      <c r="I36" s="206">
        <v>-603.21209699999997</v>
      </c>
      <c r="J36" s="206">
        <v>-743.55408599999998</v>
      </c>
      <c r="K36" s="206">
        <v>-882.16978700000004</v>
      </c>
      <c r="L36" s="206">
        <v>-997.837357</v>
      </c>
      <c r="M36" s="206">
        <v>-1115.128449</v>
      </c>
      <c r="N36" s="206">
        <v>-1239.184964</v>
      </c>
      <c r="O36" s="206">
        <v>-1363.451057</v>
      </c>
      <c r="P36" s="206">
        <v>-1421.3683960000001</v>
      </c>
      <c r="Q36" s="206">
        <v>-1497.299906</v>
      </c>
      <c r="R36" s="206">
        <v>-1639.488781</v>
      </c>
      <c r="S36" s="206">
        <v>-1752.7994329999999</v>
      </c>
      <c r="T36" s="206">
        <v>-1789.923522</v>
      </c>
      <c r="U36" s="206">
        <v>-1862.8814620000001</v>
      </c>
      <c r="V36" s="206">
        <v>-1930.7606049999999</v>
      </c>
      <c r="W36" s="206">
        <v>-2013.6026400000001</v>
      </c>
      <c r="X36" s="206">
        <v>-2127.458443</v>
      </c>
      <c r="Y36" s="206">
        <v>-2194.3073570000001</v>
      </c>
      <c r="Z36" s="206">
        <v>-2277.4436879999998</v>
      </c>
      <c r="AA36" s="206">
        <v>-2385.1457559999999</v>
      </c>
      <c r="AB36" s="206">
        <v>-2440.8002470000001</v>
      </c>
      <c r="AC36" s="206">
        <v>-2496.1385869999999</v>
      </c>
    </row>
    <row r="37" spans="1:29" s="165" customFormat="1"/>
    <row r="38" spans="1:29" s="165" customFormat="1" ht="15.6">
      <c r="A38" s="205" t="s">
        <v>357</v>
      </c>
      <c r="B38" s="171"/>
      <c r="C38" s="171"/>
      <c r="D38" s="204"/>
      <c r="E38" s="605">
        <f t="shared" ref="E38:AC38" si="15">+E39/D39</f>
        <v>0.82856277296292702</v>
      </c>
      <c r="F38" s="605">
        <f t="shared" si="15"/>
        <v>0.90257245382848816</v>
      </c>
      <c r="G38" s="605">
        <f t="shared" si="15"/>
        <v>0.91303067094134671</v>
      </c>
      <c r="H38" s="605">
        <f t="shared" si="15"/>
        <v>0.90302767277033114</v>
      </c>
      <c r="I38" s="605">
        <f t="shared" si="15"/>
        <v>0.94828100915959523</v>
      </c>
      <c r="J38" s="605">
        <f t="shared" si="15"/>
        <v>1.0171718462158406</v>
      </c>
      <c r="K38" s="605">
        <f t="shared" si="15"/>
        <v>1.0024794552646592</v>
      </c>
      <c r="L38" s="605">
        <f t="shared" si="15"/>
        <v>0.9938105617698848</v>
      </c>
      <c r="M38" s="605">
        <f t="shared" si="15"/>
        <v>0.98805019061042532</v>
      </c>
      <c r="N38" s="605">
        <f t="shared" si="15"/>
        <v>0.98294462179171072</v>
      </c>
      <c r="O38" s="605">
        <f t="shared" si="15"/>
        <v>0.98839860224437126</v>
      </c>
      <c r="P38" s="605">
        <f t="shared" si="15"/>
        <v>0.96642165622542642</v>
      </c>
      <c r="Q38" s="605">
        <f t="shared" si="15"/>
        <v>0.97255018671316329</v>
      </c>
      <c r="R38" s="605">
        <f t="shared" si="15"/>
        <v>0.98143624189706968</v>
      </c>
      <c r="S38" s="605">
        <f t="shared" si="15"/>
        <v>0.97096656531314085</v>
      </c>
      <c r="T38" s="605">
        <f t="shared" si="15"/>
        <v>1.0028517996692554</v>
      </c>
      <c r="U38" s="605">
        <f t="shared" si="15"/>
        <v>1.008693746934934</v>
      </c>
      <c r="V38" s="605">
        <f t="shared" si="15"/>
        <v>1.0031322023935487</v>
      </c>
      <c r="W38" s="605">
        <f t="shared" si="15"/>
        <v>1.0062149456830887</v>
      </c>
      <c r="X38" s="605">
        <f t="shared" si="15"/>
        <v>1.0091887995613622</v>
      </c>
      <c r="Y38" s="605">
        <f t="shared" si="15"/>
        <v>0.99957370248186406</v>
      </c>
      <c r="Z38" s="605">
        <f t="shared" si="15"/>
        <v>1.0016177567490228</v>
      </c>
      <c r="AA38" s="605">
        <f t="shared" si="15"/>
        <v>1.0049702772276221</v>
      </c>
      <c r="AB38" s="605">
        <f t="shared" si="15"/>
        <v>0.99698780744134952</v>
      </c>
      <c r="AC38" s="605">
        <f t="shared" si="15"/>
        <v>0.99549848946230746</v>
      </c>
    </row>
    <row r="39" spans="1:29" s="199" customFormat="1">
      <c r="A39" s="201" t="s">
        <v>339</v>
      </c>
      <c r="B39" s="202">
        <f t="shared" ref="B39:AC39" si="16">+B28/B27</f>
        <v>2.3311514244747835</v>
      </c>
      <c r="C39" s="202">
        <f t="shared" si="16"/>
        <v>2.090003809865272</v>
      </c>
      <c r="D39" s="202">
        <f t="shared" si="16"/>
        <v>3.9869382935076367</v>
      </c>
      <c r="E39" s="202">
        <f t="shared" si="16"/>
        <v>3.3034286481007675</v>
      </c>
      <c r="F39" s="202">
        <f t="shared" si="16"/>
        <v>2.9815837009636352</v>
      </c>
      <c r="G39" s="202">
        <f t="shared" si="16"/>
        <v>2.7222773669586116</v>
      </c>
      <c r="H39" s="202">
        <f t="shared" si="16"/>
        <v>2.4582917953199797</v>
      </c>
      <c r="I39" s="202">
        <f t="shared" si="16"/>
        <v>2.3311514244747835</v>
      </c>
      <c r="J39" s="202">
        <f t="shared" si="16"/>
        <v>2.3711815982417019</v>
      </c>
      <c r="K39" s="202">
        <f t="shared" si="16"/>
        <v>2.3770608369389254</v>
      </c>
      <c r="L39" s="202">
        <f t="shared" si="16"/>
        <v>2.362348165719466</v>
      </c>
      <c r="M39" s="202">
        <f t="shared" si="16"/>
        <v>2.334118555427307</v>
      </c>
      <c r="N39" s="202">
        <f t="shared" si="16"/>
        <v>2.2943092806815084</v>
      </c>
      <c r="O39" s="202">
        <f t="shared" si="16"/>
        <v>2.2676920861418917</v>
      </c>
      <c r="P39" s="202">
        <f t="shared" si="16"/>
        <v>2.1915467416985392</v>
      </c>
      <c r="Q39" s="202">
        <f t="shared" si="16"/>
        <v>2.131389192829539</v>
      </c>
      <c r="R39" s="202">
        <f t="shared" si="16"/>
        <v>2.0918225994306514</v>
      </c>
      <c r="S39" s="202">
        <f t="shared" si="16"/>
        <v>2.0310898046135857</v>
      </c>
      <c r="T39" s="202">
        <f t="shared" si="16"/>
        <v>2.0368820658466107</v>
      </c>
      <c r="U39" s="202">
        <f t="shared" si="16"/>
        <v>2.0545902030633867</v>
      </c>
      <c r="V39" s="202">
        <f t="shared" si="16"/>
        <v>2.0610255954151837</v>
      </c>
      <c r="W39" s="202">
        <f t="shared" si="16"/>
        <v>2.0738347575421447</v>
      </c>
      <c r="X39" s="202">
        <f t="shared" si="16"/>
        <v>2.0928908094525855</v>
      </c>
      <c r="Y39" s="202">
        <f t="shared" si="16"/>
        <v>2.0919986152947865</v>
      </c>
      <c r="Z39" s="202">
        <f t="shared" si="16"/>
        <v>2.0953829601736258</v>
      </c>
      <c r="AA39" s="202">
        <f t="shared" si="16"/>
        <v>2.1057975943837244</v>
      </c>
      <c r="AB39" s="202">
        <f t="shared" si="16"/>
        <v>2.0994545265398976</v>
      </c>
      <c r="AC39" s="202">
        <f t="shared" si="16"/>
        <v>2.090003809865272</v>
      </c>
    </row>
    <row r="40" spans="1:29" s="199" customFormat="1">
      <c r="A40" s="201" t="s">
        <v>354</v>
      </c>
      <c r="B40" s="200">
        <f t="shared" ref="B40:AC40" si="17">+B29/B27</f>
        <v>2211.4670148681503</v>
      </c>
      <c r="C40" s="200">
        <f t="shared" si="17"/>
        <v>5297.4254447829198</v>
      </c>
      <c r="D40" s="200">
        <f t="shared" si="17"/>
        <v>1077.5742491381177</v>
      </c>
      <c r="E40" s="200">
        <f t="shared" si="17"/>
        <v>1077.7605509337293</v>
      </c>
      <c r="F40" s="200">
        <f t="shared" si="17"/>
        <v>1081.5564786474563</v>
      </c>
      <c r="G40" s="200">
        <f t="shared" si="17"/>
        <v>1086.2719690063477</v>
      </c>
      <c r="H40" s="200">
        <f t="shared" si="17"/>
        <v>1091.4023235771092</v>
      </c>
      <c r="I40" s="200">
        <f t="shared" si="17"/>
        <v>2211.4670148681503</v>
      </c>
      <c r="J40" s="200">
        <f t="shared" si="17"/>
        <v>2194.5912584942857</v>
      </c>
      <c r="K40" s="200">
        <f t="shared" si="17"/>
        <v>2184.3898087315392</v>
      </c>
      <c r="L40" s="200">
        <f t="shared" si="17"/>
        <v>2183.3838338783185</v>
      </c>
      <c r="M40" s="200">
        <f t="shared" si="17"/>
        <v>2185.0427709876494</v>
      </c>
      <c r="N40" s="200">
        <f t="shared" si="17"/>
        <v>2179.4241778978671</v>
      </c>
      <c r="O40" s="200">
        <f t="shared" si="17"/>
        <v>2175.144824896448</v>
      </c>
      <c r="P40" s="200">
        <f t="shared" si="17"/>
        <v>2173.1565087742706</v>
      </c>
      <c r="Q40" s="200">
        <f t="shared" si="17"/>
        <v>2173.020481525979</v>
      </c>
      <c r="R40" s="200">
        <f t="shared" si="17"/>
        <v>2174.4426155165179</v>
      </c>
      <c r="S40" s="200">
        <f t="shared" si="17"/>
        <v>5300.4780784934637</v>
      </c>
      <c r="T40" s="200">
        <f t="shared" si="17"/>
        <v>5299.1262408485773</v>
      </c>
      <c r="U40" s="200">
        <f t="shared" si="17"/>
        <v>5298.2837096410776</v>
      </c>
      <c r="V40" s="200">
        <f t="shared" si="17"/>
        <v>5297.7113834945148</v>
      </c>
      <c r="W40" s="200">
        <f t="shared" si="17"/>
        <v>5297.3043277829202</v>
      </c>
      <c r="X40" s="200">
        <f t="shared" si="17"/>
        <v>5297.4492881503093</v>
      </c>
      <c r="Y40" s="200">
        <f t="shared" si="17"/>
        <v>5297.4417556813205</v>
      </c>
      <c r="Z40" s="200">
        <f t="shared" si="17"/>
        <v>5297.4361629087907</v>
      </c>
      <c r="AA40" s="200">
        <f t="shared" si="17"/>
        <v>5297.4315179724426</v>
      </c>
      <c r="AB40" s="200">
        <f t="shared" si="17"/>
        <v>5297.427671224601</v>
      </c>
      <c r="AC40" s="200">
        <f t="shared" si="17"/>
        <v>5297.4254447829198</v>
      </c>
    </row>
    <row r="41" spans="1:29" s="165" customFormat="1">
      <c r="A41" s="195" t="s">
        <v>343</v>
      </c>
      <c r="B41" s="198">
        <f t="shared" ref="B41:AC41" si="18">+B30/B27</f>
        <v>1.1233713608877252E-2</v>
      </c>
      <c r="C41" s="198">
        <f t="shared" si="18"/>
        <v>5.9812427887264924E-3</v>
      </c>
      <c r="D41" s="198">
        <f t="shared" si="18"/>
        <v>1.9175931584690709E-2</v>
      </c>
      <c r="E41" s="198">
        <f t="shared" si="18"/>
        <v>1.6320658094249853E-2</v>
      </c>
      <c r="F41" s="198">
        <f t="shared" si="18"/>
        <v>1.4393356026858001E-2</v>
      </c>
      <c r="G41" s="198">
        <f t="shared" si="18"/>
        <v>1.2931957475200373E-2</v>
      </c>
      <c r="H41" s="198">
        <f t="shared" si="18"/>
        <v>2.3142079660180875E-2</v>
      </c>
      <c r="I41" s="198">
        <f t="shared" si="18"/>
        <v>1.1233713608877252E-2</v>
      </c>
      <c r="J41" s="198">
        <f t="shared" si="18"/>
        <v>1.0177963660301508E-2</v>
      </c>
      <c r="K41" s="198">
        <f t="shared" si="18"/>
        <v>9.7696771818134003E-3</v>
      </c>
      <c r="L41" s="198">
        <f t="shared" si="18"/>
        <v>8.9440452173940865E-3</v>
      </c>
      <c r="M41" s="198">
        <f t="shared" si="18"/>
        <v>1.8762088848076567E-2</v>
      </c>
      <c r="N41" s="198">
        <f t="shared" si="18"/>
        <v>1.4569095972759519E-2</v>
      </c>
      <c r="O41" s="198">
        <f t="shared" si="18"/>
        <v>1.2199064637973933E-2</v>
      </c>
      <c r="P41" s="198">
        <f t="shared" si="18"/>
        <v>1.173788169003216E-2</v>
      </c>
      <c r="Q41" s="198">
        <f t="shared" si="18"/>
        <v>1.1306247612766575E-2</v>
      </c>
      <c r="R41" s="198">
        <f t="shared" si="18"/>
        <v>1.0898250186324922E-2</v>
      </c>
      <c r="S41" s="198">
        <f t="shared" si="18"/>
        <v>9.1391666153854585E-3</v>
      </c>
      <c r="T41" s="198">
        <f t="shared" si="18"/>
        <v>7.937748956671823E-3</v>
      </c>
      <c r="U41" s="198">
        <f t="shared" si="18"/>
        <v>7.874029554624724E-3</v>
      </c>
      <c r="V41" s="198">
        <f t="shared" si="18"/>
        <v>7.7882365776329784E-3</v>
      </c>
      <c r="W41" s="198">
        <f t="shared" si="18"/>
        <v>7.6928042307149733E-3</v>
      </c>
      <c r="X41" s="198">
        <f t="shared" si="18"/>
        <v>6.6926568139735942E-3</v>
      </c>
      <c r="Y41" s="198">
        <f t="shared" si="18"/>
        <v>6.9292725274265341E-3</v>
      </c>
      <c r="Z41" s="198">
        <f t="shared" si="18"/>
        <v>6.8634179821551134E-3</v>
      </c>
      <c r="AA41" s="198">
        <f t="shared" si="18"/>
        <v>6.7926054375548276E-3</v>
      </c>
      <c r="AB41" s="198">
        <f t="shared" si="18"/>
        <v>6.7129155579342282E-3</v>
      </c>
      <c r="AC41" s="198">
        <f t="shared" si="18"/>
        <v>5.9812427887264924E-3</v>
      </c>
    </row>
    <row r="42" spans="1:29" s="165" customFormat="1">
      <c r="A42" s="197" t="s">
        <v>344</v>
      </c>
      <c r="B42" s="196">
        <f>-B32/B27</f>
        <v>508.76334393117634</v>
      </c>
      <c r="C42" s="196">
        <f>-C32/C$27</f>
        <v>603.68359835632737</v>
      </c>
      <c r="D42" s="196">
        <f t="shared" ref="D42:AC42" si="19">-D32/D27</f>
        <v>874.21361435959977</v>
      </c>
      <c r="E42" s="196">
        <f t="shared" si="19"/>
        <v>598.24816675818272</v>
      </c>
      <c r="F42" s="196">
        <f t="shared" si="19"/>
        <v>506.71699543490723</v>
      </c>
      <c r="G42" s="196">
        <f t="shared" si="19"/>
        <v>462.33196207160842</v>
      </c>
      <c r="H42" s="196">
        <f t="shared" si="19"/>
        <v>488.79816944080989</v>
      </c>
      <c r="I42" s="196">
        <f t="shared" si="19"/>
        <v>508.76334393117634</v>
      </c>
      <c r="J42" s="196">
        <f t="shared" si="19"/>
        <v>530.02154190033934</v>
      </c>
      <c r="K42" s="196">
        <f t="shared" si="19"/>
        <v>548.02905772778536</v>
      </c>
      <c r="L42" s="196">
        <f t="shared" si="19"/>
        <v>568.93457484267674</v>
      </c>
      <c r="M42" s="196">
        <f t="shared" si="19"/>
        <v>587.61390800054801</v>
      </c>
      <c r="N42" s="196">
        <f t="shared" si="19"/>
        <v>604.44565122375468</v>
      </c>
      <c r="O42" s="196">
        <f t="shared" si="19"/>
        <v>599.94210285195641</v>
      </c>
      <c r="P42" s="196">
        <f t="shared" si="19"/>
        <v>596.79958640269649</v>
      </c>
      <c r="Q42" s="196">
        <f t="shared" si="19"/>
        <v>594.78880187887876</v>
      </c>
      <c r="R42" s="196">
        <f t="shared" si="19"/>
        <v>593.73923589635672</v>
      </c>
      <c r="S42" s="196">
        <f t="shared" si="19"/>
        <v>592.781692685758</v>
      </c>
      <c r="T42" s="196">
        <f t="shared" si="19"/>
        <v>594.76244368573384</v>
      </c>
      <c r="U42" s="196">
        <f t="shared" si="19"/>
        <v>596.60196994301555</v>
      </c>
      <c r="V42" s="196">
        <f t="shared" si="19"/>
        <v>598.31454518259216</v>
      </c>
      <c r="W42" s="196">
        <f t="shared" si="19"/>
        <v>599.91291888827925</v>
      </c>
      <c r="X42" s="196">
        <f t="shared" si="19"/>
        <v>601.40634401493571</v>
      </c>
      <c r="Y42" s="196">
        <f t="shared" si="19"/>
        <v>601.92121383615302</v>
      </c>
      <c r="Z42" s="196">
        <f t="shared" si="19"/>
        <v>602.40358288968446</v>
      </c>
      <c r="AA42" s="196">
        <f t="shared" si="19"/>
        <v>602.85638723838917</v>
      </c>
      <c r="AB42" s="196">
        <f t="shared" si="19"/>
        <v>603.2823060151693</v>
      </c>
      <c r="AC42" s="196">
        <f t="shared" si="19"/>
        <v>603.68359835632737</v>
      </c>
    </row>
    <row r="43" spans="1:29" s="165" customFormat="1">
      <c r="A43" s="195" t="s">
        <v>345</v>
      </c>
      <c r="B43" s="194">
        <f>-B33/$B$27</f>
        <v>1.2366985100679508E-3</v>
      </c>
      <c r="C43" s="194">
        <f>-C33/C$27</f>
        <v>1.6071213600092242E-3</v>
      </c>
      <c r="D43" s="194">
        <f t="shared" ref="D43:AC43" si="20">-D33/D$27</f>
        <v>1.7395365632591909E-3</v>
      </c>
      <c r="E43" s="194">
        <f t="shared" si="20"/>
        <v>1.3126684417595015E-3</v>
      </c>
      <c r="F43" s="194">
        <f t="shared" si="20"/>
        <v>1.2081250494771613E-3</v>
      </c>
      <c r="G43" s="194">
        <f t="shared" si="20"/>
        <v>1.1793739655801998E-3</v>
      </c>
      <c r="H43" s="194">
        <f t="shared" si="20"/>
        <v>1.1683569744110073E-3</v>
      </c>
      <c r="I43" s="194">
        <f t="shared" si="20"/>
        <v>1.2366985100679508E-3</v>
      </c>
      <c r="J43" s="194">
        <f t="shared" si="20"/>
        <v>1.2956621780973278E-3</v>
      </c>
      <c r="K43" s="194">
        <f t="shared" si="20"/>
        <v>1.3419217237489844E-3</v>
      </c>
      <c r="L43" s="194">
        <f t="shared" si="20"/>
        <v>1.3805512359096835E-3</v>
      </c>
      <c r="M43" s="194">
        <f t="shared" si="20"/>
        <v>1.4148636299283666E-3</v>
      </c>
      <c r="N43" s="194">
        <f t="shared" si="20"/>
        <v>1.4459702222894084E-3</v>
      </c>
      <c r="O43" s="194">
        <f t="shared" si="20"/>
        <v>1.4838356369317395E-3</v>
      </c>
      <c r="P43" s="194">
        <f t="shared" si="20"/>
        <v>1.48724343592251E-3</v>
      </c>
      <c r="Q43" s="194">
        <f t="shared" si="20"/>
        <v>1.5036380920532713E-3</v>
      </c>
      <c r="R43" s="194">
        <f t="shared" si="20"/>
        <v>1.5413700969284328E-3</v>
      </c>
      <c r="S43" s="194">
        <f t="shared" si="20"/>
        <v>1.5644530727984475E-3</v>
      </c>
      <c r="T43" s="194">
        <f t="shared" si="20"/>
        <v>1.5657658865209864E-3</v>
      </c>
      <c r="U43" s="194">
        <f t="shared" si="20"/>
        <v>1.5784830334115295E-3</v>
      </c>
      <c r="V43" s="194">
        <f t="shared" si="20"/>
        <v>1.5829046249479968E-3</v>
      </c>
      <c r="W43" s="194">
        <f t="shared" si="20"/>
        <v>1.5929002628954467E-3</v>
      </c>
      <c r="X43" s="194">
        <f t="shared" si="20"/>
        <v>1.6094415665965141E-3</v>
      </c>
      <c r="Y43" s="194">
        <f t="shared" si="20"/>
        <v>1.6083338844347706E-3</v>
      </c>
      <c r="Z43" s="194">
        <f t="shared" si="20"/>
        <v>1.6112789979409745E-3</v>
      </c>
      <c r="AA43" s="194">
        <f t="shared" si="20"/>
        <v>1.6207739767059037E-3</v>
      </c>
      <c r="AB43" s="194">
        <f t="shared" si="20"/>
        <v>1.6150185673835615E-3</v>
      </c>
      <c r="AC43" s="194">
        <f t="shared" si="20"/>
        <v>1.6071213600092242E-3</v>
      </c>
    </row>
    <row r="44" spans="1:29" s="165" customFormat="1">
      <c r="A44" s="195" t="s">
        <v>346</v>
      </c>
      <c r="B44" s="194">
        <f>-B35/$B$27</f>
        <v>1.6256203852627641E-3</v>
      </c>
      <c r="C44" s="194">
        <f>-C34/C$27</f>
        <v>5.2509433377215546E-4</v>
      </c>
      <c r="D44" s="194">
        <f t="shared" ref="D44:AC44" si="21">-D34/D$27</f>
        <v>6.5849762784069357E-4</v>
      </c>
      <c r="E44" s="194">
        <f t="shared" si="21"/>
        <v>4.8591236904087985E-4</v>
      </c>
      <c r="F44" s="194">
        <f t="shared" si="21"/>
        <v>4.4201494989912655E-4</v>
      </c>
      <c r="G44" s="194">
        <f t="shared" si="21"/>
        <v>4.2856388514670753E-4</v>
      </c>
      <c r="H44" s="194">
        <f t="shared" si="21"/>
        <v>4.2350935303552857E-4</v>
      </c>
      <c r="I44" s="194">
        <f t="shared" si="21"/>
        <v>4.4555636182282897E-4</v>
      </c>
      <c r="J44" s="194">
        <f t="shared" si="21"/>
        <v>4.6456428377822612E-4</v>
      </c>
      <c r="K44" s="194">
        <f t="shared" si="21"/>
        <v>4.799684896254405E-4</v>
      </c>
      <c r="L44" s="194">
        <f t="shared" si="21"/>
        <v>4.9144336707917439E-4</v>
      </c>
      <c r="M44" s="194">
        <f t="shared" si="21"/>
        <v>5.0160729653538777E-4</v>
      </c>
      <c r="N44" s="194">
        <f t="shared" si="21"/>
        <v>5.1075410021149154E-4</v>
      </c>
      <c r="O44" s="194">
        <f t="shared" si="21"/>
        <v>5.2113676922869502E-4</v>
      </c>
      <c r="P44" s="194">
        <f t="shared" si="21"/>
        <v>5.199891370252322E-4</v>
      </c>
      <c r="Q44" s="194">
        <f t="shared" si="21"/>
        <v>5.233897900578415E-4</v>
      </c>
      <c r="R44" s="194">
        <f t="shared" si="21"/>
        <v>5.3347231943135193E-4</v>
      </c>
      <c r="S44" s="194">
        <f t="shared" si="21"/>
        <v>5.3860221727156164E-4</v>
      </c>
      <c r="T44" s="194">
        <f t="shared" si="21"/>
        <v>5.3648959330997203E-4</v>
      </c>
      <c r="U44" s="194">
        <f t="shared" si="21"/>
        <v>5.3798185827974208E-4</v>
      </c>
      <c r="V44" s="194">
        <f t="shared" si="21"/>
        <v>5.3639273643237072E-4</v>
      </c>
      <c r="W44" s="194">
        <f t="shared" si="21"/>
        <v>5.3682349996199636E-4</v>
      </c>
      <c r="X44" s="194">
        <f t="shared" si="21"/>
        <v>5.3979359687979624E-4</v>
      </c>
      <c r="Y44" s="194">
        <f t="shared" si="21"/>
        <v>5.360592446575764E-4</v>
      </c>
      <c r="Z44" s="194">
        <f t="shared" si="21"/>
        <v>5.3428674247342739E-4</v>
      </c>
      <c r="AA44" s="194">
        <f t="shared" si="21"/>
        <v>5.3401556985644002E-4</v>
      </c>
      <c r="AB44" s="194">
        <f t="shared" si="21"/>
        <v>5.3026857986941006E-4</v>
      </c>
      <c r="AC44" s="194">
        <f t="shared" si="21"/>
        <v>5.2509433377215546E-4</v>
      </c>
    </row>
    <row r="45" spans="1:29" s="165" customFormat="1">
      <c r="A45" s="195" t="s">
        <v>347</v>
      </c>
      <c r="B45" s="194">
        <f>-B34/$B$27</f>
        <v>4.4555636182282897E-4</v>
      </c>
      <c r="C45" s="194">
        <f>-C35/C$27</f>
        <v>2.2790183552141483E-3</v>
      </c>
      <c r="D45" s="194">
        <f t="shared" ref="D45:AC45" si="22">-D35/D$27</f>
        <v>1.3223252679457058E-3</v>
      </c>
      <c r="E45" s="194">
        <f t="shared" si="22"/>
        <v>1.37162772189457E-3</v>
      </c>
      <c r="F45" s="194">
        <f t="shared" si="22"/>
        <v>1.4284471727850424E-3</v>
      </c>
      <c r="G45" s="194">
        <f t="shared" si="22"/>
        <v>1.4591907549454252E-3</v>
      </c>
      <c r="H45" s="194">
        <f t="shared" si="22"/>
        <v>1.4265142619346483E-3</v>
      </c>
      <c r="I45" s="194">
        <f t="shared" si="22"/>
        <v>1.6256203852627641E-3</v>
      </c>
      <c r="J45" s="194">
        <f t="shared" si="22"/>
        <v>1.7531951707528133E-3</v>
      </c>
      <c r="K45" s="194">
        <f t="shared" si="22"/>
        <v>1.8538342817290478E-3</v>
      </c>
      <c r="L45" s="194">
        <f t="shared" si="22"/>
        <v>1.9137315010072718E-3</v>
      </c>
      <c r="M45" s="194">
        <f t="shared" si="22"/>
        <v>1.9705239718866892E-3</v>
      </c>
      <c r="N45" s="194">
        <f t="shared" si="22"/>
        <v>2.0326585420055191E-3</v>
      </c>
      <c r="O45" s="194">
        <f t="shared" si="22"/>
        <v>2.1074926425511983E-3</v>
      </c>
      <c r="P45" s="194">
        <f t="shared" si="22"/>
        <v>2.0820031034741822E-3</v>
      </c>
      <c r="Q45" s="194">
        <f t="shared" si="22"/>
        <v>2.0866751478598759E-3</v>
      </c>
      <c r="R45" s="194">
        <f t="shared" si="22"/>
        <v>2.1797108565321534E-3</v>
      </c>
      <c r="S45" s="194">
        <f t="shared" si="22"/>
        <v>2.2286612997122137E-3</v>
      </c>
      <c r="T45" s="194">
        <f t="shared" si="22"/>
        <v>2.1930792204391866E-3</v>
      </c>
      <c r="U45" s="194">
        <f t="shared" si="22"/>
        <v>2.2014589420591975E-3</v>
      </c>
      <c r="V45" s="194">
        <f t="shared" si="22"/>
        <v>2.2033076725399953E-3</v>
      </c>
      <c r="W45" s="194">
        <f t="shared" si="22"/>
        <v>2.2212483232090779E-3</v>
      </c>
      <c r="X45" s="194">
        <f t="shared" si="22"/>
        <v>2.270330734566112E-3</v>
      </c>
      <c r="Y45" s="194">
        <f t="shared" si="22"/>
        <v>2.2654021183269777E-3</v>
      </c>
      <c r="Z45" s="194">
        <f t="shared" si="22"/>
        <v>2.2767002402196293E-3</v>
      </c>
      <c r="AA45" s="194">
        <f t="shared" si="22"/>
        <v>2.3106184381790637E-3</v>
      </c>
      <c r="AB45" s="194">
        <f t="shared" si="22"/>
        <v>2.2945534308167316E-3</v>
      </c>
      <c r="AC45" s="194">
        <f t="shared" si="22"/>
        <v>2.2790183552141483E-3</v>
      </c>
    </row>
    <row r="46" spans="1:29" s="165" customFormat="1">
      <c r="A46" s="195" t="s">
        <v>348</v>
      </c>
      <c r="B46" s="194">
        <f>-B36/$B$27</f>
        <v>7.520878960164578E-3</v>
      </c>
      <c r="C46" s="194">
        <f>-C36/C$27</f>
        <v>1.0573662126880799E-2</v>
      </c>
      <c r="D46" s="194">
        <f t="shared" ref="D46:AC46" si="23">-D36/D$27</f>
        <v>5.9457861235233493E-3</v>
      </c>
      <c r="E46" s="194">
        <f t="shared" si="23"/>
        <v>6.2827318940707859E-3</v>
      </c>
      <c r="F46" s="194">
        <f t="shared" si="23"/>
        <v>6.580177206201617E-3</v>
      </c>
      <c r="G46" s="194">
        <f t="shared" si="23"/>
        <v>6.7346407560580478E-3</v>
      </c>
      <c r="H46" s="194">
        <f t="shared" si="23"/>
        <v>6.5802463730036259E-3</v>
      </c>
      <c r="I46" s="194">
        <f t="shared" si="23"/>
        <v>7.520878960164578E-3</v>
      </c>
      <c r="J46" s="194">
        <f t="shared" si="23"/>
        <v>8.1200283978290783E-3</v>
      </c>
      <c r="K46" s="194">
        <f t="shared" si="23"/>
        <v>8.5927358310459497E-3</v>
      </c>
      <c r="L46" s="194">
        <f t="shared" si="23"/>
        <v>8.871473599018893E-3</v>
      </c>
      <c r="M46" s="194">
        <f t="shared" si="23"/>
        <v>9.1363052563999212E-3</v>
      </c>
      <c r="N46" s="194">
        <f t="shared" si="23"/>
        <v>9.4275742394342305E-3</v>
      </c>
      <c r="O46" s="194">
        <f t="shared" si="23"/>
        <v>9.7782643004449624E-3</v>
      </c>
      <c r="P46" s="194">
        <f t="shared" si="23"/>
        <v>9.6550081424761468E-3</v>
      </c>
      <c r="Q46" s="194">
        <f t="shared" si="23"/>
        <v>9.6736248501760672E-3</v>
      </c>
      <c r="R46" s="194">
        <f t="shared" si="23"/>
        <v>1.0111804704590192E-2</v>
      </c>
      <c r="S46" s="194">
        <f t="shared" si="23"/>
        <v>1.0341592034564339E-2</v>
      </c>
      <c r="T46" s="194">
        <f t="shared" si="23"/>
        <v>1.017033899017742E-2</v>
      </c>
      <c r="U46" s="194">
        <f t="shared" si="23"/>
        <v>1.0207643485421374E-2</v>
      </c>
      <c r="V46" s="194">
        <f t="shared" si="23"/>
        <v>1.0215502966381643E-2</v>
      </c>
      <c r="W46" s="194">
        <f t="shared" si="23"/>
        <v>1.0299368954767846E-2</v>
      </c>
      <c r="X46" s="194">
        <f t="shared" si="23"/>
        <v>1.0531323406057398E-2</v>
      </c>
      <c r="Y46" s="194">
        <f t="shared" si="23"/>
        <v>1.0507915470345562E-2</v>
      </c>
      <c r="Z46" s="194">
        <f t="shared" si="23"/>
        <v>1.0561518892949229E-2</v>
      </c>
      <c r="AA46" s="194">
        <f t="shared" si="23"/>
        <v>1.0722272687998954E-2</v>
      </c>
      <c r="AB46" s="194">
        <f t="shared" si="23"/>
        <v>1.0646449611368427E-2</v>
      </c>
      <c r="AC46" s="194">
        <f t="shared" si="23"/>
        <v>1.0573662126880799E-2</v>
      </c>
    </row>
  </sheetData>
  <mergeCells count="1">
    <mergeCell ref="A23:F2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5C591-9581-4949-9F2D-93585A9198DD}">
  <sheetPr>
    <tabColor theme="9" tint="0.79998168889431442"/>
  </sheetPr>
  <dimension ref="A1:AD46"/>
  <sheetViews>
    <sheetView workbookViewId="0">
      <selection activeCell="B7" sqref="B7"/>
    </sheetView>
  </sheetViews>
  <sheetFormatPr defaultRowHeight="14.45"/>
  <cols>
    <col min="1" max="1" width="54.5703125" customWidth="1"/>
    <col min="2" max="2" width="18.42578125" customWidth="1"/>
    <col min="3" max="3" width="20" customWidth="1"/>
    <col min="4" max="5" width="17.42578125" bestFit="1" customWidth="1"/>
    <col min="6" max="29" width="18.42578125" bestFit="1" customWidth="1"/>
  </cols>
  <sheetData>
    <row r="1" spans="1:30" ht="21">
      <c r="A1" s="193" t="s">
        <v>358</v>
      </c>
      <c r="B1" s="193"/>
      <c r="C1" s="193"/>
      <c r="E1" s="171"/>
    </row>
    <row r="2" spans="1:30" s="165" customFormat="1">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30" s="165" customFormat="1" ht="29.45" thickBot="1">
      <c r="A3" s="167" t="s">
        <v>359</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30" s="165" customFormat="1" ht="15.6" thickTop="1" thickBot="1">
      <c r="A4" s="222" t="s">
        <v>333</v>
      </c>
      <c r="B4" s="171">
        <f>SUM(D4:I4)</f>
        <v>4500</v>
      </c>
      <c r="C4" s="247"/>
      <c r="D4" s="246">
        <f>+'Buildings M6-9 Summary'!G14</f>
        <v>1125</v>
      </c>
      <c r="E4" s="245">
        <f>+$D$4</f>
        <v>1125</v>
      </c>
      <c r="F4" s="171">
        <f>+$D$4</f>
        <v>1125</v>
      </c>
      <c r="G4" s="171">
        <f>+$D$4</f>
        <v>1125</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30" s="239" customFormat="1" ht="15.6" thickTop="1" thickBot="1">
      <c r="A5" s="244" t="s">
        <v>334</v>
      </c>
      <c r="B5" s="240">
        <f>+D5</f>
        <v>2000</v>
      </c>
      <c r="C5" s="243"/>
      <c r="D5" s="242">
        <f>+'Buildings M6-9 Summary'!H14</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30" s="236" customFormat="1" ht="15" thickTop="1">
      <c r="A6" s="237" t="s">
        <v>335</v>
      </c>
      <c r="B6" s="237">
        <f>SUM(D6:I6)</f>
        <v>9000000</v>
      </c>
      <c r="C6" s="237"/>
      <c r="D6" s="238">
        <f t="shared" ref="D6:I6" si="0">+D5*D4</f>
        <v>2250000</v>
      </c>
      <c r="E6" s="237">
        <f t="shared" si="0"/>
        <v>2250000</v>
      </c>
      <c r="F6" s="237">
        <f t="shared" si="0"/>
        <v>2250000</v>
      </c>
      <c r="G6" s="237">
        <f t="shared" si="0"/>
        <v>2250000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30" s="234" customFormat="1">
      <c r="A7" s="235" t="s">
        <v>336</v>
      </c>
      <c r="B7" s="235">
        <v>2293401</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30" s="232" customFormat="1">
      <c r="A8" s="233" t="s">
        <v>337</v>
      </c>
      <c r="B8" s="233">
        <v>11293401</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30" s="165" customFormat="1">
      <c r="A9" s="222"/>
      <c r="B9" s="171"/>
      <c r="C9" s="231" t="s">
        <v>338</v>
      </c>
      <c r="D9" s="171">
        <f>+D4</f>
        <v>1125</v>
      </c>
      <c r="E9" s="171">
        <f>+D4+E4</f>
        <v>2250</v>
      </c>
      <c r="F9" s="171">
        <f>+F4+E4+D4</f>
        <v>3375</v>
      </c>
      <c r="G9" s="171">
        <f>+G4+F4+E4+D4</f>
        <v>4500</v>
      </c>
      <c r="H9" s="171">
        <f>++H4+G4+F4+E4+D4</f>
        <v>4500</v>
      </c>
      <c r="I9" s="171">
        <f>+I4+H4+G4+F4+E4+D4</f>
        <v>4500</v>
      </c>
      <c r="J9" s="171">
        <f t="shared" ref="J9:AC9" si="1">+I9</f>
        <v>4500</v>
      </c>
      <c r="K9" s="171">
        <f t="shared" si="1"/>
        <v>4500</v>
      </c>
      <c r="L9" s="171">
        <f t="shared" si="1"/>
        <v>4500</v>
      </c>
      <c r="M9" s="171">
        <f t="shared" si="1"/>
        <v>4500</v>
      </c>
      <c r="N9" s="171">
        <f t="shared" si="1"/>
        <v>4500</v>
      </c>
      <c r="O9" s="171">
        <f t="shared" si="1"/>
        <v>4500</v>
      </c>
      <c r="P9" s="171">
        <f t="shared" si="1"/>
        <v>4500</v>
      </c>
      <c r="Q9" s="171">
        <f t="shared" si="1"/>
        <v>4500</v>
      </c>
      <c r="R9" s="171">
        <f t="shared" si="1"/>
        <v>4500</v>
      </c>
      <c r="S9" s="171">
        <f t="shared" si="1"/>
        <v>4500</v>
      </c>
      <c r="T9" s="171">
        <f t="shared" si="1"/>
        <v>4500</v>
      </c>
      <c r="U9" s="171">
        <f t="shared" si="1"/>
        <v>4500</v>
      </c>
      <c r="V9" s="171">
        <f t="shared" si="1"/>
        <v>4500</v>
      </c>
      <c r="W9" s="171">
        <f t="shared" si="1"/>
        <v>4500</v>
      </c>
      <c r="X9" s="171">
        <f t="shared" si="1"/>
        <v>4500</v>
      </c>
      <c r="Y9" s="171">
        <f t="shared" si="1"/>
        <v>4500</v>
      </c>
      <c r="Z9" s="171">
        <f t="shared" si="1"/>
        <v>4500</v>
      </c>
      <c r="AA9" s="171">
        <f t="shared" si="1"/>
        <v>4500</v>
      </c>
      <c r="AB9" s="171">
        <f t="shared" si="1"/>
        <v>4500</v>
      </c>
      <c r="AC9" s="171">
        <f t="shared" si="1"/>
        <v>4500</v>
      </c>
    </row>
    <row r="10" spans="1:30" s="226" customFormat="1">
      <c r="A10" s="229" t="s">
        <v>339</v>
      </c>
      <c r="B10" s="229">
        <f>SUM(D10:I10)</f>
        <v>55783.607669565266</v>
      </c>
      <c r="C10" s="229">
        <f>SUM(D10:AC10)</f>
        <v>265767.37165424682</v>
      </c>
      <c r="D10" s="230">
        <f t="shared" ref="D10:J10" si="2">+D9*D39</f>
        <v>4485.3055801960909</v>
      </c>
      <c r="E10" s="230">
        <f t="shared" si="2"/>
        <v>7432.7144582267265</v>
      </c>
      <c r="F10" s="230">
        <f t="shared" si="2"/>
        <v>10062.844990752268</v>
      </c>
      <c r="G10" s="230">
        <f t="shared" si="2"/>
        <v>12250.248151313752</v>
      </c>
      <c r="H10" s="230">
        <f t="shared" si="2"/>
        <v>11062.313078939909</v>
      </c>
      <c r="I10" s="230">
        <f t="shared" si="2"/>
        <v>10490.181410136525</v>
      </c>
      <c r="J10" s="230">
        <f t="shared" si="2"/>
        <v>10670.317192087659</v>
      </c>
      <c r="K10" s="230">
        <f t="shared" ref="K10:AC10" si="3">+$I$10</f>
        <v>10490.181410136525</v>
      </c>
      <c r="L10" s="230">
        <f t="shared" si="3"/>
        <v>10490.181410136525</v>
      </c>
      <c r="M10" s="230">
        <f t="shared" si="3"/>
        <v>10490.181410136525</v>
      </c>
      <c r="N10" s="230">
        <f t="shared" si="3"/>
        <v>10490.181410136525</v>
      </c>
      <c r="O10" s="230">
        <f t="shared" si="3"/>
        <v>10490.181410136525</v>
      </c>
      <c r="P10" s="230">
        <f t="shared" si="3"/>
        <v>10490.181410136525</v>
      </c>
      <c r="Q10" s="230">
        <f t="shared" si="3"/>
        <v>10490.181410136525</v>
      </c>
      <c r="R10" s="230">
        <f t="shared" si="3"/>
        <v>10490.181410136525</v>
      </c>
      <c r="S10" s="230">
        <f t="shared" si="3"/>
        <v>10490.181410136525</v>
      </c>
      <c r="T10" s="230">
        <f t="shared" si="3"/>
        <v>10490.181410136525</v>
      </c>
      <c r="U10" s="230">
        <f t="shared" si="3"/>
        <v>10490.181410136525</v>
      </c>
      <c r="V10" s="230">
        <f t="shared" si="3"/>
        <v>10490.181410136525</v>
      </c>
      <c r="W10" s="230">
        <f t="shared" si="3"/>
        <v>10490.181410136525</v>
      </c>
      <c r="X10" s="230">
        <f t="shared" si="3"/>
        <v>10490.181410136525</v>
      </c>
      <c r="Y10" s="230">
        <f t="shared" si="3"/>
        <v>10490.181410136525</v>
      </c>
      <c r="Z10" s="230">
        <f t="shared" si="3"/>
        <v>10490.181410136525</v>
      </c>
      <c r="AA10" s="230">
        <f t="shared" si="3"/>
        <v>10490.181410136525</v>
      </c>
      <c r="AB10" s="230">
        <f t="shared" si="3"/>
        <v>10490.181410136525</v>
      </c>
      <c r="AC10" s="230">
        <f t="shared" si="3"/>
        <v>10490.181410136525</v>
      </c>
      <c r="AD10" s="226">
        <f>SUM(D10:AC10)</f>
        <v>265767.37165424682</v>
      </c>
    </row>
    <row r="11" spans="1:30" s="226" customFormat="1">
      <c r="A11" s="229" t="s">
        <v>340</v>
      </c>
      <c r="B11" s="228"/>
      <c r="C11" s="228"/>
      <c r="D11" s="227">
        <f t="shared" ref="D11:AC11" si="4">+D39</f>
        <v>3.9869382935076367</v>
      </c>
      <c r="E11" s="227">
        <f t="shared" si="4"/>
        <v>3.3034286481007675</v>
      </c>
      <c r="F11" s="227">
        <f t="shared" si="4"/>
        <v>2.9815837009636352</v>
      </c>
      <c r="G11" s="227">
        <f t="shared" si="4"/>
        <v>2.7222773669586116</v>
      </c>
      <c r="H11" s="227">
        <f t="shared" si="4"/>
        <v>2.4582917953199797</v>
      </c>
      <c r="I11" s="227">
        <f t="shared" si="4"/>
        <v>2.3311514244747835</v>
      </c>
      <c r="J11" s="227">
        <f t="shared" si="4"/>
        <v>2.3711815982417019</v>
      </c>
      <c r="K11" s="227">
        <f t="shared" si="4"/>
        <v>2.3770608369389254</v>
      </c>
      <c r="L11" s="227">
        <f t="shared" si="4"/>
        <v>2.362348165719466</v>
      </c>
      <c r="M11" s="227">
        <f t="shared" si="4"/>
        <v>2.334118555427307</v>
      </c>
      <c r="N11" s="227">
        <f t="shared" si="4"/>
        <v>2.2943092806815084</v>
      </c>
      <c r="O11" s="227">
        <f t="shared" si="4"/>
        <v>2.2676920861418917</v>
      </c>
      <c r="P11" s="227">
        <f t="shared" si="4"/>
        <v>2.1915467416985392</v>
      </c>
      <c r="Q11" s="227">
        <f t="shared" si="4"/>
        <v>2.131389192829539</v>
      </c>
      <c r="R11" s="227">
        <f t="shared" si="4"/>
        <v>2.0918225994306514</v>
      </c>
      <c r="S11" s="227">
        <f t="shared" si="4"/>
        <v>2.0310898046135857</v>
      </c>
      <c r="T11" s="227">
        <f t="shared" si="4"/>
        <v>2.0368820658466107</v>
      </c>
      <c r="U11" s="227">
        <f t="shared" si="4"/>
        <v>2.0545902030633867</v>
      </c>
      <c r="V11" s="227">
        <f t="shared" si="4"/>
        <v>2.0610255954151837</v>
      </c>
      <c r="W11" s="227">
        <f t="shared" si="4"/>
        <v>2.0738347575421447</v>
      </c>
      <c r="X11" s="227">
        <f t="shared" si="4"/>
        <v>2.0928908094525855</v>
      </c>
      <c r="Y11" s="227">
        <f t="shared" si="4"/>
        <v>2.0919986152947865</v>
      </c>
      <c r="Z11" s="227">
        <f t="shared" si="4"/>
        <v>2.0953829601736258</v>
      </c>
      <c r="AA11" s="227">
        <f t="shared" si="4"/>
        <v>2.1057975943837244</v>
      </c>
      <c r="AB11" s="227">
        <f t="shared" si="4"/>
        <v>2.0994545265398976</v>
      </c>
      <c r="AC11" s="227">
        <f t="shared" si="4"/>
        <v>2.090003809865272</v>
      </c>
    </row>
    <row r="12" spans="1:30" s="223" customFormat="1">
      <c r="A12" s="225" t="s">
        <v>341</v>
      </c>
      <c r="B12" s="225">
        <f>B8/B10</f>
        <v>202.45017258289511</v>
      </c>
      <c r="C12" s="225">
        <f>+B8/C10</f>
        <v>42.493557165069468</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30" s="165" customFormat="1">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30" s="165" customFormat="1"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30" s="165" customFormat="1">
      <c r="A15" s="171" t="s">
        <v>343</v>
      </c>
      <c r="B15" s="222">
        <f t="shared" ref="B15:B20" si="5">SUM(D15:I15)</f>
        <v>70.674641078623793</v>
      </c>
      <c r="C15" s="222">
        <f t="shared" ref="C15:C20" si="6">SUM(D15:AC15)</f>
        <v>70.674641078623793</v>
      </c>
      <c r="D15" s="171">
        <f>+D41*D4</f>
        <v>21.572923032777048</v>
      </c>
      <c r="E15" s="171">
        <f>+E41*E4</f>
        <v>18.360740356031084</v>
      </c>
      <c r="F15" s="171">
        <f>+F41*F4</f>
        <v>16.192525530215253</v>
      </c>
      <c r="G15" s="171">
        <f>+G41*G4</f>
        <v>14.548452159600419</v>
      </c>
      <c r="H15" s="171">
        <f>+H41*H4</f>
        <v>0</v>
      </c>
      <c r="I15" s="171">
        <f t="shared" ref="I15:AC15" si="7">H15</f>
        <v>0</v>
      </c>
      <c r="J15" s="171">
        <f t="shared" si="7"/>
        <v>0</v>
      </c>
      <c r="K15" s="171">
        <f t="shared" si="7"/>
        <v>0</v>
      </c>
      <c r="L15" s="171">
        <f t="shared" si="7"/>
        <v>0</v>
      </c>
      <c r="M15" s="171">
        <f t="shared" si="7"/>
        <v>0</v>
      </c>
      <c r="N15" s="171">
        <f t="shared" si="7"/>
        <v>0</v>
      </c>
      <c r="O15" s="171">
        <f t="shared" si="7"/>
        <v>0</v>
      </c>
      <c r="P15" s="171">
        <f t="shared" si="7"/>
        <v>0</v>
      </c>
      <c r="Q15" s="171">
        <f t="shared" si="7"/>
        <v>0</v>
      </c>
      <c r="R15" s="171">
        <f t="shared" si="7"/>
        <v>0</v>
      </c>
      <c r="S15" s="171">
        <f t="shared" si="7"/>
        <v>0</v>
      </c>
      <c r="T15" s="171">
        <f t="shared" si="7"/>
        <v>0</v>
      </c>
      <c r="U15" s="171">
        <f t="shared" si="7"/>
        <v>0</v>
      </c>
      <c r="V15" s="171">
        <f t="shared" si="7"/>
        <v>0</v>
      </c>
      <c r="W15" s="171">
        <f t="shared" si="7"/>
        <v>0</v>
      </c>
      <c r="X15" s="171">
        <f t="shared" si="7"/>
        <v>0</v>
      </c>
      <c r="Y15" s="171">
        <f t="shared" si="7"/>
        <v>0</v>
      </c>
      <c r="Z15" s="171">
        <f t="shared" si="7"/>
        <v>0</v>
      </c>
      <c r="AA15" s="171">
        <f t="shared" si="7"/>
        <v>0</v>
      </c>
      <c r="AB15" s="171">
        <f t="shared" si="7"/>
        <v>0</v>
      </c>
      <c r="AC15" s="171">
        <f t="shared" si="7"/>
        <v>0</v>
      </c>
    </row>
    <row r="16" spans="1:30" s="161" customFormat="1">
      <c r="A16" s="170" t="s">
        <v>344</v>
      </c>
      <c r="B16" s="254">
        <f t="shared" si="5"/>
        <v>10609239.190449448</v>
      </c>
      <c r="C16" s="254">
        <f t="shared" si="6"/>
        <v>63809325.776024081</v>
      </c>
      <c r="D16" s="170">
        <f t="shared" ref="D16:AC16" si="8">+D42*D9</f>
        <v>983490.31615454971</v>
      </c>
      <c r="E16" s="170">
        <f t="shared" si="8"/>
        <v>1346058.3752059112</v>
      </c>
      <c r="F16" s="170">
        <f t="shared" si="8"/>
        <v>1710169.8595928119</v>
      </c>
      <c r="G16" s="170">
        <f t="shared" si="8"/>
        <v>2080493.829322238</v>
      </c>
      <c r="H16" s="170">
        <f t="shared" si="8"/>
        <v>2199591.7624836443</v>
      </c>
      <c r="I16" s="170">
        <f t="shared" si="8"/>
        <v>2289435.0476902933</v>
      </c>
      <c r="J16" s="170">
        <f t="shared" si="8"/>
        <v>2385096.938551527</v>
      </c>
      <c r="K16" s="170">
        <f t="shared" si="8"/>
        <v>2466130.7597750342</v>
      </c>
      <c r="L16" s="170">
        <f t="shared" si="8"/>
        <v>2560205.5867920453</v>
      </c>
      <c r="M16" s="170">
        <f t="shared" si="8"/>
        <v>2644262.5860024663</v>
      </c>
      <c r="N16" s="170">
        <f t="shared" si="8"/>
        <v>2720005.4305068962</v>
      </c>
      <c r="O16" s="170">
        <f t="shared" si="8"/>
        <v>2699739.4628338036</v>
      </c>
      <c r="P16" s="170">
        <f t="shared" si="8"/>
        <v>2685598.138812134</v>
      </c>
      <c r="Q16" s="170">
        <f t="shared" si="8"/>
        <v>2676549.6084549543</v>
      </c>
      <c r="R16" s="170">
        <f t="shared" si="8"/>
        <v>2671826.5615336052</v>
      </c>
      <c r="S16" s="170">
        <f t="shared" si="8"/>
        <v>2667517.6170859109</v>
      </c>
      <c r="T16" s="170">
        <f t="shared" si="8"/>
        <v>2676430.9965858022</v>
      </c>
      <c r="U16" s="170">
        <f t="shared" si="8"/>
        <v>2684708.8647435699</v>
      </c>
      <c r="V16" s="170">
        <f t="shared" si="8"/>
        <v>2692415.4533216646</v>
      </c>
      <c r="W16" s="170">
        <f t="shared" si="8"/>
        <v>2699608.1349972566</v>
      </c>
      <c r="X16" s="170">
        <f t="shared" si="8"/>
        <v>2706328.5480672107</v>
      </c>
      <c r="Y16" s="170">
        <f t="shared" si="8"/>
        <v>2708645.4622626887</v>
      </c>
      <c r="Z16" s="170">
        <f t="shared" si="8"/>
        <v>2710816.1230035801</v>
      </c>
      <c r="AA16" s="170">
        <f t="shared" si="8"/>
        <v>2712853.7425727514</v>
      </c>
      <c r="AB16" s="170">
        <f t="shared" si="8"/>
        <v>2714770.3770682616</v>
      </c>
      <c r="AC16" s="170">
        <f t="shared" si="8"/>
        <v>2716576.1926034731</v>
      </c>
    </row>
    <row r="17" spans="1:29" s="251" customFormat="1">
      <c r="A17" s="252" t="s">
        <v>345</v>
      </c>
      <c r="B17" s="253">
        <f t="shared" si="5"/>
        <v>25.117837194877097</v>
      </c>
      <c r="C17" s="253">
        <f t="shared" si="6"/>
        <v>162.14972887942494</v>
      </c>
      <c r="D17" s="252">
        <f t="shared" ref="D17:AC17" si="9">+D43*D9</f>
        <v>1.9569786336665898</v>
      </c>
      <c r="E17" s="252">
        <f t="shared" si="9"/>
        <v>2.9535039939588783</v>
      </c>
      <c r="F17" s="252">
        <f t="shared" si="9"/>
        <v>4.077422041985419</v>
      </c>
      <c r="G17" s="252">
        <f t="shared" si="9"/>
        <v>5.3071828451108995</v>
      </c>
      <c r="H17" s="252">
        <f t="shared" si="9"/>
        <v>5.2576063848495327</v>
      </c>
      <c r="I17" s="252">
        <f t="shared" si="9"/>
        <v>5.5651432953057789</v>
      </c>
      <c r="J17" s="252">
        <f t="shared" si="9"/>
        <v>5.8304798014379751</v>
      </c>
      <c r="K17" s="252">
        <f t="shared" si="9"/>
        <v>6.0386477568704295</v>
      </c>
      <c r="L17" s="252">
        <f t="shared" si="9"/>
        <v>6.2124805615935763</v>
      </c>
      <c r="M17" s="252">
        <f t="shared" si="9"/>
        <v>6.3668863346776492</v>
      </c>
      <c r="N17" s="252">
        <f t="shared" si="9"/>
        <v>6.5068660003023382</v>
      </c>
      <c r="O17" s="252">
        <f t="shared" si="9"/>
        <v>6.6772603661928276</v>
      </c>
      <c r="P17" s="252">
        <f t="shared" si="9"/>
        <v>6.6925954616512948</v>
      </c>
      <c r="Q17" s="252">
        <f t="shared" si="9"/>
        <v>6.7663714142397211</v>
      </c>
      <c r="R17" s="252">
        <f t="shared" si="9"/>
        <v>6.936165436177947</v>
      </c>
      <c r="S17" s="252">
        <f t="shared" si="9"/>
        <v>7.0400388275930137</v>
      </c>
      <c r="T17" s="252">
        <f t="shared" si="9"/>
        <v>7.0459464893444386</v>
      </c>
      <c r="U17" s="252">
        <f t="shared" si="9"/>
        <v>7.1031736503518825</v>
      </c>
      <c r="V17" s="252">
        <f t="shared" si="9"/>
        <v>7.1230708122659854</v>
      </c>
      <c r="W17" s="252">
        <f t="shared" si="9"/>
        <v>7.1680511830295099</v>
      </c>
      <c r="X17" s="252">
        <f t="shared" si="9"/>
        <v>7.2424870496843132</v>
      </c>
      <c r="Y17" s="252">
        <f t="shared" si="9"/>
        <v>7.2375024799564676</v>
      </c>
      <c r="Z17" s="252">
        <f t="shared" si="9"/>
        <v>7.2507554907343854</v>
      </c>
      <c r="AA17" s="252">
        <f t="shared" si="9"/>
        <v>7.2934828951765667</v>
      </c>
      <c r="AB17" s="252">
        <f t="shared" si="9"/>
        <v>7.2675835532260269</v>
      </c>
      <c r="AC17" s="252">
        <f t="shared" si="9"/>
        <v>7.2320461200415087</v>
      </c>
    </row>
    <row r="18" spans="1:29" s="251" customFormat="1">
      <c r="A18" s="252" t="s">
        <v>346</v>
      </c>
      <c r="B18" s="253">
        <f t="shared" si="5"/>
        <v>9.1652463175951038</v>
      </c>
      <c r="C18" s="253">
        <f t="shared" si="6"/>
        <v>56.109847183412896</v>
      </c>
      <c r="D18" s="252">
        <f t="shared" ref="D18:AC18" si="10">+D44*D9</f>
        <v>0.74080983132078027</v>
      </c>
      <c r="E18" s="252">
        <f t="shared" si="10"/>
        <v>1.0933028303419796</v>
      </c>
      <c r="F18" s="252">
        <f t="shared" si="10"/>
        <v>1.4918004559095521</v>
      </c>
      <c r="G18" s="252">
        <f t="shared" si="10"/>
        <v>1.9285374831601838</v>
      </c>
      <c r="H18" s="252">
        <f t="shared" si="10"/>
        <v>1.9057920886598785</v>
      </c>
      <c r="I18" s="252">
        <f t="shared" si="10"/>
        <v>2.0050036282027301</v>
      </c>
      <c r="J18" s="252">
        <f t="shared" si="10"/>
        <v>2.0905392770020175</v>
      </c>
      <c r="K18" s="252">
        <f t="shared" si="10"/>
        <v>2.1598582033144824</v>
      </c>
      <c r="L18" s="252">
        <f t="shared" si="10"/>
        <v>2.2114951518562846</v>
      </c>
      <c r="M18" s="252">
        <f t="shared" si="10"/>
        <v>2.2572328344092449</v>
      </c>
      <c r="N18" s="252">
        <f t="shared" si="10"/>
        <v>2.2983934509517119</v>
      </c>
      <c r="O18" s="252">
        <f t="shared" si="10"/>
        <v>2.3451154615291276</v>
      </c>
      <c r="P18" s="252">
        <f t="shared" si="10"/>
        <v>2.3399511166135447</v>
      </c>
      <c r="Q18" s="252">
        <f t="shared" si="10"/>
        <v>2.3552540552602865</v>
      </c>
      <c r="R18" s="252">
        <f t="shared" si="10"/>
        <v>2.4006254374410836</v>
      </c>
      <c r="S18" s="252">
        <f t="shared" si="10"/>
        <v>2.4237099777220275</v>
      </c>
      <c r="T18" s="252">
        <f t="shared" si="10"/>
        <v>2.4142031698948743</v>
      </c>
      <c r="U18" s="252">
        <f t="shared" si="10"/>
        <v>2.4209183622588393</v>
      </c>
      <c r="V18" s="252">
        <f t="shared" si="10"/>
        <v>2.4137673139456681</v>
      </c>
      <c r="W18" s="252">
        <f t="shared" si="10"/>
        <v>2.4157057498289838</v>
      </c>
      <c r="X18" s="252">
        <f t="shared" si="10"/>
        <v>2.4290711859590832</v>
      </c>
      <c r="Y18" s="252">
        <f t="shared" si="10"/>
        <v>2.4122666009590938</v>
      </c>
      <c r="Z18" s="252">
        <f t="shared" si="10"/>
        <v>2.4042903411304231</v>
      </c>
      <c r="AA18" s="252">
        <f t="shared" si="10"/>
        <v>2.40307006435398</v>
      </c>
      <c r="AB18" s="252">
        <f t="shared" si="10"/>
        <v>2.3862086094123454</v>
      </c>
      <c r="AC18" s="252">
        <f t="shared" si="10"/>
        <v>2.3629245019746996</v>
      </c>
    </row>
    <row r="19" spans="1:29" s="251" customFormat="1">
      <c r="A19" s="252" t="s">
        <v>347</v>
      </c>
      <c r="B19" s="253">
        <f t="shared" si="5"/>
        <v>29.695751818493992</v>
      </c>
      <c r="C19" s="253">
        <f t="shared" si="6"/>
        <v>221.95466978735891</v>
      </c>
      <c r="D19" s="252">
        <f t="shared" ref="D19:AC19" si="11">+D45*D9</f>
        <v>1.487615926438919</v>
      </c>
      <c r="E19" s="252">
        <f t="shared" si="11"/>
        <v>3.0861623742627824</v>
      </c>
      <c r="F19" s="252">
        <f t="shared" si="11"/>
        <v>4.8210092081495182</v>
      </c>
      <c r="G19" s="252">
        <f t="shared" si="11"/>
        <v>6.5663583972544135</v>
      </c>
      <c r="H19" s="252">
        <f t="shared" si="11"/>
        <v>6.4193141787059176</v>
      </c>
      <c r="I19" s="252">
        <f t="shared" si="11"/>
        <v>7.3152917336824386</v>
      </c>
      <c r="J19" s="252">
        <f t="shared" si="11"/>
        <v>7.8893782683876594</v>
      </c>
      <c r="K19" s="252">
        <f t="shared" si="11"/>
        <v>8.3422542677807154</v>
      </c>
      <c r="L19" s="252">
        <f t="shared" si="11"/>
        <v>8.6117917545327227</v>
      </c>
      <c r="M19" s="252">
        <f t="shared" si="11"/>
        <v>8.8673578734901017</v>
      </c>
      <c r="N19" s="252">
        <f t="shared" si="11"/>
        <v>9.1469634390248356</v>
      </c>
      <c r="O19" s="252">
        <f t="shared" si="11"/>
        <v>9.4837168914803929</v>
      </c>
      <c r="P19" s="252">
        <f t="shared" si="11"/>
        <v>9.3690139656338189</v>
      </c>
      <c r="Q19" s="252">
        <f t="shared" si="11"/>
        <v>9.3900381653694414</v>
      </c>
      <c r="R19" s="252">
        <f t="shared" si="11"/>
        <v>9.8086988543946898</v>
      </c>
      <c r="S19" s="252">
        <f t="shared" si="11"/>
        <v>10.028975848704961</v>
      </c>
      <c r="T19" s="252">
        <f t="shared" si="11"/>
        <v>9.8688564919763397</v>
      </c>
      <c r="U19" s="252">
        <f t="shared" si="11"/>
        <v>9.9065652392663885</v>
      </c>
      <c r="V19" s="252">
        <f t="shared" si="11"/>
        <v>9.9148845264299794</v>
      </c>
      <c r="W19" s="252">
        <f t="shared" si="11"/>
        <v>9.9956174544408505</v>
      </c>
      <c r="X19" s="252">
        <f t="shared" si="11"/>
        <v>10.216488305547504</v>
      </c>
      <c r="Y19" s="252">
        <f t="shared" si="11"/>
        <v>10.194309532471399</v>
      </c>
      <c r="Z19" s="252">
        <f t="shared" si="11"/>
        <v>10.245151080988332</v>
      </c>
      <c r="AA19" s="252">
        <f t="shared" si="11"/>
        <v>10.397782971805787</v>
      </c>
      <c r="AB19" s="252">
        <f t="shared" si="11"/>
        <v>10.325490438675292</v>
      </c>
      <c r="AC19" s="252">
        <f t="shared" si="11"/>
        <v>10.255582598463667</v>
      </c>
    </row>
    <row r="20" spans="1:29" s="251" customFormat="1">
      <c r="A20" s="252" t="s">
        <v>348</v>
      </c>
      <c r="B20" s="253">
        <f t="shared" si="5"/>
        <v>136.79420162307161</v>
      </c>
      <c r="C20" s="253">
        <f t="shared" si="6"/>
        <v>1028.4440373905495</v>
      </c>
      <c r="D20" s="252">
        <f t="shared" ref="D20:AC20" si="12">+D46*D9</f>
        <v>6.6890093889637683</v>
      </c>
      <c r="E20" s="252">
        <f t="shared" si="12"/>
        <v>14.136146761659269</v>
      </c>
      <c r="F20" s="252">
        <f t="shared" si="12"/>
        <v>22.208098070930458</v>
      </c>
      <c r="G20" s="252">
        <f t="shared" si="12"/>
        <v>30.305883402261216</v>
      </c>
      <c r="H20" s="252">
        <f t="shared" si="12"/>
        <v>29.611108678516317</v>
      </c>
      <c r="I20" s="252">
        <f t="shared" si="12"/>
        <v>33.843955320740598</v>
      </c>
      <c r="J20" s="252">
        <f t="shared" si="12"/>
        <v>36.540127790230855</v>
      </c>
      <c r="K20" s="252">
        <f t="shared" si="12"/>
        <v>38.667311239706777</v>
      </c>
      <c r="L20" s="252">
        <f t="shared" si="12"/>
        <v>39.921631195585022</v>
      </c>
      <c r="M20" s="252">
        <f t="shared" si="12"/>
        <v>41.113373653799648</v>
      </c>
      <c r="N20" s="252">
        <f t="shared" si="12"/>
        <v>42.42408407745404</v>
      </c>
      <c r="O20" s="252">
        <f t="shared" si="12"/>
        <v>44.002189352002333</v>
      </c>
      <c r="P20" s="252">
        <f t="shared" si="12"/>
        <v>43.447536641142662</v>
      </c>
      <c r="Q20" s="252">
        <f t="shared" si="12"/>
        <v>43.531311825792301</v>
      </c>
      <c r="R20" s="252">
        <f t="shared" si="12"/>
        <v>45.503121170655866</v>
      </c>
      <c r="S20" s="252">
        <f t="shared" si="12"/>
        <v>46.537164155539529</v>
      </c>
      <c r="T20" s="252">
        <f t="shared" si="12"/>
        <v>45.766525455798394</v>
      </c>
      <c r="U20" s="252">
        <f t="shared" si="12"/>
        <v>45.934395684396179</v>
      </c>
      <c r="V20" s="252">
        <f t="shared" si="12"/>
        <v>45.969763348717393</v>
      </c>
      <c r="W20" s="252">
        <f t="shared" si="12"/>
        <v>46.347160296455307</v>
      </c>
      <c r="X20" s="252">
        <f t="shared" si="12"/>
        <v>47.39095532725829</v>
      </c>
      <c r="Y20" s="252">
        <f t="shared" si="12"/>
        <v>47.285619616555032</v>
      </c>
      <c r="Z20" s="252">
        <f t="shared" si="12"/>
        <v>47.526835018271534</v>
      </c>
      <c r="AA20" s="252">
        <f t="shared" si="12"/>
        <v>48.250227095995292</v>
      </c>
      <c r="AB20" s="252">
        <f t="shared" si="12"/>
        <v>47.909023251157919</v>
      </c>
      <c r="AC20" s="252">
        <f t="shared" si="12"/>
        <v>47.581479570963594</v>
      </c>
    </row>
    <row r="21" spans="1:29">
      <c r="A21" s="165"/>
    </row>
    <row r="22" spans="1:29" ht="18.600000000000001">
      <c r="A22" s="213" t="s">
        <v>349</v>
      </c>
      <c r="B22" s="213"/>
      <c r="C22" s="213"/>
    </row>
    <row r="23" spans="1:29">
      <c r="A23" s="742" t="s">
        <v>350</v>
      </c>
      <c r="B23" s="742"/>
      <c r="C23" s="742"/>
      <c r="D23" s="742"/>
      <c r="E23" s="742"/>
      <c r="F23" s="742"/>
    </row>
    <row r="25" spans="1:29" ht="18.600000000000001">
      <c r="A25" s="213" t="s">
        <v>351</v>
      </c>
      <c r="E25" s="3"/>
      <c r="F25" s="3"/>
      <c r="G25" s="3"/>
    </row>
    <row r="26" spans="1:29" s="6" customFormat="1" ht="29.1">
      <c r="A26" s="169" t="s">
        <v>352</v>
      </c>
      <c r="B26" s="212" t="s">
        <v>331</v>
      </c>
      <c r="C26" s="212" t="s">
        <v>332</v>
      </c>
      <c r="D26" s="169">
        <v>2025</v>
      </c>
      <c r="E26" s="169">
        <v>2026</v>
      </c>
      <c r="F26" s="169">
        <v>2027</v>
      </c>
      <c r="G26" s="169">
        <v>2028</v>
      </c>
      <c r="H26" s="169">
        <v>2029</v>
      </c>
      <c r="I26" s="169">
        <v>2030</v>
      </c>
      <c r="J26" s="169">
        <v>2031</v>
      </c>
      <c r="K26" s="169">
        <v>2032</v>
      </c>
      <c r="L26" s="169">
        <v>2033</v>
      </c>
      <c r="M26" s="169">
        <v>2034</v>
      </c>
      <c r="N26" s="169">
        <v>2035</v>
      </c>
      <c r="O26" s="169">
        <v>2036</v>
      </c>
      <c r="P26" s="169">
        <v>2037</v>
      </c>
      <c r="Q26" s="169">
        <v>2038</v>
      </c>
      <c r="R26" s="169">
        <v>2039</v>
      </c>
      <c r="S26" s="169">
        <v>2040</v>
      </c>
      <c r="T26" s="169">
        <v>2041</v>
      </c>
      <c r="U26" s="169">
        <v>2042</v>
      </c>
      <c r="V26" s="169">
        <v>2043</v>
      </c>
      <c r="W26" s="169">
        <v>2044</v>
      </c>
      <c r="X26" s="169">
        <v>2045</v>
      </c>
      <c r="Y26" s="169">
        <v>2046</v>
      </c>
      <c r="Z26" s="169">
        <v>2047</v>
      </c>
      <c r="AA26" s="169">
        <v>2048</v>
      </c>
      <c r="AB26" s="169">
        <v>2049</v>
      </c>
      <c r="AC26" s="169">
        <v>2050</v>
      </c>
    </row>
    <row r="27" spans="1:29" s="164" customFormat="1">
      <c r="A27" s="183" t="s">
        <v>353</v>
      </c>
      <c r="B27" s="183">
        <f t="shared" ref="B27:B36" si="13">+I27</f>
        <v>80205</v>
      </c>
      <c r="C27" s="183">
        <f t="shared" ref="C27:C36" si="14">+AC27</f>
        <v>236071.34</v>
      </c>
      <c r="D27" s="183">
        <v>14497.34</v>
      </c>
      <c r="E27" s="183">
        <v>28246.41</v>
      </c>
      <c r="F27" s="183">
        <v>41685.9</v>
      </c>
      <c r="G27" s="183">
        <v>54825.42</v>
      </c>
      <c r="H27" s="183">
        <v>67668.94</v>
      </c>
      <c r="I27" s="183">
        <v>80205</v>
      </c>
      <c r="J27" s="183">
        <v>91570.38</v>
      </c>
      <c r="K27" s="183">
        <v>102664.6</v>
      </c>
      <c r="L27" s="183">
        <v>112477.07</v>
      </c>
      <c r="M27" s="183">
        <v>122054.64</v>
      </c>
      <c r="N27" s="183">
        <v>131442.60999999999</v>
      </c>
      <c r="O27" s="183">
        <v>139436.91999999998</v>
      </c>
      <c r="P27" s="183">
        <v>147215.66</v>
      </c>
      <c r="Q27" s="183">
        <v>154781.68</v>
      </c>
      <c r="R27" s="183">
        <v>162136.12</v>
      </c>
      <c r="S27" s="183">
        <v>169490.29</v>
      </c>
      <c r="T27" s="183">
        <v>175994.47999999998</v>
      </c>
      <c r="U27" s="183">
        <v>182498.68</v>
      </c>
      <c r="V27" s="183">
        <v>189002.99</v>
      </c>
      <c r="W27" s="183">
        <v>195507.38</v>
      </c>
      <c r="X27" s="183">
        <v>202012.45</v>
      </c>
      <c r="Y27" s="183">
        <v>208824.23</v>
      </c>
      <c r="Z27" s="183">
        <v>215636</v>
      </c>
      <c r="AA27" s="183">
        <v>222447.78</v>
      </c>
      <c r="AB27" s="183">
        <v>229259.55</v>
      </c>
      <c r="AC27" s="183">
        <v>236071.34</v>
      </c>
    </row>
    <row r="28" spans="1:29" s="164" customFormat="1">
      <c r="A28" s="171" t="s">
        <v>339</v>
      </c>
      <c r="B28" s="183">
        <f t="shared" si="13"/>
        <v>186970</v>
      </c>
      <c r="C28" s="183">
        <f t="shared" si="14"/>
        <v>493390</v>
      </c>
      <c r="D28" s="183">
        <v>57800</v>
      </c>
      <c r="E28" s="183">
        <v>93310</v>
      </c>
      <c r="F28" s="183">
        <v>124290</v>
      </c>
      <c r="G28" s="183">
        <v>149250</v>
      </c>
      <c r="H28" s="183">
        <v>166350</v>
      </c>
      <c r="I28" s="183">
        <v>186970</v>
      </c>
      <c r="J28" s="183">
        <v>217130</v>
      </c>
      <c r="K28" s="183">
        <v>244040</v>
      </c>
      <c r="L28" s="183">
        <v>265710</v>
      </c>
      <c r="M28" s="183">
        <v>284890</v>
      </c>
      <c r="N28" s="183">
        <v>301570</v>
      </c>
      <c r="O28" s="183">
        <v>316200</v>
      </c>
      <c r="P28" s="183">
        <v>322630</v>
      </c>
      <c r="Q28" s="183">
        <v>329900</v>
      </c>
      <c r="R28" s="183">
        <v>339160</v>
      </c>
      <c r="S28" s="183">
        <v>344250</v>
      </c>
      <c r="T28" s="183">
        <v>358480</v>
      </c>
      <c r="U28" s="183">
        <v>374960</v>
      </c>
      <c r="V28" s="183">
        <v>389540</v>
      </c>
      <c r="W28" s="183">
        <v>405450</v>
      </c>
      <c r="X28" s="183">
        <v>422790</v>
      </c>
      <c r="Y28" s="183">
        <v>436860</v>
      </c>
      <c r="Z28" s="183">
        <v>451840</v>
      </c>
      <c r="AA28" s="183">
        <v>468430</v>
      </c>
      <c r="AB28" s="183">
        <v>481320</v>
      </c>
      <c r="AC28" s="183">
        <v>493390</v>
      </c>
    </row>
    <row r="29" spans="1:29" s="207" customFormat="1">
      <c r="A29" s="250" t="s">
        <v>354</v>
      </c>
      <c r="B29" s="249">
        <f t="shared" si="13"/>
        <v>177370711.92750001</v>
      </c>
      <c r="C29" s="249">
        <f t="shared" si="14"/>
        <v>1250570323.3</v>
      </c>
      <c r="D29" s="210">
        <v>15621960.264999999</v>
      </c>
      <c r="E29" s="210">
        <v>30442866.403499998</v>
      </c>
      <c r="F29" s="210">
        <v>45085655.213250004</v>
      </c>
      <c r="G29" s="210">
        <v>59555316.934999995</v>
      </c>
      <c r="H29" s="211">
        <v>73854038.349999994</v>
      </c>
      <c r="I29" s="210">
        <v>177370711.92750001</v>
      </c>
      <c r="J29" s="210">
        <v>200959555.48499998</v>
      </c>
      <c r="K29" s="210">
        <v>224259505.95749998</v>
      </c>
      <c r="L29" s="210">
        <v>245580616.31999999</v>
      </c>
      <c r="M29" s="210">
        <v>266694608.79750001</v>
      </c>
      <c r="N29" s="210">
        <v>286469202.23999995</v>
      </c>
      <c r="O29" s="210">
        <v>303295494.9375</v>
      </c>
      <c r="P29" s="210">
        <v>319922669.72250003</v>
      </c>
      <c r="Q29" s="210">
        <v>336343760.80500001</v>
      </c>
      <c r="R29" s="210">
        <v>352555688.84250003</v>
      </c>
      <c r="S29" s="210">
        <v>898379566.66250002</v>
      </c>
      <c r="T29" s="210">
        <v>932616967.21249998</v>
      </c>
      <c r="U29" s="210">
        <v>966929783.27499998</v>
      </c>
      <c r="V29" s="210">
        <v>1001283291.6374999</v>
      </c>
      <c r="W29" s="210">
        <v>1035662090.1875</v>
      </c>
      <c r="X29" s="210">
        <v>1070150709.4499999</v>
      </c>
      <c r="Y29" s="210">
        <v>1106234195.5999999</v>
      </c>
      <c r="Z29" s="210">
        <v>1142317944.425</v>
      </c>
      <c r="AA29" s="210">
        <v>1178401880.875</v>
      </c>
      <c r="AB29" s="210">
        <v>1214485884.0625</v>
      </c>
      <c r="AC29" s="210">
        <v>1250570323.3</v>
      </c>
    </row>
    <row r="30" spans="1:29" s="165" customFormat="1">
      <c r="A30" s="206" t="s">
        <v>355</v>
      </c>
      <c r="B30" s="206">
        <f t="shared" si="13"/>
        <v>901</v>
      </c>
      <c r="C30" s="206">
        <f t="shared" si="14"/>
        <v>1412</v>
      </c>
      <c r="D30" s="206">
        <v>278</v>
      </c>
      <c r="E30" s="206">
        <v>461</v>
      </c>
      <c r="F30" s="206">
        <v>600</v>
      </c>
      <c r="G30" s="206">
        <v>709</v>
      </c>
      <c r="H30" s="206">
        <v>1566</v>
      </c>
      <c r="I30" s="206">
        <v>901</v>
      </c>
      <c r="J30" s="206">
        <v>932</v>
      </c>
      <c r="K30" s="206">
        <v>1003</v>
      </c>
      <c r="L30" s="206">
        <v>1006</v>
      </c>
      <c r="M30" s="206">
        <v>2290</v>
      </c>
      <c r="N30" s="206">
        <v>1915</v>
      </c>
      <c r="O30" s="206">
        <v>1701</v>
      </c>
      <c r="P30" s="206">
        <v>1728</v>
      </c>
      <c r="Q30" s="206">
        <v>1750</v>
      </c>
      <c r="R30" s="206">
        <v>1767</v>
      </c>
      <c r="S30" s="206">
        <v>1549</v>
      </c>
      <c r="T30" s="206">
        <v>1397</v>
      </c>
      <c r="U30" s="206">
        <v>1437</v>
      </c>
      <c r="V30" s="206">
        <v>1472</v>
      </c>
      <c r="W30" s="206">
        <v>1504</v>
      </c>
      <c r="X30" s="206">
        <v>1352</v>
      </c>
      <c r="Y30" s="206">
        <v>1447</v>
      </c>
      <c r="Z30" s="206">
        <v>1480</v>
      </c>
      <c r="AA30" s="206">
        <v>1511</v>
      </c>
      <c r="AB30" s="206">
        <v>1539</v>
      </c>
      <c r="AC30" s="206">
        <v>1412</v>
      </c>
    </row>
    <row r="31" spans="1:29" s="48" customFormat="1">
      <c r="A31" s="209" t="s">
        <v>356</v>
      </c>
      <c r="B31" s="209">
        <f t="shared" si="13"/>
        <v>0.16159999999999999</v>
      </c>
      <c r="C31" s="209">
        <f t="shared" si="14"/>
        <v>0.16159999999999999</v>
      </c>
      <c r="D31" s="209">
        <v>0.16159999999999999</v>
      </c>
      <c r="E31" s="209">
        <v>0.16159999999999999</v>
      </c>
      <c r="F31" s="209">
        <v>0.16159999999999999</v>
      </c>
      <c r="G31" s="209">
        <v>0.16159999999999999</v>
      </c>
      <c r="H31" s="209">
        <v>0.16159999999999999</v>
      </c>
      <c r="I31" s="209">
        <v>0.16159999999999999</v>
      </c>
      <c r="J31" s="209">
        <v>0.16159999999999999</v>
      </c>
      <c r="K31" s="209">
        <v>0.16159999999999999</v>
      </c>
      <c r="L31" s="209">
        <v>0.16159999999999999</v>
      </c>
      <c r="M31" s="209">
        <v>0.16159999999999999</v>
      </c>
      <c r="N31" s="209">
        <v>0.16159999999999999</v>
      </c>
      <c r="O31" s="209">
        <v>0.16159999999999999</v>
      </c>
      <c r="P31" s="209">
        <v>0.16159999999999999</v>
      </c>
      <c r="Q31" s="209">
        <v>0.16159999999999999</v>
      </c>
      <c r="R31" s="209">
        <v>0.16159999999999999</v>
      </c>
      <c r="S31" s="209">
        <v>0.16159999999999999</v>
      </c>
      <c r="T31" s="209">
        <v>0.16159999999999999</v>
      </c>
      <c r="U31" s="209">
        <v>0.16159999999999999</v>
      </c>
      <c r="V31" s="209">
        <v>0.16159999999999999</v>
      </c>
      <c r="W31" s="209">
        <v>0.16159999999999999</v>
      </c>
      <c r="X31" s="209">
        <v>0.16159999999999999</v>
      </c>
      <c r="Y31" s="209">
        <v>0.16159999999999999</v>
      </c>
      <c r="Z31" s="209">
        <v>0.16159999999999999</v>
      </c>
      <c r="AA31" s="209">
        <v>0.16159999999999999</v>
      </c>
      <c r="AB31" s="209">
        <v>0.16159999999999999</v>
      </c>
      <c r="AC31" s="209">
        <v>0.16159999999999999</v>
      </c>
    </row>
    <row r="32" spans="1:29" s="207" customFormat="1">
      <c r="A32" s="208" t="s">
        <v>344</v>
      </c>
      <c r="B32" s="208">
        <f t="shared" si="13"/>
        <v>-40805364</v>
      </c>
      <c r="C32" s="208">
        <f t="shared" si="14"/>
        <v>-142512396</v>
      </c>
      <c r="D32" s="208">
        <v>-12673772</v>
      </c>
      <c r="E32" s="208">
        <v>-16898363</v>
      </c>
      <c r="F32" s="208">
        <v>-21122954</v>
      </c>
      <c r="G32" s="208">
        <v>-25347544</v>
      </c>
      <c r="H32" s="208">
        <v>-33076454</v>
      </c>
      <c r="I32" s="208">
        <v>-40805364</v>
      </c>
      <c r="J32" s="208">
        <v>-48534274</v>
      </c>
      <c r="K32" s="208">
        <v>-56263184</v>
      </c>
      <c r="L32" s="208">
        <v>-63992094</v>
      </c>
      <c r="M32" s="208">
        <v>-71721004</v>
      </c>
      <c r="N32" s="208">
        <v>-79449914</v>
      </c>
      <c r="O32" s="208">
        <v>-83654079</v>
      </c>
      <c r="P32" s="208">
        <v>-87858245</v>
      </c>
      <c r="Q32" s="208">
        <v>-92062410</v>
      </c>
      <c r="R32" s="208">
        <v>-96266576</v>
      </c>
      <c r="S32" s="208">
        <v>-100470741</v>
      </c>
      <c r="T32" s="208">
        <v>-104674907</v>
      </c>
      <c r="U32" s="208">
        <v>-108879072</v>
      </c>
      <c r="V32" s="208">
        <v>-113083238</v>
      </c>
      <c r="W32" s="208">
        <v>-117287403</v>
      </c>
      <c r="X32" s="208">
        <v>-121491569</v>
      </c>
      <c r="Y32" s="208">
        <v>-125695734</v>
      </c>
      <c r="Z32" s="208">
        <v>-129899899</v>
      </c>
      <c r="AA32" s="208">
        <v>-134104065</v>
      </c>
      <c r="AB32" s="208">
        <v>-138308230</v>
      </c>
      <c r="AC32" s="208">
        <v>-142512396</v>
      </c>
    </row>
    <row r="33" spans="1:29" s="165" customFormat="1">
      <c r="A33" s="206" t="s">
        <v>345</v>
      </c>
      <c r="B33" s="206">
        <f t="shared" si="13"/>
        <v>-99.189403999999996</v>
      </c>
      <c r="C33" s="206">
        <f t="shared" si="14"/>
        <v>-379.39529299999998</v>
      </c>
      <c r="D33" s="206">
        <v>-25.218653</v>
      </c>
      <c r="E33" s="206">
        <v>-37.078170999999998</v>
      </c>
      <c r="F33" s="206">
        <v>-50.361780000000003</v>
      </c>
      <c r="G33" s="206">
        <v>-64.659672999999998</v>
      </c>
      <c r="H33" s="206">
        <v>-79.061477999999994</v>
      </c>
      <c r="I33" s="206">
        <v>-99.189403999999996</v>
      </c>
      <c r="J33" s="206">
        <v>-118.644278</v>
      </c>
      <c r="K33" s="206">
        <v>-137.76785699999999</v>
      </c>
      <c r="L33" s="206">
        <v>-155.28035800000001</v>
      </c>
      <c r="M33" s="206">
        <v>-172.69067100000001</v>
      </c>
      <c r="N33" s="206">
        <v>-190.06209999999999</v>
      </c>
      <c r="O33" s="206">
        <v>-206.90147099999999</v>
      </c>
      <c r="P33" s="206">
        <v>-218.94552400000001</v>
      </c>
      <c r="Q33" s="206">
        <v>-232.73562999999999</v>
      </c>
      <c r="R33" s="206">
        <v>-249.911767</v>
      </c>
      <c r="S33" s="206">
        <v>-265.159605</v>
      </c>
      <c r="T33" s="206">
        <v>-275.56615299999999</v>
      </c>
      <c r="U33" s="206">
        <v>-288.07107000000002</v>
      </c>
      <c r="V33" s="206">
        <v>-299.17370699999998</v>
      </c>
      <c r="W33" s="206">
        <v>-311.42375700000002</v>
      </c>
      <c r="X33" s="206">
        <v>-325.12723399999999</v>
      </c>
      <c r="Y33" s="206">
        <v>-335.85908499999999</v>
      </c>
      <c r="Z33" s="206">
        <v>-347.44975799999997</v>
      </c>
      <c r="AA33" s="206">
        <v>-360.53757300000001</v>
      </c>
      <c r="AB33" s="206">
        <v>-370.25842999999998</v>
      </c>
      <c r="AC33" s="206">
        <v>-379.39529299999998</v>
      </c>
    </row>
    <row r="34" spans="1:29" s="165" customFormat="1">
      <c r="A34" s="206" t="s">
        <v>347</v>
      </c>
      <c r="B34" s="206">
        <f t="shared" si="13"/>
        <v>-35.735847999999997</v>
      </c>
      <c r="C34" s="206">
        <f t="shared" si="14"/>
        <v>-123.959723</v>
      </c>
      <c r="D34" s="206">
        <v>-9.5464640000000003</v>
      </c>
      <c r="E34" s="206">
        <v>-13.72528</v>
      </c>
      <c r="F34" s="206">
        <v>-18.425791</v>
      </c>
      <c r="G34" s="206">
        <v>-23.496195</v>
      </c>
      <c r="H34" s="206">
        <v>-28.658429000000002</v>
      </c>
      <c r="I34" s="206">
        <v>-35.735847999999997</v>
      </c>
      <c r="J34" s="206">
        <v>-42.540328000000002</v>
      </c>
      <c r="K34" s="206">
        <v>-49.275773000000001</v>
      </c>
      <c r="L34" s="206">
        <v>-55.276110000000003</v>
      </c>
      <c r="M34" s="206">
        <v>-61.223497999999999</v>
      </c>
      <c r="N34" s="206">
        <v>-67.134851999999995</v>
      </c>
      <c r="O34" s="206">
        <v>-72.665706</v>
      </c>
      <c r="P34" s="206">
        <v>-76.550544000000002</v>
      </c>
      <c r="Q34" s="206">
        <v>-81.011150999999998</v>
      </c>
      <c r="R34" s="206">
        <v>-86.495131999999998</v>
      </c>
      <c r="S34" s="206">
        <v>-91.287846000000002</v>
      </c>
      <c r="T34" s="206">
        <v>-94.419207</v>
      </c>
      <c r="U34" s="206">
        <v>-98.180978999999994</v>
      </c>
      <c r="V34" s="206">
        <v>-101.379831</v>
      </c>
      <c r="W34" s="206">
        <v>-104.952956</v>
      </c>
      <c r="X34" s="206">
        <v>-109.045027</v>
      </c>
      <c r="Y34" s="206">
        <v>-111.942159</v>
      </c>
      <c r="Z34" s="206">
        <v>-115.211456</v>
      </c>
      <c r="AA34" s="206">
        <v>-118.790578</v>
      </c>
      <c r="AB34" s="206">
        <v>-121.569136</v>
      </c>
      <c r="AC34" s="206">
        <v>-123.959723</v>
      </c>
    </row>
    <row r="35" spans="1:29" s="165" customFormat="1">
      <c r="A35" s="206" t="s">
        <v>346</v>
      </c>
      <c r="B35" s="206">
        <f t="shared" si="13"/>
        <v>-130.38288299999999</v>
      </c>
      <c r="C35" s="206">
        <f t="shared" si="14"/>
        <v>-538.01091699999995</v>
      </c>
      <c r="D35" s="206">
        <v>-19.170199</v>
      </c>
      <c r="E35" s="206">
        <v>-38.743558999999998</v>
      </c>
      <c r="F35" s="206">
        <v>-59.546106000000002</v>
      </c>
      <c r="G35" s="206">
        <v>-80.000746000000007</v>
      </c>
      <c r="H35" s="206">
        <v>-96.530708000000004</v>
      </c>
      <c r="I35" s="206">
        <v>-130.38288299999999</v>
      </c>
      <c r="J35" s="206">
        <v>-160.54074800000001</v>
      </c>
      <c r="K35" s="206">
        <v>-190.32315500000001</v>
      </c>
      <c r="L35" s="206">
        <v>-215.250912</v>
      </c>
      <c r="M35" s="206">
        <v>-240.511594</v>
      </c>
      <c r="N35" s="206">
        <v>-267.17794400000002</v>
      </c>
      <c r="O35" s="206">
        <v>-293.86228299999999</v>
      </c>
      <c r="P35" s="206">
        <v>-306.50346100000002</v>
      </c>
      <c r="Q35" s="206">
        <v>-322.979085</v>
      </c>
      <c r="R35" s="206">
        <v>-353.40986099999998</v>
      </c>
      <c r="S35" s="206">
        <v>-377.73644999999999</v>
      </c>
      <c r="T35" s="206">
        <v>-385.96983699999998</v>
      </c>
      <c r="U35" s="206">
        <v>-401.763351</v>
      </c>
      <c r="V35" s="206">
        <v>-416.431738</v>
      </c>
      <c r="W35" s="206">
        <v>-434.27044000000001</v>
      </c>
      <c r="X35" s="206">
        <v>-458.63507399999997</v>
      </c>
      <c r="Y35" s="206">
        <v>-473.070853</v>
      </c>
      <c r="Z35" s="206">
        <v>-490.93853300000001</v>
      </c>
      <c r="AA35" s="206">
        <v>-513.99194199999999</v>
      </c>
      <c r="AB35" s="206">
        <v>-526.04828699999996</v>
      </c>
      <c r="AC35" s="206">
        <v>-538.01091699999995</v>
      </c>
    </row>
    <row r="36" spans="1:29" s="165" customFormat="1">
      <c r="A36" s="206" t="s">
        <v>348</v>
      </c>
      <c r="B36" s="206">
        <f t="shared" si="13"/>
        <v>-603.21209699999997</v>
      </c>
      <c r="C36" s="206">
        <f t="shared" si="14"/>
        <v>-2496.1385869999999</v>
      </c>
      <c r="D36" s="206">
        <v>-86.198082999999997</v>
      </c>
      <c r="E36" s="206">
        <v>-177.46462099999999</v>
      </c>
      <c r="F36" s="206">
        <v>-274.30060900000001</v>
      </c>
      <c r="G36" s="206">
        <v>-369.22950800000001</v>
      </c>
      <c r="H36" s="206">
        <v>-445.27829700000001</v>
      </c>
      <c r="I36" s="206">
        <v>-603.21209699999997</v>
      </c>
      <c r="J36" s="206">
        <v>-743.55408599999998</v>
      </c>
      <c r="K36" s="206">
        <v>-882.16978700000004</v>
      </c>
      <c r="L36" s="206">
        <v>-997.837357</v>
      </c>
      <c r="M36" s="206">
        <v>-1115.128449</v>
      </c>
      <c r="N36" s="206">
        <v>-1239.184964</v>
      </c>
      <c r="O36" s="206">
        <v>-1363.451057</v>
      </c>
      <c r="P36" s="206">
        <v>-1421.3683960000001</v>
      </c>
      <c r="Q36" s="206">
        <v>-1497.299906</v>
      </c>
      <c r="R36" s="206">
        <v>-1639.488781</v>
      </c>
      <c r="S36" s="206">
        <v>-1752.7994329999999</v>
      </c>
      <c r="T36" s="206">
        <v>-1789.923522</v>
      </c>
      <c r="U36" s="206">
        <v>-1862.8814620000001</v>
      </c>
      <c r="V36" s="206">
        <v>-1930.7606049999999</v>
      </c>
      <c r="W36" s="206">
        <v>-2013.6026400000001</v>
      </c>
      <c r="X36" s="206">
        <v>-2127.458443</v>
      </c>
      <c r="Y36" s="206">
        <v>-2194.3073570000001</v>
      </c>
      <c r="Z36" s="206">
        <v>-2277.4436879999998</v>
      </c>
      <c r="AA36" s="206">
        <v>-2385.1457559999999</v>
      </c>
      <c r="AB36" s="206">
        <v>-2440.8002470000001</v>
      </c>
      <c r="AC36" s="206">
        <v>-2496.1385869999999</v>
      </c>
    </row>
    <row r="37" spans="1:29" s="165" customFormat="1"/>
    <row r="38" spans="1:29" s="165" customFormat="1" ht="15.6">
      <c r="A38" s="205" t="s">
        <v>357</v>
      </c>
      <c r="B38" s="171"/>
      <c r="C38" s="171"/>
      <c r="D38" s="204"/>
      <c r="E38" s="203"/>
      <c r="F38" s="203"/>
      <c r="G38" s="203"/>
      <c r="H38" s="203"/>
      <c r="I38" s="203"/>
      <c r="J38" s="203"/>
      <c r="K38" s="203"/>
      <c r="L38" s="203"/>
    </row>
    <row r="39" spans="1:29" s="165" customFormat="1">
      <c r="A39" s="201" t="s">
        <v>339</v>
      </c>
      <c r="B39" s="202">
        <f t="shared" ref="B39:AC39" si="15">+B28/B27</f>
        <v>2.3311514244747835</v>
      </c>
      <c r="C39" s="202">
        <f t="shared" si="15"/>
        <v>2.090003809865272</v>
      </c>
      <c r="D39" s="202">
        <f t="shared" si="15"/>
        <v>3.9869382935076367</v>
      </c>
      <c r="E39" s="202">
        <f t="shared" si="15"/>
        <v>3.3034286481007675</v>
      </c>
      <c r="F39" s="202">
        <f t="shared" si="15"/>
        <v>2.9815837009636352</v>
      </c>
      <c r="G39" s="202">
        <f t="shared" si="15"/>
        <v>2.7222773669586116</v>
      </c>
      <c r="H39" s="202">
        <f t="shared" si="15"/>
        <v>2.4582917953199797</v>
      </c>
      <c r="I39" s="202">
        <f t="shared" si="15"/>
        <v>2.3311514244747835</v>
      </c>
      <c r="J39" s="202">
        <f t="shared" si="15"/>
        <v>2.3711815982417019</v>
      </c>
      <c r="K39" s="202">
        <f t="shared" si="15"/>
        <v>2.3770608369389254</v>
      </c>
      <c r="L39" s="202">
        <f t="shared" si="15"/>
        <v>2.362348165719466</v>
      </c>
      <c r="M39" s="202">
        <f t="shared" si="15"/>
        <v>2.334118555427307</v>
      </c>
      <c r="N39" s="202">
        <f t="shared" si="15"/>
        <v>2.2943092806815084</v>
      </c>
      <c r="O39" s="202">
        <f t="shared" si="15"/>
        <v>2.2676920861418917</v>
      </c>
      <c r="P39" s="202">
        <f t="shared" si="15"/>
        <v>2.1915467416985392</v>
      </c>
      <c r="Q39" s="202">
        <f t="shared" si="15"/>
        <v>2.131389192829539</v>
      </c>
      <c r="R39" s="202">
        <f t="shared" si="15"/>
        <v>2.0918225994306514</v>
      </c>
      <c r="S39" s="202">
        <f t="shared" si="15"/>
        <v>2.0310898046135857</v>
      </c>
      <c r="T39" s="202">
        <f t="shared" si="15"/>
        <v>2.0368820658466107</v>
      </c>
      <c r="U39" s="202">
        <f t="shared" si="15"/>
        <v>2.0545902030633867</v>
      </c>
      <c r="V39" s="202">
        <f t="shared" si="15"/>
        <v>2.0610255954151837</v>
      </c>
      <c r="W39" s="202">
        <f t="shared" si="15"/>
        <v>2.0738347575421447</v>
      </c>
      <c r="X39" s="202">
        <f t="shared" si="15"/>
        <v>2.0928908094525855</v>
      </c>
      <c r="Y39" s="202">
        <f t="shared" si="15"/>
        <v>2.0919986152947865</v>
      </c>
      <c r="Z39" s="202">
        <f t="shared" si="15"/>
        <v>2.0953829601736258</v>
      </c>
      <c r="AA39" s="202">
        <f t="shared" si="15"/>
        <v>2.1057975943837244</v>
      </c>
      <c r="AB39" s="202">
        <f t="shared" si="15"/>
        <v>2.0994545265398976</v>
      </c>
      <c r="AC39" s="202">
        <f t="shared" si="15"/>
        <v>2.090003809865272</v>
      </c>
    </row>
    <row r="40" spans="1:29" s="165" customFormat="1">
      <c r="A40" s="201" t="s">
        <v>354</v>
      </c>
      <c r="B40" s="200">
        <f t="shared" ref="B40:AC40" si="16">+B29/B27</f>
        <v>2211.4670148681503</v>
      </c>
      <c r="C40" s="200">
        <f t="shared" si="16"/>
        <v>5297.4254447829198</v>
      </c>
      <c r="D40" s="200">
        <f t="shared" si="16"/>
        <v>1077.5742491381177</v>
      </c>
      <c r="E40" s="200">
        <f t="shared" si="16"/>
        <v>1077.7605509337293</v>
      </c>
      <c r="F40" s="200">
        <f t="shared" si="16"/>
        <v>1081.5564786474563</v>
      </c>
      <c r="G40" s="200">
        <f t="shared" si="16"/>
        <v>1086.2719690063477</v>
      </c>
      <c r="H40" s="200">
        <f t="shared" si="16"/>
        <v>1091.4023235771092</v>
      </c>
      <c r="I40" s="200">
        <f t="shared" si="16"/>
        <v>2211.4670148681503</v>
      </c>
      <c r="J40" s="200">
        <f t="shared" si="16"/>
        <v>2194.5912584942857</v>
      </c>
      <c r="K40" s="200">
        <f t="shared" si="16"/>
        <v>2184.3898087315392</v>
      </c>
      <c r="L40" s="200">
        <f t="shared" si="16"/>
        <v>2183.3838338783185</v>
      </c>
      <c r="M40" s="200">
        <f t="shared" si="16"/>
        <v>2185.0427709876494</v>
      </c>
      <c r="N40" s="200">
        <f t="shared" si="16"/>
        <v>2179.4241778978671</v>
      </c>
      <c r="O40" s="200">
        <f t="shared" si="16"/>
        <v>2175.144824896448</v>
      </c>
      <c r="P40" s="200">
        <f t="shared" si="16"/>
        <v>2173.1565087742706</v>
      </c>
      <c r="Q40" s="200">
        <f t="shared" si="16"/>
        <v>2173.020481525979</v>
      </c>
      <c r="R40" s="200">
        <f t="shared" si="16"/>
        <v>2174.4426155165179</v>
      </c>
      <c r="S40" s="200">
        <f t="shared" si="16"/>
        <v>5300.4780784934637</v>
      </c>
      <c r="T40" s="200">
        <f t="shared" si="16"/>
        <v>5299.1262408485773</v>
      </c>
      <c r="U40" s="200">
        <f t="shared" si="16"/>
        <v>5298.2837096410776</v>
      </c>
      <c r="V40" s="200">
        <f t="shared" si="16"/>
        <v>5297.7113834945148</v>
      </c>
      <c r="W40" s="200">
        <f t="shared" si="16"/>
        <v>5297.3043277829202</v>
      </c>
      <c r="X40" s="200">
        <f t="shared" si="16"/>
        <v>5297.4492881503093</v>
      </c>
      <c r="Y40" s="200">
        <f t="shared" si="16"/>
        <v>5297.4417556813205</v>
      </c>
      <c r="Z40" s="200">
        <f t="shared" si="16"/>
        <v>5297.4361629087907</v>
      </c>
      <c r="AA40" s="200">
        <f t="shared" si="16"/>
        <v>5297.4315179724426</v>
      </c>
      <c r="AB40" s="200">
        <f t="shared" si="16"/>
        <v>5297.427671224601</v>
      </c>
      <c r="AC40" s="200">
        <f t="shared" si="16"/>
        <v>5297.4254447829198</v>
      </c>
    </row>
    <row r="41" spans="1:29" s="165" customFormat="1">
      <c r="A41" s="195" t="s">
        <v>343</v>
      </c>
      <c r="B41" s="198">
        <f t="shared" ref="B41:AC41" si="17">+B30/B27</f>
        <v>1.1233713608877252E-2</v>
      </c>
      <c r="C41" s="198">
        <f t="shared" si="17"/>
        <v>5.9812427887264924E-3</v>
      </c>
      <c r="D41" s="198">
        <f t="shared" si="17"/>
        <v>1.9175931584690709E-2</v>
      </c>
      <c r="E41" s="198">
        <f t="shared" si="17"/>
        <v>1.6320658094249853E-2</v>
      </c>
      <c r="F41" s="198">
        <f t="shared" si="17"/>
        <v>1.4393356026858001E-2</v>
      </c>
      <c r="G41" s="198">
        <f t="shared" si="17"/>
        <v>1.2931957475200373E-2</v>
      </c>
      <c r="H41" s="198">
        <f t="shared" si="17"/>
        <v>2.3142079660180875E-2</v>
      </c>
      <c r="I41" s="198">
        <f t="shared" si="17"/>
        <v>1.1233713608877252E-2</v>
      </c>
      <c r="J41" s="198">
        <f t="shared" si="17"/>
        <v>1.0177963660301508E-2</v>
      </c>
      <c r="K41" s="198">
        <f t="shared" si="17"/>
        <v>9.7696771818134003E-3</v>
      </c>
      <c r="L41" s="198">
        <f t="shared" si="17"/>
        <v>8.9440452173940865E-3</v>
      </c>
      <c r="M41" s="198">
        <f t="shared" si="17"/>
        <v>1.8762088848076567E-2</v>
      </c>
      <c r="N41" s="198">
        <f t="shared" si="17"/>
        <v>1.4569095972759519E-2</v>
      </c>
      <c r="O41" s="198">
        <f t="shared" si="17"/>
        <v>1.2199064637973933E-2</v>
      </c>
      <c r="P41" s="198">
        <f t="shared" si="17"/>
        <v>1.173788169003216E-2</v>
      </c>
      <c r="Q41" s="198">
        <f t="shared" si="17"/>
        <v>1.1306247612766575E-2</v>
      </c>
      <c r="R41" s="198">
        <f t="shared" si="17"/>
        <v>1.0898250186324922E-2</v>
      </c>
      <c r="S41" s="198">
        <f t="shared" si="17"/>
        <v>9.1391666153854585E-3</v>
      </c>
      <c r="T41" s="198">
        <f t="shared" si="17"/>
        <v>7.937748956671823E-3</v>
      </c>
      <c r="U41" s="198">
        <f t="shared" si="17"/>
        <v>7.874029554624724E-3</v>
      </c>
      <c r="V41" s="198">
        <f t="shared" si="17"/>
        <v>7.7882365776329784E-3</v>
      </c>
      <c r="W41" s="198">
        <f t="shared" si="17"/>
        <v>7.6928042307149733E-3</v>
      </c>
      <c r="X41" s="198">
        <f t="shared" si="17"/>
        <v>6.6926568139735942E-3</v>
      </c>
      <c r="Y41" s="198">
        <f t="shared" si="17"/>
        <v>6.9292725274265341E-3</v>
      </c>
      <c r="Z41" s="198">
        <f t="shared" si="17"/>
        <v>6.8634179821551134E-3</v>
      </c>
      <c r="AA41" s="198">
        <f t="shared" si="17"/>
        <v>6.7926054375548276E-3</v>
      </c>
      <c r="AB41" s="198">
        <f t="shared" si="17"/>
        <v>6.7129155579342282E-3</v>
      </c>
      <c r="AC41" s="198">
        <f t="shared" si="17"/>
        <v>5.9812427887264924E-3</v>
      </c>
    </row>
    <row r="42" spans="1:29" s="165" customFormat="1">
      <c r="A42" s="197" t="s">
        <v>344</v>
      </c>
      <c r="B42" s="196">
        <f>-B32/B27</f>
        <v>508.76334393117634</v>
      </c>
      <c r="C42" s="196">
        <f>-C32/C$27</f>
        <v>603.68359835632737</v>
      </c>
      <c r="D42" s="196">
        <f t="shared" ref="D42:AC42" si="18">-D32/D27</f>
        <v>874.21361435959977</v>
      </c>
      <c r="E42" s="196">
        <f t="shared" si="18"/>
        <v>598.24816675818272</v>
      </c>
      <c r="F42" s="196">
        <f t="shared" si="18"/>
        <v>506.71699543490723</v>
      </c>
      <c r="G42" s="196">
        <f t="shared" si="18"/>
        <v>462.33196207160842</v>
      </c>
      <c r="H42" s="196">
        <f t="shared" si="18"/>
        <v>488.79816944080989</v>
      </c>
      <c r="I42" s="196">
        <f t="shared" si="18"/>
        <v>508.76334393117634</v>
      </c>
      <c r="J42" s="196">
        <f t="shared" si="18"/>
        <v>530.02154190033934</v>
      </c>
      <c r="K42" s="196">
        <f t="shared" si="18"/>
        <v>548.02905772778536</v>
      </c>
      <c r="L42" s="196">
        <f t="shared" si="18"/>
        <v>568.93457484267674</v>
      </c>
      <c r="M42" s="196">
        <f t="shared" si="18"/>
        <v>587.61390800054801</v>
      </c>
      <c r="N42" s="196">
        <f t="shared" si="18"/>
        <v>604.44565122375468</v>
      </c>
      <c r="O42" s="196">
        <f t="shared" si="18"/>
        <v>599.94210285195641</v>
      </c>
      <c r="P42" s="196">
        <f t="shared" si="18"/>
        <v>596.79958640269649</v>
      </c>
      <c r="Q42" s="196">
        <f t="shared" si="18"/>
        <v>594.78880187887876</v>
      </c>
      <c r="R42" s="196">
        <f t="shared" si="18"/>
        <v>593.73923589635672</v>
      </c>
      <c r="S42" s="196">
        <f t="shared" si="18"/>
        <v>592.781692685758</v>
      </c>
      <c r="T42" s="196">
        <f t="shared" si="18"/>
        <v>594.76244368573384</v>
      </c>
      <c r="U42" s="196">
        <f t="shared" si="18"/>
        <v>596.60196994301555</v>
      </c>
      <c r="V42" s="196">
        <f t="shared" si="18"/>
        <v>598.31454518259216</v>
      </c>
      <c r="W42" s="196">
        <f t="shared" si="18"/>
        <v>599.91291888827925</v>
      </c>
      <c r="X42" s="196">
        <f t="shared" si="18"/>
        <v>601.40634401493571</v>
      </c>
      <c r="Y42" s="196">
        <f t="shared" si="18"/>
        <v>601.92121383615302</v>
      </c>
      <c r="Z42" s="196">
        <f t="shared" si="18"/>
        <v>602.40358288968446</v>
      </c>
      <c r="AA42" s="196">
        <f t="shared" si="18"/>
        <v>602.85638723838917</v>
      </c>
      <c r="AB42" s="196">
        <f t="shared" si="18"/>
        <v>603.2823060151693</v>
      </c>
      <c r="AC42" s="196">
        <f t="shared" si="18"/>
        <v>603.68359835632737</v>
      </c>
    </row>
    <row r="43" spans="1:29" s="165" customFormat="1">
      <c r="A43" s="195" t="s">
        <v>345</v>
      </c>
      <c r="B43" s="194">
        <f>-B33/$B$27</f>
        <v>1.2366985100679508E-3</v>
      </c>
      <c r="C43" s="194">
        <f>-C33/C$27</f>
        <v>1.6071213600092242E-3</v>
      </c>
      <c r="D43" s="194">
        <f t="shared" ref="D43:AC43" si="19">-D33/D$27</f>
        <v>1.7395365632591909E-3</v>
      </c>
      <c r="E43" s="194">
        <f t="shared" si="19"/>
        <v>1.3126684417595015E-3</v>
      </c>
      <c r="F43" s="194">
        <f t="shared" si="19"/>
        <v>1.2081250494771613E-3</v>
      </c>
      <c r="G43" s="194">
        <f t="shared" si="19"/>
        <v>1.1793739655801998E-3</v>
      </c>
      <c r="H43" s="194">
        <f t="shared" si="19"/>
        <v>1.1683569744110073E-3</v>
      </c>
      <c r="I43" s="194">
        <f t="shared" si="19"/>
        <v>1.2366985100679508E-3</v>
      </c>
      <c r="J43" s="194">
        <f t="shared" si="19"/>
        <v>1.2956621780973278E-3</v>
      </c>
      <c r="K43" s="194">
        <f t="shared" si="19"/>
        <v>1.3419217237489844E-3</v>
      </c>
      <c r="L43" s="194">
        <f t="shared" si="19"/>
        <v>1.3805512359096835E-3</v>
      </c>
      <c r="M43" s="194">
        <f t="shared" si="19"/>
        <v>1.4148636299283666E-3</v>
      </c>
      <c r="N43" s="194">
        <f t="shared" si="19"/>
        <v>1.4459702222894084E-3</v>
      </c>
      <c r="O43" s="194">
        <f t="shared" si="19"/>
        <v>1.4838356369317395E-3</v>
      </c>
      <c r="P43" s="194">
        <f t="shared" si="19"/>
        <v>1.48724343592251E-3</v>
      </c>
      <c r="Q43" s="194">
        <f t="shared" si="19"/>
        <v>1.5036380920532713E-3</v>
      </c>
      <c r="R43" s="194">
        <f t="shared" si="19"/>
        <v>1.5413700969284328E-3</v>
      </c>
      <c r="S43" s="194">
        <f t="shared" si="19"/>
        <v>1.5644530727984475E-3</v>
      </c>
      <c r="T43" s="194">
        <f t="shared" si="19"/>
        <v>1.5657658865209864E-3</v>
      </c>
      <c r="U43" s="194">
        <f t="shared" si="19"/>
        <v>1.5784830334115295E-3</v>
      </c>
      <c r="V43" s="194">
        <f t="shared" si="19"/>
        <v>1.5829046249479968E-3</v>
      </c>
      <c r="W43" s="194">
        <f t="shared" si="19"/>
        <v>1.5929002628954467E-3</v>
      </c>
      <c r="X43" s="194">
        <f t="shared" si="19"/>
        <v>1.6094415665965141E-3</v>
      </c>
      <c r="Y43" s="194">
        <f t="shared" si="19"/>
        <v>1.6083338844347706E-3</v>
      </c>
      <c r="Z43" s="194">
        <f t="shared" si="19"/>
        <v>1.6112789979409745E-3</v>
      </c>
      <c r="AA43" s="194">
        <f t="shared" si="19"/>
        <v>1.6207739767059037E-3</v>
      </c>
      <c r="AB43" s="194">
        <f t="shared" si="19"/>
        <v>1.6150185673835615E-3</v>
      </c>
      <c r="AC43" s="194">
        <f t="shared" si="19"/>
        <v>1.6071213600092242E-3</v>
      </c>
    </row>
    <row r="44" spans="1:29" s="165" customFormat="1">
      <c r="A44" s="195" t="s">
        <v>346</v>
      </c>
      <c r="B44" s="194">
        <f>-B35/$B$27</f>
        <v>1.6256203852627641E-3</v>
      </c>
      <c r="C44" s="194">
        <f>-C34/C$27</f>
        <v>5.2509433377215546E-4</v>
      </c>
      <c r="D44" s="194">
        <f t="shared" ref="D44:AC44" si="20">-D34/D$27</f>
        <v>6.5849762784069357E-4</v>
      </c>
      <c r="E44" s="194">
        <f t="shared" si="20"/>
        <v>4.8591236904087985E-4</v>
      </c>
      <c r="F44" s="194">
        <f t="shared" si="20"/>
        <v>4.4201494989912655E-4</v>
      </c>
      <c r="G44" s="194">
        <f t="shared" si="20"/>
        <v>4.2856388514670753E-4</v>
      </c>
      <c r="H44" s="194">
        <f t="shared" si="20"/>
        <v>4.2350935303552857E-4</v>
      </c>
      <c r="I44" s="194">
        <f t="shared" si="20"/>
        <v>4.4555636182282897E-4</v>
      </c>
      <c r="J44" s="194">
        <f t="shared" si="20"/>
        <v>4.6456428377822612E-4</v>
      </c>
      <c r="K44" s="194">
        <f t="shared" si="20"/>
        <v>4.799684896254405E-4</v>
      </c>
      <c r="L44" s="194">
        <f t="shared" si="20"/>
        <v>4.9144336707917439E-4</v>
      </c>
      <c r="M44" s="194">
        <f t="shared" si="20"/>
        <v>5.0160729653538777E-4</v>
      </c>
      <c r="N44" s="194">
        <f t="shared" si="20"/>
        <v>5.1075410021149154E-4</v>
      </c>
      <c r="O44" s="194">
        <f t="shared" si="20"/>
        <v>5.2113676922869502E-4</v>
      </c>
      <c r="P44" s="194">
        <f t="shared" si="20"/>
        <v>5.199891370252322E-4</v>
      </c>
      <c r="Q44" s="194">
        <f t="shared" si="20"/>
        <v>5.233897900578415E-4</v>
      </c>
      <c r="R44" s="194">
        <f t="shared" si="20"/>
        <v>5.3347231943135193E-4</v>
      </c>
      <c r="S44" s="194">
        <f t="shared" si="20"/>
        <v>5.3860221727156164E-4</v>
      </c>
      <c r="T44" s="194">
        <f t="shared" si="20"/>
        <v>5.3648959330997203E-4</v>
      </c>
      <c r="U44" s="194">
        <f t="shared" si="20"/>
        <v>5.3798185827974208E-4</v>
      </c>
      <c r="V44" s="194">
        <f t="shared" si="20"/>
        <v>5.3639273643237072E-4</v>
      </c>
      <c r="W44" s="194">
        <f t="shared" si="20"/>
        <v>5.3682349996199636E-4</v>
      </c>
      <c r="X44" s="194">
        <f t="shared" si="20"/>
        <v>5.3979359687979624E-4</v>
      </c>
      <c r="Y44" s="194">
        <f t="shared" si="20"/>
        <v>5.360592446575764E-4</v>
      </c>
      <c r="Z44" s="194">
        <f t="shared" si="20"/>
        <v>5.3428674247342739E-4</v>
      </c>
      <c r="AA44" s="194">
        <f t="shared" si="20"/>
        <v>5.3401556985644002E-4</v>
      </c>
      <c r="AB44" s="194">
        <f t="shared" si="20"/>
        <v>5.3026857986941006E-4</v>
      </c>
      <c r="AC44" s="194">
        <f t="shared" si="20"/>
        <v>5.2509433377215546E-4</v>
      </c>
    </row>
    <row r="45" spans="1:29" s="165" customFormat="1">
      <c r="A45" s="195" t="s">
        <v>347</v>
      </c>
      <c r="B45" s="194">
        <f>-B34/$B$27</f>
        <v>4.4555636182282897E-4</v>
      </c>
      <c r="C45" s="194">
        <f>-C35/C$27</f>
        <v>2.2790183552141483E-3</v>
      </c>
      <c r="D45" s="194">
        <f t="shared" ref="D45:AC45" si="21">-D35/D$27</f>
        <v>1.3223252679457058E-3</v>
      </c>
      <c r="E45" s="194">
        <f t="shared" si="21"/>
        <v>1.37162772189457E-3</v>
      </c>
      <c r="F45" s="194">
        <f t="shared" si="21"/>
        <v>1.4284471727850424E-3</v>
      </c>
      <c r="G45" s="194">
        <f t="shared" si="21"/>
        <v>1.4591907549454252E-3</v>
      </c>
      <c r="H45" s="194">
        <f t="shared" si="21"/>
        <v>1.4265142619346483E-3</v>
      </c>
      <c r="I45" s="194">
        <f t="shared" si="21"/>
        <v>1.6256203852627641E-3</v>
      </c>
      <c r="J45" s="194">
        <f t="shared" si="21"/>
        <v>1.7531951707528133E-3</v>
      </c>
      <c r="K45" s="194">
        <f t="shared" si="21"/>
        <v>1.8538342817290478E-3</v>
      </c>
      <c r="L45" s="194">
        <f t="shared" si="21"/>
        <v>1.9137315010072718E-3</v>
      </c>
      <c r="M45" s="194">
        <f t="shared" si="21"/>
        <v>1.9705239718866892E-3</v>
      </c>
      <c r="N45" s="194">
        <f t="shared" si="21"/>
        <v>2.0326585420055191E-3</v>
      </c>
      <c r="O45" s="194">
        <f t="shared" si="21"/>
        <v>2.1074926425511983E-3</v>
      </c>
      <c r="P45" s="194">
        <f t="shared" si="21"/>
        <v>2.0820031034741822E-3</v>
      </c>
      <c r="Q45" s="194">
        <f t="shared" si="21"/>
        <v>2.0866751478598759E-3</v>
      </c>
      <c r="R45" s="194">
        <f t="shared" si="21"/>
        <v>2.1797108565321534E-3</v>
      </c>
      <c r="S45" s="194">
        <f t="shared" si="21"/>
        <v>2.2286612997122137E-3</v>
      </c>
      <c r="T45" s="194">
        <f t="shared" si="21"/>
        <v>2.1930792204391866E-3</v>
      </c>
      <c r="U45" s="194">
        <f t="shared" si="21"/>
        <v>2.2014589420591975E-3</v>
      </c>
      <c r="V45" s="194">
        <f t="shared" si="21"/>
        <v>2.2033076725399953E-3</v>
      </c>
      <c r="W45" s="194">
        <f t="shared" si="21"/>
        <v>2.2212483232090779E-3</v>
      </c>
      <c r="X45" s="194">
        <f t="shared" si="21"/>
        <v>2.270330734566112E-3</v>
      </c>
      <c r="Y45" s="194">
        <f t="shared" si="21"/>
        <v>2.2654021183269777E-3</v>
      </c>
      <c r="Z45" s="194">
        <f t="shared" si="21"/>
        <v>2.2767002402196293E-3</v>
      </c>
      <c r="AA45" s="194">
        <f t="shared" si="21"/>
        <v>2.3106184381790637E-3</v>
      </c>
      <c r="AB45" s="194">
        <f t="shared" si="21"/>
        <v>2.2945534308167316E-3</v>
      </c>
      <c r="AC45" s="194">
        <f t="shared" si="21"/>
        <v>2.2790183552141483E-3</v>
      </c>
    </row>
    <row r="46" spans="1:29" s="165" customFormat="1">
      <c r="A46" s="195" t="s">
        <v>348</v>
      </c>
      <c r="B46" s="194">
        <f>-B36/$B$27</f>
        <v>7.520878960164578E-3</v>
      </c>
      <c r="C46" s="194">
        <f>-C36/C$27</f>
        <v>1.0573662126880799E-2</v>
      </c>
      <c r="D46" s="194">
        <f t="shared" ref="D46:AC46" si="22">-D36/D$27</f>
        <v>5.9457861235233493E-3</v>
      </c>
      <c r="E46" s="194">
        <f t="shared" si="22"/>
        <v>6.2827318940707859E-3</v>
      </c>
      <c r="F46" s="194">
        <f t="shared" si="22"/>
        <v>6.580177206201617E-3</v>
      </c>
      <c r="G46" s="194">
        <f t="shared" si="22"/>
        <v>6.7346407560580478E-3</v>
      </c>
      <c r="H46" s="194">
        <f t="shared" si="22"/>
        <v>6.5802463730036259E-3</v>
      </c>
      <c r="I46" s="194">
        <f t="shared" si="22"/>
        <v>7.520878960164578E-3</v>
      </c>
      <c r="J46" s="194">
        <f t="shared" si="22"/>
        <v>8.1200283978290783E-3</v>
      </c>
      <c r="K46" s="194">
        <f t="shared" si="22"/>
        <v>8.5927358310459497E-3</v>
      </c>
      <c r="L46" s="194">
        <f t="shared" si="22"/>
        <v>8.871473599018893E-3</v>
      </c>
      <c r="M46" s="194">
        <f t="shared" si="22"/>
        <v>9.1363052563999212E-3</v>
      </c>
      <c r="N46" s="194">
        <f t="shared" si="22"/>
        <v>9.4275742394342305E-3</v>
      </c>
      <c r="O46" s="194">
        <f t="shared" si="22"/>
        <v>9.7782643004449624E-3</v>
      </c>
      <c r="P46" s="194">
        <f t="shared" si="22"/>
        <v>9.6550081424761468E-3</v>
      </c>
      <c r="Q46" s="194">
        <f t="shared" si="22"/>
        <v>9.6736248501760672E-3</v>
      </c>
      <c r="R46" s="194">
        <f t="shared" si="22"/>
        <v>1.0111804704590192E-2</v>
      </c>
      <c r="S46" s="194">
        <f t="shared" si="22"/>
        <v>1.0341592034564339E-2</v>
      </c>
      <c r="T46" s="194">
        <f t="shared" si="22"/>
        <v>1.017033899017742E-2</v>
      </c>
      <c r="U46" s="194">
        <f t="shared" si="22"/>
        <v>1.0207643485421374E-2</v>
      </c>
      <c r="V46" s="194">
        <f t="shared" si="22"/>
        <v>1.0215502966381643E-2</v>
      </c>
      <c r="W46" s="194">
        <f t="shared" si="22"/>
        <v>1.0299368954767846E-2</v>
      </c>
      <c r="X46" s="194">
        <f t="shared" si="22"/>
        <v>1.0531323406057398E-2</v>
      </c>
      <c r="Y46" s="194">
        <f t="shared" si="22"/>
        <v>1.0507915470345562E-2</v>
      </c>
      <c r="Z46" s="194">
        <f t="shared" si="22"/>
        <v>1.0561518892949229E-2</v>
      </c>
      <c r="AA46" s="194">
        <f t="shared" si="22"/>
        <v>1.0722272687998954E-2</v>
      </c>
      <c r="AB46" s="194">
        <f t="shared" si="22"/>
        <v>1.0646449611368427E-2</v>
      </c>
      <c r="AC46" s="194">
        <f t="shared" si="22"/>
        <v>1.0573662126880799E-2</v>
      </c>
    </row>
  </sheetData>
  <mergeCells count="1">
    <mergeCell ref="A23:F2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0E019-ABB5-4FFF-AB46-A72AB947A9D0}">
  <sheetPr>
    <tabColor theme="9" tint="0.79998168889431442"/>
  </sheetPr>
  <dimension ref="A1:AC74"/>
  <sheetViews>
    <sheetView zoomScaleNormal="100" workbookViewId="0">
      <selection activeCell="B7" sqref="B7"/>
    </sheetView>
  </sheetViews>
  <sheetFormatPr defaultRowHeight="14.45"/>
  <cols>
    <col min="1" max="1" width="54.5703125" customWidth="1"/>
    <col min="2" max="2" width="15.7109375" customWidth="1"/>
    <col min="3" max="3" width="17.5703125" bestFit="1" customWidth="1"/>
    <col min="4" max="7" width="15.42578125" bestFit="1" customWidth="1"/>
    <col min="8" max="8" width="16.42578125" bestFit="1" customWidth="1"/>
    <col min="9" max="29" width="15.42578125" bestFit="1" customWidth="1"/>
  </cols>
  <sheetData>
    <row r="1" spans="1:29" ht="21">
      <c r="A1" s="615" t="s">
        <v>360</v>
      </c>
      <c r="B1" s="193"/>
      <c r="C1" s="193"/>
      <c r="D1" s="271"/>
      <c r="H1" s="549"/>
      <c r="J1" s="271"/>
    </row>
    <row r="2" spans="1:29">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29" ht="29.45" thickBot="1">
      <c r="A3" s="167" t="s">
        <v>361</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29" ht="15.6" thickTop="1" thickBot="1">
      <c r="A4" s="222" t="s">
        <v>333</v>
      </c>
      <c r="B4" s="171">
        <f>SUM(D4:I4)</f>
        <v>321</v>
      </c>
      <c r="C4" s="247"/>
      <c r="D4" s="246">
        <f>+I41</f>
        <v>81</v>
      </c>
      <c r="E4" s="246">
        <f>+J41</f>
        <v>81</v>
      </c>
      <c r="F4" s="246">
        <f>+K41</f>
        <v>81</v>
      </c>
      <c r="G4" s="246">
        <f>+L41</f>
        <v>78</v>
      </c>
      <c r="H4" s="171">
        <f>+M41</f>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29" ht="15.6" thickTop="1" thickBot="1">
      <c r="A5" s="244" t="s">
        <v>334</v>
      </c>
      <c r="B5" s="240"/>
      <c r="C5" s="243"/>
      <c r="D5" s="548">
        <f>I50</f>
        <v>37839.506172839509</v>
      </c>
      <c r="E5" s="548">
        <f t="shared" ref="E5:G5" si="0">J50</f>
        <v>37839.506172839509</v>
      </c>
      <c r="F5" s="548">
        <f t="shared" si="0"/>
        <v>37839.506172839509</v>
      </c>
      <c r="G5" s="548">
        <f t="shared" si="0"/>
        <v>34487.179487179485</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29" ht="15" thickTop="1">
      <c r="A6" s="237" t="s">
        <v>335</v>
      </c>
      <c r="B6" s="540">
        <f>SUM(D6:I6)</f>
        <v>11885000</v>
      </c>
      <c r="C6" s="237"/>
      <c r="D6" s="238">
        <f>+I48</f>
        <v>3065000</v>
      </c>
      <c r="E6" s="238">
        <f>+J48</f>
        <v>3065000</v>
      </c>
      <c r="F6" s="238">
        <f>+K48</f>
        <v>3065000</v>
      </c>
      <c r="G6" s="238">
        <f>+L48</f>
        <v>2690000</v>
      </c>
      <c r="H6" s="237">
        <f>+H5*H4</f>
        <v>0</v>
      </c>
      <c r="I6" s="237">
        <f>+I5*I4</f>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29">
      <c r="A7" s="235" t="s">
        <v>336</v>
      </c>
      <c r="B7" s="235">
        <v>207375</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c r="A8" s="233" t="s">
        <v>337</v>
      </c>
      <c r="B8" s="233">
        <v>12092375</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c r="A9" s="222"/>
      <c r="B9" s="171"/>
      <c r="C9" s="231" t="s">
        <v>338</v>
      </c>
      <c r="D9" s="171">
        <f>+I42</f>
        <v>81</v>
      </c>
      <c r="E9" s="171">
        <f>+J42</f>
        <v>162</v>
      </c>
      <c r="F9" s="171">
        <f>+K42</f>
        <v>243</v>
      </c>
      <c r="G9" s="171">
        <f>+L42</f>
        <v>321</v>
      </c>
      <c r="H9" s="171">
        <f t="shared" ref="H9:AC9" si="1">+G9</f>
        <v>321</v>
      </c>
      <c r="I9" s="171">
        <f t="shared" si="1"/>
        <v>321</v>
      </c>
      <c r="J9" s="171">
        <f t="shared" si="1"/>
        <v>321</v>
      </c>
      <c r="K9" s="171">
        <f t="shared" si="1"/>
        <v>321</v>
      </c>
      <c r="L9" s="171">
        <f t="shared" si="1"/>
        <v>321</v>
      </c>
      <c r="M9" s="171">
        <f t="shared" si="1"/>
        <v>321</v>
      </c>
      <c r="N9" s="171">
        <f t="shared" si="1"/>
        <v>321</v>
      </c>
      <c r="O9" s="171">
        <f t="shared" si="1"/>
        <v>321</v>
      </c>
      <c r="P9" s="171">
        <f t="shared" si="1"/>
        <v>321</v>
      </c>
      <c r="Q9" s="171">
        <f t="shared" si="1"/>
        <v>321</v>
      </c>
      <c r="R9" s="171">
        <f t="shared" si="1"/>
        <v>321</v>
      </c>
      <c r="S9" s="171">
        <f t="shared" si="1"/>
        <v>321</v>
      </c>
      <c r="T9" s="171">
        <f t="shared" si="1"/>
        <v>321</v>
      </c>
      <c r="U9" s="171">
        <f t="shared" si="1"/>
        <v>321</v>
      </c>
      <c r="V9" s="171">
        <f t="shared" si="1"/>
        <v>321</v>
      </c>
      <c r="W9" s="171">
        <f t="shared" si="1"/>
        <v>321</v>
      </c>
      <c r="X9" s="171">
        <f t="shared" si="1"/>
        <v>321</v>
      </c>
      <c r="Y9" s="171">
        <f t="shared" si="1"/>
        <v>321</v>
      </c>
      <c r="Z9" s="171">
        <f t="shared" si="1"/>
        <v>321</v>
      </c>
      <c r="AA9" s="171">
        <f t="shared" si="1"/>
        <v>321</v>
      </c>
      <c r="AB9" s="171">
        <f t="shared" si="1"/>
        <v>321</v>
      </c>
      <c r="AC9" s="171">
        <f t="shared" si="1"/>
        <v>321</v>
      </c>
    </row>
    <row r="10" spans="1:29">
      <c r="A10" s="229" t="s">
        <v>339</v>
      </c>
      <c r="B10" s="229">
        <f>SUM(D10:I10)</f>
        <v>100321.62983314115</v>
      </c>
      <c r="C10" s="229">
        <f>SUM(D10:AC10)</f>
        <v>221125.91760868367</v>
      </c>
      <c r="D10" s="230">
        <f>+I35</f>
        <v>6268.1742001672437</v>
      </c>
      <c r="E10" s="230">
        <f>+J35</f>
        <v>12536.348400334487</v>
      </c>
      <c r="F10" s="230">
        <f>+K35</f>
        <v>18804.522600501732</v>
      </c>
      <c r="G10" s="230">
        <f>+L35</f>
        <v>24378.069827847499</v>
      </c>
      <c r="H10" s="230">
        <f t="shared" ref="H10:AC10" si="2">+G10*H66</f>
        <v>20721.359353670374</v>
      </c>
      <c r="I10" s="230">
        <f t="shared" si="2"/>
        <v>17613.155450619819</v>
      </c>
      <c r="J10" s="230">
        <f t="shared" si="2"/>
        <v>14961.873130302438</v>
      </c>
      <c r="K10" s="230">
        <f t="shared" si="2"/>
        <v>12809.393732535507</v>
      </c>
      <c r="L10" s="230">
        <f t="shared" si="2"/>
        <v>10989.121130138634</v>
      </c>
      <c r="M10" s="230">
        <f t="shared" si="2"/>
        <v>9719.848796244336</v>
      </c>
      <c r="N10" s="230">
        <f t="shared" si="2"/>
        <v>8383.5912539934579</v>
      </c>
      <c r="O10" s="230">
        <f t="shared" si="2"/>
        <v>7324.7666250412794</v>
      </c>
      <c r="P10" s="230">
        <f t="shared" si="2"/>
        <v>6255.1489668036056</v>
      </c>
      <c r="Q10" s="230">
        <f t="shared" si="2"/>
        <v>5353.3116069784937</v>
      </c>
      <c r="R10" s="230">
        <f t="shared" si="2"/>
        <v>4771.1502429661796</v>
      </c>
      <c r="S10" s="230">
        <f t="shared" si="2"/>
        <v>4040.0510503942196</v>
      </c>
      <c r="T10" s="230">
        <f t="shared" si="2"/>
        <v>3881.9418112316034</v>
      </c>
      <c r="U10" s="230">
        <f t="shared" si="2"/>
        <v>3793.3897245054109</v>
      </c>
      <c r="V10" s="230">
        <f t="shared" si="2"/>
        <v>3673.4945332283037</v>
      </c>
      <c r="W10" s="230">
        <f t="shared" si="2"/>
        <v>3708.2698185118106</v>
      </c>
      <c r="X10" s="230">
        <f t="shared" si="2"/>
        <v>3676.620915436572</v>
      </c>
      <c r="Y10" s="230">
        <f t="shared" si="2"/>
        <v>3579.1452925754143</v>
      </c>
      <c r="Z10" s="230">
        <f t="shared" si="2"/>
        <v>3518.2246321749867</v>
      </c>
      <c r="AA10" s="230">
        <f t="shared" si="2"/>
        <v>3479.891858363168</v>
      </c>
      <c r="AB10" s="230">
        <f t="shared" si="2"/>
        <v>3488.5206408744984</v>
      </c>
      <c r="AC10" s="230">
        <f t="shared" si="2"/>
        <v>3396.5320132425722</v>
      </c>
    </row>
    <row r="11" spans="1:29">
      <c r="A11" s="229" t="s">
        <v>340</v>
      </c>
      <c r="B11" s="228"/>
      <c r="C11" s="228"/>
      <c r="D11" s="227">
        <f t="shared" ref="D11:AC11" si="3">+D10/D9</f>
        <v>77.384866668731405</v>
      </c>
      <c r="E11" s="227">
        <f t="shared" si="3"/>
        <v>77.384866668731405</v>
      </c>
      <c r="F11" s="227">
        <f t="shared" si="3"/>
        <v>77.384866668731405</v>
      </c>
      <c r="G11" s="227">
        <f t="shared" si="3"/>
        <v>75.944142765880059</v>
      </c>
      <c r="H11" s="227">
        <f t="shared" si="3"/>
        <v>64.552521350998049</v>
      </c>
      <c r="I11" s="227">
        <f t="shared" si="3"/>
        <v>54.869643148348345</v>
      </c>
      <c r="J11" s="227">
        <f t="shared" si="3"/>
        <v>46.61019666760884</v>
      </c>
      <c r="K11" s="227">
        <f t="shared" si="3"/>
        <v>39.904653372384757</v>
      </c>
      <c r="L11" s="227">
        <f t="shared" si="3"/>
        <v>34.234022212269885</v>
      </c>
      <c r="M11" s="227">
        <f t="shared" si="3"/>
        <v>30.279902792038431</v>
      </c>
      <c r="N11" s="227">
        <f t="shared" si="3"/>
        <v>26.117106710259993</v>
      </c>
      <c r="O11" s="227">
        <f t="shared" si="3"/>
        <v>22.818587616951028</v>
      </c>
      <c r="P11" s="227">
        <f t="shared" si="3"/>
        <v>19.486445379450483</v>
      </c>
      <c r="Q11" s="227">
        <f t="shared" si="3"/>
        <v>16.676983199309948</v>
      </c>
      <c r="R11" s="227">
        <f t="shared" si="3"/>
        <v>14.86339639553327</v>
      </c>
      <c r="S11" s="227">
        <f t="shared" si="3"/>
        <v>12.585828817427476</v>
      </c>
      <c r="T11" s="227">
        <f t="shared" si="3"/>
        <v>12.093276670503437</v>
      </c>
      <c r="U11" s="227">
        <f t="shared" si="3"/>
        <v>11.817413471979473</v>
      </c>
      <c r="V11" s="227">
        <f t="shared" si="3"/>
        <v>11.443908203203438</v>
      </c>
      <c r="W11" s="227">
        <f t="shared" si="3"/>
        <v>11.552242425270437</v>
      </c>
      <c r="X11" s="227">
        <f t="shared" si="3"/>
        <v>11.453647711640411</v>
      </c>
      <c r="Y11" s="227">
        <f t="shared" si="3"/>
        <v>11.149985335125901</v>
      </c>
      <c r="Z11" s="227">
        <f t="shared" si="3"/>
        <v>10.960201346339522</v>
      </c>
      <c r="AA11" s="227">
        <f t="shared" si="3"/>
        <v>10.840784605492734</v>
      </c>
      <c r="AB11" s="227">
        <f t="shared" si="3"/>
        <v>10.867665547895633</v>
      </c>
      <c r="AC11" s="227">
        <f t="shared" si="3"/>
        <v>10.581096614462842</v>
      </c>
    </row>
    <row r="12" spans="1:29">
      <c r="A12" s="225" t="s">
        <v>341</v>
      </c>
      <c r="B12" s="225">
        <f>B8/B10</f>
        <v>120.53607003905847</v>
      </c>
      <c r="C12" s="225">
        <f>+B8/C10</f>
        <v>54.685471204688533</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29">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29"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c r="A15" s="171" t="s">
        <v>343</v>
      </c>
      <c r="B15" s="222">
        <f t="shared" ref="B15:B20" si="4">SUM(D15:I15)</f>
        <v>134.24162752607467</v>
      </c>
      <c r="C15" s="222">
        <f t="shared" ref="C15:C20" si="5">SUM(D15:AC15)</f>
        <v>134.24162752607467</v>
      </c>
      <c r="D15" s="171">
        <f>+D69*D4</f>
        <v>30.385494990045903</v>
      </c>
      <c r="E15" s="171">
        <f>+E69*E4</f>
        <v>35.73279532077148</v>
      </c>
      <c r="F15" s="171">
        <f>+F69*F4</f>
        <v>35.622936173783422</v>
      </c>
      <c r="G15" s="171">
        <f>+G69*G4</f>
        <v>32.500401041473857</v>
      </c>
      <c r="H15" s="171">
        <f>+H69*H4</f>
        <v>0</v>
      </c>
      <c r="I15" s="171">
        <f t="shared" ref="I15:AC15" si="6">H15</f>
        <v>0</v>
      </c>
      <c r="J15" s="171">
        <f t="shared" si="6"/>
        <v>0</v>
      </c>
      <c r="K15" s="171">
        <f t="shared" si="6"/>
        <v>0</v>
      </c>
      <c r="L15" s="171">
        <f t="shared" si="6"/>
        <v>0</v>
      </c>
      <c r="M15" s="171">
        <f t="shared" si="6"/>
        <v>0</v>
      </c>
      <c r="N15" s="171">
        <f t="shared" si="6"/>
        <v>0</v>
      </c>
      <c r="O15" s="171">
        <f t="shared" si="6"/>
        <v>0</v>
      </c>
      <c r="P15" s="171">
        <f t="shared" si="6"/>
        <v>0</v>
      </c>
      <c r="Q15" s="171">
        <f t="shared" si="6"/>
        <v>0</v>
      </c>
      <c r="R15" s="171">
        <f t="shared" si="6"/>
        <v>0</v>
      </c>
      <c r="S15" s="171">
        <f t="shared" si="6"/>
        <v>0</v>
      </c>
      <c r="T15" s="171">
        <f t="shared" si="6"/>
        <v>0</v>
      </c>
      <c r="U15" s="171">
        <f t="shared" si="6"/>
        <v>0</v>
      </c>
      <c r="V15" s="171">
        <f t="shared" si="6"/>
        <v>0</v>
      </c>
      <c r="W15" s="171">
        <f t="shared" si="6"/>
        <v>0</v>
      </c>
      <c r="X15" s="171">
        <f t="shared" si="6"/>
        <v>0</v>
      </c>
      <c r="Y15" s="171">
        <f t="shared" si="6"/>
        <v>0</v>
      </c>
      <c r="Z15" s="171">
        <f t="shared" si="6"/>
        <v>0</v>
      </c>
      <c r="AA15" s="171">
        <f t="shared" si="6"/>
        <v>0</v>
      </c>
      <c r="AB15" s="171">
        <f t="shared" si="6"/>
        <v>0</v>
      </c>
      <c r="AC15" s="171">
        <f t="shared" si="6"/>
        <v>0</v>
      </c>
    </row>
    <row r="16" spans="1:29">
      <c r="A16" s="170" t="s">
        <v>344</v>
      </c>
      <c r="B16" s="254">
        <f t="shared" si="4"/>
        <v>3275086.1595078213</v>
      </c>
      <c r="C16" s="254">
        <f t="shared" si="5"/>
        <v>20976427.839283988</v>
      </c>
      <c r="D16" s="170">
        <f t="shared" ref="D16:AC16" si="7">+D70*D9</f>
        <v>170752.75506342651</v>
      </c>
      <c r="E16" s="170">
        <f t="shared" si="7"/>
        <v>341504.07211342687</v>
      </c>
      <c r="F16" s="170">
        <f t="shared" si="7"/>
        <v>512257.46235136758</v>
      </c>
      <c r="G16" s="170">
        <f t="shared" si="7"/>
        <v>676684.06076086825</v>
      </c>
      <c r="H16" s="170">
        <f t="shared" si="7"/>
        <v>756872.97063842381</v>
      </c>
      <c r="I16" s="170">
        <f t="shared" si="7"/>
        <v>817014.83858030871</v>
      </c>
      <c r="J16" s="170">
        <f t="shared" si="7"/>
        <v>863789.50023993966</v>
      </c>
      <c r="K16" s="170">
        <f t="shared" si="7"/>
        <v>901211.41749384243</v>
      </c>
      <c r="L16" s="170">
        <f t="shared" si="7"/>
        <v>931827.32020982064</v>
      </c>
      <c r="M16" s="170">
        <f t="shared" si="7"/>
        <v>957342.47840027313</v>
      </c>
      <c r="N16" s="170">
        <f t="shared" si="7"/>
        <v>978932.20395935862</v>
      </c>
      <c r="O16" s="170">
        <f t="shared" si="7"/>
        <v>957108.48499485245</v>
      </c>
      <c r="P16" s="170">
        <f t="shared" si="7"/>
        <v>938196.12432563165</v>
      </c>
      <c r="Q16" s="170">
        <f t="shared" si="7"/>
        <v>921646.41476081696</v>
      </c>
      <c r="R16" s="170">
        <f t="shared" si="7"/>
        <v>907045.02547798434</v>
      </c>
      <c r="S16" s="170">
        <f t="shared" si="7"/>
        <v>894066.04122306337</v>
      </c>
      <c r="T16" s="170">
        <f t="shared" si="7"/>
        <v>882452.10717667546</v>
      </c>
      <c r="U16" s="170">
        <f t="shared" si="7"/>
        <v>872000.61871597311</v>
      </c>
      <c r="V16" s="170">
        <f t="shared" si="7"/>
        <v>862543.5247993907</v>
      </c>
      <c r="W16" s="170">
        <f t="shared" si="7"/>
        <v>853947.1002112343</v>
      </c>
      <c r="X16" s="170">
        <f t="shared" si="7"/>
        <v>846098.21802979999</v>
      </c>
      <c r="Y16" s="170">
        <f t="shared" si="7"/>
        <v>838902.50764551153</v>
      </c>
      <c r="Z16" s="170">
        <f t="shared" si="7"/>
        <v>832283.31535017781</v>
      </c>
      <c r="AA16" s="170">
        <f t="shared" si="7"/>
        <v>826172.47217621165</v>
      </c>
      <c r="AB16" s="170">
        <f t="shared" si="7"/>
        <v>820515.06959627941</v>
      </c>
      <c r="AC16" s="170">
        <f t="shared" si="7"/>
        <v>815261.73498933052</v>
      </c>
    </row>
    <row r="17" spans="1:29">
      <c r="A17" s="252" t="s">
        <v>345</v>
      </c>
      <c r="B17" s="253">
        <f t="shared" si="4"/>
        <v>76.662837720045559</v>
      </c>
      <c r="C17" s="253">
        <f t="shared" si="5"/>
        <v>405.55275592126719</v>
      </c>
      <c r="D17" s="252">
        <f t="shared" ref="D17:AC17" si="8">+D71*D9</f>
        <v>5.5761247462116845</v>
      </c>
      <c r="E17" s="252">
        <f t="shared" si="8"/>
        <v>9.0151576685299659</v>
      </c>
      <c r="F17" s="252">
        <f t="shared" si="8"/>
        <v>11.785561890353756</v>
      </c>
      <c r="G17" s="252">
        <f t="shared" si="8"/>
        <v>14.003095505867543</v>
      </c>
      <c r="H17" s="252">
        <f t="shared" si="8"/>
        <v>15.370989753416348</v>
      </c>
      <c r="I17" s="252">
        <f t="shared" si="8"/>
        <v>20.911908155666268</v>
      </c>
      <c r="J17" s="252">
        <f t="shared" si="8"/>
        <v>19.714884309316517</v>
      </c>
      <c r="K17" s="252">
        <f t="shared" si="8"/>
        <v>18.733792086753507</v>
      </c>
      <c r="L17" s="252">
        <f t="shared" si="8"/>
        <v>17.865043789066529</v>
      </c>
      <c r="M17" s="252">
        <f t="shared" si="8"/>
        <v>18.558682143334575</v>
      </c>
      <c r="N17" s="252">
        <f t="shared" si="8"/>
        <v>17.979679770366321</v>
      </c>
      <c r="O17" s="252">
        <f t="shared" si="8"/>
        <v>17.662506779816383</v>
      </c>
      <c r="P17" s="252">
        <f t="shared" si="8"/>
        <v>16.76394763298568</v>
      </c>
      <c r="Q17" s="252">
        <f t="shared" si="8"/>
        <v>16.202045063865953</v>
      </c>
      <c r="R17" s="252">
        <f t="shared" si="8"/>
        <v>17.023955651757326</v>
      </c>
      <c r="S17" s="252">
        <f t="shared" si="8"/>
        <v>16.70608476079353</v>
      </c>
      <c r="T17" s="252">
        <f t="shared" si="8"/>
        <v>16.023747738901033</v>
      </c>
      <c r="U17" s="252">
        <f t="shared" si="8"/>
        <v>15.679945411457227</v>
      </c>
      <c r="V17" s="252">
        <f t="shared" si="8"/>
        <v>15.193187189919476</v>
      </c>
      <c r="W17" s="252">
        <f t="shared" si="8"/>
        <v>15.526859487652944</v>
      </c>
      <c r="X17" s="252">
        <f t="shared" si="8"/>
        <v>15.461643585787158</v>
      </c>
      <c r="Y17" s="252">
        <f t="shared" si="8"/>
        <v>15.050290377864112</v>
      </c>
      <c r="Z17" s="252">
        <f t="shared" si="8"/>
        <v>14.813422225501858</v>
      </c>
      <c r="AA17" s="252">
        <f t="shared" si="8"/>
        <v>14.67553924717965</v>
      </c>
      <c r="AB17" s="252">
        <f t="shared" si="8"/>
        <v>14.831250004935907</v>
      </c>
      <c r="AC17" s="252">
        <f t="shared" si="8"/>
        <v>14.423410943965983</v>
      </c>
    </row>
    <row r="18" spans="1:29">
      <c r="A18" s="252" t="s">
        <v>346</v>
      </c>
      <c r="B18" s="253">
        <f t="shared" si="4"/>
        <v>2.4236117258689185</v>
      </c>
      <c r="C18" s="253">
        <f t="shared" si="5"/>
        <v>22.816173285517358</v>
      </c>
      <c r="D18" s="252">
        <f t="shared" ref="D18:AC18" si="9">+D72*D9</f>
        <v>6.8196778492571442E-2</v>
      </c>
      <c r="E18" s="252">
        <f t="shared" si="9"/>
        <v>0.21582368489245921</v>
      </c>
      <c r="F18" s="252">
        <f t="shared" si="9"/>
        <v>0.40754366155471211</v>
      </c>
      <c r="G18" s="252">
        <f t="shared" si="9"/>
        <v>0.61118734313108503</v>
      </c>
      <c r="H18" s="252">
        <f t="shared" si="9"/>
        <v>0.48271140616846941</v>
      </c>
      <c r="I18" s="252">
        <f t="shared" si="9"/>
        <v>0.63814885162962154</v>
      </c>
      <c r="J18" s="252">
        <f t="shared" si="9"/>
        <v>0.749030162747652</v>
      </c>
      <c r="K18" s="252">
        <f t="shared" si="9"/>
        <v>0.83924712211928121</v>
      </c>
      <c r="L18" s="252">
        <f t="shared" si="9"/>
        <v>0.90314197018716025</v>
      </c>
      <c r="M18" s="252">
        <f t="shared" si="9"/>
        <v>0.86937774523736566</v>
      </c>
      <c r="N18" s="252">
        <f t="shared" si="9"/>
        <v>0.93111097252597053</v>
      </c>
      <c r="O18" s="252">
        <f t="shared" si="9"/>
        <v>1.0018733041644925</v>
      </c>
      <c r="P18" s="252">
        <f t="shared" si="9"/>
        <v>1.0087547964678649</v>
      </c>
      <c r="Q18" s="252">
        <f t="shared" si="9"/>
        <v>1.0310234149968149</v>
      </c>
      <c r="R18" s="252">
        <f t="shared" si="9"/>
        <v>1.0320952232045641</v>
      </c>
      <c r="S18" s="252">
        <f t="shared" si="9"/>
        <v>1.0697492498104475</v>
      </c>
      <c r="T18" s="252">
        <f t="shared" si="9"/>
        <v>1.0655971736750018</v>
      </c>
      <c r="U18" s="252">
        <f t="shared" si="9"/>
        <v>1.0871318330231938</v>
      </c>
      <c r="V18" s="252">
        <f t="shared" si="9"/>
        <v>1.087894006755137</v>
      </c>
      <c r="W18" s="252">
        <f t="shared" si="9"/>
        <v>1.0639748125197015</v>
      </c>
      <c r="X18" s="252">
        <f t="shared" si="9"/>
        <v>1.1011173570142476</v>
      </c>
      <c r="Y18" s="252">
        <f t="shared" si="9"/>
        <v>1.1003012368555816</v>
      </c>
      <c r="Z18" s="252">
        <f t="shared" si="9"/>
        <v>1.1154662618893665</v>
      </c>
      <c r="AA18" s="252">
        <f t="shared" si="9"/>
        <v>1.1339330751159225</v>
      </c>
      <c r="AB18" s="252">
        <f t="shared" si="9"/>
        <v>1.1046869665564925</v>
      </c>
      <c r="AC18" s="252">
        <f t="shared" si="9"/>
        <v>1.0970548747821809</v>
      </c>
    </row>
    <row r="19" spans="1:29">
      <c r="A19" s="252" t="s">
        <v>347</v>
      </c>
      <c r="B19" s="253">
        <f t="shared" si="4"/>
        <v>10.588741463236468</v>
      </c>
      <c r="C19" s="253">
        <f t="shared" si="5"/>
        <v>73.370204208882598</v>
      </c>
      <c r="D19" s="252">
        <f t="shared" ref="D19:AC19" si="10">+D73*D9</f>
        <v>0.57155149393705074</v>
      </c>
      <c r="E19" s="252">
        <f t="shared" si="10"/>
        <v>1.0221662458816125</v>
      </c>
      <c r="F19" s="252">
        <f t="shared" si="10"/>
        <v>1.4800189326594175</v>
      </c>
      <c r="G19" s="252">
        <f t="shared" si="10"/>
        <v>1.9001115956514765</v>
      </c>
      <c r="H19" s="252">
        <f t="shared" si="10"/>
        <v>2.6839936118828356</v>
      </c>
      <c r="I19" s="252">
        <f t="shared" si="10"/>
        <v>2.930899583224075</v>
      </c>
      <c r="J19" s="252">
        <f t="shared" si="10"/>
        <v>2.8947613195310895</v>
      </c>
      <c r="K19" s="252">
        <f t="shared" si="10"/>
        <v>2.8589131719620724</v>
      </c>
      <c r="L19" s="252">
        <f t="shared" si="10"/>
        <v>2.8141990505122116</v>
      </c>
      <c r="M19" s="252">
        <f t="shared" si="10"/>
        <v>3.2336363946914339</v>
      </c>
      <c r="N19" s="252">
        <f t="shared" si="10"/>
        <v>3.2110993484599968</v>
      </c>
      <c r="O19" s="252">
        <f t="shared" si="10"/>
        <v>3.2388545880988309</v>
      </c>
      <c r="P19" s="252">
        <f t="shared" si="10"/>
        <v>3.0858552935137249</v>
      </c>
      <c r="Q19" s="252">
        <f t="shared" si="10"/>
        <v>3.0045510083894924</v>
      </c>
      <c r="R19" s="252">
        <f t="shared" si="10"/>
        <v>3.3631035277209183</v>
      </c>
      <c r="S19" s="252">
        <f t="shared" si="10"/>
        <v>3.3444634687920325</v>
      </c>
      <c r="T19" s="252">
        <f t="shared" si="10"/>
        <v>3.2040587383048282</v>
      </c>
      <c r="U19" s="252">
        <f t="shared" si="10"/>
        <v>3.1558600766546396</v>
      </c>
      <c r="V19" s="252">
        <f t="shared" si="10"/>
        <v>3.0697014578544337</v>
      </c>
      <c r="W19" s="252">
        <f t="shared" si="10"/>
        <v>3.2346224461453374</v>
      </c>
      <c r="X19" s="252">
        <f t="shared" si="10"/>
        <v>3.2574625655349125</v>
      </c>
      <c r="Y19" s="252">
        <f t="shared" si="10"/>
        <v>3.1778241786345234</v>
      </c>
      <c r="Z19" s="252">
        <f t="shared" si="10"/>
        <v>3.1430504817939058</v>
      </c>
      <c r="AA19" s="252">
        <f t="shared" si="10"/>
        <v>3.1328639289799285</v>
      </c>
      <c r="AB19" s="252">
        <f t="shared" si="10"/>
        <v>3.2234451157378632</v>
      </c>
      <c r="AC19" s="252">
        <f t="shared" si="10"/>
        <v>3.1331365843339567</v>
      </c>
    </row>
    <row r="20" spans="1:29">
      <c r="A20" s="252" t="s">
        <v>348</v>
      </c>
      <c r="B20" s="253">
        <f t="shared" si="4"/>
        <v>3.5320250677866301</v>
      </c>
      <c r="C20" s="253">
        <f t="shared" si="5"/>
        <v>18.755918304724659</v>
      </c>
      <c r="D20" s="252">
        <f t="shared" ref="D20:AC20" si="11">+D74*D9</f>
        <v>0.25606629592457925</v>
      </c>
      <c r="E20" s="252">
        <f t="shared" si="11"/>
        <v>0.41447813645281906</v>
      </c>
      <c r="F20" s="252">
        <f t="shared" si="11"/>
        <v>0.54254535407730631</v>
      </c>
      <c r="G20" s="252">
        <f t="shared" si="11"/>
        <v>0.64518534902947966</v>
      </c>
      <c r="H20" s="252">
        <f t="shared" si="11"/>
        <v>0.71002050162884822</v>
      </c>
      <c r="I20" s="252">
        <f t="shared" si="11"/>
        <v>0.9637294306735974</v>
      </c>
      <c r="J20" s="252">
        <f t="shared" si="11"/>
        <v>0.90918202947830262</v>
      </c>
      <c r="K20" s="252">
        <f t="shared" si="11"/>
        <v>0.864422466522209</v>
      </c>
      <c r="L20" s="252">
        <f t="shared" si="11"/>
        <v>0.82454049143621244</v>
      </c>
      <c r="M20" s="252">
        <f t="shared" si="11"/>
        <v>0.85785283166712267</v>
      </c>
      <c r="N20" s="252">
        <f t="shared" si="11"/>
        <v>0.83122462240295236</v>
      </c>
      <c r="O20" s="252">
        <f t="shared" si="11"/>
        <v>0.81703404469108298</v>
      </c>
      <c r="P20" s="252">
        <f t="shared" si="11"/>
        <v>0.77521713105327339</v>
      </c>
      <c r="Q20" s="252">
        <f t="shared" si="11"/>
        <v>0.74978856490172163</v>
      </c>
      <c r="R20" s="252">
        <f t="shared" si="11"/>
        <v>0.78836845999738681</v>
      </c>
      <c r="S20" s="252">
        <f t="shared" si="11"/>
        <v>0.77367910300829923</v>
      </c>
      <c r="T20" s="252">
        <f t="shared" si="11"/>
        <v>0.74222049387623079</v>
      </c>
      <c r="U20" s="252">
        <f t="shared" si="11"/>
        <v>0.72662404625932275</v>
      </c>
      <c r="V20" s="252">
        <f t="shared" si="11"/>
        <v>0.70389213393222294</v>
      </c>
      <c r="W20" s="252">
        <f t="shared" si="11"/>
        <v>0.71976837497630208</v>
      </c>
      <c r="X20" s="252">
        <f t="shared" si="11"/>
        <v>0.71695298643912841</v>
      </c>
      <c r="Y20" s="252">
        <f t="shared" si="11"/>
        <v>0.69780739676245751</v>
      </c>
      <c r="Z20" s="252">
        <f t="shared" si="11"/>
        <v>0.68694272521310784</v>
      </c>
      <c r="AA20" s="252">
        <f t="shared" si="11"/>
        <v>0.68080345978424406</v>
      </c>
      <c r="AB20" s="252">
        <f t="shared" si="11"/>
        <v>0.68829003065746275</v>
      </c>
      <c r="AC20" s="252">
        <f t="shared" si="11"/>
        <v>0.66928184387898915</v>
      </c>
    </row>
    <row r="21" spans="1:29">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29" ht="18.600000000000001">
      <c r="A22" s="213" t="s">
        <v>362</v>
      </c>
      <c r="B22" s="213"/>
      <c r="C22" s="213"/>
    </row>
    <row r="23" spans="1:29" ht="15" customHeight="1">
      <c r="A23" s="742" t="s">
        <v>363</v>
      </c>
      <c r="B23" s="742"/>
    </row>
    <row r="25" spans="1:29" ht="21">
      <c r="A25" s="193" t="s">
        <v>364</v>
      </c>
      <c r="B25" s="47"/>
      <c r="D25" s="311" t="s">
        <v>365</v>
      </c>
      <c r="E25" s="311"/>
    </row>
    <row r="26" spans="1:29" ht="58.5" thickBot="1">
      <c r="A26" s="310" t="s">
        <v>366</v>
      </c>
      <c r="B26" s="307" t="s">
        <v>367</v>
      </c>
      <c r="C26" s="309" t="s">
        <v>368</v>
      </c>
      <c r="D26" s="308" t="s">
        <v>369</v>
      </c>
      <c r="E26" s="308" t="s">
        <v>370</v>
      </c>
      <c r="F26" s="307" t="s">
        <v>371</v>
      </c>
      <c r="G26" s="307" t="s">
        <v>372</v>
      </c>
      <c r="H26" s="306" t="s">
        <v>373</v>
      </c>
      <c r="I26" s="305">
        <v>2025</v>
      </c>
      <c r="J26" s="305">
        <v>2026</v>
      </c>
      <c r="K26" s="305">
        <v>2027</v>
      </c>
      <c r="L26" s="305">
        <v>2028</v>
      </c>
      <c r="M26" s="305">
        <v>2029</v>
      </c>
      <c r="N26" s="305">
        <v>2030</v>
      </c>
      <c r="O26" s="48"/>
    </row>
    <row r="27" spans="1:29" ht="15.6" thickTop="1" thickBot="1">
      <c r="A27" s="282" t="s">
        <v>374</v>
      </c>
      <c r="B27" s="304">
        <v>300</v>
      </c>
      <c r="C27" s="299">
        <v>0.08</v>
      </c>
      <c r="D27" s="303">
        <f>+C27*B27</f>
        <v>24</v>
      </c>
      <c r="E27" s="296">
        <f>ROUNDUP(+D27/G27,0)</f>
        <v>7</v>
      </c>
      <c r="F27" s="300" t="s">
        <v>375</v>
      </c>
      <c r="G27" s="292">
        <v>3.5</v>
      </c>
      <c r="H27" s="281"/>
      <c r="I27" s="298">
        <f>+I37*$C$39</f>
        <v>1620.7962699167788</v>
      </c>
      <c r="J27" s="298">
        <f>+J37*$C$39</f>
        <v>1620.7962699167788</v>
      </c>
      <c r="K27" s="298">
        <f>+K37*$C$39</f>
        <v>1620.7962699167788</v>
      </c>
      <c r="L27" s="298">
        <f>+L37*$C$39</f>
        <v>926.16929709530223</v>
      </c>
      <c r="M27" s="298"/>
      <c r="N27" s="298"/>
    </row>
    <row r="28" spans="1:29" ht="15" thickTop="1">
      <c r="A28" s="282"/>
      <c r="B28" s="304"/>
      <c r="C28" s="281"/>
      <c r="D28" s="303"/>
      <c r="E28" s="296"/>
      <c r="F28" s="300"/>
      <c r="G28" s="292" t="s">
        <v>376</v>
      </c>
      <c r="H28" s="281">
        <f>SUM(I28:N28)</f>
        <v>24615.843349361079</v>
      </c>
      <c r="I28" s="281">
        <f>+I27</f>
        <v>1620.7962699167788</v>
      </c>
      <c r="J28" s="281">
        <f>+J27+I27</f>
        <v>3241.5925398335576</v>
      </c>
      <c r="K28" s="281">
        <f>+J28+K27</f>
        <v>4862.3888097503368</v>
      </c>
      <c r="L28" s="281">
        <f>+L27+K28</f>
        <v>5788.5581068456395</v>
      </c>
      <c r="M28" s="281">
        <f>+M27+L28*$H$66</f>
        <v>4920.2743908187931</v>
      </c>
      <c r="N28" s="281">
        <f>+N27+M28*$I$66</f>
        <v>4182.2332321959739</v>
      </c>
      <c r="O28" s="163">
        <f>+H28/$H$35</f>
        <v>0.24536925277532981</v>
      </c>
    </row>
    <row r="29" spans="1:29">
      <c r="A29" s="282" t="s">
        <v>377</v>
      </c>
      <c r="B29" s="281">
        <v>400</v>
      </c>
      <c r="C29" s="301">
        <f>+C27</f>
        <v>0.08</v>
      </c>
      <c r="D29" s="296">
        <f>+C29*B29</f>
        <v>32</v>
      </c>
      <c r="E29" s="296">
        <f>ROUNDUP(+D29/G29,0)</f>
        <v>8</v>
      </c>
      <c r="F29" s="300" t="s">
        <v>378</v>
      </c>
      <c r="G29" s="292">
        <v>4</v>
      </c>
      <c r="H29" s="281"/>
      <c r="I29" s="298">
        <f>+I38*$C$40</f>
        <v>642.43851340371987</v>
      </c>
      <c r="J29" s="298">
        <f>+J38*$C$40</f>
        <v>642.43851340371987</v>
      </c>
      <c r="K29" s="298">
        <f>+K38*$C$40</f>
        <v>642.43851340371987</v>
      </c>
      <c r="L29" s="298">
        <f>+L38*$C$40</f>
        <v>642.43851340371987</v>
      </c>
      <c r="M29" s="298">
        <f>+M38*$C$40</f>
        <v>0</v>
      </c>
      <c r="N29" s="298"/>
    </row>
    <row r="30" spans="1:29">
      <c r="A30" s="282"/>
      <c r="B30" s="281"/>
      <c r="C30" s="302"/>
      <c r="D30" s="296"/>
      <c r="E30" s="296"/>
      <c r="F30" s="300"/>
      <c r="G30" s="292" t="s">
        <v>376</v>
      </c>
      <c r="H30" s="281">
        <f>SUM(I30:N30)</f>
        <v>10465.323383346597</v>
      </c>
      <c r="I30" s="281">
        <f>+I29</f>
        <v>642.43851340371987</v>
      </c>
      <c r="J30" s="281">
        <f>+J29+I29</f>
        <v>1284.8770268074397</v>
      </c>
      <c r="K30" s="281">
        <f>+J30+K29</f>
        <v>1927.3155402111597</v>
      </c>
      <c r="L30" s="281">
        <f>+L29+K30</f>
        <v>2569.7540536148795</v>
      </c>
      <c r="M30" s="281">
        <f>+M29+L30*$H$66</f>
        <v>2184.2909455726476</v>
      </c>
      <c r="N30" s="281">
        <f>+N29+M30*$I$66</f>
        <v>1856.6473037367505</v>
      </c>
      <c r="O30" s="163">
        <f>+H30/$H$35</f>
        <v>0.1043177169345527</v>
      </c>
    </row>
    <row r="31" spans="1:29">
      <c r="A31" s="282" t="s">
        <v>379</v>
      </c>
      <c r="B31" s="281">
        <v>1100</v>
      </c>
      <c r="C31" s="301">
        <f>+C27</f>
        <v>0.08</v>
      </c>
      <c r="D31" s="296">
        <f>+C31*B31</f>
        <v>88</v>
      </c>
      <c r="E31" s="296">
        <f>ROUNDUP(+D31/G31,0)</f>
        <v>22</v>
      </c>
      <c r="F31" s="300" t="s">
        <v>380</v>
      </c>
      <c r="G31" s="292">
        <v>4</v>
      </c>
      <c r="H31" s="281"/>
      <c r="I31" s="298">
        <f>+I39*$C$41</f>
        <v>757.78338288695682</v>
      </c>
      <c r="J31" s="298">
        <f>+J39*$C$41</f>
        <v>757.78338288695682</v>
      </c>
      <c r="K31" s="298">
        <f>+K39*$C$41</f>
        <v>757.78338288695682</v>
      </c>
      <c r="L31" s="298">
        <f>+L39*$C$41</f>
        <v>757.78338288695682</v>
      </c>
      <c r="M31" s="298">
        <f>+M39*$C$41</f>
        <v>0</v>
      </c>
      <c r="N31" s="298"/>
    </row>
    <row r="32" spans="1:29" ht="15" thickBot="1">
      <c r="A32" s="282"/>
      <c r="B32" s="281"/>
      <c r="C32" s="281"/>
      <c r="D32" s="296"/>
      <c r="E32" s="296"/>
      <c r="F32" s="300"/>
      <c r="G32" s="292" t="s">
        <v>376</v>
      </c>
      <c r="H32" s="281">
        <f>SUM(I32:N32)</f>
        <v>12344.291307228526</v>
      </c>
      <c r="I32" s="281">
        <f>+I31</f>
        <v>757.78338288695682</v>
      </c>
      <c r="J32" s="281">
        <f>+J31+I31</f>
        <v>1515.5667657739136</v>
      </c>
      <c r="K32" s="281">
        <f>+J32+K31</f>
        <v>2273.3501486608702</v>
      </c>
      <c r="L32" s="281">
        <f>+L31+K32</f>
        <v>3031.1335315478273</v>
      </c>
      <c r="M32" s="281">
        <f>+M31+L32*$H$66</f>
        <v>2576.4635018156532</v>
      </c>
      <c r="N32" s="281">
        <f>+N31+M32*$I$66</f>
        <v>2189.9939765433051</v>
      </c>
      <c r="O32" s="163">
        <f>+H32/$H$35</f>
        <v>0.12304715670748206</v>
      </c>
    </row>
    <row r="33" spans="1:17" ht="15.6" thickTop="1" thickBot="1">
      <c r="A33" s="282" t="s">
        <v>381</v>
      </c>
      <c r="B33" s="281">
        <f>B35-B27-B29-B31</f>
        <v>4322.5</v>
      </c>
      <c r="C33" s="299">
        <v>0.04</v>
      </c>
      <c r="D33" s="296">
        <f>+C33*B33</f>
        <v>172.9</v>
      </c>
      <c r="E33" s="296">
        <f>ROUNDUP(+D33/G33,0)</f>
        <v>44</v>
      </c>
      <c r="F33" s="295" t="s">
        <v>382</v>
      </c>
      <c r="G33" s="292">
        <v>4</v>
      </c>
      <c r="H33" s="281"/>
      <c r="I33" s="298">
        <f>+I40*$B$36</f>
        <v>3247.1560339597881</v>
      </c>
      <c r="J33" s="298">
        <f>+J40*$B$36</f>
        <v>3247.1560339597881</v>
      </c>
      <c r="K33" s="298">
        <f>+K40*$B$36</f>
        <v>3247.1560339597881</v>
      </c>
      <c r="L33" s="298">
        <f>+L40*$B$36</f>
        <v>3247.1560339597881</v>
      </c>
      <c r="M33" s="298">
        <f>+M40*$B$36</f>
        <v>0</v>
      </c>
      <c r="N33" s="298"/>
    </row>
    <row r="34" spans="1:17" ht="15" thickTop="1">
      <c r="A34" s="282"/>
      <c r="B34" s="281"/>
      <c r="C34" s="297"/>
      <c r="D34" s="296"/>
      <c r="E34" s="296"/>
      <c r="F34" s="295"/>
      <c r="G34" s="292" t="s">
        <v>376</v>
      </c>
      <c r="H34" s="281">
        <f>SUM(I34:N34)</f>
        <v>52896.171793204951</v>
      </c>
      <c r="I34" s="281">
        <f>+I33</f>
        <v>3247.1560339597881</v>
      </c>
      <c r="J34" s="281">
        <f>+J33+I33</f>
        <v>6494.3120679195763</v>
      </c>
      <c r="K34" s="281">
        <f>+J34+K33</f>
        <v>9741.4681018793635</v>
      </c>
      <c r="L34" s="281">
        <f>+L33+K34</f>
        <v>12988.624135839153</v>
      </c>
      <c r="M34" s="281">
        <f>+M33+L34*$H$66</f>
        <v>11040.33051546328</v>
      </c>
      <c r="N34" s="281">
        <f>+N33+M34*$I$66</f>
        <v>9384.2809381437874</v>
      </c>
      <c r="O34" s="163">
        <f>+H34/$H$35</f>
        <v>0.52726587358263544</v>
      </c>
    </row>
    <row r="35" spans="1:17">
      <c r="A35" s="280" t="s">
        <v>383</v>
      </c>
      <c r="B35" s="291">
        <f>12245/2</f>
        <v>6122.5</v>
      </c>
      <c r="C35" s="294"/>
      <c r="D35" s="293">
        <f>SUM(D27:D34)</f>
        <v>316.89999999999998</v>
      </c>
      <c r="E35" s="293">
        <f>SUM(E27:E34)</f>
        <v>81</v>
      </c>
      <c r="F35" s="292"/>
      <c r="G35" s="292" t="s">
        <v>384</v>
      </c>
      <c r="H35" s="291">
        <f>SUM(H27:H34)</f>
        <v>100321.62983314115</v>
      </c>
      <c r="I35" s="291">
        <f t="shared" ref="I35:N35" si="12">+I28+I30+I32+I34</f>
        <v>6268.1742001672437</v>
      </c>
      <c r="J35" s="291">
        <f t="shared" si="12"/>
        <v>12536.348400334487</v>
      </c>
      <c r="K35" s="291">
        <f t="shared" si="12"/>
        <v>18804.522600501732</v>
      </c>
      <c r="L35" s="291">
        <f t="shared" si="12"/>
        <v>24378.069827847499</v>
      </c>
      <c r="M35" s="291">
        <f t="shared" si="12"/>
        <v>20721.359353670374</v>
      </c>
      <c r="N35" s="291">
        <f t="shared" si="12"/>
        <v>17613.155450619815</v>
      </c>
      <c r="O35" s="164"/>
      <c r="P35" s="290"/>
    </row>
    <row r="36" spans="1:17" ht="34.5" customHeight="1">
      <c r="A36" s="289" t="s">
        <v>385</v>
      </c>
      <c r="B36" s="288">
        <v>73.799000771813368</v>
      </c>
      <c r="G36" s="287" t="s">
        <v>366</v>
      </c>
      <c r="H36" s="286" t="s">
        <v>386</v>
      </c>
      <c r="I36" s="285">
        <v>2025</v>
      </c>
      <c r="J36" s="285">
        <v>2026</v>
      </c>
      <c r="K36" s="285">
        <v>2027</v>
      </c>
      <c r="L36" s="285">
        <v>2028</v>
      </c>
      <c r="M36" s="285">
        <v>2029</v>
      </c>
      <c r="N36" s="285">
        <v>2030</v>
      </c>
    </row>
    <row r="37" spans="1:17">
      <c r="G37" s="282" t="s">
        <v>374</v>
      </c>
      <c r="H37" s="281">
        <f>SUM(I37:N37)</f>
        <v>25</v>
      </c>
      <c r="I37" s="281">
        <f>+E27</f>
        <v>7</v>
      </c>
      <c r="J37" s="281">
        <f>+I37</f>
        <v>7</v>
      </c>
      <c r="K37" s="281">
        <f>+J37</f>
        <v>7</v>
      </c>
      <c r="L37" s="281">
        <f>ROUNDUP(+I37/2,0)</f>
        <v>4</v>
      </c>
      <c r="M37" s="281">
        <v>0</v>
      </c>
      <c r="N37" s="281">
        <v>0</v>
      </c>
      <c r="O37" s="163">
        <f>+H37/$H$41</f>
        <v>7.7881619937694699E-2</v>
      </c>
      <c r="Q37" s="278">
        <f>+E27*G27</f>
        <v>24.5</v>
      </c>
    </row>
    <row r="38" spans="1:17">
      <c r="A38" s="284" t="s">
        <v>366</v>
      </c>
      <c r="B38" s="283" t="s">
        <v>387</v>
      </c>
      <c r="C38" s="283" t="s">
        <v>388</v>
      </c>
      <c r="D38" s="283" t="s">
        <v>389</v>
      </c>
      <c r="G38" s="282" t="s">
        <v>377</v>
      </c>
      <c r="H38" s="281">
        <f>SUM(I38:N38)</f>
        <v>32</v>
      </c>
      <c r="I38" s="281">
        <f>+E29</f>
        <v>8</v>
      </c>
      <c r="J38" s="281">
        <f>+I38</f>
        <v>8</v>
      </c>
      <c r="K38" s="281">
        <f>+I38</f>
        <v>8</v>
      </c>
      <c r="L38" s="281">
        <f>+I38</f>
        <v>8</v>
      </c>
      <c r="M38" s="281">
        <v>0</v>
      </c>
      <c r="N38" s="281">
        <v>0</v>
      </c>
      <c r="O38" s="163">
        <f>+H38/$H$41</f>
        <v>9.9688473520249218E-2</v>
      </c>
      <c r="Q38" s="278">
        <f>+E29*G29</f>
        <v>32</v>
      </c>
    </row>
    <row r="39" spans="1:17">
      <c r="A39" s="282" t="s">
        <v>374</v>
      </c>
      <c r="B39" s="281">
        <v>366357</v>
      </c>
      <c r="C39" s="281">
        <f>B39*$B$42/1000</f>
        <v>231.54232427382556</v>
      </c>
      <c r="D39" s="267">
        <f>0.85*B39</f>
        <v>311403.45</v>
      </c>
      <c r="F39" s="164">
        <f>+H37+H38+H39</f>
        <v>145</v>
      </c>
      <c r="G39" s="282" t="s">
        <v>379</v>
      </c>
      <c r="H39" s="281">
        <f>SUM(I39:N39)</f>
        <v>88</v>
      </c>
      <c r="I39" s="281">
        <f>+E31</f>
        <v>22</v>
      </c>
      <c r="J39" s="281">
        <f>+I39</f>
        <v>22</v>
      </c>
      <c r="K39" s="281">
        <f>+I39</f>
        <v>22</v>
      </c>
      <c r="L39" s="281">
        <f>+I39</f>
        <v>22</v>
      </c>
      <c r="M39" s="281">
        <v>0</v>
      </c>
      <c r="N39" s="281">
        <v>0</v>
      </c>
      <c r="O39" s="163">
        <f>+H39/$H$41</f>
        <v>0.27414330218068533</v>
      </c>
      <c r="Q39" s="278">
        <f>+E31*G31</f>
        <v>88</v>
      </c>
    </row>
    <row r="40" spans="1:17">
      <c r="A40" s="282" t="s">
        <v>377</v>
      </c>
      <c r="B40" s="281">
        <v>127062</v>
      </c>
      <c r="C40" s="281">
        <f>B40*$B$42/1000</f>
        <v>80.304814175464983</v>
      </c>
      <c r="D40" s="267">
        <f>0.85*B40</f>
        <v>108002.7</v>
      </c>
      <c r="G40" s="282" t="s">
        <v>381</v>
      </c>
      <c r="H40" s="281">
        <f>SUM(I40:N40)</f>
        <v>176</v>
      </c>
      <c r="I40" s="281">
        <f>+E33</f>
        <v>44</v>
      </c>
      <c r="J40" s="281">
        <f>+I40</f>
        <v>44</v>
      </c>
      <c r="K40" s="281">
        <f>+I40</f>
        <v>44</v>
      </c>
      <c r="L40" s="281">
        <f>+I40</f>
        <v>44</v>
      </c>
      <c r="M40" s="281">
        <v>0</v>
      </c>
      <c r="N40" s="281">
        <v>0</v>
      </c>
      <c r="O40" s="163">
        <f>+H40/$H$41</f>
        <v>0.54828660436137067</v>
      </c>
      <c r="Q40" s="278">
        <f>+E33*G33</f>
        <v>176</v>
      </c>
    </row>
    <row r="41" spans="1:17">
      <c r="A41" s="282" t="s">
        <v>379</v>
      </c>
      <c r="B41" s="281">
        <v>54500</v>
      </c>
      <c r="C41" s="281">
        <f>B41*$B$42/1000</f>
        <v>34.444699222134403</v>
      </c>
      <c r="D41" s="267">
        <f>0.85*B41</f>
        <v>46325</v>
      </c>
      <c r="G41" s="280" t="s">
        <v>383</v>
      </c>
      <c r="H41" s="279">
        <f t="shared" ref="H41:N41" si="13">SUM(H37:H40)</f>
        <v>321</v>
      </c>
      <c r="I41" s="279">
        <f t="shared" si="13"/>
        <v>81</v>
      </c>
      <c r="J41" s="279">
        <f t="shared" si="13"/>
        <v>81</v>
      </c>
      <c r="K41" s="279">
        <f t="shared" si="13"/>
        <v>81</v>
      </c>
      <c r="L41" s="279">
        <f t="shared" si="13"/>
        <v>78</v>
      </c>
      <c r="M41" s="279">
        <f t="shared" si="13"/>
        <v>0</v>
      </c>
      <c r="N41" s="279">
        <f t="shared" si="13"/>
        <v>0</v>
      </c>
      <c r="O41" s="162"/>
      <c r="Q41" s="278">
        <f>SUM(Q37:Q40)</f>
        <v>320.5</v>
      </c>
    </row>
    <row r="42" spans="1:17">
      <c r="A42" t="s">
        <v>390</v>
      </c>
      <c r="B42" s="35">
        <v>0.63201282976393403</v>
      </c>
      <c r="C42" s="164"/>
      <c r="H42" s="51" t="s">
        <v>384</v>
      </c>
      <c r="I42" s="277">
        <f>+I41</f>
        <v>81</v>
      </c>
      <c r="J42" s="277">
        <f>+J41+I42</f>
        <v>162</v>
      </c>
      <c r="K42" s="277">
        <f>+K41+J42</f>
        <v>243</v>
      </c>
      <c r="L42" s="277">
        <f>+L41+K42</f>
        <v>321</v>
      </c>
      <c r="M42" s="277">
        <f>+M41+L42</f>
        <v>321</v>
      </c>
      <c r="N42" s="277">
        <f>+N41+M42</f>
        <v>321</v>
      </c>
      <c r="O42" s="162"/>
    </row>
    <row r="43" spans="1:17" ht="44.1" thickBot="1">
      <c r="E43" s="276" t="s">
        <v>6</v>
      </c>
      <c r="F43" s="275" t="s">
        <v>320</v>
      </c>
      <c r="G43" s="274" t="s">
        <v>366</v>
      </c>
      <c r="H43" s="273" t="s">
        <v>391</v>
      </c>
      <c r="I43" s="272">
        <v>2025</v>
      </c>
      <c r="J43" s="272">
        <v>2026</v>
      </c>
      <c r="K43" s="272">
        <v>2027</v>
      </c>
      <c r="L43" s="272">
        <v>2028</v>
      </c>
      <c r="M43" s="272">
        <v>2029</v>
      </c>
      <c r="N43" s="272">
        <v>2030</v>
      </c>
    </row>
    <row r="44" spans="1:17" ht="15.6" thickTop="1" thickBot="1">
      <c r="E44" s="270">
        <f>+H44/H28</f>
        <v>126.95075913704625</v>
      </c>
      <c r="F44" s="269">
        <v>125000</v>
      </c>
      <c r="G44" s="268" t="s">
        <v>374</v>
      </c>
      <c r="H44" s="541">
        <f>+F44*H37</f>
        <v>3125000</v>
      </c>
      <c r="I44" s="267">
        <f>+I37*$F$44</f>
        <v>875000</v>
      </c>
      <c r="J44" s="267">
        <f t="shared" ref="J44:N44" si="14">+J37*$F$44</f>
        <v>875000</v>
      </c>
      <c r="K44" s="267">
        <f t="shared" si="14"/>
        <v>875000</v>
      </c>
      <c r="L44" s="267">
        <f t="shared" si="14"/>
        <v>500000</v>
      </c>
      <c r="M44" s="267">
        <f t="shared" si="14"/>
        <v>0</v>
      </c>
      <c r="N44" s="267">
        <f t="shared" si="14"/>
        <v>0</v>
      </c>
      <c r="O44" s="207">
        <f>SUM(I44:N44)</f>
        <v>3125000</v>
      </c>
    </row>
    <row r="45" spans="1:17" ht="15.6" thickTop="1" thickBot="1">
      <c r="B45" s="271"/>
      <c r="E45" s="270">
        <f>+H45/H30</f>
        <v>122.30869062649856</v>
      </c>
      <c r="F45" s="269">
        <v>40000</v>
      </c>
      <c r="G45" s="268" t="s">
        <v>377</v>
      </c>
      <c r="H45" s="267">
        <f>+F45*H38</f>
        <v>1280000</v>
      </c>
      <c r="I45" s="267">
        <f t="shared" ref="I45:N45" si="15">+I38*$F$45</f>
        <v>320000</v>
      </c>
      <c r="J45" s="267">
        <f t="shared" si="15"/>
        <v>320000</v>
      </c>
      <c r="K45" s="267">
        <f t="shared" si="15"/>
        <v>320000</v>
      </c>
      <c r="L45" s="267">
        <f t="shared" si="15"/>
        <v>320000</v>
      </c>
      <c r="M45" s="267">
        <f t="shared" si="15"/>
        <v>0</v>
      </c>
      <c r="N45" s="267">
        <f t="shared" si="15"/>
        <v>0</v>
      </c>
      <c r="O45" s="207">
        <f>SUM(I45:N45)</f>
        <v>1280000</v>
      </c>
    </row>
    <row r="46" spans="1:17" ht="15.6" thickTop="1" thickBot="1">
      <c r="E46" s="270">
        <f>+H46/H32</f>
        <v>106.93201959897358</v>
      </c>
      <c r="F46" s="269">
        <v>15000</v>
      </c>
      <c r="G46" s="268" t="s">
        <v>379</v>
      </c>
      <c r="H46" s="267">
        <f>+F46*H39</f>
        <v>1320000</v>
      </c>
      <c r="I46" s="267">
        <f t="shared" ref="I46:N46" si="16">+I39*$F$46</f>
        <v>330000</v>
      </c>
      <c r="J46" s="267">
        <f t="shared" si="16"/>
        <v>330000</v>
      </c>
      <c r="K46" s="267">
        <f t="shared" si="16"/>
        <v>330000</v>
      </c>
      <c r="L46" s="267">
        <f t="shared" si="16"/>
        <v>330000</v>
      </c>
      <c r="M46" s="267">
        <f t="shared" si="16"/>
        <v>0</v>
      </c>
      <c r="N46" s="267">
        <f t="shared" si="16"/>
        <v>0</v>
      </c>
      <c r="O46" s="207">
        <f>SUM(I46:N46)</f>
        <v>1320000</v>
      </c>
    </row>
    <row r="47" spans="1:17" ht="15.6" thickTop="1" thickBot="1">
      <c r="B47" s="164"/>
      <c r="E47" s="270">
        <f>+H47/H34</f>
        <v>116.45455221376369</v>
      </c>
      <c r="F47" s="269">
        <v>35000</v>
      </c>
      <c r="G47" s="268" t="s">
        <v>381</v>
      </c>
      <c r="H47" s="267">
        <f>+F47*H40</f>
        <v>6160000</v>
      </c>
      <c r="I47" s="267">
        <f t="shared" ref="I47:N47" si="17">+I40*$F$47</f>
        <v>1540000</v>
      </c>
      <c r="J47" s="267">
        <f t="shared" si="17"/>
        <v>1540000</v>
      </c>
      <c r="K47" s="267">
        <f t="shared" si="17"/>
        <v>1540000</v>
      </c>
      <c r="L47" s="267">
        <f t="shared" si="17"/>
        <v>1540000</v>
      </c>
      <c r="M47" s="267">
        <f t="shared" si="17"/>
        <v>0</v>
      </c>
      <c r="N47" s="267">
        <f t="shared" si="17"/>
        <v>0</v>
      </c>
      <c r="O47" s="207">
        <f>SUM(I47:N47)</f>
        <v>6160000</v>
      </c>
    </row>
    <row r="48" spans="1:17" ht="15.6" thickTop="1" thickBot="1">
      <c r="E48" s="266">
        <f>+H48/H35</f>
        <v>118.46896845443595</v>
      </c>
      <c r="F48" s="237"/>
      <c r="G48" s="265" t="s">
        <v>383</v>
      </c>
      <c r="H48" s="264">
        <f>SUM(H44:H47)</f>
        <v>11885000</v>
      </c>
      <c r="I48" s="263">
        <f>SUM(I44:I47)</f>
        <v>3065000</v>
      </c>
      <c r="J48" s="263">
        <f t="shared" ref="J48:N48" si="18">SUM(J44:J47)</f>
        <v>3065000</v>
      </c>
      <c r="K48" s="263">
        <f t="shared" si="18"/>
        <v>3065000</v>
      </c>
      <c r="L48" s="263">
        <f t="shared" si="18"/>
        <v>2690000</v>
      </c>
      <c r="M48" s="263">
        <f t="shared" si="18"/>
        <v>0</v>
      </c>
      <c r="N48" s="263">
        <f t="shared" si="18"/>
        <v>0</v>
      </c>
      <c r="O48" s="207">
        <f>SUM(I48:N48)</f>
        <v>11885000</v>
      </c>
    </row>
    <row r="49" spans="1:29" ht="15.6" thickTop="1" thickBot="1">
      <c r="G49" s="262" t="s">
        <v>392</v>
      </c>
      <c r="H49" s="261">
        <f>+H48/H41</f>
        <v>37024.922118380062</v>
      </c>
      <c r="I49" s="207">
        <f>+I41*$H$49</f>
        <v>2999018.691588785</v>
      </c>
      <c r="J49" s="207">
        <f>+J41*$H$49</f>
        <v>2999018.691588785</v>
      </c>
      <c r="K49" s="207">
        <f>+K41*$H$49</f>
        <v>2999018.691588785</v>
      </c>
      <c r="L49" s="207">
        <f>+L41*$H$49</f>
        <v>2887943.9252336449</v>
      </c>
      <c r="M49" s="207">
        <f>+M41*$H$49</f>
        <v>0</v>
      </c>
    </row>
    <row r="50" spans="1:29" ht="15.6" thickTop="1" thickBot="1">
      <c r="G50" t="s">
        <v>393</v>
      </c>
      <c r="I50" s="207">
        <f>I48/81</f>
        <v>37839.506172839509</v>
      </c>
      <c r="J50" s="207">
        <f t="shared" ref="J50:K50" si="19">J48/81</f>
        <v>37839.506172839509</v>
      </c>
      <c r="K50" s="207">
        <f t="shared" si="19"/>
        <v>37839.506172839509</v>
      </c>
      <c r="L50" s="207">
        <f>L48/78</f>
        <v>34487.179487179485</v>
      </c>
    </row>
    <row r="51" spans="1:29" ht="15.6" thickTop="1" thickBot="1">
      <c r="G51" s="260" t="e">
        <f>+#REF!</f>
        <v>#REF!</v>
      </c>
      <c r="H51" s="259" t="s">
        <v>394</v>
      </c>
      <c r="M51" s="207"/>
    </row>
    <row r="52" spans="1:29" ht="15" thickTop="1">
      <c r="I52" s="207"/>
    </row>
    <row r="53" spans="1:29" ht="18.600000000000001">
      <c r="A53" s="213" t="s">
        <v>351</v>
      </c>
    </row>
    <row r="54" spans="1:29" ht="29.1">
      <c r="A54" s="169" t="s">
        <v>352</v>
      </c>
      <c r="B54" s="212" t="s">
        <v>331</v>
      </c>
      <c r="C54" s="212" t="s">
        <v>332</v>
      </c>
      <c r="D54" s="169">
        <v>2025</v>
      </c>
      <c r="E54" s="169">
        <v>2026</v>
      </c>
      <c r="F54" s="169">
        <v>2027</v>
      </c>
      <c r="G54" s="169">
        <v>2028</v>
      </c>
      <c r="H54" s="169">
        <v>2029</v>
      </c>
      <c r="I54" s="169">
        <v>2030</v>
      </c>
      <c r="J54" s="169">
        <v>2031</v>
      </c>
      <c r="K54" s="169">
        <v>2032</v>
      </c>
      <c r="L54" s="169">
        <v>2033</v>
      </c>
      <c r="M54" s="169">
        <v>2034</v>
      </c>
      <c r="N54" s="169">
        <v>2035</v>
      </c>
      <c r="O54" s="169">
        <v>2036</v>
      </c>
      <c r="P54" s="169">
        <v>2037</v>
      </c>
      <c r="Q54" s="169">
        <v>2038</v>
      </c>
      <c r="R54" s="169">
        <v>2039</v>
      </c>
      <c r="S54" s="169">
        <v>2040</v>
      </c>
      <c r="T54" s="169">
        <v>2041</v>
      </c>
      <c r="U54" s="169">
        <v>2042</v>
      </c>
      <c r="V54" s="169">
        <v>2043</v>
      </c>
      <c r="W54" s="169">
        <v>2044</v>
      </c>
      <c r="X54" s="169">
        <v>2045</v>
      </c>
      <c r="Y54" s="169">
        <v>2046</v>
      </c>
      <c r="Z54" s="169">
        <v>2047</v>
      </c>
      <c r="AA54" s="169">
        <v>2048</v>
      </c>
      <c r="AB54" s="169">
        <v>2049</v>
      </c>
      <c r="AC54" s="169">
        <v>2050</v>
      </c>
    </row>
    <row r="55" spans="1:29">
      <c r="A55" s="258" t="s">
        <v>353</v>
      </c>
      <c r="B55" s="258">
        <f t="shared" ref="B55:B64" si="20">I55</f>
        <v>3241.55</v>
      </c>
      <c r="C55" s="258">
        <f t="shared" ref="C55:C64" si="21">AC55</f>
        <v>11345.43</v>
      </c>
      <c r="D55" s="258">
        <v>1215.58</v>
      </c>
      <c r="E55" s="258">
        <v>1620.78</v>
      </c>
      <c r="F55" s="258">
        <v>2025.9699999999998</v>
      </c>
      <c r="G55" s="258">
        <v>2431.17</v>
      </c>
      <c r="H55" s="258">
        <v>2836.36</v>
      </c>
      <c r="I55" s="258">
        <v>3241.55</v>
      </c>
      <c r="J55" s="258">
        <v>3646.75</v>
      </c>
      <c r="K55" s="258">
        <v>4051.94</v>
      </c>
      <c r="L55" s="258">
        <v>4457.1400000000003</v>
      </c>
      <c r="M55" s="258">
        <v>4862.33</v>
      </c>
      <c r="N55" s="258">
        <v>5267.5199999999995</v>
      </c>
      <c r="O55" s="258">
        <v>5672.72</v>
      </c>
      <c r="P55" s="258">
        <v>6077.91</v>
      </c>
      <c r="Q55" s="258">
        <v>6483.11</v>
      </c>
      <c r="R55" s="258">
        <v>6888.3</v>
      </c>
      <c r="S55" s="258">
        <v>7293.49</v>
      </c>
      <c r="T55" s="258">
        <v>7698.6900000000005</v>
      </c>
      <c r="U55" s="258">
        <v>8103.88</v>
      </c>
      <c r="V55" s="258">
        <v>8509.08</v>
      </c>
      <c r="W55" s="258">
        <v>8914.27</v>
      </c>
      <c r="X55" s="258">
        <v>9319.4600000000009</v>
      </c>
      <c r="Y55" s="258">
        <v>9724.66</v>
      </c>
      <c r="Z55" s="258">
        <v>10129.85</v>
      </c>
      <c r="AA55" s="258">
        <v>10535.050000000001</v>
      </c>
      <c r="AB55" s="258">
        <v>10940.24</v>
      </c>
      <c r="AC55" s="258">
        <v>11345.43</v>
      </c>
    </row>
    <row r="56" spans="1:29">
      <c r="A56" s="219" t="s">
        <v>339</v>
      </c>
      <c r="B56" s="258">
        <f t="shared" si="20"/>
        <v>617460</v>
      </c>
      <c r="C56" s="258">
        <f t="shared" si="21"/>
        <v>416750</v>
      </c>
      <c r="D56" s="258">
        <v>706830</v>
      </c>
      <c r="E56" s="258">
        <v>638830</v>
      </c>
      <c r="F56" s="258">
        <v>568160</v>
      </c>
      <c r="G56" s="258">
        <v>494020</v>
      </c>
      <c r="H56" s="258">
        <v>430800</v>
      </c>
      <c r="I56" s="258">
        <v>617460</v>
      </c>
      <c r="J56" s="258">
        <v>590080</v>
      </c>
      <c r="K56" s="258">
        <v>561320</v>
      </c>
      <c r="L56" s="258">
        <v>529710</v>
      </c>
      <c r="M56" s="258">
        <v>511120</v>
      </c>
      <c r="N56" s="258">
        <v>477590</v>
      </c>
      <c r="O56" s="258">
        <v>449370</v>
      </c>
      <c r="P56" s="258">
        <v>411160</v>
      </c>
      <c r="Q56" s="258">
        <v>375340</v>
      </c>
      <c r="R56" s="258">
        <v>355430</v>
      </c>
      <c r="S56" s="258">
        <v>318670</v>
      </c>
      <c r="T56" s="258">
        <v>323210</v>
      </c>
      <c r="U56" s="258">
        <v>332460</v>
      </c>
      <c r="V56" s="258">
        <v>338050</v>
      </c>
      <c r="W56" s="258">
        <v>357500</v>
      </c>
      <c r="X56" s="258">
        <v>370560</v>
      </c>
      <c r="Y56" s="258">
        <v>376420</v>
      </c>
      <c r="Z56" s="258">
        <v>385430</v>
      </c>
      <c r="AA56" s="258">
        <v>396480</v>
      </c>
      <c r="AB56" s="258">
        <v>412750</v>
      </c>
      <c r="AC56" s="258">
        <v>416750</v>
      </c>
    </row>
    <row r="57" spans="1:29">
      <c r="A57" s="257" t="s">
        <v>354</v>
      </c>
      <c r="B57" s="257">
        <f t="shared" si="20"/>
        <v>209027307</v>
      </c>
      <c r="C57" s="257">
        <f t="shared" si="21"/>
        <v>391603453</v>
      </c>
      <c r="D57" s="257">
        <v>82863283</v>
      </c>
      <c r="E57" s="257">
        <v>129998482</v>
      </c>
      <c r="F57" s="257">
        <v>161956746</v>
      </c>
      <c r="G57" s="257">
        <v>184189593</v>
      </c>
      <c r="H57" s="257">
        <v>372011641</v>
      </c>
      <c r="I57" s="257">
        <v>209027307</v>
      </c>
      <c r="J57" s="257">
        <v>235848636</v>
      </c>
      <c r="K57" s="257">
        <v>257291952</v>
      </c>
      <c r="L57" s="257">
        <v>274831155</v>
      </c>
      <c r="M57" s="257">
        <v>497851723</v>
      </c>
      <c r="N57" s="257">
        <v>403917548</v>
      </c>
      <c r="O57" s="257">
        <v>422063826</v>
      </c>
      <c r="P57" s="257">
        <v>437816529</v>
      </c>
      <c r="Q57" s="257">
        <v>451555501</v>
      </c>
      <c r="R57" s="257">
        <v>463602529</v>
      </c>
      <c r="S57" s="257">
        <v>397642230</v>
      </c>
      <c r="T57" s="257">
        <v>411340732</v>
      </c>
      <c r="U57" s="257">
        <v>423648745</v>
      </c>
      <c r="V57" s="257">
        <v>434779829</v>
      </c>
      <c r="W57" s="257">
        <v>444838865</v>
      </c>
      <c r="X57" s="257">
        <v>394018537</v>
      </c>
      <c r="Y57" s="257">
        <v>404976817</v>
      </c>
      <c r="Z57" s="257">
        <v>415055421</v>
      </c>
      <c r="AA57" s="257">
        <v>424340250</v>
      </c>
      <c r="AB57" s="257">
        <v>432926539</v>
      </c>
      <c r="AC57" s="257">
        <v>391603453</v>
      </c>
    </row>
    <row r="58" spans="1:29">
      <c r="A58" s="206" t="s">
        <v>355</v>
      </c>
      <c r="B58" s="206">
        <f t="shared" si="20"/>
        <v>1150</v>
      </c>
      <c r="C58" s="206">
        <f t="shared" si="21"/>
        <v>2154</v>
      </c>
      <c r="D58" s="206">
        <v>456</v>
      </c>
      <c r="E58" s="206">
        <v>715</v>
      </c>
      <c r="F58" s="206">
        <v>891</v>
      </c>
      <c r="G58" s="206">
        <v>1013</v>
      </c>
      <c r="H58" s="206">
        <v>2046</v>
      </c>
      <c r="I58" s="206">
        <v>1150</v>
      </c>
      <c r="J58" s="206">
        <v>1297</v>
      </c>
      <c r="K58" s="206">
        <v>1415</v>
      </c>
      <c r="L58" s="206">
        <v>1512</v>
      </c>
      <c r="M58" s="206">
        <v>2738</v>
      </c>
      <c r="N58" s="206">
        <v>2222</v>
      </c>
      <c r="O58" s="206">
        <v>2321</v>
      </c>
      <c r="P58" s="206">
        <v>2408</v>
      </c>
      <c r="Q58" s="206">
        <v>2484</v>
      </c>
      <c r="R58" s="206">
        <v>2550</v>
      </c>
      <c r="S58" s="206">
        <v>2187</v>
      </c>
      <c r="T58" s="206">
        <v>2262</v>
      </c>
      <c r="U58" s="206">
        <v>2330</v>
      </c>
      <c r="V58" s="206">
        <v>2391</v>
      </c>
      <c r="W58" s="206">
        <v>2447</v>
      </c>
      <c r="X58" s="206">
        <v>2167</v>
      </c>
      <c r="Y58" s="206">
        <v>2227</v>
      </c>
      <c r="Z58" s="206">
        <v>2283</v>
      </c>
      <c r="AA58" s="206">
        <v>2334</v>
      </c>
      <c r="AB58" s="206">
        <v>2381</v>
      </c>
      <c r="AC58" s="206">
        <v>2154</v>
      </c>
    </row>
    <row r="59" spans="1:29">
      <c r="A59" s="209" t="s">
        <v>356</v>
      </c>
      <c r="B59" s="209">
        <f t="shared" si="20"/>
        <v>0</v>
      </c>
      <c r="C59" s="209">
        <f t="shared" si="21"/>
        <v>0</v>
      </c>
      <c r="D59" s="209">
        <v>0</v>
      </c>
      <c r="E59" s="209">
        <v>0</v>
      </c>
      <c r="F59" s="209">
        <v>0</v>
      </c>
      <c r="G59" s="209">
        <v>0</v>
      </c>
      <c r="H59" s="209">
        <v>0</v>
      </c>
      <c r="I59" s="209">
        <v>0</v>
      </c>
      <c r="J59" s="209">
        <v>0</v>
      </c>
      <c r="K59" s="209">
        <v>0</v>
      </c>
      <c r="L59" s="209">
        <v>0</v>
      </c>
      <c r="M59" s="209">
        <v>0</v>
      </c>
      <c r="N59" s="209">
        <v>0</v>
      </c>
      <c r="O59" s="209">
        <v>0</v>
      </c>
      <c r="P59" s="209">
        <v>0</v>
      </c>
      <c r="Q59" s="209">
        <v>0</v>
      </c>
      <c r="R59" s="209">
        <v>0</v>
      </c>
      <c r="S59" s="209">
        <v>0</v>
      </c>
      <c r="T59" s="209">
        <v>0</v>
      </c>
      <c r="U59" s="209">
        <v>0</v>
      </c>
      <c r="V59" s="209">
        <v>0</v>
      </c>
      <c r="W59" s="209">
        <v>0</v>
      </c>
      <c r="X59" s="209">
        <v>0</v>
      </c>
      <c r="Y59" s="209">
        <v>0</v>
      </c>
      <c r="Z59" s="209">
        <v>0</v>
      </c>
      <c r="AA59" s="209">
        <v>0</v>
      </c>
      <c r="AB59" s="209">
        <v>0</v>
      </c>
      <c r="AC59" s="209">
        <v>0</v>
      </c>
    </row>
    <row r="60" spans="1:29">
      <c r="A60" s="208" t="s">
        <v>344</v>
      </c>
      <c r="B60" s="208">
        <f t="shared" si="20"/>
        <v>-8250450</v>
      </c>
      <c r="C60" s="208">
        <f t="shared" si="21"/>
        <v>-28814626</v>
      </c>
      <c r="D60" s="208">
        <v>-2562514</v>
      </c>
      <c r="E60" s="208">
        <v>-3416685</v>
      </c>
      <c r="F60" s="208">
        <v>-4270857</v>
      </c>
      <c r="G60" s="208">
        <v>-5125028</v>
      </c>
      <c r="H60" s="208">
        <v>-6687739</v>
      </c>
      <c r="I60" s="208">
        <v>-8250450</v>
      </c>
      <c r="J60" s="208">
        <v>-9813160</v>
      </c>
      <c r="K60" s="208">
        <v>-11375871</v>
      </c>
      <c r="L60" s="208">
        <v>-12938582</v>
      </c>
      <c r="M60" s="208">
        <v>-14501293</v>
      </c>
      <c r="N60" s="208">
        <v>-16064003</v>
      </c>
      <c r="O60" s="208">
        <v>-16914045</v>
      </c>
      <c r="P60" s="208">
        <v>-17764086</v>
      </c>
      <c r="Q60" s="208">
        <v>-18614128</v>
      </c>
      <c r="R60" s="208">
        <v>-19464169</v>
      </c>
      <c r="S60" s="208">
        <v>-20314211</v>
      </c>
      <c r="T60" s="208">
        <v>-21164253</v>
      </c>
      <c r="U60" s="208">
        <v>-22014294</v>
      </c>
      <c r="V60" s="208">
        <v>-22864336</v>
      </c>
      <c r="W60" s="208">
        <v>-23714377</v>
      </c>
      <c r="X60" s="208">
        <v>-24564419</v>
      </c>
      <c r="Y60" s="208">
        <v>-25414460</v>
      </c>
      <c r="Z60" s="208">
        <v>-26264502</v>
      </c>
      <c r="AA60" s="208">
        <v>-27114543</v>
      </c>
      <c r="AB60" s="208">
        <v>-27964585</v>
      </c>
      <c r="AC60" s="208">
        <v>-28814626</v>
      </c>
    </row>
    <row r="61" spans="1:29">
      <c r="A61" s="206" t="s">
        <v>345</v>
      </c>
      <c r="B61" s="206">
        <f t="shared" si="20"/>
        <v>-211.174442</v>
      </c>
      <c r="C61" s="206">
        <f t="shared" si="21"/>
        <v>-509.78130599999997</v>
      </c>
      <c r="D61" s="206">
        <v>-83.681798999999998</v>
      </c>
      <c r="E61" s="206">
        <v>-90.194982999999993</v>
      </c>
      <c r="F61" s="206">
        <v>-98.260060999999993</v>
      </c>
      <c r="G61" s="206">
        <v>-106.055781</v>
      </c>
      <c r="H61" s="206">
        <v>-135.81825699999999</v>
      </c>
      <c r="I61" s="206">
        <v>-211.174442</v>
      </c>
      <c r="J61" s="206">
        <v>-223.97275500000001</v>
      </c>
      <c r="K61" s="206">
        <v>-236.47414800000001</v>
      </c>
      <c r="L61" s="206">
        <v>-248.05919399999999</v>
      </c>
      <c r="M61" s="206">
        <v>-281.116626</v>
      </c>
      <c r="N61" s="206">
        <v>-295.04150399999997</v>
      </c>
      <c r="O61" s="206">
        <v>-312.13225999999997</v>
      </c>
      <c r="P61" s="206">
        <v>-317.41359799999998</v>
      </c>
      <c r="Q61" s="206">
        <v>-327.226294</v>
      </c>
      <c r="R61" s="206">
        <v>-365.31499600000001</v>
      </c>
      <c r="S61" s="206">
        <v>-379.581502</v>
      </c>
      <c r="T61" s="206">
        <v>-384.30488000000003</v>
      </c>
      <c r="U61" s="206">
        <v>-395.85170099999999</v>
      </c>
      <c r="V61" s="206">
        <v>-402.74157400000001</v>
      </c>
      <c r="W61" s="206">
        <v>-431.18572499999999</v>
      </c>
      <c r="X61" s="206">
        <v>-448.89149200000003</v>
      </c>
      <c r="Y61" s="206">
        <v>-455.94690600000001</v>
      </c>
      <c r="Z61" s="206">
        <v>-467.46961099999999</v>
      </c>
      <c r="AA61" s="206">
        <v>-481.64342599999998</v>
      </c>
      <c r="AB61" s="206">
        <v>-505.474874</v>
      </c>
      <c r="AC61" s="206">
        <v>-509.78130599999997</v>
      </c>
    </row>
    <row r="62" spans="1:29">
      <c r="A62" s="206" t="s">
        <v>347</v>
      </c>
      <c r="B62" s="206">
        <f t="shared" si="20"/>
        <v>-6.44421</v>
      </c>
      <c r="C62" s="206">
        <f t="shared" si="21"/>
        <v>-38.774327999999997</v>
      </c>
      <c r="D62" s="206">
        <v>-1.0234399999999999</v>
      </c>
      <c r="E62" s="206">
        <v>-2.1592760000000002</v>
      </c>
      <c r="F62" s="206">
        <v>-3.397824</v>
      </c>
      <c r="G62" s="206">
        <v>-4.6289730000000002</v>
      </c>
      <c r="H62" s="206">
        <v>-4.265244</v>
      </c>
      <c r="I62" s="206">
        <v>-6.44421</v>
      </c>
      <c r="J62" s="206">
        <v>-8.5094259999999995</v>
      </c>
      <c r="K62" s="206">
        <v>-10.593704000000001</v>
      </c>
      <c r="L62" s="206">
        <v>-12.540281</v>
      </c>
      <c r="M62" s="206">
        <v>-13.168851999999999</v>
      </c>
      <c r="N62" s="206">
        <v>-15.27927</v>
      </c>
      <c r="O62" s="206">
        <v>-17.70513</v>
      </c>
      <c r="P62" s="206">
        <v>-19.100065000000001</v>
      </c>
      <c r="Q62" s="206">
        <v>-20.823172</v>
      </c>
      <c r="R62" s="206">
        <v>-22.147606</v>
      </c>
      <c r="S62" s="206">
        <v>-24.305935999999999</v>
      </c>
      <c r="T62" s="206">
        <v>-25.556705000000001</v>
      </c>
      <c r="U62" s="206">
        <v>-27.445439</v>
      </c>
      <c r="V62" s="206">
        <v>-28.837935000000002</v>
      </c>
      <c r="W62" s="206">
        <v>-29.546911999999999</v>
      </c>
      <c r="X62" s="206">
        <v>-31.968284000000001</v>
      </c>
      <c r="Y62" s="206">
        <v>-33.333506</v>
      </c>
      <c r="Z62" s="206">
        <v>-35.200952999999998</v>
      </c>
      <c r="AA62" s="206">
        <v>-37.215083</v>
      </c>
      <c r="AB62" s="206">
        <v>-37.649659</v>
      </c>
      <c r="AC62" s="206">
        <v>-38.774327999999997</v>
      </c>
    </row>
    <row r="63" spans="1:29">
      <c r="A63" s="206" t="s">
        <v>346</v>
      </c>
      <c r="B63" s="206">
        <f t="shared" si="20"/>
        <v>-29.597064</v>
      </c>
      <c r="C63" s="206">
        <f t="shared" si="21"/>
        <v>-110.737638</v>
      </c>
      <c r="D63" s="206">
        <v>-8.5773650000000004</v>
      </c>
      <c r="E63" s="206">
        <v>-10.226584000000001</v>
      </c>
      <c r="F63" s="206">
        <v>-12.339399</v>
      </c>
      <c r="G63" s="206">
        <v>-14.390948</v>
      </c>
      <c r="H63" s="206">
        <v>-23.715800999999999</v>
      </c>
      <c r="I63" s="206">
        <v>-29.597064</v>
      </c>
      <c r="J63" s="206">
        <v>-32.886201999999997</v>
      </c>
      <c r="K63" s="206">
        <v>-36.087677999999997</v>
      </c>
      <c r="L63" s="206">
        <v>-39.075636000000003</v>
      </c>
      <c r="M63" s="206">
        <v>-48.981330999999997</v>
      </c>
      <c r="N63" s="206">
        <v>-52.693240000000003</v>
      </c>
      <c r="O63" s="206">
        <v>-57.237119</v>
      </c>
      <c r="P63" s="206">
        <v>-58.428507000000003</v>
      </c>
      <c r="Q63" s="206">
        <v>-60.681728</v>
      </c>
      <c r="R63" s="206">
        <v>-72.168430000000001</v>
      </c>
      <c r="S63" s="206">
        <v>-75.990065000000001</v>
      </c>
      <c r="T63" s="206">
        <v>-76.844408000000001</v>
      </c>
      <c r="U63" s="206">
        <v>-79.671998000000002</v>
      </c>
      <c r="V63" s="206">
        <v>-81.371761000000006</v>
      </c>
      <c r="W63" s="206">
        <v>-89.826472999999993</v>
      </c>
      <c r="X63" s="206">
        <v>-94.572560999999993</v>
      </c>
      <c r="Y63" s="206">
        <v>-96.271837000000005</v>
      </c>
      <c r="Z63" s="206">
        <v>-99.185762999999994</v>
      </c>
      <c r="AA63" s="206">
        <v>-102.818935</v>
      </c>
      <c r="AB63" s="206">
        <v>-109.86063300000001</v>
      </c>
      <c r="AC63" s="206">
        <v>-110.737638</v>
      </c>
    </row>
    <row r="64" spans="1:29">
      <c r="A64" s="206" t="s">
        <v>348</v>
      </c>
      <c r="B64" s="206">
        <f t="shared" si="20"/>
        <v>-9.7320159999999998</v>
      </c>
      <c r="C64" s="206">
        <f t="shared" si="21"/>
        <v>-23.655110000000001</v>
      </c>
      <c r="D64" s="206">
        <v>-3.8428279999999999</v>
      </c>
      <c r="E64" s="206">
        <v>-4.1467770000000002</v>
      </c>
      <c r="F64" s="206">
        <v>-4.523377</v>
      </c>
      <c r="G64" s="206">
        <v>-4.8864650000000003</v>
      </c>
      <c r="H64" s="206">
        <v>-6.2737499999999997</v>
      </c>
      <c r="I64" s="206">
        <v>-9.7320159999999998</v>
      </c>
      <c r="J64" s="206">
        <v>-10.328846</v>
      </c>
      <c r="K64" s="206">
        <v>-10.911489</v>
      </c>
      <c r="L64" s="206">
        <v>-11.448886</v>
      </c>
      <c r="M64" s="206">
        <v>-12.994279000000001</v>
      </c>
      <c r="N64" s="206">
        <v>-13.640162999999999</v>
      </c>
      <c r="O64" s="206">
        <v>-14.438646</v>
      </c>
      <c r="P64" s="206">
        <v>-14.678193</v>
      </c>
      <c r="Q64" s="206">
        <v>-15.143183000000001</v>
      </c>
      <c r="R64" s="206">
        <v>-16.917503</v>
      </c>
      <c r="S64" s="206">
        <v>-17.578880999999999</v>
      </c>
      <c r="T64" s="206">
        <v>-17.801013999999999</v>
      </c>
      <c r="U64" s="206">
        <v>-18.344156000000002</v>
      </c>
      <c r="V64" s="206">
        <v>-18.658798999999998</v>
      </c>
      <c r="W64" s="206">
        <v>-19.988192000000002</v>
      </c>
      <c r="X64" s="206">
        <v>-20.814999</v>
      </c>
      <c r="Y64" s="206">
        <v>-21.139999</v>
      </c>
      <c r="Z64" s="206">
        <v>-21.677965</v>
      </c>
      <c r="AA64" s="206">
        <v>-22.343609000000001</v>
      </c>
      <c r="AB64" s="206">
        <v>-23.458124999999999</v>
      </c>
      <c r="AC64" s="206">
        <v>-23.655110000000001</v>
      </c>
    </row>
    <row r="65" spans="1:29">
      <c r="A65" s="165"/>
      <c r="B65" s="165"/>
      <c r="C65" s="165"/>
      <c r="D65" s="165"/>
      <c r="E65" s="165"/>
      <c r="F65" s="165"/>
      <c r="G65" s="165"/>
      <c r="H65" s="203">
        <f>+H67/G67</f>
        <v>0.74745515119234707</v>
      </c>
      <c r="I65" s="203">
        <f>+I67/H67</f>
        <v>1.2541277026719009</v>
      </c>
      <c r="J65" s="165"/>
      <c r="K65" s="165"/>
      <c r="L65" s="165"/>
      <c r="M65" s="165"/>
      <c r="N65" s="165"/>
      <c r="O65" s="165"/>
      <c r="P65" s="165"/>
      <c r="Q65" s="165"/>
      <c r="R65" s="165"/>
      <c r="S65" s="165"/>
      <c r="T65" s="165"/>
      <c r="U65" s="165"/>
      <c r="V65" s="165"/>
      <c r="W65" s="165"/>
      <c r="X65" s="165"/>
      <c r="Y65" s="165"/>
      <c r="Z65" s="165"/>
      <c r="AA65" s="165"/>
      <c r="AB65" s="165"/>
      <c r="AC65" s="165"/>
    </row>
    <row r="66" spans="1:29" ht="15.6">
      <c r="A66" s="205" t="s">
        <v>1</v>
      </c>
      <c r="B66" s="171"/>
      <c r="C66" s="171"/>
      <c r="D66" s="204" t="s">
        <v>395</v>
      </c>
      <c r="E66" s="203">
        <f>+E67/D67</f>
        <v>0.67784407743212383</v>
      </c>
      <c r="F66" s="203">
        <f>+F67/E67</f>
        <v>0.71150246819032303</v>
      </c>
      <c r="G66" s="203">
        <f>+G67/F67</f>
        <v>0.72458870269020537</v>
      </c>
      <c r="H66" s="256">
        <v>0.85</v>
      </c>
      <c r="I66" s="256">
        <v>0.85</v>
      </c>
      <c r="J66" s="256">
        <f t="shared" ref="J66:AC66" si="22">+J67/I67</f>
        <v>0.84947147444701165</v>
      </c>
      <c r="K66" s="256">
        <f t="shared" si="22"/>
        <v>0.85613570045534659</v>
      </c>
      <c r="L66" s="256">
        <f t="shared" si="22"/>
        <v>0.85789549135542364</v>
      </c>
      <c r="M66" s="256">
        <f t="shared" si="22"/>
        <v>0.88449737528024808</v>
      </c>
      <c r="N66" s="256">
        <f t="shared" si="22"/>
        <v>0.86252280562561878</v>
      </c>
      <c r="O66" s="256">
        <f t="shared" si="22"/>
        <v>0.87370273706416501</v>
      </c>
      <c r="P66" s="256">
        <f t="shared" si="22"/>
        <v>0.85397245905678998</v>
      </c>
      <c r="Q66" s="256">
        <f t="shared" si="22"/>
        <v>0.85582479895983155</v>
      </c>
      <c r="R66" s="256">
        <f t="shared" si="22"/>
        <v>0.89125210584539527</v>
      </c>
      <c r="S66" s="256">
        <f t="shared" si="22"/>
        <v>0.84676667986933007</v>
      </c>
      <c r="T66" s="256">
        <f t="shared" si="22"/>
        <v>0.96086454423708623</v>
      </c>
      <c r="U66" s="256">
        <f t="shared" si="22"/>
        <v>0.97718871352734216</v>
      </c>
      <c r="V66" s="256">
        <f t="shared" si="22"/>
        <v>0.96839365317447335</v>
      </c>
      <c r="W66" s="256">
        <f t="shared" si="22"/>
        <v>1.009466540638335</v>
      </c>
      <c r="X66" s="256">
        <f t="shared" si="22"/>
        <v>0.99146531816071037</v>
      </c>
      <c r="Y66" s="256">
        <f t="shared" si="22"/>
        <v>0.97348771464256789</v>
      </c>
      <c r="Z66" s="256">
        <f t="shared" si="22"/>
        <v>0.98297899207198947</v>
      </c>
      <c r="AA66" s="256">
        <f t="shared" si="22"/>
        <v>0.98910451212772021</v>
      </c>
      <c r="AB66" s="256">
        <f t="shared" si="22"/>
        <v>1.00247961225881</v>
      </c>
      <c r="AC66" s="256">
        <f t="shared" si="22"/>
        <v>0.97363104963344382</v>
      </c>
    </row>
    <row r="67" spans="1:29">
      <c r="A67" s="201" t="s">
        <v>339</v>
      </c>
      <c r="B67" s="202">
        <f t="shared" ref="B67:AC67" si="23">+B56/B55</f>
        <v>190.48294797242059</v>
      </c>
      <c r="C67" s="202">
        <f t="shared" si="23"/>
        <v>36.732851906009735</v>
      </c>
      <c r="D67" s="202">
        <f t="shared" si="23"/>
        <v>581.47550963326148</v>
      </c>
      <c r="E67" s="202">
        <f t="shared" si="23"/>
        <v>394.14973037673218</v>
      </c>
      <c r="F67" s="202">
        <f t="shared" si="23"/>
        <v>280.43850599959529</v>
      </c>
      <c r="G67" s="202">
        <f t="shared" si="23"/>
        <v>203.20257324662612</v>
      </c>
      <c r="H67" s="202">
        <f t="shared" si="23"/>
        <v>151.8848101087309</v>
      </c>
      <c r="I67" s="202">
        <f t="shared" si="23"/>
        <v>190.48294797242059</v>
      </c>
      <c r="J67" s="202">
        <f t="shared" si="23"/>
        <v>161.80983067114553</v>
      </c>
      <c r="K67" s="202">
        <f t="shared" si="23"/>
        <v>138.5311727222022</v>
      </c>
      <c r="L67" s="202">
        <f t="shared" si="23"/>
        <v>118.84526849055672</v>
      </c>
      <c r="M67" s="202">
        <f t="shared" si="23"/>
        <v>105.11832804437378</v>
      </c>
      <c r="N67" s="202">
        <f t="shared" si="23"/>
        <v>90.666955227507444</v>
      </c>
      <c r="O67" s="202">
        <f t="shared" si="23"/>
        <v>79.215966943547357</v>
      </c>
      <c r="P67" s="202">
        <f t="shared" si="23"/>
        <v>67.648254087342522</v>
      </c>
      <c r="Q67" s="202">
        <f t="shared" si="23"/>
        <v>57.89505345428352</v>
      </c>
      <c r="R67" s="202">
        <f t="shared" si="23"/>
        <v>51.599088309161914</v>
      </c>
      <c r="S67" s="202">
        <f t="shared" si="23"/>
        <v>43.692388691833401</v>
      </c>
      <c r="T67" s="202">
        <f t="shared" si="23"/>
        <v>41.982467147008123</v>
      </c>
      <c r="U67" s="202">
        <f t="shared" si="23"/>
        <v>41.024793062088776</v>
      </c>
      <c r="V67" s="202">
        <f t="shared" si="23"/>
        <v>39.728149224122937</v>
      </c>
      <c r="W67" s="202">
        <f t="shared" si="23"/>
        <v>40.104237363238937</v>
      </c>
      <c r="X67" s="202">
        <f t="shared" si="23"/>
        <v>39.761960456936343</v>
      </c>
      <c r="Y67" s="202">
        <f t="shared" si="23"/>
        <v>38.707780014931117</v>
      </c>
      <c r="Z67" s="202">
        <f t="shared" si="23"/>
        <v>38.048934584421289</v>
      </c>
      <c r="AA67" s="202">
        <f t="shared" si="23"/>
        <v>37.634372879103559</v>
      </c>
      <c r="AB67" s="202">
        <f t="shared" si="23"/>
        <v>37.727691531447206</v>
      </c>
      <c r="AC67" s="202">
        <f t="shared" si="23"/>
        <v>36.732851906009735</v>
      </c>
    </row>
    <row r="68" spans="1:29">
      <c r="A68" s="201" t="s">
        <v>354</v>
      </c>
      <c r="B68" s="200">
        <f t="shared" ref="B68:AC68" si="24">+B57/B55</f>
        <v>64483.752217303445</v>
      </c>
      <c r="C68" s="200">
        <f t="shared" si="24"/>
        <v>34516.404666901122</v>
      </c>
      <c r="D68" s="200">
        <f t="shared" si="24"/>
        <v>68167.6919659751</v>
      </c>
      <c r="E68" s="200">
        <f t="shared" si="24"/>
        <v>80207.358185564983</v>
      </c>
      <c r="F68" s="200">
        <f t="shared" si="24"/>
        <v>79940.347586588163</v>
      </c>
      <c r="G68" s="200">
        <f t="shared" si="24"/>
        <v>75761.708560076004</v>
      </c>
      <c r="H68" s="200">
        <f t="shared" si="24"/>
        <v>131158.11850399806</v>
      </c>
      <c r="I68" s="200">
        <f t="shared" si="24"/>
        <v>64483.752217303445</v>
      </c>
      <c r="J68" s="200">
        <f t="shared" si="24"/>
        <v>64673.650784945501</v>
      </c>
      <c r="K68" s="200">
        <f t="shared" si="24"/>
        <v>63498.460490530459</v>
      </c>
      <c r="L68" s="200">
        <f t="shared" si="24"/>
        <v>61660.875583894602</v>
      </c>
      <c r="M68" s="200">
        <f t="shared" si="24"/>
        <v>102389.53814323586</v>
      </c>
      <c r="N68" s="200">
        <f t="shared" si="24"/>
        <v>76680.781088633754</v>
      </c>
      <c r="O68" s="200">
        <f t="shared" si="24"/>
        <v>74402.372406887691</v>
      </c>
      <c r="P68" s="200">
        <f t="shared" si="24"/>
        <v>72034.059240758754</v>
      </c>
      <c r="Q68" s="200">
        <f t="shared" si="24"/>
        <v>69651.062684421529</v>
      </c>
      <c r="R68" s="200">
        <f t="shared" si="24"/>
        <v>67302.894618410923</v>
      </c>
      <c r="S68" s="200">
        <f t="shared" si="24"/>
        <v>54520.158387822565</v>
      </c>
      <c r="T68" s="200">
        <f t="shared" si="24"/>
        <v>53429.964318604849</v>
      </c>
      <c r="U68" s="200">
        <f t="shared" si="24"/>
        <v>52277.272738490698</v>
      </c>
      <c r="V68" s="200">
        <f t="shared" si="24"/>
        <v>51095.985582460147</v>
      </c>
      <c r="W68" s="200">
        <f t="shared" si="24"/>
        <v>49901.883721269376</v>
      </c>
      <c r="X68" s="200">
        <f t="shared" si="24"/>
        <v>42279.11670847881</v>
      </c>
      <c r="Y68" s="200">
        <f t="shared" si="24"/>
        <v>41644.316305145891</v>
      </c>
      <c r="Z68" s="200">
        <f t="shared" si="24"/>
        <v>40973.501187085691</v>
      </c>
      <c r="AA68" s="200">
        <f t="shared" si="24"/>
        <v>40278.902330791025</v>
      </c>
      <c r="AB68" s="200">
        <f t="shared" si="24"/>
        <v>39571.941657587035</v>
      </c>
      <c r="AC68" s="200">
        <f t="shared" si="24"/>
        <v>34516.404666901122</v>
      </c>
    </row>
    <row r="69" spans="1:29">
      <c r="A69" s="195" t="s">
        <v>343</v>
      </c>
      <c r="B69" s="198">
        <f t="shared" ref="B69:AC69" si="25">+B58/B55</f>
        <v>0.35476855208156588</v>
      </c>
      <c r="C69" s="198">
        <f t="shared" si="25"/>
        <v>0.18985617997731244</v>
      </c>
      <c r="D69" s="198">
        <f t="shared" si="25"/>
        <v>0.3751295677783445</v>
      </c>
      <c r="E69" s="198">
        <f t="shared" si="25"/>
        <v>0.44114562124409235</v>
      </c>
      <c r="F69" s="198">
        <f t="shared" si="25"/>
        <v>0.43978933547880772</v>
      </c>
      <c r="G69" s="198">
        <f t="shared" si="25"/>
        <v>0.41667180822402383</v>
      </c>
      <c r="H69" s="198">
        <f t="shared" si="25"/>
        <v>0.72134707865010084</v>
      </c>
      <c r="I69" s="198">
        <f t="shared" si="25"/>
        <v>0.35476855208156588</v>
      </c>
      <c r="J69" s="198">
        <f t="shared" si="25"/>
        <v>0.35565914855693426</v>
      </c>
      <c r="K69" s="198">
        <f t="shared" si="25"/>
        <v>0.34921543754349765</v>
      </c>
      <c r="L69" s="198">
        <f t="shared" si="25"/>
        <v>0.3392309866865299</v>
      </c>
      <c r="M69" s="198">
        <f t="shared" si="25"/>
        <v>0.56310451984953713</v>
      </c>
      <c r="N69" s="198">
        <f t="shared" si="25"/>
        <v>0.42183038697527492</v>
      </c>
      <c r="O69" s="198">
        <f t="shared" si="25"/>
        <v>0.40915116557841741</v>
      </c>
      <c r="P69" s="198">
        <f t="shared" si="25"/>
        <v>0.39618882148633333</v>
      </c>
      <c r="Q69" s="198">
        <f t="shared" si="25"/>
        <v>0.38314944525081329</v>
      </c>
      <c r="R69" s="198">
        <f t="shared" si="25"/>
        <v>0.37019293584774182</v>
      </c>
      <c r="S69" s="198">
        <f t="shared" si="25"/>
        <v>0.29985644732494321</v>
      </c>
      <c r="T69" s="198">
        <f t="shared" si="25"/>
        <v>0.29381622068170038</v>
      </c>
      <c r="U69" s="198">
        <f t="shared" si="25"/>
        <v>0.28751659698810939</v>
      </c>
      <c r="V69" s="198">
        <f t="shared" si="25"/>
        <v>0.28099394999224359</v>
      </c>
      <c r="W69" s="198">
        <f t="shared" si="25"/>
        <v>0.27450368902893896</v>
      </c>
      <c r="X69" s="198">
        <f t="shared" si="25"/>
        <v>0.23252420204604127</v>
      </c>
      <c r="Y69" s="198">
        <f t="shared" si="25"/>
        <v>0.2290054356656171</v>
      </c>
      <c r="Z69" s="198">
        <f t="shared" si="25"/>
        <v>0.22537352478072231</v>
      </c>
      <c r="AA69" s="198">
        <f t="shared" si="25"/>
        <v>0.22154617206373009</v>
      </c>
      <c r="AB69" s="198">
        <f t="shared" si="25"/>
        <v>0.21763690741702194</v>
      </c>
      <c r="AC69" s="198">
        <f t="shared" si="25"/>
        <v>0.18985617997731244</v>
      </c>
    </row>
    <row r="70" spans="1:29">
      <c r="A70" s="197" t="s">
        <v>344</v>
      </c>
      <c r="B70" s="196">
        <f>-B60/B55</f>
        <v>2545.2175656707436</v>
      </c>
      <c r="C70" s="196">
        <f>-C60/C$55</f>
        <v>2539.7561837673848</v>
      </c>
      <c r="D70" s="196">
        <f t="shared" ref="D70:AC70" si="26">-D60/D55</f>
        <v>2108.058704486747</v>
      </c>
      <c r="E70" s="196">
        <f t="shared" si="26"/>
        <v>2108.0498278606597</v>
      </c>
      <c r="F70" s="196">
        <f t="shared" si="26"/>
        <v>2108.0554006229117</v>
      </c>
      <c r="G70" s="196">
        <f t="shared" si="26"/>
        <v>2108.050033522954</v>
      </c>
      <c r="H70" s="196">
        <f t="shared" si="26"/>
        <v>2357.8597216150274</v>
      </c>
      <c r="I70" s="196">
        <f t="shared" si="26"/>
        <v>2545.2175656707436</v>
      </c>
      <c r="J70" s="196">
        <f t="shared" si="26"/>
        <v>2690.933022554329</v>
      </c>
      <c r="K70" s="196">
        <f t="shared" si="26"/>
        <v>2807.5122040306619</v>
      </c>
      <c r="L70" s="196">
        <f t="shared" si="26"/>
        <v>2902.8888480056717</v>
      </c>
      <c r="M70" s="196">
        <f t="shared" si="26"/>
        <v>2982.375322119231</v>
      </c>
      <c r="N70" s="196">
        <f t="shared" si="26"/>
        <v>3049.6330341413041</v>
      </c>
      <c r="O70" s="196">
        <f t="shared" si="26"/>
        <v>2981.646370700475</v>
      </c>
      <c r="P70" s="196">
        <f t="shared" si="26"/>
        <v>2922.7293592698807</v>
      </c>
      <c r="Q70" s="196">
        <f t="shared" si="26"/>
        <v>2871.1726316536356</v>
      </c>
      <c r="R70" s="196">
        <f t="shared" si="26"/>
        <v>2825.6854376261194</v>
      </c>
      <c r="S70" s="196">
        <f t="shared" si="26"/>
        <v>2785.2524648693561</v>
      </c>
      <c r="T70" s="196">
        <f t="shared" si="26"/>
        <v>2749.0719849740667</v>
      </c>
      <c r="U70" s="196">
        <f t="shared" si="26"/>
        <v>2716.512830890882</v>
      </c>
      <c r="V70" s="196">
        <f t="shared" si="26"/>
        <v>2687.0514791258279</v>
      </c>
      <c r="W70" s="196">
        <f t="shared" si="26"/>
        <v>2660.2713402219138</v>
      </c>
      <c r="X70" s="196">
        <f t="shared" si="26"/>
        <v>2635.8199938623052</v>
      </c>
      <c r="Y70" s="196">
        <f t="shared" si="26"/>
        <v>2613.4034506090702</v>
      </c>
      <c r="Z70" s="196">
        <f t="shared" si="26"/>
        <v>2592.7829138634825</v>
      </c>
      <c r="AA70" s="196">
        <f t="shared" si="26"/>
        <v>2573.7460192405347</v>
      </c>
      <c r="AB70" s="196">
        <f t="shared" si="26"/>
        <v>2556.1217121379423</v>
      </c>
      <c r="AC70" s="196">
        <f t="shared" si="26"/>
        <v>2539.7561837673848</v>
      </c>
    </row>
    <row r="71" spans="1:29">
      <c r="A71" s="195" t="s">
        <v>345</v>
      </c>
      <c r="B71" s="194">
        <f>-B61/$B$55</f>
        <v>6.5146131326063145E-2</v>
      </c>
      <c r="C71" s="194">
        <f>-C61/C$55</f>
        <v>4.4932744373725804E-2</v>
      </c>
      <c r="D71" s="194">
        <f t="shared" ref="D71:AC71" si="27">-D61/D$55</f>
        <v>6.8841046249526971E-2</v>
      </c>
      <c r="E71" s="194">
        <f t="shared" si="27"/>
        <v>5.5649121410678806E-2</v>
      </c>
      <c r="F71" s="194">
        <f t="shared" si="27"/>
        <v>4.8500254692813813E-2</v>
      </c>
      <c r="G71" s="194">
        <f t="shared" si="27"/>
        <v>4.3623350485568674E-2</v>
      </c>
      <c r="H71" s="194">
        <f t="shared" si="27"/>
        <v>4.7884703281670868E-2</v>
      </c>
      <c r="I71" s="194">
        <f t="shared" si="27"/>
        <v>6.5146131326063145E-2</v>
      </c>
      <c r="J71" s="194">
        <f t="shared" si="27"/>
        <v>6.1417085075752387E-2</v>
      </c>
      <c r="K71" s="194">
        <f t="shared" si="27"/>
        <v>5.8360723011693164E-2</v>
      </c>
      <c r="L71" s="194">
        <f t="shared" si="27"/>
        <v>5.5654342022014108E-2</v>
      </c>
      <c r="M71" s="194">
        <f t="shared" si="27"/>
        <v>5.7815209169266586E-2</v>
      </c>
      <c r="N71" s="194">
        <f t="shared" si="27"/>
        <v>5.6011463459085108E-2</v>
      </c>
      <c r="O71" s="194">
        <f t="shared" si="27"/>
        <v>5.5023385606904618E-2</v>
      </c>
      <c r="P71" s="194">
        <f t="shared" si="27"/>
        <v>5.2224135928304299E-2</v>
      </c>
      <c r="Q71" s="194">
        <f t="shared" si="27"/>
        <v>5.047366063509643E-2</v>
      </c>
      <c r="R71" s="194">
        <f t="shared" si="27"/>
        <v>5.3034129756253358E-2</v>
      </c>
      <c r="S71" s="194">
        <f t="shared" si="27"/>
        <v>5.2043877759481404E-2</v>
      </c>
      <c r="T71" s="194">
        <f t="shared" si="27"/>
        <v>4.9918217255143407E-2</v>
      </c>
      <c r="U71" s="194">
        <f t="shared" si="27"/>
        <v>4.8847181967156469E-2</v>
      </c>
      <c r="V71" s="194">
        <f t="shared" si="27"/>
        <v>4.7330801214702414E-2</v>
      </c>
      <c r="W71" s="194">
        <f t="shared" si="27"/>
        <v>4.8370278777735025E-2</v>
      </c>
      <c r="X71" s="194">
        <f t="shared" si="27"/>
        <v>4.8167113974414824E-2</v>
      </c>
      <c r="Y71" s="194">
        <f t="shared" si="27"/>
        <v>4.6885639806430256E-2</v>
      </c>
      <c r="Z71" s="194">
        <f t="shared" si="27"/>
        <v>4.6147732789725414E-2</v>
      </c>
      <c r="AA71" s="194">
        <f t="shared" si="27"/>
        <v>4.5718190801182709E-2</v>
      </c>
      <c r="AB71" s="194">
        <f t="shared" si="27"/>
        <v>4.620327104341404E-2</v>
      </c>
      <c r="AC71" s="194">
        <f t="shared" si="27"/>
        <v>4.4932744373725804E-2</v>
      </c>
    </row>
    <row r="72" spans="1:29">
      <c r="A72" s="195" t="s">
        <v>346</v>
      </c>
      <c r="B72" s="194">
        <f>-B63/$B$55</f>
        <v>9.1305282966482083E-3</v>
      </c>
      <c r="C72" s="194">
        <f>-C62/C$55</f>
        <v>3.4176164323432429E-3</v>
      </c>
      <c r="D72" s="194">
        <f t="shared" ref="D72:AC72" si="28">-D62/D$55</f>
        <v>8.4193553694532645E-4</v>
      </c>
      <c r="E72" s="194">
        <f t="shared" si="28"/>
        <v>1.3322449684719704E-3</v>
      </c>
      <c r="F72" s="194">
        <f t="shared" si="28"/>
        <v>1.6771344096901733E-3</v>
      </c>
      <c r="G72" s="194">
        <f t="shared" si="28"/>
        <v>1.9040104147385827E-3</v>
      </c>
      <c r="H72" s="194">
        <f t="shared" si="28"/>
        <v>1.5037738509921165E-3</v>
      </c>
      <c r="I72" s="194">
        <f t="shared" si="28"/>
        <v>1.9880026530517806E-3</v>
      </c>
      <c r="J72" s="194">
        <f t="shared" si="28"/>
        <v>2.3334272982792896E-3</v>
      </c>
      <c r="K72" s="194">
        <f t="shared" si="28"/>
        <v>2.6144770159479166E-3</v>
      </c>
      <c r="L72" s="194">
        <f t="shared" si="28"/>
        <v>2.8135263868758888E-3</v>
      </c>
      <c r="M72" s="194">
        <f t="shared" si="28"/>
        <v>2.7083418854746593E-3</v>
      </c>
      <c r="N72" s="194">
        <f t="shared" si="28"/>
        <v>2.9006572352833974E-3</v>
      </c>
      <c r="O72" s="194">
        <f t="shared" si="28"/>
        <v>3.1211006360264562E-3</v>
      </c>
      <c r="P72" s="194">
        <f t="shared" si="28"/>
        <v>3.1425383067534732E-3</v>
      </c>
      <c r="Q72" s="194">
        <f t="shared" si="28"/>
        <v>3.2119109501458406E-3</v>
      </c>
      <c r="R72" s="194">
        <f t="shared" si="28"/>
        <v>3.2152499165251222E-3</v>
      </c>
      <c r="S72" s="194">
        <f t="shared" si="28"/>
        <v>3.3325521800948517E-3</v>
      </c>
      <c r="T72" s="194">
        <f t="shared" si="28"/>
        <v>3.319617363473526E-3</v>
      </c>
      <c r="U72" s="194">
        <f t="shared" si="28"/>
        <v>3.3867035296672706E-3</v>
      </c>
      <c r="V72" s="194">
        <f t="shared" si="28"/>
        <v>3.3890779026639782E-3</v>
      </c>
      <c r="W72" s="194">
        <f t="shared" si="28"/>
        <v>3.3145632788775747E-3</v>
      </c>
      <c r="X72" s="194">
        <f t="shared" si="28"/>
        <v>3.4302721402313008E-3</v>
      </c>
      <c r="Y72" s="194">
        <f t="shared" si="28"/>
        <v>3.4277297098304722E-3</v>
      </c>
      <c r="Z72" s="194">
        <f t="shared" si="28"/>
        <v>3.4749727784715466E-3</v>
      </c>
      <c r="AA72" s="194">
        <f t="shared" si="28"/>
        <v>3.5325017916383876E-3</v>
      </c>
      <c r="AB72" s="194">
        <f t="shared" si="28"/>
        <v>3.4413924191791039E-3</v>
      </c>
      <c r="AC72" s="194">
        <f t="shared" si="28"/>
        <v>3.4176164323432429E-3</v>
      </c>
    </row>
    <row r="73" spans="1:29">
      <c r="A73" s="195" t="s">
        <v>347</v>
      </c>
      <c r="B73" s="194">
        <f>-B62/$B$55</f>
        <v>1.9880026530517806E-3</v>
      </c>
      <c r="C73" s="194">
        <f>-C63/C$55</f>
        <v>9.7605501069593665E-3</v>
      </c>
      <c r="D73" s="194">
        <f t="shared" ref="D73:AC73" si="29">-D63/D$55</f>
        <v>7.0561912831734654E-3</v>
      </c>
      <c r="E73" s="194">
        <f t="shared" si="29"/>
        <v>6.3096681844543989E-3</v>
      </c>
      <c r="F73" s="194">
        <f t="shared" si="29"/>
        <v>6.0906128916025414E-3</v>
      </c>
      <c r="G73" s="194">
        <f t="shared" si="29"/>
        <v>5.9193507652693968E-3</v>
      </c>
      <c r="H73" s="194">
        <f t="shared" si="29"/>
        <v>8.3613508158343793E-3</v>
      </c>
      <c r="I73" s="194">
        <f t="shared" si="29"/>
        <v>9.1305282966482083E-3</v>
      </c>
      <c r="J73" s="194">
        <f t="shared" si="29"/>
        <v>9.0179480359223966E-3</v>
      </c>
      <c r="K73" s="194">
        <f t="shared" si="29"/>
        <v>8.9062715637447734E-3</v>
      </c>
      <c r="L73" s="194">
        <f t="shared" si="29"/>
        <v>8.7669752352405352E-3</v>
      </c>
      <c r="M73" s="194">
        <f t="shared" si="29"/>
        <v>1.0073633628322224E-2</v>
      </c>
      <c r="N73" s="194">
        <f t="shared" si="29"/>
        <v>1.0003424761557623E-2</v>
      </c>
      <c r="O73" s="194">
        <f t="shared" si="29"/>
        <v>1.0089889682550875E-2</v>
      </c>
      <c r="P73" s="194">
        <f t="shared" si="29"/>
        <v>9.6132563660863701E-3</v>
      </c>
      <c r="Q73" s="194">
        <f t="shared" si="29"/>
        <v>9.3599719887523126E-3</v>
      </c>
      <c r="R73" s="194">
        <f t="shared" si="29"/>
        <v>1.0476958030283234E-2</v>
      </c>
      <c r="S73" s="194">
        <f t="shared" si="29"/>
        <v>1.0418889310878606E-2</v>
      </c>
      <c r="T73" s="194">
        <f t="shared" si="29"/>
        <v>9.9814913965882504E-3</v>
      </c>
      <c r="U73" s="194">
        <f t="shared" si="29"/>
        <v>9.8313398026624293E-3</v>
      </c>
      <c r="V73" s="194">
        <f t="shared" si="29"/>
        <v>9.5629328905122539E-3</v>
      </c>
      <c r="W73" s="194">
        <f t="shared" si="29"/>
        <v>1.00767054397051E-2</v>
      </c>
      <c r="X73" s="194">
        <f t="shared" si="29"/>
        <v>1.0147858459610319E-2</v>
      </c>
      <c r="Y73" s="194">
        <f t="shared" si="29"/>
        <v>9.8997637963692316E-3</v>
      </c>
      <c r="Z73" s="194">
        <f t="shared" si="29"/>
        <v>9.7914345227224486E-3</v>
      </c>
      <c r="AA73" s="194">
        <f t="shared" si="29"/>
        <v>9.759700713333111E-3</v>
      </c>
      <c r="AB73" s="194">
        <f t="shared" si="29"/>
        <v>1.0041885095756584E-2</v>
      </c>
      <c r="AC73" s="194">
        <f t="shared" si="29"/>
        <v>9.7605501069593665E-3</v>
      </c>
    </row>
    <row r="74" spans="1:29">
      <c r="A74" s="195" t="s">
        <v>348</v>
      </c>
      <c r="B74" s="194">
        <f>-B64/$B$55</f>
        <v>3.0022723696996804E-3</v>
      </c>
      <c r="C74" s="194">
        <f>-C64/C$55</f>
        <v>2.0849901678473182E-3</v>
      </c>
      <c r="D74" s="194">
        <f t="shared" ref="D74:AC74" si="30">-D64/D$55</f>
        <v>3.1613122953651758E-3</v>
      </c>
      <c r="E74" s="194">
        <f t="shared" si="30"/>
        <v>2.5585070151408584E-3</v>
      </c>
      <c r="F74" s="194">
        <f t="shared" si="30"/>
        <v>2.232696930359285E-3</v>
      </c>
      <c r="G74" s="194">
        <f t="shared" si="30"/>
        <v>2.0099232056993138E-3</v>
      </c>
      <c r="H74" s="194">
        <f t="shared" si="30"/>
        <v>2.211901874233172E-3</v>
      </c>
      <c r="I74" s="194">
        <f t="shared" si="30"/>
        <v>3.0022723696996804E-3</v>
      </c>
      <c r="J74" s="194">
        <f t="shared" si="30"/>
        <v>2.8323427709604442E-3</v>
      </c>
      <c r="K74" s="194">
        <f t="shared" si="30"/>
        <v>2.6929048801314923E-3</v>
      </c>
      <c r="L74" s="194">
        <f t="shared" si="30"/>
        <v>2.5686619670910044E-3</v>
      </c>
      <c r="M74" s="194">
        <f t="shared" si="30"/>
        <v>2.6724387279349615E-3</v>
      </c>
      <c r="N74" s="194">
        <f t="shared" si="30"/>
        <v>2.5894848049936212E-3</v>
      </c>
      <c r="O74" s="194">
        <f t="shared" si="30"/>
        <v>2.5452773977915357E-3</v>
      </c>
      <c r="P74" s="194">
        <f t="shared" si="30"/>
        <v>2.4150066387952441E-3</v>
      </c>
      <c r="Q74" s="194">
        <f t="shared" si="30"/>
        <v>2.3357899218122168E-3</v>
      </c>
      <c r="R74" s="194">
        <f t="shared" si="30"/>
        <v>2.4559765108952861E-3</v>
      </c>
      <c r="S74" s="194">
        <f t="shared" si="30"/>
        <v>2.4102152741691564E-3</v>
      </c>
      <c r="T74" s="194">
        <f t="shared" si="30"/>
        <v>2.3122133765614665E-3</v>
      </c>
      <c r="U74" s="194">
        <f t="shared" si="30"/>
        <v>2.2636263123343389E-3</v>
      </c>
      <c r="V74" s="194">
        <f t="shared" si="30"/>
        <v>2.1928103860816913E-3</v>
      </c>
      <c r="W74" s="194">
        <f t="shared" si="30"/>
        <v>2.2422690809230593E-3</v>
      </c>
      <c r="X74" s="194">
        <f t="shared" si="30"/>
        <v>2.2334984001218952E-3</v>
      </c>
      <c r="Y74" s="194">
        <f t="shared" si="30"/>
        <v>2.1738548185746341E-3</v>
      </c>
      <c r="Z74" s="194">
        <f t="shared" si="30"/>
        <v>2.1400084897604606E-3</v>
      </c>
      <c r="AA74" s="194">
        <f t="shared" si="30"/>
        <v>2.1208830522873646E-3</v>
      </c>
      <c r="AB74" s="194">
        <f t="shared" si="30"/>
        <v>2.1442057029827499E-3</v>
      </c>
      <c r="AC74" s="194">
        <f t="shared" si="30"/>
        <v>2.0849901678473182E-3</v>
      </c>
    </row>
  </sheetData>
  <mergeCells count="1">
    <mergeCell ref="A23:B23"/>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0085D-A463-40CF-A74E-AC57FAFFA236}">
  <sheetPr>
    <tabColor theme="9" tint="0.79998168889431442"/>
  </sheetPr>
  <dimension ref="A1:AC49"/>
  <sheetViews>
    <sheetView workbookViewId="0">
      <selection activeCell="B7" sqref="B7"/>
    </sheetView>
  </sheetViews>
  <sheetFormatPr defaultRowHeight="14.45"/>
  <cols>
    <col min="1" max="1" width="54.5703125" customWidth="1"/>
    <col min="2" max="2" width="14" bestFit="1" customWidth="1"/>
    <col min="3" max="3" width="15" bestFit="1" customWidth="1"/>
    <col min="4" max="29" width="17.7109375" customWidth="1"/>
    <col min="30" max="30" width="11.7109375" customWidth="1"/>
  </cols>
  <sheetData>
    <row r="1" spans="1:29" ht="21">
      <c r="A1" s="193" t="s">
        <v>396</v>
      </c>
    </row>
    <row r="2" spans="1:29">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29" ht="29.45" thickBot="1">
      <c r="A3" s="167" t="s">
        <v>397</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29" ht="15.6" thickTop="1" thickBot="1">
      <c r="A4" s="222" t="s">
        <v>333</v>
      </c>
      <c r="B4" s="171">
        <f>SUM(D4:I4)</f>
        <v>4000</v>
      </c>
      <c r="C4" s="247"/>
      <c r="D4" s="246">
        <f>+'Buildings M6-9 Summary'!G16</f>
        <v>1000</v>
      </c>
      <c r="E4" s="245">
        <f>+$D$4</f>
        <v>1000</v>
      </c>
      <c r="F4" s="171">
        <f>+$D$4</f>
        <v>1000</v>
      </c>
      <c r="G4" s="171">
        <f>+$D$4</f>
        <v>1000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29" ht="15.6" thickTop="1" thickBot="1">
      <c r="A5" s="244" t="s">
        <v>334</v>
      </c>
      <c r="B5" s="240">
        <f>+D5</f>
        <v>2000</v>
      </c>
      <c r="C5" s="243"/>
      <c r="D5" s="242">
        <f>+'Buildings M6-9 Summary'!H16</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29" ht="15" thickTop="1">
      <c r="A6" s="237" t="s">
        <v>335</v>
      </c>
      <c r="B6" s="237">
        <f>SUM(D6:I6)</f>
        <v>8000000</v>
      </c>
      <c r="C6" s="237"/>
      <c r="D6" s="238">
        <f t="shared" ref="D6:I6" si="0">+D5*D4</f>
        <v>2000000</v>
      </c>
      <c r="E6" s="237">
        <f t="shared" si="0"/>
        <v>2000000</v>
      </c>
      <c r="F6" s="237">
        <f t="shared" si="0"/>
        <v>2000000</v>
      </c>
      <c r="G6" s="237">
        <f t="shared" si="0"/>
        <v>2000000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29">
      <c r="A7" s="235" t="s">
        <v>336</v>
      </c>
      <c r="B7" s="235">
        <v>314207</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c r="A8" s="233" t="s">
        <v>337</v>
      </c>
      <c r="B8" s="233">
        <v>8314207</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c r="A9" s="222"/>
      <c r="B9" s="171"/>
      <c r="C9" s="231" t="s">
        <v>338</v>
      </c>
      <c r="D9" s="171">
        <f>+D4</f>
        <v>1000</v>
      </c>
      <c r="E9" s="171">
        <f>+D4+E4</f>
        <v>2000</v>
      </c>
      <c r="F9" s="171">
        <f>+F4+E4+D4</f>
        <v>3000</v>
      </c>
      <c r="G9" s="171">
        <f>+G4+F4+E4+D4</f>
        <v>4000</v>
      </c>
      <c r="H9" s="171">
        <f>++H4+G4+F4+E4+D4</f>
        <v>4000</v>
      </c>
      <c r="I9" s="171">
        <f>+I4+H4+G4+F4+E4+D4</f>
        <v>4000</v>
      </c>
      <c r="J9" s="171">
        <f t="shared" ref="J9:AC9" si="1">+I9</f>
        <v>4000</v>
      </c>
      <c r="K9" s="171">
        <f t="shared" si="1"/>
        <v>4000</v>
      </c>
      <c r="L9" s="171">
        <f t="shared" si="1"/>
        <v>4000</v>
      </c>
      <c r="M9" s="171">
        <f t="shared" si="1"/>
        <v>4000</v>
      </c>
      <c r="N9" s="171">
        <f t="shared" si="1"/>
        <v>4000</v>
      </c>
      <c r="O9" s="171">
        <f t="shared" si="1"/>
        <v>4000</v>
      </c>
      <c r="P9" s="171">
        <f t="shared" si="1"/>
        <v>4000</v>
      </c>
      <c r="Q9" s="171">
        <f t="shared" si="1"/>
        <v>4000</v>
      </c>
      <c r="R9" s="171">
        <f t="shared" si="1"/>
        <v>4000</v>
      </c>
      <c r="S9" s="171">
        <f t="shared" si="1"/>
        <v>4000</v>
      </c>
      <c r="T9" s="171">
        <f t="shared" si="1"/>
        <v>4000</v>
      </c>
      <c r="U9" s="171">
        <f t="shared" si="1"/>
        <v>4000</v>
      </c>
      <c r="V9" s="171">
        <f t="shared" si="1"/>
        <v>4000</v>
      </c>
      <c r="W9" s="171">
        <f t="shared" si="1"/>
        <v>4000</v>
      </c>
      <c r="X9" s="171">
        <f t="shared" si="1"/>
        <v>4000</v>
      </c>
      <c r="Y9" s="171">
        <f t="shared" si="1"/>
        <v>4000</v>
      </c>
      <c r="Z9" s="171">
        <f t="shared" si="1"/>
        <v>4000</v>
      </c>
      <c r="AA9" s="171">
        <f t="shared" si="1"/>
        <v>4000</v>
      </c>
      <c r="AB9" s="171">
        <f t="shared" si="1"/>
        <v>4000</v>
      </c>
      <c r="AC9" s="171">
        <f t="shared" si="1"/>
        <v>4000</v>
      </c>
    </row>
    <row r="10" spans="1:29">
      <c r="A10" s="229" t="s">
        <v>339</v>
      </c>
      <c r="B10" s="229">
        <f>SUM(D10:I10)</f>
        <v>27003.913078507685</v>
      </c>
      <c r="C10" s="229">
        <f>SUM(D10:AC10)</f>
        <v>130979.39042467087</v>
      </c>
      <c r="D10" s="230">
        <f>+D9*D42</f>
        <v>1897.3965405277761</v>
      </c>
      <c r="E10" s="230">
        <f>+E9*E42</f>
        <v>3400.1247141966328</v>
      </c>
      <c r="F10" s="230">
        <f>+F9*F42</f>
        <v>4849.6808075725658</v>
      </c>
      <c r="G10" s="230">
        <f>+G9*G42</f>
        <v>6093.1838003169187</v>
      </c>
      <c r="H10" s="230">
        <f>+H9*H42</f>
        <v>5558.0670303975057</v>
      </c>
      <c r="I10" s="230">
        <f>+I9*I42</f>
        <v>5205.4601854962848</v>
      </c>
      <c r="J10" s="230">
        <f>+J9*J42</f>
        <v>5071.7338217338211</v>
      </c>
      <c r="K10" s="230">
        <f t="shared" ref="K10:AC10" si="2">+$I$10</f>
        <v>5205.4601854962848</v>
      </c>
      <c r="L10" s="230">
        <f t="shared" si="2"/>
        <v>5205.4601854962848</v>
      </c>
      <c r="M10" s="230">
        <f t="shared" si="2"/>
        <v>5205.4601854962848</v>
      </c>
      <c r="N10" s="230">
        <f t="shared" si="2"/>
        <v>5205.4601854962848</v>
      </c>
      <c r="O10" s="230">
        <f t="shared" si="2"/>
        <v>5205.4601854962848</v>
      </c>
      <c r="P10" s="230">
        <f t="shared" si="2"/>
        <v>5205.4601854962848</v>
      </c>
      <c r="Q10" s="230">
        <f t="shared" si="2"/>
        <v>5205.4601854962848</v>
      </c>
      <c r="R10" s="230">
        <f t="shared" si="2"/>
        <v>5205.4601854962848</v>
      </c>
      <c r="S10" s="230">
        <f t="shared" si="2"/>
        <v>5205.4601854962848</v>
      </c>
      <c r="T10" s="230">
        <f t="shared" si="2"/>
        <v>5205.4601854962848</v>
      </c>
      <c r="U10" s="230">
        <f t="shared" si="2"/>
        <v>5205.4601854962848</v>
      </c>
      <c r="V10" s="230">
        <f t="shared" si="2"/>
        <v>5205.4601854962848</v>
      </c>
      <c r="W10" s="230">
        <f t="shared" si="2"/>
        <v>5205.4601854962848</v>
      </c>
      <c r="X10" s="230">
        <f t="shared" si="2"/>
        <v>5205.4601854962848</v>
      </c>
      <c r="Y10" s="230">
        <f t="shared" si="2"/>
        <v>5205.4601854962848</v>
      </c>
      <c r="Z10" s="230">
        <f t="shared" si="2"/>
        <v>5205.4601854962848</v>
      </c>
      <c r="AA10" s="230">
        <f t="shared" si="2"/>
        <v>5205.4601854962848</v>
      </c>
      <c r="AB10" s="230">
        <f t="shared" si="2"/>
        <v>5205.4601854962848</v>
      </c>
      <c r="AC10" s="230">
        <f t="shared" si="2"/>
        <v>5205.4601854962848</v>
      </c>
    </row>
    <row r="11" spans="1:29">
      <c r="A11" s="229" t="s">
        <v>340</v>
      </c>
      <c r="B11" s="228"/>
      <c r="C11" s="228"/>
      <c r="D11" s="227">
        <f t="shared" ref="D11:AC11" si="3">+D42</f>
        <v>1.8973965405277762</v>
      </c>
      <c r="E11" s="227">
        <f t="shared" si="3"/>
        <v>1.7000623570983164</v>
      </c>
      <c r="F11" s="227">
        <f t="shared" si="3"/>
        <v>1.6165602691908552</v>
      </c>
      <c r="G11" s="227">
        <f t="shared" si="3"/>
        <v>1.5232959500792296</v>
      </c>
      <c r="H11" s="227">
        <f t="shared" si="3"/>
        <v>1.3895167575993765</v>
      </c>
      <c r="I11" s="227">
        <f t="shared" si="3"/>
        <v>1.3013650463740711</v>
      </c>
      <c r="J11" s="227">
        <f t="shared" si="3"/>
        <v>1.2679334554334554</v>
      </c>
      <c r="K11" s="227">
        <f t="shared" si="3"/>
        <v>1.2341049885881969</v>
      </c>
      <c r="L11" s="227">
        <f t="shared" si="3"/>
        <v>1.1942032584498861</v>
      </c>
      <c r="M11" s="227">
        <f t="shared" si="3"/>
        <v>1.1674060951304626</v>
      </c>
      <c r="N11" s="227">
        <f t="shared" si="3"/>
        <v>1.1475354807524472</v>
      </c>
      <c r="O11" s="227">
        <f t="shared" si="3"/>
        <v>1.146786500588111</v>
      </c>
      <c r="P11" s="227">
        <f t="shared" si="3"/>
        <v>1.1580186174919478</v>
      </c>
      <c r="Q11" s="227">
        <f t="shared" si="3"/>
        <v>1.1654294863815871</v>
      </c>
      <c r="R11" s="227">
        <f t="shared" si="3"/>
        <v>1.2055929992390477</v>
      </c>
      <c r="S11" s="227">
        <f t="shared" si="3"/>
        <v>1.2172153434284281</v>
      </c>
      <c r="T11" s="227">
        <f t="shared" si="3"/>
        <v>1.2105676435573343</v>
      </c>
      <c r="U11" s="227">
        <f t="shared" si="3"/>
        <v>1.2329816891203162</v>
      </c>
      <c r="V11" s="227">
        <f t="shared" si="3"/>
        <v>1.2397379787751368</v>
      </c>
      <c r="W11" s="227">
        <f t="shared" si="3"/>
        <v>1.2682190429662628</v>
      </c>
      <c r="X11" s="227">
        <f t="shared" si="3"/>
        <v>1.3183229813664596</v>
      </c>
      <c r="Y11" s="227">
        <f t="shared" si="3"/>
        <v>1.3302112438946536</v>
      </c>
      <c r="Z11" s="227">
        <f t="shared" si="3"/>
        <v>1.3554288581073612</v>
      </c>
      <c r="AA11" s="227">
        <f t="shared" si="3"/>
        <v>1.3932293282696022</v>
      </c>
      <c r="AB11" s="227">
        <f t="shared" si="3"/>
        <v>1.399295820039318</v>
      </c>
      <c r="AC11" s="227">
        <f t="shared" si="3"/>
        <v>1.3930962470387112</v>
      </c>
    </row>
    <row r="12" spans="1:29">
      <c r="A12" s="225" t="s">
        <v>341</v>
      </c>
      <c r="B12" s="225">
        <f>B8/B10</f>
        <v>307.88897060319925</v>
      </c>
      <c r="C12" s="225">
        <f>+B8/C10</f>
        <v>63.47721556073116</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29">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29"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c r="A15" s="171" t="s">
        <v>343</v>
      </c>
      <c r="B15" s="222">
        <f t="shared" ref="B15:B20" si="4">SUM(D15:I15)</f>
        <v>34.547274204357713</v>
      </c>
      <c r="C15" s="222">
        <f t="shared" ref="C15:C20" si="5">SUM(D15:AC15)</f>
        <v>34.547274204357713</v>
      </c>
      <c r="D15" s="171">
        <f>+D44*D4</f>
        <v>12.072731566208159</v>
      </c>
      <c r="E15" s="171">
        <f>+E44*E4</f>
        <v>8.7715651631677396</v>
      </c>
      <c r="F15" s="171">
        <f>+F44*F4</f>
        <v>7.2172080883046643</v>
      </c>
      <c r="G15" s="171">
        <f>+G44*G4</f>
        <v>6.4857693866771484</v>
      </c>
      <c r="H15" s="171">
        <f>+H44*H4</f>
        <v>0</v>
      </c>
      <c r="I15" s="171">
        <f t="shared" ref="I15:AC15" si="6">H15</f>
        <v>0</v>
      </c>
      <c r="J15" s="171">
        <f t="shared" si="6"/>
        <v>0</v>
      </c>
      <c r="K15" s="171">
        <f t="shared" si="6"/>
        <v>0</v>
      </c>
      <c r="L15" s="171">
        <f t="shared" si="6"/>
        <v>0</v>
      </c>
      <c r="M15" s="171">
        <f t="shared" si="6"/>
        <v>0</v>
      </c>
      <c r="N15" s="171">
        <f t="shared" si="6"/>
        <v>0</v>
      </c>
      <c r="O15" s="171">
        <f t="shared" si="6"/>
        <v>0</v>
      </c>
      <c r="P15" s="171">
        <f t="shared" si="6"/>
        <v>0</v>
      </c>
      <c r="Q15" s="171">
        <f t="shared" si="6"/>
        <v>0</v>
      </c>
      <c r="R15" s="171">
        <f t="shared" si="6"/>
        <v>0</v>
      </c>
      <c r="S15" s="171">
        <f t="shared" si="6"/>
        <v>0</v>
      </c>
      <c r="T15" s="171">
        <f t="shared" si="6"/>
        <v>0</v>
      </c>
      <c r="U15" s="171">
        <f t="shared" si="6"/>
        <v>0</v>
      </c>
      <c r="V15" s="171">
        <f t="shared" si="6"/>
        <v>0</v>
      </c>
      <c r="W15" s="171">
        <f t="shared" si="6"/>
        <v>0</v>
      </c>
      <c r="X15" s="171">
        <f t="shared" si="6"/>
        <v>0</v>
      </c>
      <c r="Y15" s="171">
        <f t="shared" si="6"/>
        <v>0</v>
      </c>
      <c r="Z15" s="171">
        <f t="shared" si="6"/>
        <v>0</v>
      </c>
      <c r="AA15" s="171">
        <f t="shared" si="6"/>
        <v>0</v>
      </c>
      <c r="AB15" s="171">
        <f t="shared" si="6"/>
        <v>0</v>
      </c>
      <c r="AC15" s="171">
        <f t="shared" si="6"/>
        <v>0</v>
      </c>
    </row>
    <row r="16" spans="1:29">
      <c r="A16" s="170" t="s">
        <v>344</v>
      </c>
      <c r="B16" s="254">
        <f t="shared" si="4"/>
        <v>24236352.754618403</v>
      </c>
      <c r="C16" s="254">
        <f t="shared" si="5"/>
        <v>114193464.82583885</v>
      </c>
      <c r="D16" s="170">
        <f>+D45*D9</f>
        <v>1541240.3919948048</v>
      </c>
      <c r="E16" s="170">
        <f>+E45*E9</f>
        <v>2894153.1906048642</v>
      </c>
      <c r="F16" s="170">
        <f>+F45*F9</f>
        <v>4105014.4186924119</v>
      </c>
      <c r="G16" s="170">
        <f>+G45*G9</f>
        <v>5131043.6438231645</v>
      </c>
      <c r="H16" s="170">
        <f>+H45*H9</f>
        <v>5310611.6134060798</v>
      </c>
      <c r="I16" s="170">
        <f>+I45*I9</f>
        <v>5254289.4960970767</v>
      </c>
      <c r="J16" s="170">
        <f>+J45*J9</f>
        <v>5086343.0250305245</v>
      </c>
      <c r="K16" s="170">
        <f>+K45*K9</f>
        <v>4875970.5922568031</v>
      </c>
      <c r="L16" s="170">
        <f>+L45*L9</f>
        <v>4676387.1471269056</v>
      </c>
      <c r="M16" s="170">
        <f>+M45*M9</f>
        <v>4512631.642447521</v>
      </c>
      <c r="N16" s="170">
        <f>+N45*N9</f>
        <v>4394945.5805147896</v>
      </c>
      <c r="O16" s="170">
        <f>+O45*O9</f>
        <v>4157709.4067617701</v>
      </c>
      <c r="P16" s="170">
        <f>+P45*P9</f>
        <v>4270502.1413655188</v>
      </c>
      <c r="Q16" s="170">
        <f>+Q45*Q9</f>
        <v>4291854.4804408588</v>
      </c>
      <c r="R16" s="170">
        <f>+R45*R9</f>
        <v>4311388.4226546362</v>
      </c>
      <c r="S16" s="170">
        <f>+S45*S9</f>
        <v>4328674.6528068269</v>
      </c>
      <c r="T16" s="170">
        <f>+T45*T9</f>
        <v>4369368.5250386279</v>
      </c>
      <c r="U16" s="170">
        <f>+U45*U9</f>
        <v>4407052.3438171614</v>
      </c>
      <c r="V16" s="170">
        <f>+V45*V9</f>
        <v>4442221.6405884996</v>
      </c>
      <c r="W16" s="170">
        <f>+W45*W9</f>
        <v>4475210.0060894145</v>
      </c>
      <c r="X16" s="170">
        <f>+X45*X9</f>
        <v>4505608.1375461332</v>
      </c>
      <c r="Y16" s="170">
        <f>+Y45*Y9</f>
        <v>4528766.2761868536</v>
      </c>
      <c r="Z16" s="170">
        <f>+Z45*Z9</f>
        <v>4550641.8798840167</v>
      </c>
      <c r="AA16" s="170">
        <f>+AA45*AA9</f>
        <v>4571338.6370123988</v>
      </c>
      <c r="AB16" s="170">
        <f>+AB45*AB9</f>
        <v>4590949.3296593511</v>
      </c>
      <c r="AC16" s="170">
        <f>+AC45*AC9</f>
        <v>4609548.2039918266</v>
      </c>
    </row>
    <row r="17" spans="1:29">
      <c r="A17" s="252" t="s">
        <v>345</v>
      </c>
      <c r="B17" s="253">
        <f t="shared" si="4"/>
        <v>20.010328741759476</v>
      </c>
      <c r="C17" s="253">
        <f t="shared" si="5"/>
        <v>112.20664942136122</v>
      </c>
      <c r="D17" s="252">
        <f>+D46*D9</f>
        <v>1.1955581793494305</v>
      </c>
      <c r="E17" s="252">
        <f>+E46*E9</f>
        <v>2.2692461442527541</v>
      </c>
      <c r="F17" s="252">
        <f>+F46*F9</f>
        <v>3.4125158967263123</v>
      </c>
      <c r="G17" s="252">
        <f>+G46*G9</f>
        <v>4.515903303074599</v>
      </c>
      <c r="H17" s="252">
        <f>+H46*H9</f>
        <v>4.3351788386593926</v>
      </c>
      <c r="I17" s="252">
        <f>+I46*I9</f>
        <v>4.2819263796969871</v>
      </c>
      <c r="J17" s="252">
        <f>+J46*J9</f>
        <v>4.2325922619047622</v>
      </c>
      <c r="K17" s="252">
        <f>+K46*K9</f>
        <v>4.1816692154779807</v>
      </c>
      <c r="L17" s="252">
        <f>+L46*L9</f>
        <v>4.1065344425425492</v>
      </c>
      <c r="M17" s="252">
        <f>+M46*M9</f>
        <v>4.0701316768099449</v>
      </c>
      <c r="N17" s="252">
        <f>+N46*N9</f>
        <v>4.0610648790901891</v>
      </c>
      <c r="O17" s="252">
        <f>+O46*O9</f>
        <v>4.1087912657960608</v>
      </c>
      <c r="P17" s="252">
        <f>+P46*P9</f>
        <v>4.210563692351255</v>
      </c>
      <c r="Q17" s="252">
        <f>+Q46*Q9</f>
        <v>4.2881051339209941</v>
      </c>
      <c r="R17" s="252">
        <f>+R46*R9</f>
        <v>4.4963690509838026</v>
      </c>
      <c r="S17" s="252">
        <f>+S46*S9</f>
        <v>4.604724159206893</v>
      </c>
      <c r="T17" s="252">
        <f>+T46*T9</f>
        <v>4.5807954102180908</v>
      </c>
      <c r="U17" s="252">
        <f>+U46*U9</f>
        <v>4.6640437299667186</v>
      </c>
      <c r="V17" s="252">
        <f>+V46*V9</f>
        <v>4.6993794349571401</v>
      </c>
      <c r="W17" s="252">
        <f>+W46*W9</f>
        <v>4.808430148854935</v>
      </c>
      <c r="X17" s="252">
        <f>+X46*X9</f>
        <v>4.9981579980196233</v>
      </c>
      <c r="Y17" s="252">
        <f>+Y46*Y9</f>
        <v>5.0480969596795706</v>
      </c>
      <c r="Z17" s="252">
        <f>+Z46*Z9</f>
        <v>5.1440300417506348</v>
      </c>
      <c r="AA17" s="252">
        <f>+AA46*AA9</f>
        <v>5.2868016084792666</v>
      </c>
      <c r="AB17" s="252">
        <f>+AB46*AB9</f>
        <v>5.3102855876760451</v>
      </c>
      <c r="AC17" s="252">
        <f>+AC46*AC9</f>
        <v>5.2957539819152846</v>
      </c>
    </row>
    <row r="18" spans="1:29">
      <c r="A18" s="252" t="s">
        <v>346</v>
      </c>
      <c r="B18" s="253">
        <f t="shared" si="4"/>
        <v>6.919522548166297</v>
      </c>
      <c r="C18" s="253">
        <f t="shared" si="5"/>
        <v>38.007043232469357</v>
      </c>
      <c r="D18" s="252">
        <f>+D47*D9</f>
        <v>0.41792455280713148</v>
      </c>
      <c r="E18" s="252">
        <f>+E47*E9</f>
        <v>0.78961700270214086</v>
      </c>
      <c r="F18" s="252">
        <f>+F47*F9</f>
        <v>1.1838788798389885</v>
      </c>
      <c r="G18" s="252">
        <f>+G47*G9</f>
        <v>1.5597083369160658</v>
      </c>
      <c r="H18" s="252">
        <f>+H47*H9</f>
        <v>1.4947121200311768</v>
      </c>
      <c r="I18" s="252">
        <f>+I47*I9</f>
        <v>1.4736816558707933</v>
      </c>
      <c r="J18" s="252">
        <f>+J47*J9</f>
        <v>1.4529925468050469</v>
      </c>
      <c r="K18" s="252">
        <f>+K47*K9</f>
        <v>1.4364830821334287</v>
      </c>
      <c r="L18" s="252">
        <f>+L47*L9</f>
        <v>1.4044022598068346</v>
      </c>
      <c r="M18" s="252">
        <f>+M47*M9</f>
        <v>1.3887319501821209</v>
      </c>
      <c r="N18" s="252">
        <f>+N47*N9</f>
        <v>1.3829287431018973</v>
      </c>
      <c r="O18" s="252">
        <f>+O47*O9</f>
        <v>1.3981395421781222</v>
      </c>
      <c r="P18" s="252">
        <f>+P47*P9</f>
        <v>1.4286591630387335</v>
      </c>
      <c r="Q18" s="252">
        <f>+Q47*Q9</f>
        <v>1.4541124664773177</v>
      </c>
      <c r="R18" s="252">
        <f>+R47*R9</f>
        <v>1.5219096423524299</v>
      </c>
      <c r="S18" s="252">
        <f>+S47*S9</f>
        <v>1.553763072032126</v>
      </c>
      <c r="T18" s="252">
        <f>+T47*T9</f>
        <v>1.5436391904556854</v>
      </c>
      <c r="U18" s="252">
        <f>+U47*U9</f>
        <v>1.5701787564321417</v>
      </c>
      <c r="V18" s="252">
        <f>+V47*V9</f>
        <v>1.5765585972138794</v>
      </c>
      <c r="W18" s="252">
        <f>+W47*W9</f>
        <v>1.6107211487924202</v>
      </c>
      <c r="X18" s="252">
        <f>+X47*X9</f>
        <v>1.6769001080205239</v>
      </c>
      <c r="Y18" s="252">
        <f>+Y47*Y9</f>
        <v>1.6857480202717181</v>
      </c>
      <c r="Z18" s="252">
        <f>+Z47*Z9</f>
        <v>1.7166352303937824</v>
      </c>
      <c r="AA18" s="252">
        <f>+AA47*AA9</f>
        <v>1.757249574919638</v>
      </c>
      <c r="AB18" s="252">
        <f>+AB47*AB9</f>
        <v>1.7691435511940443</v>
      </c>
      <c r="AC18" s="252">
        <f>+AC47*AC9</f>
        <v>1.7586240385011707</v>
      </c>
    </row>
    <row r="19" spans="1:29">
      <c r="A19" s="252" t="s">
        <v>347</v>
      </c>
      <c r="B19" s="253">
        <f t="shared" si="4"/>
        <v>67.496778737021202</v>
      </c>
      <c r="C19" s="253">
        <f t="shared" si="5"/>
        <v>385.11854846153358</v>
      </c>
      <c r="D19" s="252">
        <f>+D48*D9</f>
        <v>4.0574650805832686</v>
      </c>
      <c r="E19" s="252">
        <f>+E48*E9</f>
        <v>7.6679586780295148</v>
      </c>
      <c r="F19" s="252">
        <f>+F48*F9</f>
        <v>11.492164973741312</v>
      </c>
      <c r="G19" s="252">
        <f>+G48*G9</f>
        <v>15.234991069783439</v>
      </c>
      <c r="H19" s="252">
        <f>+H48*H9</f>
        <v>14.60606305533905</v>
      </c>
      <c r="I19" s="252">
        <f>+I48*I9</f>
        <v>14.438135879544621</v>
      </c>
      <c r="J19" s="252">
        <f>+J48*J9</f>
        <v>14.276950396825397</v>
      </c>
      <c r="K19" s="252">
        <f>+K48*K9</f>
        <v>14.147784658750277</v>
      </c>
      <c r="L19" s="252">
        <f>+L48*L9</f>
        <v>13.94553562211205</v>
      </c>
      <c r="M19" s="252">
        <f>+M48*M9</f>
        <v>13.820264254679016</v>
      </c>
      <c r="N19" s="252">
        <f>+N48*N9</f>
        <v>13.848374316903206</v>
      </c>
      <c r="O19" s="252">
        <f>+O48*O9</f>
        <v>14.00551577042555</v>
      </c>
      <c r="P19" s="252">
        <f>+P48*P9</f>
        <v>14.461590379782679</v>
      </c>
      <c r="Q19" s="252">
        <f>+Q48*Q9</f>
        <v>14.688697543367319</v>
      </c>
      <c r="R19" s="252">
        <f>+R48*R9</f>
        <v>15.439941602348082</v>
      </c>
      <c r="S19" s="252">
        <f>+S48*S9</f>
        <v>15.877273310047686</v>
      </c>
      <c r="T19" s="252">
        <f>+T48*T9</f>
        <v>15.806635740520276</v>
      </c>
      <c r="U19" s="252">
        <f>+U48*U9</f>
        <v>16.075894659019735</v>
      </c>
      <c r="V19" s="252">
        <f>+V48*V9</f>
        <v>16.301225445045148</v>
      </c>
      <c r="W19" s="252">
        <f>+W48*W9</f>
        <v>16.6904534923836</v>
      </c>
      <c r="X19" s="252">
        <f>+X48*X9</f>
        <v>17.350229876676565</v>
      </c>
      <c r="Y19" s="252">
        <f>+Y48*Y9</f>
        <v>17.569815875431253</v>
      </c>
      <c r="Z19" s="252">
        <f>+Z48*Z9</f>
        <v>17.908835522903328</v>
      </c>
      <c r="AA19" s="252">
        <f>+AA48*AA9</f>
        <v>18.396094258208912</v>
      </c>
      <c r="AB19" s="252">
        <f>+AB48*AB9</f>
        <v>18.482587941925292</v>
      </c>
      <c r="AC19" s="252">
        <f>+AC48*AC9</f>
        <v>18.528069057157047</v>
      </c>
    </row>
    <row r="20" spans="1:29">
      <c r="A20" s="252" t="s">
        <v>348</v>
      </c>
      <c r="B20" s="253">
        <f t="shared" si="4"/>
        <v>319.61084861212157</v>
      </c>
      <c r="C20" s="253">
        <f t="shared" si="5"/>
        <v>1824.0772018393093</v>
      </c>
      <c r="D20" s="252">
        <f>+D49*D9</f>
        <v>19.214619428537695</v>
      </c>
      <c r="E20" s="252">
        <f>+E49*E9</f>
        <v>36.310233340261902</v>
      </c>
      <c r="F20" s="252">
        <f>+F49*F9</f>
        <v>54.4164238026353</v>
      </c>
      <c r="G20" s="252">
        <f>+G49*G9</f>
        <v>72.140934294734009</v>
      </c>
      <c r="H20" s="252">
        <f>+H49*H9</f>
        <v>69.161494154325794</v>
      </c>
      <c r="I20" s="252">
        <f>+I49*I9</f>
        <v>68.367143591626871</v>
      </c>
      <c r="J20" s="252">
        <f>+J49*J9</f>
        <v>67.604250254375245</v>
      </c>
      <c r="K20" s="252">
        <f>+K49*K9</f>
        <v>66.99559449709183</v>
      </c>
      <c r="L20" s="252">
        <f>+L49*L9</f>
        <v>66.041485743173126</v>
      </c>
      <c r="M20" s="252">
        <f>+M49*M9</f>
        <v>65.448147620974822</v>
      </c>
      <c r="N20" s="252">
        <f>+N49*N9</f>
        <v>65.585330330169043</v>
      </c>
      <c r="O20" s="252">
        <f>+O49*O9</f>
        <v>66.3291660644811</v>
      </c>
      <c r="P20" s="252">
        <f>+P49*P9</f>
        <v>68.496618624570829</v>
      </c>
      <c r="Q20" s="252">
        <f>+Q49*Q9</f>
        <v>69.569627069353771</v>
      </c>
      <c r="R20" s="252">
        <f>+R49*R9</f>
        <v>73.130308511794766</v>
      </c>
      <c r="S20" s="252">
        <f>+S49*S9</f>
        <v>75.206179243704511</v>
      </c>
      <c r="T20" s="252">
        <f>+T49*T9</f>
        <v>74.872405937333767</v>
      </c>
      <c r="U20" s="252">
        <f>+U49*U9</f>
        <v>76.146592280201901</v>
      </c>
      <c r="V20" s="252">
        <f>+V49*V9</f>
        <v>77.220969869466131</v>
      </c>
      <c r="W20" s="252">
        <f>+W49*W9</f>
        <v>79.065543932928449</v>
      </c>
      <c r="X20" s="252">
        <f>+X49*X9</f>
        <v>82.191097434512557</v>
      </c>
      <c r="Y20" s="252">
        <f>+Y49*Y9</f>
        <v>83.234459288216087</v>
      </c>
      <c r="Z20" s="252">
        <f>+Z49*Z9</f>
        <v>84.840859374335693</v>
      </c>
      <c r="AA20" s="252">
        <f>+AA49*AA9</f>
        <v>87.148558450101149</v>
      </c>
      <c r="AB20" s="252">
        <f>+AB49*AB9</f>
        <v>87.55860485352413</v>
      </c>
      <c r="AC20" s="252">
        <f>+AC49*AC9</f>
        <v>87.780553846878547</v>
      </c>
    </row>
    <row r="21" spans="1:29">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29">
      <c r="A22" s="315" t="s">
        <v>398</v>
      </c>
      <c r="B22" s="282"/>
    </row>
    <row r="23" spans="1:29">
      <c r="A23" s="282" t="s">
        <v>399</v>
      </c>
      <c r="B23" s="267">
        <v>6100</v>
      </c>
      <c r="H23" s="610"/>
      <c r="I23" s="610"/>
      <c r="J23" s="610"/>
      <c r="K23" s="610"/>
      <c r="L23" s="610"/>
    </row>
    <row r="24" spans="1:29">
      <c r="A24" s="282" t="s">
        <v>400</v>
      </c>
      <c r="B24" s="267">
        <v>20550</v>
      </c>
      <c r="H24" s="610"/>
      <c r="I24" s="611"/>
      <c r="J24" s="611"/>
      <c r="K24" s="610"/>
      <c r="L24" s="612"/>
    </row>
    <row r="25" spans="1:29">
      <c r="A25" t="s">
        <v>401</v>
      </c>
      <c r="H25" s="610"/>
      <c r="I25" s="613"/>
      <c r="J25" s="610"/>
      <c r="K25" s="610"/>
      <c r="L25" s="614"/>
      <c r="M25" s="163">
        <f>25000/1500000</f>
        <v>1.6666666666666666E-2</v>
      </c>
    </row>
    <row r="26" spans="1:29">
      <c r="A26" s="314" t="s">
        <v>402</v>
      </c>
      <c r="H26" s="610"/>
      <c r="I26" s="613"/>
      <c r="J26" s="610"/>
      <c r="K26" s="610"/>
      <c r="L26" s="614"/>
      <c r="M26" s="164"/>
    </row>
    <row r="27" spans="1:29" ht="18.600000000000001">
      <c r="A27" s="213"/>
      <c r="B27" s="213"/>
      <c r="C27" s="213"/>
      <c r="H27" s="610"/>
      <c r="I27" s="613"/>
      <c r="J27" s="610"/>
      <c r="K27" s="610"/>
      <c r="L27" s="614"/>
      <c r="M27" s="164"/>
    </row>
    <row r="28" spans="1:29" ht="18.600000000000001">
      <c r="A28" s="213" t="s">
        <v>351</v>
      </c>
    </row>
    <row r="29" spans="1:29" ht="29.1">
      <c r="A29" s="169" t="s">
        <v>352</v>
      </c>
      <c r="B29" s="313" t="s">
        <v>331</v>
      </c>
      <c r="C29" s="313" t="s">
        <v>332</v>
      </c>
      <c r="D29" s="312">
        <v>2025</v>
      </c>
      <c r="E29" s="169">
        <v>2026</v>
      </c>
      <c r="F29" s="169">
        <v>2027</v>
      </c>
      <c r="G29" s="169">
        <v>2028</v>
      </c>
      <c r="H29" s="169">
        <v>2029</v>
      </c>
      <c r="I29" s="169">
        <v>2030</v>
      </c>
      <c r="J29" s="169">
        <v>2031</v>
      </c>
      <c r="K29" s="169">
        <v>2032</v>
      </c>
      <c r="L29" s="169">
        <v>2033</v>
      </c>
      <c r="M29" s="169">
        <v>2034</v>
      </c>
      <c r="N29" s="169">
        <v>2035</v>
      </c>
      <c r="O29" s="169">
        <v>2036</v>
      </c>
      <c r="P29" s="169">
        <v>2037</v>
      </c>
      <c r="Q29" s="169">
        <v>2038</v>
      </c>
      <c r="R29" s="169">
        <v>2039</v>
      </c>
      <c r="S29" s="169">
        <v>2040</v>
      </c>
      <c r="T29" s="169">
        <v>2041</v>
      </c>
      <c r="U29" s="169">
        <v>2042</v>
      </c>
      <c r="V29" s="169">
        <v>2043</v>
      </c>
      <c r="W29" s="169">
        <v>2044</v>
      </c>
      <c r="X29" s="169">
        <v>2045</v>
      </c>
      <c r="Y29" s="169">
        <v>2046</v>
      </c>
      <c r="Z29" s="169">
        <v>2047</v>
      </c>
      <c r="AA29" s="169">
        <v>2048</v>
      </c>
      <c r="AB29" s="169">
        <v>2049</v>
      </c>
      <c r="AC29" s="169">
        <v>2050</v>
      </c>
    </row>
    <row r="30" spans="1:29">
      <c r="A30" s="183" t="s">
        <v>353</v>
      </c>
      <c r="B30" s="183">
        <f t="shared" ref="B30:B39" si="7">I30</f>
        <v>127981</v>
      </c>
      <c r="C30" s="183">
        <f t="shared" ref="C30:C39" si="8">AC30</f>
        <v>509491</v>
      </c>
      <c r="D30" s="183">
        <v>33878</v>
      </c>
      <c r="E30" s="183">
        <v>48110</v>
      </c>
      <c r="F30" s="183">
        <v>63598</v>
      </c>
      <c r="G30" s="183">
        <v>81409</v>
      </c>
      <c r="H30" s="183">
        <v>102640</v>
      </c>
      <c r="I30" s="183">
        <v>127981</v>
      </c>
      <c r="J30" s="183">
        <v>157248</v>
      </c>
      <c r="K30" s="183">
        <v>190154</v>
      </c>
      <c r="L30" s="183">
        <v>225506</v>
      </c>
      <c r="M30" s="183">
        <v>261914</v>
      </c>
      <c r="N30" s="183">
        <v>297908</v>
      </c>
      <c r="O30" s="183">
        <v>331570</v>
      </c>
      <c r="P30" s="183">
        <v>339036</v>
      </c>
      <c r="Q30" s="183">
        <v>353492</v>
      </c>
      <c r="R30" s="183">
        <v>367960</v>
      </c>
      <c r="S30" s="183">
        <v>382496</v>
      </c>
      <c r="T30" s="183">
        <v>394790</v>
      </c>
      <c r="U30" s="183">
        <v>407135</v>
      </c>
      <c r="V30" s="183">
        <v>419508</v>
      </c>
      <c r="W30" s="183">
        <v>431897</v>
      </c>
      <c r="X30" s="183">
        <v>444360</v>
      </c>
      <c r="Y30" s="183">
        <v>457386</v>
      </c>
      <c r="Z30" s="183">
        <v>470412</v>
      </c>
      <c r="AA30" s="183">
        <v>483438</v>
      </c>
      <c r="AB30" s="183">
        <v>496464</v>
      </c>
      <c r="AC30" s="183">
        <v>509491</v>
      </c>
    </row>
    <row r="31" spans="1:29">
      <c r="A31" s="171" t="s">
        <v>339</v>
      </c>
      <c r="B31" s="183">
        <f t="shared" si="7"/>
        <v>166550</v>
      </c>
      <c r="C31" s="183">
        <f t="shared" si="8"/>
        <v>709770</v>
      </c>
      <c r="D31" s="183">
        <v>64280</v>
      </c>
      <c r="E31" s="183">
        <v>81790</v>
      </c>
      <c r="F31" s="183">
        <v>102810</v>
      </c>
      <c r="G31" s="183">
        <v>124010</v>
      </c>
      <c r="H31" s="183">
        <v>142620</v>
      </c>
      <c r="I31" s="183">
        <v>166550</v>
      </c>
      <c r="J31" s="183">
        <v>199380</v>
      </c>
      <c r="K31" s="183">
        <v>234670</v>
      </c>
      <c r="L31" s="183">
        <v>269300</v>
      </c>
      <c r="M31" s="183">
        <v>305760</v>
      </c>
      <c r="N31" s="183">
        <v>341860</v>
      </c>
      <c r="O31" s="183">
        <v>380240</v>
      </c>
      <c r="P31" s="183">
        <v>392610</v>
      </c>
      <c r="Q31" s="183">
        <v>411970</v>
      </c>
      <c r="R31" s="183">
        <v>443610</v>
      </c>
      <c r="S31" s="183">
        <v>465580</v>
      </c>
      <c r="T31" s="183">
        <v>477920</v>
      </c>
      <c r="U31" s="183">
        <v>501990</v>
      </c>
      <c r="V31" s="183">
        <v>520080.00000000006</v>
      </c>
      <c r="W31" s="183">
        <v>547740</v>
      </c>
      <c r="X31" s="183">
        <v>585810</v>
      </c>
      <c r="Y31" s="183">
        <v>608420</v>
      </c>
      <c r="Z31" s="183">
        <v>637610</v>
      </c>
      <c r="AA31" s="183">
        <v>673540</v>
      </c>
      <c r="AB31" s="183">
        <v>694700</v>
      </c>
      <c r="AC31" s="183">
        <v>709770</v>
      </c>
    </row>
    <row r="32" spans="1:29">
      <c r="A32" s="250" t="s">
        <v>354</v>
      </c>
      <c r="B32" s="250">
        <f t="shared" si="7"/>
        <v>780684100</v>
      </c>
      <c r="C32" s="250">
        <f t="shared" si="8"/>
        <v>3107895100</v>
      </c>
      <c r="D32" s="250">
        <f t="shared" ref="D32:AC32" si="9">D30*$B$23</f>
        <v>206655800</v>
      </c>
      <c r="E32" s="250">
        <f t="shared" si="9"/>
        <v>293471000</v>
      </c>
      <c r="F32" s="250">
        <f t="shared" si="9"/>
        <v>387947800</v>
      </c>
      <c r="G32" s="250">
        <f t="shared" si="9"/>
        <v>496594900</v>
      </c>
      <c r="H32" s="250">
        <f t="shared" si="9"/>
        <v>626104000</v>
      </c>
      <c r="I32" s="250">
        <f t="shared" si="9"/>
        <v>780684100</v>
      </c>
      <c r="J32" s="250">
        <f t="shared" si="9"/>
        <v>959212800</v>
      </c>
      <c r="K32" s="250">
        <f t="shared" si="9"/>
        <v>1159939400</v>
      </c>
      <c r="L32" s="250">
        <f t="shared" si="9"/>
        <v>1375586600</v>
      </c>
      <c r="M32" s="250">
        <f t="shared" si="9"/>
        <v>1597675400</v>
      </c>
      <c r="N32" s="250">
        <f t="shared" si="9"/>
        <v>1817238800</v>
      </c>
      <c r="O32" s="250">
        <f t="shared" si="9"/>
        <v>2022577000</v>
      </c>
      <c r="P32" s="250">
        <f t="shared" si="9"/>
        <v>2068119600</v>
      </c>
      <c r="Q32" s="250">
        <f t="shared" si="9"/>
        <v>2156301200</v>
      </c>
      <c r="R32" s="250">
        <f t="shared" si="9"/>
        <v>2244556000</v>
      </c>
      <c r="S32" s="250">
        <f t="shared" si="9"/>
        <v>2333225600</v>
      </c>
      <c r="T32" s="250">
        <f t="shared" si="9"/>
        <v>2408219000</v>
      </c>
      <c r="U32" s="250">
        <f t="shared" si="9"/>
        <v>2483523500</v>
      </c>
      <c r="V32" s="250">
        <f t="shared" si="9"/>
        <v>2558998800</v>
      </c>
      <c r="W32" s="250">
        <f t="shared" si="9"/>
        <v>2634571700</v>
      </c>
      <c r="X32" s="250">
        <f t="shared" si="9"/>
        <v>2710596000</v>
      </c>
      <c r="Y32" s="250">
        <f t="shared" si="9"/>
        <v>2790054600</v>
      </c>
      <c r="Z32" s="250">
        <f t="shared" si="9"/>
        <v>2869513200</v>
      </c>
      <c r="AA32" s="250">
        <f t="shared" si="9"/>
        <v>2948971800</v>
      </c>
      <c r="AB32" s="250">
        <f t="shared" si="9"/>
        <v>3028430400</v>
      </c>
      <c r="AC32" s="250">
        <f t="shared" si="9"/>
        <v>3107895100</v>
      </c>
    </row>
    <row r="33" spans="1:29">
      <c r="A33" s="206" t="s">
        <v>355</v>
      </c>
      <c r="B33" s="206">
        <f t="shared" si="7"/>
        <v>751</v>
      </c>
      <c r="C33" s="206">
        <f t="shared" si="8"/>
        <v>2270</v>
      </c>
      <c r="D33" s="206">
        <v>409</v>
      </c>
      <c r="E33" s="206">
        <v>422</v>
      </c>
      <c r="F33" s="206">
        <v>459</v>
      </c>
      <c r="G33" s="206">
        <v>528</v>
      </c>
      <c r="H33" s="206">
        <v>629</v>
      </c>
      <c r="I33" s="206">
        <v>751</v>
      </c>
      <c r="J33" s="206">
        <v>867</v>
      </c>
      <c r="K33" s="206">
        <v>982</v>
      </c>
      <c r="L33" s="206">
        <v>1077</v>
      </c>
      <c r="M33" s="206">
        <v>1153</v>
      </c>
      <c r="N33" s="206">
        <v>1208</v>
      </c>
      <c r="O33" s="206">
        <v>1217</v>
      </c>
      <c r="P33" s="206">
        <v>1233</v>
      </c>
      <c r="Q33" s="206">
        <v>1245</v>
      </c>
      <c r="R33" s="206">
        <v>1273</v>
      </c>
      <c r="S33" s="206">
        <v>1333</v>
      </c>
      <c r="T33" s="206">
        <v>1406</v>
      </c>
      <c r="U33" s="206">
        <v>1540</v>
      </c>
      <c r="V33" s="206">
        <v>1693</v>
      </c>
      <c r="W33" s="206">
        <v>1848</v>
      </c>
      <c r="X33" s="206">
        <v>1987</v>
      </c>
      <c r="Y33" s="206">
        <v>2108</v>
      </c>
      <c r="Z33" s="206">
        <v>2186</v>
      </c>
      <c r="AA33" s="206">
        <v>2232</v>
      </c>
      <c r="AB33" s="206">
        <v>2256</v>
      </c>
      <c r="AC33" s="206">
        <v>2270</v>
      </c>
    </row>
    <row r="34" spans="1:29">
      <c r="A34" s="209" t="s">
        <v>356</v>
      </c>
      <c r="B34" s="209">
        <f t="shared" si="7"/>
        <v>0.16159999999999999</v>
      </c>
      <c r="C34" s="209">
        <f t="shared" si="8"/>
        <v>0.12740000000000001</v>
      </c>
      <c r="D34" s="209">
        <v>0.16159999999999999</v>
      </c>
      <c r="E34" s="209">
        <v>0.16159999999999999</v>
      </c>
      <c r="F34" s="209">
        <v>0.16159999999999999</v>
      </c>
      <c r="G34" s="209">
        <v>0.16159999999999999</v>
      </c>
      <c r="H34" s="209">
        <v>0.16159999999999999</v>
      </c>
      <c r="I34" s="209">
        <v>0.16159999999999999</v>
      </c>
      <c r="J34" s="209">
        <v>0.16159999999999999</v>
      </c>
      <c r="K34" s="209">
        <v>0.16159999999999999</v>
      </c>
      <c r="L34" s="209">
        <v>0.16159999999999999</v>
      </c>
      <c r="M34" s="209">
        <v>0.16159999999999999</v>
      </c>
      <c r="N34" s="209">
        <v>0.16159999999999999</v>
      </c>
      <c r="O34" s="209">
        <v>0.16159999999999999</v>
      </c>
      <c r="P34" s="209">
        <v>0.16159999999999999</v>
      </c>
      <c r="Q34" s="209">
        <v>0.16159999999999999</v>
      </c>
      <c r="R34" s="209">
        <v>0.16159999999999999</v>
      </c>
      <c r="S34" s="209">
        <v>0.16159999999999999</v>
      </c>
      <c r="T34" s="209">
        <v>0.16159999999999999</v>
      </c>
      <c r="U34" s="209">
        <v>0.16159999999999999</v>
      </c>
      <c r="V34" s="209">
        <v>0.16159999999999999</v>
      </c>
      <c r="W34" s="209">
        <v>0.16159999999999999</v>
      </c>
      <c r="X34" s="209">
        <v>0.16159999999999999</v>
      </c>
      <c r="Y34" s="209">
        <v>0.16159999999999999</v>
      </c>
      <c r="Z34" s="209">
        <v>0.16159999999999999</v>
      </c>
      <c r="AA34" s="209">
        <v>0.16159999999999999</v>
      </c>
      <c r="AB34" s="209">
        <v>0.12740000000000001</v>
      </c>
      <c r="AC34" s="209">
        <v>0.12740000000000001</v>
      </c>
    </row>
    <row r="35" spans="1:29">
      <c r="A35" s="208" t="s">
        <v>344</v>
      </c>
      <c r="B35" s="208">
        <f t="shared" si="7"/>
        <v>-168112306</v>
      </c>
      <c r="C35" s="208">
        <f t="shared" si="8"/>
        <v>-587130831</v>
      </c>
      <c r="D35" s="208">
        <v>-52214142</v>
      </c>
      <c r="E35" s="208">
        <v>-69618855</v>
      </c>
      <c r="F35" s="208">
        <v>-87023569</v>
      </c>
      <c r="G35" s="208">
        <v>-104428283</v>
      </c>
      <c r="H35" s="208">
        <v>-136270294</v>
      </c>
      <c r="I35" s="208">
        <v>-168112306</v>
      </c>
      <c r="J35" s="208">
        <v>-199954317</v>
      </c>
      <c r="K35" s="208">
        <v>-231796328</v>
      </c>
      <c r="L35" s="208">
        <v>-263638340</v>
      </c>
      <c r="M35" s="208">
        <v>-295480351</v>
      </c>
      <c r="N35" s="208">
        <v>-327322362</v>
      </c>
      <c r="O35" s="208">
        <v>-344642927</v>
      </c>
      <c r="P35" s="208">
        <v>-361963491</v>
      </c>
      <c r="Q35" s="208">
        <v>-379284056</v>
      </c>
      <c r="R35" s="208">
        <v>-396604621</v>
      </c>
      <c r="S35" s="208">
        <v>-413925185</v>
      </c>
      <c r="T35" s="208">
        <v>-431245750</v>
      </c>
      <c r="U35" s="208">
        <v>-448566314</v>
      </c>
      <c r="V35" s="208">
        <v>-465886879</v>
      </c>
      <c r="W35" s="208">
        <v>-483207444</v>
      </c>
      <c r="X35" s="208">
        <v>-500528008</v>
      </c>
      <c r="Y35" s="208">
        <v>-517848573</v>
      </c>
      <c r="Z35" s="208">
        <v>-535169137</v>
      </c>
      <c r="AA35" s="208">
        <v>-552489702</v>
      </c>
      <c r="AB35" s="208">
        <v>-569810267</v>
      </c>
      <c r="AC35" s="208">
        <v>-587130831</v>
      </c>
    </row>
    <row r="36" spans="1:29">
      <c r="A36" s="206" t="s">
        <v>345</v>
      </c>
      <c r="B36" s="206">
        <f t="shared" si="7"/>
        <v>-137.001305</v>
      </c>
      <c r="C36" s="206">
        <f t="shared" si="8"/>
        <v>-674.53474800000004</v>
      </c>
      <c r="D36" s="206">
        <v>-40.503120000000003</v>
      </c>
      <c r="E36" s="206">
        <v>-54.586716000000003</v>
      </c>
      <c r="F36" s="206">
        <v>-72.343062000000003</v>
      </c>
      <c r="G36" s="206">
        <v>-91.908793000000003</v>
      </c>
      <c r="H36" s="206">
        <v>-111.240689</v>
      </c>
      <c r="I36" s="206">
        <v>-137.001305</v>
      </c>
      <c r="J36" s="206">
        <v>-166.39166700000001</v>
      </c>
      <c r="K36" s="206">
        <v>-198.79028199999999</v>
      </c>
      <c r="L36" s="206">
        <v>-231.51203899999999</v>
      </c>
      <c r="M36" s="206">
        <v>-266.50611700000002</v>
      </c>
      <c r="N36" s="206">
        <v>-302.45592900000003</v>
      </c>
      <c r="O36" s="206">
        <v>-340.58798000000002</v>
      </c>
      <c r="P36" s="206">
        <v>-356.88316800000001</v>
      </c>
      <c r="Q36" s="206">
        <v>-378.95271500000001</v>
      </c>
      <c r="R36" s="206">
        <v>-413.62098900000001</v>
      </c>
      <c r="S36" s="206">
        <v>-440.32214299999998</v>
      </c>
      <c r="T36" s="206">
        <v>-452.11305499999997</v>
      </c>
      <c r="U36" s="206">
        <v>-474.723861</v>
      </c>
      <c r="V36" s="206">
        <v>-492.85681699999998</v>
      </c>
      <c r="W36" s="206">
        <v>-519.18663900000001</v>
      </c>
      <c r="X36" s="206">
        <v>-555.24537199999997</v>
      </c>
      <c r="Y36" s="206">
        <v>-577.23221899999999</v>
      </c>
      <c r="Z36" s="206">
        <v>-604.95336499999996</v>
      </c>
      <c r="AA36" s="206">
        <v>-638.96019899999999</v>
      </c>
      <c r="AB36" s="206">
        <v>-659.09140600000001</v>
      </c>
      <c r="AC36" s="206">
        <v>-674.53474800000004</v>
      </c>
    </row>
    <row r="37" spans="1:29">
      <c r="A37" s="206" t="s">
        <v>347</v>
      </c>
      <c r="B37" s="206">
        <f t="shared" si="7"/>
        <v>-47.150812999999999</v>
      </c>
      <c r="C37" s="206">
        <f t="shared" si="8"/>
        <v>-224.00077999999999</v>
      </c>
      <c r="D37" s="206">
        <v>-14.158448</v>
      </c>
      <c r="E37" s="206">
        <v>-18.994236999999998</v>
      </c>
      <c r="F37" s="206">
        <v>-25.097442999999998</v>
      </c>
      <c r="G37" s="206">
        <v>-31.743573999999999</v>
      </c>
      <c r="H37" s="206">
        <v>-38.354312999999998</v>
      </c>
      <c r="I37" s="206">
        <v>-47.150812999999999</v>
      </c>
      <c r="J37" s="206">
        <v>-57.120043000000003</v>
      </c>
      <c r="K37" s="206">
        <v>-68.288251000000002</v>
      </c>
      <c r="L37" s="206">
        <v>-79.175284000000005</v>
      </c>
      <c r="M37" s="206">
        <v>-90.932085000000001</v>
      </c>
      <c r="N37" s="206">
        <v>-102.99638400000001</v>
      </c>
      <c r="O37" s="206">
        <v>-115.89528199999999</v>
      </c>
      <c r="P37" s="206">
        <v>-121.091722</v>
      </c>
      <c r="Q37" s="206">
        <v>-128.50428099999999</v>
      </c>
      <c r="R37" s="206">
        <v>-140.00046800000001</v>
      </c>
      <c r="S37" s="206">
        <v>-148.57704000000001</v>
      </c>
      <c r="T37" s="206">
        <v>-152.353329</v>
      </c>
      <c r="U37" s="206">
        <v>-159.818682</v>
      </c>
      <c r="V37" s="206">
        <v>-165.34473600000001</v>
      </c>
      <c r="W37" s="206">
        <v>-173.91640799999999</v>
      </c>
      <c r="X37" s="206">
        <v>-186.286833</v>
      </c>
      <c r="Y37" s="206">
        <v>-192.75938600000001</v>
      </c>
      <c r="Z37" s="206">
        <v>-201.88145299999999</v>
      </c>
      <c r="AA37" s="206">
        <v>-212.38030499999999</v>
      </c>
      <c r="AB37" s="206">
        <v>-219.57902100000001</v>
      </c>
      <c r="AC37" s="206">
        <v>-224.00077999999999</v>
      </c>
    </row>
    <row r="38" spans="1:29">
      <c r="A38" s="206" t="s">
        <v>346</v>
      </c>
      <c r="B38" s="206">
        <f t="shared" si="7"/>
        <v>-461.95176700000002</v>
      </c>
      <c r="C38" s="206">
        <f t="shared" si="8"/>
        <v>-2359.9711080000002</v>
      </c>
      <c r="D38" s="206">
        <v>-137.45880199999999</v>
      </c>
      <c r="E38" s="206">
        <v>-184.45274599999999</v>
      </c>
      <c r="F38" s="206">
        <v>-243.62623600000001</v>
      </c>
      <c r="G38" s="206">
        <v>-310.06634700000001</v>
      </c>
      <c r="H38" s="206">
        <v>-374.79157800000002</v>
      </c>
      <c r="I38" s="206">
        <v>-461.95176700000002</v>
      </c>
      <c r="J38" s="206">
        <v>-561.25547400000005</v>
      </c>
      <c r="K38" s="206">
        <v>-672.56446100000005</v>
      </c>
      <c r="L38" s="206">
        <v>-786.20048899999995</v>
      </c>
      <c r="M38" s="206">
        <v>-904.93017299999997</v>
      </c>
      <c r="N38" s="206">
        <v>-1031.385374</v>
      </c>
      <c r="O38" s="206">
        <v>-1160.9522159999999</v>
      </c>
      <c r="P38" s="206">
        <v>-1225.749939</v>
      </c>
      <c r="Q38" s="206">
        <v>-1298.0842680000001</v>
      </c>
      <c r="R38" s="206">
        <v>-1420.320228</v>
      </c>
      <c r="S38" s="206">
        <v>-1518.2483830000001</v>
      </c>
      <c r="T38" s="206">
        <v>-1560.075431</v>
      </c>
      <c r="U38" s="206">
        <v>-1636.2648429999999</v>
      </c>
      <c r="V38" s="206">
        <v>-1709.623621</v>
      </c>
      <c r="W38" s="206">
        <v>-1802.1391980000001</v>
      </c>
      <c r="X38" s="206">
        <v>-1927.4370369999999</v>
      </c>
      <c r="Y38" s="206">
        <v>-2009.046951</v>
      </c>
      <c r="Z38" s="206">
        <v>-2106.1327839999999</v>
      </c>
      <c r="AA38" s="206">
        <v>-2223.3427539999998</v>
      </c>
      <c r="AB38" s="206">
        <v>-2293.9848849999998</v>
      </c>
      <c r="AC38" s="206">
        <v>-2359.9711080000002</v>
      </c>
    </row>
    <row r="39" spans="1:29">
      <c r="A39" s="206" t="s">
        <v>348</v>
      </c>
      <c r="B39" s="206">
        <f t="shared" si="7"/>
        <v>-2187.423851</v>
      </c>
      <c r="C39" s="206">
        <f t="shared" si="8"/>
        <v>-11180.850539999999</v>
      </c>
      <c r="D39" s="206">
        <v>-650.95287699999994</v>
      </c>
      <c r="E39" s="206">
        <v>-873.44266300000004</v>
      </c>
      <c r="F39" s="206">
        <v>-1153.591907</v>
      </c>
      <c r="G39" s="206">
        <v>-1468.2303300000001</v>
      </c>
      <c r="H39" s="206">
        <v>-1774.6839399999999</v>
      </c>
      <c r="I39" s="206">
        <v>-2187.423851</v>
      </c>
      <c r="J39" s="206">
        <v>-2657.6582859999999</v>
      </c>
      <c r="K39" s="206">
        <v>-3184.8700690000001</v>
      </c>
      <c r="L39" s="206">
        <v>-3723.187821</v>
      </c>
      <c r="M39" s="206">
        <v>-4285.4465339999997</v>
      </c>
      <c r="N39" s="206">
        <v>-4884.5986469999998</v>
      </c>
      <c r="O39" s="206">
        <v>-5498.1903979999997</v>
      </c>
      <c r="P39" s="206">
        <v>-5805.704898</v>
      </c>
      <c r="Q39" s="206">
        <v>-6148.0766530000001</v>
      </c>
      <c r="R39" s="206">
        <v>-6727.2570800000003</v>
      </c>
      <c r="S39" s="206">
        <v>-7191.515684</v>
      </c>
      <c r="T39" s="206">
        <v>-7389.7192850000001</v>
      </c>
      <c r="U39" s="206">
        <v>-7750.4857119999997</v>
      </c>
      <c r="V39" s="206">
        <v>-8098.703657</v>
      </c>
      <c r="W39" s="206">
        <v>-8537.0428069999998</v>
      </c>
      <c r="X39" s="206">
        <v>-9130.6090139999997</v>
      </c>
      <c r="Y39" s="206">
        <v>-9517.5690990000003</v>
      </c>
      <c r="Z39" s="206">
        <v>-9977.5395850000004</v>
      </c>
      <c r="AA39" s="206">
        <v>-10532.7312</v>
      </c>
      <c r="AB39" s="206">
        <v>-10867.4238</v>
      </c>
      <c r="AC39" s="206">
        <v>-11180.850539999999</v>
      </c>
    </row>
    <row r="40" spans="1:29">
      <c r="A40" s="165"/>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row>
    <row r="41" spans="1:29" ht="15.6">
      <c r="A41" s="205" t="s">
        <v>357</v>
      </c>
      <c r="B41" s="171"/>
      <c r="C41" s="171"/>
      <c r="D41" s="204"/>
      <c r="E41" s="203">
        <f t="shared" ref="E41:AC41" si="10">+E42/D42</f>
        <v>0.89599739473828199</v>
      </c>
      <c r="F41" s="203">
        <f t="shared" si="10"/>
        <v>0.95088292640630934</v>
      </c>
      <c r="G41" s="203">
        <f t="shared" si="10"/>
        <v>0.94230693350003736</v>
      </c>
      <c r="H41" s="203">
        <f t="shared" si="10"/>
        <v>0.91217780597861176</v>
      </c>
      <c r="I41" s="203">
        <f t="shared" si="10"/>
        <v>0.93655944720119655</v>
      </c>
      <c r="J41" s="203">
        <f t="shared" si="10"/>
        <v>0.97431036661560522</v>
      </c>
      <c r="K41" s="203">
        <f t="shared" si="10"/>
        <v>0.97331999822207249</v>
      </c>
      <c r="L41" s="203">
        <f t="shared" si="10"/>
        <v>0.96766747520893015</v>
      </c>
      <c r="M41" s="203">
        <f t="shared" si="10"/>
        <v>0.97756063456550346</v>
      </c>
      <c r="N41" s="203">
        <f t="shared" si="10"/>
        <v>0.98297883276359388</v>
      </c>
      <c r="O41" s="203">
        <f t="shared" si="10"/>
        <v>0.99934731415551092</v>
      </c>
      <c r="P41" s="203">
        <f t="shared" si="10"/>
        <v>1.0097944272086186</v>
      </c>
      <c r="Q41" s="203">
        <f t="shared" si="10"/>
        <v>1.0063996111786957</v>
      </c>
      <c r="R41" s="203">
        <f t="shared" si="10"/>
        <v>1.0344624134937239</v>
      </c>
      <c r="S41" s="203">
        <f t="shared" si="10"/>
        <v>1.0096403547438615</v>
      </c>
      <c r="T41" s="203">
        <f t="shared" si="10"/>
        <v>0.99453860000452365</v>
      </c>
      <c r="U41" s="203">
        <f t="shared" si="10"/>
        <v>1.0185153185633782</v>
      </c>
      <c r="V41" s="203">
        <f t="shared" si="10"/>
        <v>1.0054796350298121</v>
      </c>
      <c r="W41" s="203">
        <f t="shared" si="10"/>
        <v>1.022973454616003</v>
      </c>
      <c r="X41" s="203">
        <f t="shared" si="10"/>
        <v>1.0395073222390729</v>
      </c>
      <c r="Y41" s="203">
        <f t="shared" si="10"/>
        <v>1.0090177162169103</v>
      </c>
      <c r="Z41" s="203">
        <f t="shared" si="10"/>
        <v>1.0189576011542907</v>
      </c>
      <c r="AA41" s="203">
        <f t="shared" si="10"/>
        <v>1.0278881993224074</v>
      </c>
      <c r="AB41" s="203">
        <f t="shared" si="10"/>
        <v>1.0043542664847935</v>
      </c>
      <c r="AC41" s="203">
        <f t="shared" si="10"/>
        <v>0.99556950509547537</v>
      </c>
    </row>
    <row r="42" spans="1:29">
      <c r="A42" s="201" t="s">
        <v>339</v>
      </c>
      <c r="B42" s="202">
        <f t="shared" ref="B42:AC42" si="11">+B31/B30</f>
        <v>1.3013650463740711</v>
      </c>
      <c r="C42" s="202">
        <f t="shared" si="11"/>
        <v>1.3930962470387112</v>
      </c>
      <c r="D42" s="202">
        <f t="shared" si="11"/>
        <v>1.8973965405277762</v>
      </c>
      <c r="E42" s="202">
        <f t="shared" si="11"/>
        <v>1.7000623570983164</v>
      </c>
      <c r="F42" s="202">
        <f t="shared" si="11"/>
        <v>1.6165602691908552</v>
      </c>
      <c r="G42" s="202">
        <f t="shared" si="11"/>
        <v>1.5232959500792296</v>
      </c>
      <c r="H42" s="202">
        <f t="shared" si="11"/>
        <v>1.3895167575993765</v>
      </c>
      <c r="I42" s="202">
        <f t="shared" si="11"/>
        <v>1.3013650463740711</v>
      </c>
      <c r="J42" s="202">
        <f t="shared" si="11"/>
        <v>1.2679334554334554</v>
      </c>
      <c r="K42" s="202">
        <f t="shared" si="11"/>
        <v>1.2341049885881969</v>
      </c>
      <c r="L42" s="202">
        <f t="shared" si="11"/>
        <v>1.1942032584498861</v>
      </c>
      <c r="M42" s="202">
        <f t="shared" si="11"/>
        <v>1.1674060951304626</v>
      </c>
      <c r="N42" s="202">
        <f t="shared" si="11"/>
        <v>1.1475354807524472</v>
      </c>
      <c r="O42" s="202">
        <f t="shared" si="11"/>
        <v>1.146786500588111</v>
      </c>
      <c r="P42" s="202">
        <f t="shared" si="11"/>
        <v>1.1580186174919478</v>
      </c>
      <c r="Q42" s="202">
        <f t="shared" si="11"/>
        <v>1.1654294863815871</v>
      </c>
      <c r="R42" s="202">
        <f t="shared" si="11"/>
        <v>1.2055929992390477</v>
      </c>
      <c r="S42" s="202">
        <f t="shared" si="11"/>
        <v>1.2172153434284281</v>
      </c>
      <c r="T42" s="202">
        <f t="shared" si="11"/>
        <v>1.2105676435573343</v>
      </c>
      <c r="U42" s="202">
        <f t="shared" si="11"/>
        <v>1.2329816891203162</v>
      </c>
      <c r="V42" s="202">
        <f t="shared" si="11"/>
        <v>1.2397379787751368</v>
      </c>
      <c r="W42" s="202">
        <f t="shared" si="11"/>
        <v>1.2682190429662628</v>
      </c>
      <c r="X42" s="202">
        <f t="shared" si="11"/>
        <v>1.3183229813664596</v>
      </c>
      <c r="Y42" s="202">
        <f t="shared" si="11"/>
        <v>1.3302112438946536</v>
      </c>
      <c r="Z42" s="202">
        <f t="shared" si="11"/>
        <v>1.3554288581073612</v>
      </c>
      <c r="AA42" s="202">
        <f t="shared" si="11"/>
        <v>1.3932293282696022</v>
      </c>
      <c r="AB42" s="202">
        <f t="shared" si="11"/>
        <v>1.399295820039318</v>
      </c>
      <c r="AC42" s="202">
        <f t="shared" si="11"/>
        <v>1.3930962470387112</v>
      </c>
    </row>
    <row r="43" spans="1:29">
      <c r="A43" s="201" t="s">
        <v>354</v>
      </c>
      <c r="B43" s="200">
        <f t="shared" ref="B43:AC43" si="12">+B32/B30</f>
        <v>6100</v>
      </c>
      <c r="C43" s="200">
        <f t="shared" si="12"/>
        <v>6100</v>
      </c>
      <c r="D43" s="200">
        <f t="shared" si="12"/>
        <v>6100</v>
      </c>
      <c r="E43" s="200">
        <f t="shared" si="12"/>
        <v>6100</v>
      </c>
      <c r="F43" s="200">
        <f t="shared" si="12"/>
        <v>6100</v>
      </c>
      <c r="G43" s="200">
        <f t="shared" si="12"/>
        <v>6100</v>
      </c>
      <c r="H43" s="200">
        <f t="shared" si="12"/>
        <v>6100</v>
      </c>
      <c r="I43" s="200">
        <f t="shared" si="12"/>
        <v>6100</v>
      </c>
      <c r="J43" s="200">
        <f t="shared" si="12"/>
        <v>6100</v>
      </c>
      <c r="K43" s="200">
        <f t="shared" si="12"/>
        <v>6100</v>
      </c>
      <c r="L43" s="200">
        <f t="shared" si="12"/>
        <v>6100</v>
      </c>
      <c r="M43" s="200">
        <f t="shared" si="12"/>
        <v>6100</v>
      </c>
      <c r="N43" s="200">
        <f t="shared" si="12"/>
        <v>6100</v>
      </c>
      <c r="O43" s="200">
        <f t="shared" si="12"/>
        <v>6100</v>
      </c>
      <c r="P43" s="200">
        <f t="shared" si="12"/>
        <v>6100</v>
      </c>
      <c r="Q43" s="200">
        <f t="shared" si="12"/>
        <v>6100</v>
      </c>
      <c r="R43" s="200">
        <f t="shared" si="12"/>
        <v>6100</v>
      </c>
      <c r="S43" s="200">
        <f t="shared" si="12"/>
        <v>6100</v>
      </c>
      <c r="T43" s="200">
        <f t="shared" si="12"/>
        <v>6100</v>
      </c>
      <c r="U43" s="200">
        <f t="shared" si="12"/>
        <v>6100</v>
      </c>
      <c r="V43" s="200">
        <f t="shared" si="12"/>
        <v>6100</v>
      </c>
      <c r="W43" s="200">
        <f t="shared" si="12"/>
        <v>6100</v>
      </c>
      <c r="X43" s="200">
        <f t="shared" si="12"/>
        <v>6100</v>
      </c>
      <c r="Y43" s="200">
        <f t="shared" si="12"/>
        <v>6100</v>
      </c>
      <c r="Z43" s="200">
        <f t="shared" si="12"/>
        <v>6100</v>
      </c>
      <c r="AA43" s="200">
        <f t="shared" si="12"/>
        <v>6100</v>
      </c>
      <c r="AB43" s="200">
        <f t="shared" si="12"/>
        <v>6100</v>
      </c>
      <c r="AC43" s="200">
        <f t="shared" si="12"/>
        <v>6100</v>
      </c>
    </row>
    <row r="44" spans="1:29">
      <c r="A44" s="195" t="s">
        <v>343</v>
      </c>
      <c r="B44" s="198">
        <f t="shared" ref="B44:AC44" si="13">+B33/B30</f>
        <v>5.8680585399395226E-3</v>
      </c>
      <c r="C44" s="198">
        <f t="shared" si="13"/>
        <v>4.4554270831084356E-3</v>
      </c>
      <c r="D44" s="198">
        <f t="shared" si="13"/>
        <v>1.2072731566208158E-2</v>
      </c>
      <c r="E44" s="198">
        <f t="shared" si="13"/>
        <v>8.77156516316774E-3</v>
      </c>
      <c r="F44" s="198">
        <f t="shared" si="13"/>
        <v>7.2172080883046641E-3</v>
      </c>
      <c r="G44" s="198">
        <f t="shared" si="13"/>
        <v>6.4857693866771484E-3</v>
      </c>
      <c r="H44" s="198">
        <f t="shared" si="13"/>
        <v>6.1282151208106005E-3</v>
      </c>
      <c r="I44" s="198">
        <f t="shared" si="13"/>
        <v>5.8680585399395226E-3</v>
      </c>
      <c r="J44" s="198">
        <f t="shared" si="13"/>
        <v>5.5135836385836389E-3</v>
      </c>
      <c r="K44" s="198">
        <f t="shared" si="13"/>
        <v>5.1642353040167446E-3</v>
      </c>
      <c r="L44" s="198">
        <f t="shared" si="13"/>
        <v>4.7759261394375316E-3</v>
      </c>
      <c r="M44" s="198">
        <f t="shared" si="13"/>
        <v>4.4022083584688105E-3</v>
      </c>
      <c r="N44" s="198">
        <f t="shared" si="13"/>
        <v>4.0549431368073364E-3</v>
      </c>
      <c r="O44" s="198">
        <f t="shared" si="13"/>
        <v>3.6704165033024701E-3</v>
      </c>
      <c r="P44" s="198">
        <f t="shared" si="13"/>
        <v>3.6367819346618058E-3</v>
      </c>
      <c r="Q44" s="198">
        <f t="shared" si="13"/>
        <v>3.5220033268079619E-3</v>
      </c>
      <c r="R44" s="198">
        <f t="shared" si="13"/>
        <v>3.4596151755625611E-3</v>
      </c>
      <c r="S44" s="198">
        <f t="shared" si="13"/>
        <v>3.4850037647452523E-3</v>
      </c>
      <c r="T44" s="198">
        <f t="shared" si="13"/>
        <v>3.5613870665417058E-3</v>
      </c>
      <c r="U44" s="198">
        <f t="shared" si="13"/>
        <v>3.782529136527196E-3</v>
      </c>
      <c r="V44" s="198">
        <f t="shared" si="13"/>
        <v>4.0356798916826378E-3</v>
      </c>
      <c r="W44" s="198">
        <f t="shared" si="13"/>
        <v>4.2787979541418436E-3</v>
      </c>
      <c r="X44" s="198">
        <f t="shared" si="13"/>
        <v>4.4715996039247459E-3</v>
      </c>
      <c r="Y44" s="198">
        <f t="shared" si="13"/>
        <v>4.6087986951939934E-3</v>
      </c>
      <c r="Z44" s="198">
        <f t="shared" si="13"/>
        <v>4.646990297866551E-3</v>
      </c>
      <c r="AA44" s="198">
        <f t="shared" si="13"/>
        <v>4.6169312300646621E-3</v>
      </c>
      <c r="AB44" s="198">
        <f t="shared" si="13"/>
        <v>4.5441361307164262E-3</v>
      </c>
      <c r="AC44" s="198">
        <f t="shared" si="13"/>
        <v>4.4554270831084356E-3</v>
      </c>
    </row>
    <row r="45" spans="1:29">
      <c r="A45" s="197" t="s">
        <v>344</v>
      </c>
      <c r="B45" s="196">
        <f>-B35/B30</f>
        <v>1313.5723740242693</v>
      </c>
      <c r="C45" s="196">
        <f>-C35/C$30</f>
        <v>1152.3870509979567</v>
      </c>
      <c r="D45" s="196">
        <f t="shared" ref="D45:AC45" si="14">-D35/D30</f>
        <v>1541.2403919948049</v>
      </c>
      <c r="E45" s="196">
        <f t="shared" si="14"/>
        <v>1447.076595302432</v>
      </c>
      <c r="F45" s="196">
        <f t="shared" si="14"/>
        <v>1368.3381395641372</v>
      </c>
      <c r="G45" s="196">
        <f t="shared" si="14"/>
        <v>1282.7609109557911</v>
      </c>
      <c r="H45" s="196">
        <f t="shared" si="14"/>
        <v>1327.6529033515199</v>
      </c>
      <c r="I45" s="196">
        <f t="shared" si="14"/>
        <v>1313.5723740242693</v>
      </c>
      <c r="J45" s="196">
        <f t="shared" si="14"/>
        <v>1271.5857562576311</v>
      </c>
      <c r="K45" s="196">
        <f t="shared" si="14"/>
        <v>1218.9926480642007</v>
      </c>
      <c r="L45" s="196">
        <f t="shared" si="14"/>
        <v>1169.0967867817265</v>
      </c>
      <c r="M45" s="196">
        <f t="shared" si="14"/>
        <v>1128.1579106118802</v>
      </c>
      <c r="N45" s="196">
        <f t="shared" si="14"/>
        <v>1098.7363951286975</v>
      </c>
      <c r="O45" s="196">
        <f t="shared" si="14"/>
        <v>1039.4273516904425</v>
      </c>
      <c r="P45" s="196">
        <f t="shared" si="14"/>
        <v>1067.6255353413796</v>
      </c>
      <c r="Q45" s="196">
        <f t="shared" si="14"/>
        <v>1072.9636201102146</v>
      </c>
      <c r="R45" s="196">
        <f t="shared" si="14"/>
        <v>1077.847105663659</v>
      </c>
      <c r="S45" s="196">
        <f t="shared" si="14"/>
        <v>1082.1686632017067</v>
      </c>
      <c r="T45" s="196">
        <f t="shared" si="14"/>
        <v>1092.342131259657</v>
      </c>
      <c r="U45" s="196">
        <f t="shared" si="14"/>
        <v>1101.7630859542903</v>
      </c>
      <c r="V45" s="196">
        <f t="shared" si="14"/>
        <v>1110.5554101471248</v>
      </c>
      <c r="W45" s="196">
        <f t="shared" si="14"/>
        <v>1118.8025015223536</v>
      </c>
      <c r="X45" s="196">
        <f t="shared" si="14"/>
        <v>1126.4020343865334</v>
      </c>
      <c r="Y45" s="196">
        <f t="shared" si="14"/>
        <v>1132.1915690467133</v>
      </c>
      <c r="Z45" s="196">
        <f t="shared" si="14"/>
        <v>1137.6604699710042</v>
      </c>
      <c r="AA45" s="196">
        <f t="shared" si="14"/>
        <v>1142.8346592530997</v>
      </c>
      <c r="AB45" s="196">
        <f t="shared" si="14"/>
        <v>1147.7373324148377</v>
      </c>
      <c r="AC45" s="196">
        <f t="shared" si="14"/>
        <v>1152.3870509979567</v>
      </c>
    </row>
    <row r="46" spans="1:29">
      <c r="A46" s="195" t="s">
        <v>345</v>
      </c>
      <c r="B46" s="194">
        <f>-B36/$B$30</f>
        <v>1.0704815949242467E-3</v>
      </c>
      <c r="C46" s="194">
        <f>-C36/C$30</f>
        <v>1.3239384954788211E-3</v>
      </c>
      <c r="D46" s="194">
        <f t="shared" ref="D46:AC46" si="15">-D36/D$30</f>
        <v>1.1955581793494305E-3</v>
      </c>
      <c r="E46" s="194">
        <f t="shared" si="15"/>
        <v>1.1346230721263771E-3</v>
      </c>
      <c r="F46" s="194">
        <f t="shared" si="15"/>
        <v>1.1375052989087708E-3</v>
      </c>
      <c r="G46" s="194">
        <f t="shared" si="15"/>
        <v>1.1289758257686498E-3</v>
      </c>
      <c r="H46" s="194">
        <f t="shared" si="15"/>
        <v>1.0837947096648481E-3</v>
      </c>
      <c r="I46" s="194">
        <f t="shared" si="15"/>
        <v>1.0704815949242467E-3</v>
      </c>
      <c r="J46" s="194">
        <f t="shared" si="15"/>
        <v>1.0581480654761905E-3</v>
      </c>
      <c r="K46" s="194">
        <f t="shared" si="15"/>
        <v>1.0454173038694952E-3</v>
      </c>
      <c r="L46" s="194">
        <f t="shared" si="15"/>
        <v>1.0266336106356372E-3</v>
      </c>
      <c r="M46" s="194">
        <f t="shared" si="15"/>
        <v>1.0175329192024863E-3</v>
      </c>
      <c r="N46" s="194">
        <f t="shared" si="15"/>
        <v>1.0152662197725473E-3</v>
      </c>
      <c r="O46" s="194">
        <f t="shared" si="15"/>
        <v>1.0271978164490153E-3</v>
      </c>
      <c r="P46" s="194">
        <f t="shared" si="15"/>
        <v>1.0526409230878137E-3</v>
      </c>
      <c r="Q46" s="194">
        <f t="shared" si="15"/>
        <v>1.0720262834802486E-3</v>
      </c>
      <c r="R46" s="194">
        <f t="shared" si="15"/>
        <v>1.1240922627459506E-3</v>
      </c>
      <c r="S46" s="194">
        <f t="shared" si="15"/>
        <v>1.1511810398017234E-3</v>
      </c>
      <c r="T46" s="194">
        <f t="shared" si="15"/>
        <v>1.1451988525545227E-3</v>
      </c>
      <c r="U46" s="194">
        <f t="shared" si="15"/>
        <v>1.1660109324916797E-3</v>
      </c>
      <c r="V46" s="194">
        <f t="shared" si="15"/>
        <v>1.174844858739285E-3</v>
      </c>
      <c r="W46" s="194">
        <f t="shared" si="15"/>
        <v>1.2021075372137338E-3</v>
      </c>
      <c r="X46" s="194">
        <f t="shared" si="15"/>
        <v>1.2495394995049058E-3</v>
      </c>
      <c r="Y46" s="194">
        <f t="shared" si="15"/>
        <v>1.2620242399198926E-3</v>
      </c>
      <c r="Z46" s="194">
        <f t="shared" si="15"/>
        <v>1.2860075104376588E-3</v>
      </c>
      <c r="AA46" s="194">
        <f t="shared" si="15"/>
        <v>1.3217004021198167E-3</v>
      </c>
      <c r="AB46" s="194">
        <f t="shared" si="15"/>
        <v>1.3275713969190112E-3</v>
      </c>
      <c r="AC46" s="194">
        <f t="shared" si="15"/>
        <v>1.3239384954788211E-3</v>
      </c>
    </row>
    <row r="47" spans="1:29">
      <c r="A47" s="195" t="s">
        <v>346</v>
      </c>
      <c r="B47" s="194">
        <f>-B38/$B$30</f>
        <v>3.6095339698861552E-3</v>
      </c>
      <c r="C47" s="194">
        <f>-C37/C$30</f>
        <v>4.3965600962529266E-4</v>
      </c>
      <c r="D47" s="194">
        <f t="shared" ref="D47:AC47" si="16">-D37/D$30</f>
        <v>4.1792455280713147E-4</v>
      </c>
      <c r="E47" s="194">
        <f t="shared" si="16"/>
        <v>3.9480850135107043E-4</v>
      </c>
      <c r="F47" s="194">
        <f t="shared" si="16"/>
        <v>3.9462629327966284E-4</v>
      </c>
      <c r="G47" s="194">
        <f t="shared" si="16"/>
        <v>3.8992708422901643E-4</v>
      </c>
      <c r="H47" s="194">
        <f t="shared" si="16"/>
        <v>3.7367803000779422E-4</v>
      </c>
      <c r="I47" s="194">
        <f t="shared" si="16"/>
        <v>3.6842041396769834E-4</v>
      </c>
      <c r="J47" s="194">
        <f t="shared" si="16"/>
        <v>3.6324813670126174E-4</v>
      </c>
      <c r="K47" s="194">
        <f t="shared" si="16"/>
        <v>3.5912077053335716E-4</v>
      </c>
      <c r="L47" s="194">
        <f t="shared" si="16"/>
        <v>3.5110056495170865E-4</v>
      </c>
      <c r="M47" s="194">
        <f t="shared" si="16"/>
        <v>3.4718298754553024E-4</v>
      </c>
      <c r="N47" s="194">
        <f t="shared" si="16"/>
        <v>3.4573218577547434E-4</v>
      </c>
      <c r="O47" s="194">
        <f t="shared" si="16"/>
        <v>3.4953488554453053E-4</v>
      </c>
      <c r="P47" s="194">
        <f t="shared" si="16"/>
        <v>3.5716479075968336E-4</v>
      </c>
      <c r="Q47" s="194">
        <f t="shared" si="16"/>
        <v>3.6352811661932943E-4</v>
      </c>
      <c r="R47" s="194">
        <f t="shared" si="16"/>
        <v>3.8047741058810745E-4</v>
      </c>
      <c r="S47" s="194">
        <f t="shared" si="16"/>
        <v>3.8844076800803151E-4</v>
      </c>
      <c r="T47" s="194">
        <f t="shared" si="16"/>
        <v>3.8590979761392134E-4</v>
      </c>
      <c r="U47" s="194">
        <f t="shared" si="16"/>
        <v>3.9254468910803543E-4</v>
      </c>
      <c r="V47" s="194">
        <f t="shared" si="16"/>
        <v>3.9413964930346983E-4</v>
      </c>
      <c r="W47" s="194">
        <f t="shared" si="16"/>
        <v>4.0268028719810507E-4</v>
      </c>
      <c r="X47" s="194">
        <f t="shared" si="16"/>
        <v>4.19225027005131E-4</v>
      </c>
      <c r="Y47" s="194">
        <f t="shared" si="16"/>
        <v>4.2143700506792951E-4</v>
      </c>
      <c r="Z47" s="194">
        <f t="shared" si="16"/>
        <v>4.291588075984456E-4</v>
      </c>
      <c r="AA47" s="194">
        <f t="shared" si="16"/>
        <v>4.3931239372990949E-4</v>
      </c>
      <c r="AB47" s="194">
        <f t="shared" si="16"/>
        <v>4.4228588779851108E-4</v>
      </c>
      <c r="AC47" s="194">
        <f t="shared" si="16"/>
        <v>4.3965600962529266E-4</v>
      </c>
    </row>
    <row r="48" spans="1:29">
      <c r="A48" s="195" t="s">
        <v>347</v>
      </c>
      <c r="B48" s="194">
        <f>-B37/$B$30</f>
        <v>3.6842041396769834E-4</v>
      </c>
      <c r="C48" s="194">
        <f>-C38/C$30</f>
        <v>4.6320172642892619E-3</v>
      </c>
      <c r="D48" s="194">
        <f t="shared" ref="D48:AC48" si="17">-D38/D$30</f>
        <v>4.0574650805832689E-3</v>
      </c>
      <c r="E48" s="194">
        <f t="shared" si="17"/>
        <v>3.8339793390147576E-3</v>
      </c>
      <c r="F48" s="194">
        <f t="shared" si="17"/>
        <v>3.8307216579137708E-3</v>
      </c>
      <c r="G48" s="194">
        <f t="shared" si="17"/>
        <v>3.8087477674458598E-3</v>
      </c>
      <c r="H48" s="194">
        <f t="shared" si="17"/>
        <v>3.6515157638347625E-3</v>
      </c>
      <c r="I48" s="194">
        <f t="shared" si="17"/>
        <v>3.6095339698861552E-3</v>
      </c>
      <c r="J48" s="194">
        <f t="shared" si="17"/>
        <v>3.5692375992063493E-3</v>
      </c>
      <c r="K48" s="194">
        <f t="shared" si="17"/>
        <v>3.5369461646875692E-3</v>
      </c>
      <c r="L48" s="194">
        <f t="shared" si="17"/>
        <v>3.4863839055280124E-3</v>
      </c>
      <c r="M48" s="194">
        <f t="shared" si="17"/>
        <v>3.4550660636697541E-3</v>
      </c>
      <c r="N48" s="194">
        <f t="shared" si="17"/>
        <v>3.4620935792258013E-3</v>
      </c>
      <c r="O48" s="194">
        <f t="shared" si="17"/>
        <v>3.5013789426063873E-3</v>
      </c>
      <c r="P48" s="194">
        <f t="shared" si="17"/>
        <v>3.6153975949456698E-3</v>
      </c>
      <c r="Q48" s="194">
        <f t="shared" si="17"/>
        <v>3.6721743858418297E-3</v>
      </c>
      <c r="R48" s="194">
        <f t="shared" si="17"/>
        <v>3.8599854005870204E-3</v>
      </c>
      <c r="S48" s="194">
        <f t="shared" si="17"/>
        <v>3.9693183275119216E-3</v>
      </c>
      <c r="T48" s="194">
        <f t="shared" si="17"/>
        <v>3.9516589351300691E-3</v>
      </c>
      <c r="U48" s="194">
        <f t="shared" si="17"/>
        <v>4.0189736647549337E-3</v>
      </c>
      <c r="V48" s="194">
        <f t="shared" si="17"/>
        <v>4.0753063612612873E-3</v>
      </c>
      <c r="W48" s="194">
        <f t="shared" si="17"/>
        <v>4.1726133730959E-3</v>
      </c>
      <c r="X48" s="194">
        <f t="shared" si="17"/>
        <v>4.3375574691691416E-3</v>
      </c>
      <c r="Y48" s="194">
        <f t="shared" si="17"/>
        <v>4.3924539688578136E-3</v>
      </c>
      <c r="Z48" s="194">
        <f t="shared" si="17"/>
        <v>4.4772088807258316E-3</v>
      </c>
      <c r="AA48" s="194">
        <f t="shared" si="17"/>
        <v>4.5990235645522277E-3</v>
      </c>
      <c r="AB48" s="194">
        <f t="shared" si="17"/>
        <v>4.6206469854813232E-3</v>
      </c>
      <c r="AC48" s="194">
        <f t="shared" si="17"/>
        <v>4.6320172642892619E-3</v>
      </c>
    </row>
    <row r="49" spans="1:29">
      <c r="A49" s="195" t="s">
        <v>348</v>
      </c>
      <c r="B49" s="194">
        <f>-B39/$B$30</f>
        <v>1.7091785897906719E-2</v>
      </c>
      <c r="C49" s="194">
        <f>-C39/C$30</f>
        <v>2.1945138461719638E-2</v>
      </c>
      <c r="D49" s="194">
        <f t="shared" ref="D49:AC49" si="18">-D39/D$30</f>
        <v>1.9214619428537694E-2</v>
      </c>
      <c r="E49" s="194">
        <f t="shared" si="18"/>
        <v>1.815511667013095E-2</v>
      </c>
      <c r="F49" s="194">
        <f t="shared" si="18"/>
        <v>1.8138807934211767E-2</v>
      </c>
      <c r="G49" s="194">
        <f t="shared" si="18"/>
        <v>1.8035233573683501E-2</v>
      </c>
      <c r="H49" s="194">
        <f t="shared" si="18"/>
        <v>1.7290373538581448E-2</v>
      </c>
      <c r="I49" s="194">
        <f t="shared" si="18"/>
        <v>1.7091785897906719E-2</v>
      </c>
      <c r="J49" s="194">
        <f t="shared" si="18"/>
        <v>1.6901062563593812E-2</v>
      </c>
      <c r="K49" s="194">
        <f t="shared" si="18"/>
        <v>1.6748898624272958E-2</v>
      </c>
      <c r="L49" s="194">
        <f t="shared" si="18"/>
        <v>1.6510371435793283E-2</v>
      </c>
      <c r="M49" s="194">
        <f t="shared" si="18"/>
        <v>1.6362036905243706E-2</v>
      </c>
      <c r="N49" s="194">
        <f t="shared" si="18"/>
        <v>1.6396332582542261E-2</v>
      </c>
      <c r="O49" s="194">
        <f t="shared" si="18"/>
        <v>1.6582291516120274E-2</v>
      </c>
      <c r="P49" s="194">
        <f t="shared" si="18"/>
        <v>1.7124154656142709E-2</v>
      </c>
      <c r="Q49" s="194">
        <f t="shared" si="18"/>
        <v>1.7392406767338442E-2</v>
      </c>
      <c r="R49" s="194">
        <f t="shared" si="18"/>
        <v>1.8282577127948691E-2</v>
      </c>
      <c r="S49" s="194">
        <f t="shared" si="18"/>
        <v>1.8801544810926128E-2</v>
      </c>
      <c r="T49" s="194">
        <f t="shared" si="18"/>
        <v>1.8718101484333442E-2</v>
      </c>
      <c r="U49" s="194">
        <f t="shared" si="18"/>
        <v>1.9036648070050476E-2</v>
      </c>
      <c r="V49" s="194">
        <f t="shared" si="18"/>
        <v>1.9305242467366535E-2</v>
      </c>
      <c r="W49" s="194">
        <f t="shared" si="18"/>
        <v>1.9766385983232111E-2</v>
      </c>
      <c r="X49" s="194">
        <f t="shared" si="18"/>
        <v>2.0547774358628139E-2</v>
      </c>
      <c r="Y49" s="194">
        <f t="shared" si="18"/>
        <v>2.0808614822054022E-2</v>
      </c>
      <c r="Z49" s="194">
        <f t="shared" si="18"/>
        <v>2.1210214843583923E-2</v>
      </c>
      <c r="AA49" s="194">
        <f t="shared" si="18"/>
        <v>2.1787139612525288E-2</v>
      </c>
      <c r="AB49" s="194">
        <f t="shared" si="18"/>
        <v>2.1889651213381031E-2</v>
      </c>
      <c r="AC49" s="194">
        <f t="shared" si="18"/>
        <v>2.1945138461719638E-2</v>
      </c>
    </row>
  </sheetData>
  <hyperlinks>
    <hyperlink ref="A26" r:id="rId1" xr:uid="{71954B23-6FB8-43A1-8341-1BBDEE77DEC7}"/>
  </hyperlinks>
  <pageMargins left="0.7" right="0.7" top="0.75" bottom="0.75" header="0.3" footer="0.3"/>
  <pageSetup orientation="portrait" horizontalDpi="0" verticalDpi="0"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69AD3-0EF3-410A-B146-77BB48AB2C91}">
  <sheetPr>
    <tabColor theme="9" tint="0.79998168889431442"/>
  </sheetPr>
  <dimension ref="A1:AG54"/>
  <sheetViews>
    <sheetView workbookViewId="0">
      <selection activeCell="B7" sqref="B7"/>
    </sheetView>
  </sheetViews>
  <sheetFormatPr defaultRowHeight="14.45"/>
  <cols>
    <col min="1" max="1" width="54.5703125" customWidth="1"/>
    <col min="2" max="2" width="14.7109375" bestFit="1" customWidth="1"/>
    <col min="3" max="3" width="16.28515625" customWidth="1"/>
    <col min="4" max="29" width="17.7109375" customWidth="1"/>
  </cols>
  <sheetData>
    <row r="1" spans="1:29" ht="21">
      <c r="A1" s="193" t="s">
        <v>403</v>
      </c>
    </row>
    <row r="2" spans="1:29">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29" ht="29.45" thickBot="1">
      <c r="A3" s="167" t="s">
        <v>404</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29" ht="15.6" thickTop="1" thickBot="1">
      <c r="A4" s="222" t="s">
        <v>333</v>
      </c>
      <c r="B4" s="171">
        <f>SUM(D4:I4)</f>
        <v>2000</v>
      </c>
      <c r="C4" s="247"/>
      <c r="D4" s="246">
        <f>+'Buildings M6-9 Summary'!G17</f>
        <v>500</v>
      </c>
      <c r="E4" s="245">
        <f>+$D$4</f>
        <v>500</v>
      </c>
      <c r="F4" s="171">
        <f>+$D$4</f>
        <v>500</v>
      </c>
      <c r="G4" s="171">
        <f>+$D$4</f>
        <v>500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29" ht="15.6" thickTop="1" thickBot="1">
      <c r="A5" s="244" t="s">
        <v>334</v>
      </c>
      <c r="B5" s="240">
        <f>+D5</f>
        <v>2000</v>
      </c>
      <c r="C5" s="243"/>
      <c r="D5" s="242">
        <f>+'Buildings M6-9 Summary'!H17</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29" ht="15" thickTop="1">
      <c r="A6" s="237" t="s">
        <v>335</v>
      </c>
      <c r="B6" s="237">
        <f>SUM(D6:I6)</f>
        <v>4000000</v>
      </c>
      <c r="C6" s="237"/>
      <c r="D6" s="238">
        <f t="shared" ref="D6:I6" si="0">+D5*D4</f>
        <v>1000000</v>
      </c>
      <c r="E6" s="237">
        <f t="shared" si="0"/>
        <v>1000000</v>
      </c>
      <c r="F6" s="237">
        <f t="shared" si="0"/>
        <v>1000000</v>
      </c>
      <c r="G6" s="237">
        <f t="shared" si="0"/>
        <v>1000000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29">
      <c r="A7" s="235" t="s">
        <v>336</v>
      </c>
      <c r="B7" s="235">
        <v>314207</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c r="A8" s="233" t="s">
        <v>337</v>
      </c>
      <c r="B8" s="233">
        <v>4314207</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c r="A9" s="222"/>
      <c r="B9" s="171"/>
      <c r="C9" s="231" t="s">
        <v>338</v>
      </c>
      <c r="D9" s="171">
        <f>+D4</f>
        <v>500</v>
      </c>
      <c r="E9" s="171">
        <f>+D4+E4</f>
        <v>1000</v>
      </c>
      <c r="F9" s="171">
        <f>+F4+E4+D4</f>
        <v>1500</v>
      </c>
      <c r="G9" s="171">
        <f>+G4+F4+E4+D4</f>
        <v>2000</v>
      </c>
      <c r="H9" s="171">
        <f>++H4+G4+F4+E4+D4</f>
        <v>2000</v>
      </c>
      <c r="I9" s="171">
        <f>+I4+H4+G4+F4+E4+D4</f>
        <v>2000</v>
      </c>
      <c r="J9" s="171">
        <f t="shared" ref="J9:AC9" si="1">+I9</f>
        <v>2000</v>
      </c>
      <c r="K9" s="171">
        <f t="shared" si="1"/>
        <v>2000</v>
      </c>
      <c r="L9" s="171">
        <f t="shared" si="1"/>
        <v>2000</v>
      </c>
      <c r="M9" s="171">
        <f t="shared" si="1"/>
        <v>2000</v>
      </c>
      <c r="N9" s="171">
        <f t="shared" si="1"/>
        <v>2000</v>
      </c>
      <c r="O9" s="171">
        <f t="shared" si="1"/>
        <v>2000</v>
      </c>
      <c r="P9" s="171">
        <f t="shared" si="1"/>
        <v>2000</v>
      </c>
      <c r="Q9" s="171">
        <f t="shared" si="1"/>
        <v>2000</v>
      </c>
      <c r="R9" s="171">
        <f t="shared" si="1"/>
        <v>2000</v>
      </c>
      <c r="S9" s="171">
        <f t="shared" si="1"/>
        <v>2000</v>
      </c>
      <c r="T9" s="171">
        <f t="shared" si="1"/>
        <v>2000</v>
      </c>
      <c r="U9" s="171">
        <f t="shared" si="1"/>
        <v>2000</v>
      </c>
      <c r="V9" s="171">
        <f t="shared" si="1"/>
        <v>2000</v>
      </c>
      <c r="W9" s="171">
        <f t="shared" si="1"/>
        <v>2000</v>
      </c>
      <c r="X9" s="171">
        <f t="shared" si="1"/>
        <v>2000</v>
      </c>
      <c r="Y9" s="171">
        <f t="shared" si="1"/>
        <v>2000</v>
      </c>
      <c r="Z9" s="171">
        <f t="shared" si="1"/>
        <v>2000</v>
      </c>
      <c r="AA9" s="171">
        <f t="shared" si="1"/>
        <v>2000</v>
      </c>
      <c r="AB9" s="171">
        <f t="shared" si="1"/>
        <v>2000</v>
      </c>
      <c r="AC9" s="171">
        <f t="shared" si="1"/>
        <v>2000</v>
      </c>
    </row>
    <row r="10" spans="1:29">
      <c r="A10" s="229" t="s">
        <v>339</v>
      </c>
      <c r="B10" s="229">
        <f>SUM(D10:I10)</f>
        <v>14055.246246844925</v>
      </c>
      <c r="C10" s="229">
        <f>SUM(D10:AC10)</f>
        <v>59419.026595169293</v>
      </c>
      <c r="D10" s="230">
        <f t="shared" ref="D10:J10" si="2">+D9*D47</f>
        <v>1420.4812582809764</v>
      </c>
      <c r="E10" s="230">
        <f t="shared" si="2"/>
        <v>2082.5214120632622</v>
      </c>
      <c r="F10" s="230">
        <f t="shared" si="2"/>
        <v>2633.4375945918678</v>
      </c>
      <c r="G10" s="230">
        <f t="shared" si="2"/>
        <v>3045.2872459593532</v>
      </c>
      <c r="H10" s="230">
        <f t="shared" si="2"/>
        <v>2595.7049486461251</v>
      </c>
      <c r="I10" s="230">
        <f t="shared" si="2"/>
        <v>2277.8137873033393</v>
      </c>
      <c r="J10" s="230">
        <f t="shared" si="2"/>
        <v>2085.3183895608918</v>
      </c>
      <c r="K10" s="230">
        <f t="shared" ref="K10:AC10" si="3">+$I$10</f>
        <v>2277.8137873033393</v>
      </c>
      <c r="L10" s="230">
        <f t="shared" si="3"/>
        <v>2277.8137873033393</v>
      </c>
      <c r="M10" s="230">
        <f t="shared" si="3"/>
        <v>2277.8137873033393</v>
      </c>
      <c r="N10" s="230">
        <f t="shared" si="3"/>
        <v>2277.8137873033393</v>
      </c>
      <c r="O10" s="230">
        <f t="shared" si="3"/>
        <v>2277.8137873033393</v>
      </c>
      <c r="P10" s="230">
        <f t="shared" si="3"/>
        <v>2277.8137873033393</v>
      </c>
      <c r="Q10" s="230">
        <f t="shared" si="3"/>
        <v>2277.8137873033393</v>
      </c>
      <c r="R10" s="230">
        <f t="shared" si="3"/>
        <v>2277.8137873033393</v>
      </c>
      <c r="S10" s="230">
        <f t="shared" si="3"/>
        <v>2277.8137873033393</v>
      </c>
      <c r="T10" s="230">
        <f t="shared" si="3"/>
        <v>2277.8137873033393</v>
      </c>
      <c r="U10" s="230">
        <f t="shared" si="3"/>
        <v>2277.8137873033393</v>
      </c>
      <c r="V10" s="230">
        <f t="shared" si="3"/>
        <v>2277.8137873033393</v>
      </c>
      <c r="W10" s="230">
        <f t="shared" si="3"/>
        <v>2277.8137873033393</v>
      </c>
      <c r="X10" s="230">
        <f t="shared" si="3"/>
        <v>2277.8137873033393</v>
      </c>
      <c r="Y10" s="230">
        <f t="shared" si="3"/>
        <v>2277.8137873033393</v>
      </c>
      <c r="Z10" s="230">
        <f t="shared" si="3"/>
        <v>2277.8137873033393</v>
      </c>
      <c r="AA10" s="230">
        <f t="shared" si="3"/>
        <v>2277.8137873033393</v>
      </c>
      <c r="AB10" s="230">
        <f t="shared" si="3"/>
        <v>2277.8137873033393</v>
      </c>
      <c r="AC10" s="230">
        <f t="shared" si="3"/>
        <v>2277.8137873033393</v>
      </c>
    </row>
    <row r="11" spans="1:29">
      <c r="A11" s="229" t="s">
        <v>340</v>
      </c>
      <c r="B11" s="228"/>
      <c r="C11" s="228"/>
      <c r="D11" s="227">
        <f t="shared" ref="D11:AC11" si="4">+D47</f>
        <v>2.8409625165619525</v>
      </c>
      <c r="E11" s="227">
        <f t="shared" si="4"/>
        <v>2.082521412063262</v>
      </c>
      <c r="F11" s="227">
        <f t="shared" si="4"/>
        <v>1.7556250630612451</v>
      </c>
      <c r="G11" s="227">
        <f t="shared" si="4"/>
        <v>1.5226436229796767</v>
      </c>
      <c r="H11" s="227">
        <f t="shared" si="4"/>
        <v>1.2978524743230626</v>
      </c>
      <c r="I11" s="227">
        <f t="shared" si="4"/>
        <v>1.1389068936516695</v>
      </c>
      <c r="J11" s="227">
        <f t="shared" si="4"/>
        <v>1.042659194780446</v>
      </c>
      <c r="K11" s="227">
        <f t="shared" si="4"/>
        <v>0.95944150797823524</v>
      </c>
      <c r="L11" s="227">
        <f t="shared" si="4"/>
        <v>0.88035669201977595</v>
      </c>
      <c r="M11" s="227">
        <f t="shared" si="4"/>
        <v>0.81851611422057202</v>
      </c>
      <c r="N11" s="227">
        <f t="shared" si="4"/>
        <v>0.76987232424921681</v>
      </c>
      <c r="O11" s="227">
        <f t="shared" si="4"/>
        <v>0.73821638508767295</v>
      </c>
      <c r="P11" s="227">
        <f t="shared" si="4"/>
        <v>0.6702151403701152</v>
      </c>
      <c r="Q11" s="227">
        <f t="shared" si="4"/>
        <v>0.63106071262402752</v>
      </c>
      <c r="R11" s="227">
        <f t="shared" si="4"/>
        <v>0.62053313965046542</v>
      </c>
      <c r="S11" s="227">
        <f t="shared" si="4"/>
        <v>0.60030900868665849</v>
      </c>
      <c r="T11" s="227">
        <f t="shared" si="4"/>
        <v>0.57119471658756282</v>
      </c>
      <c r="U11" s="227">
        <f t="shared" si="4"/>
        <v>0.56111611714441478</v>
      </c>
      <c r="V11" s="227">
        <f t="shared" si="4"/>
        <v>0.54279356001356405</v>
      </c>
      <c r="W11" s="227">
        <f t="shared" si="4"/>
        <v>0.53600979235803903</v>
      </c>
      <c r="X11" s="227">
        <f t="shared" si="4"/>
        <v>0.53916915482991323</v>
      </c>
      <c r="Y11" s="227">
        <f t="shared" si="4"/>
        <v>0.52579653073159238</v>
      </c>
      <c r="Z11" s="227">
        <f t="shared" si="4"/>
        <v>0.51979664532264269</v>
      </c>
      <c r="AA11" s="227">
        <f t="shared" si="4"/>
        <v>0.51985526621359612</v>
      </c>
      <c r="AB11" s="227">
        <f t="shared" si="4"/>
        <v>0.5101611174279792</v>
      </c>
      <c r="AC11" s="227">
        <f t="shared" si="4"/>
        <v>0.49633979021088215</v>
      </c>
    </row>
    <row r="12" spans="1:29">
      <c r="A12" s="225" t="s">
        <v>341</v>
      </c>
      <c r="B12" s="225">
        <f>B8/B10</f>
        <v>306.94638316766873</v>
      </c>
      <c r="C12" s="225">
        <f>+B8/C10</f>
        <v>72.606490668272585</v>
      </c>
      <c r="D12" s="224">
        <f>+D8/D10</f>
        <v>0</v>
      </c>
      <c r="E12" s="224">
        <f>+E8/E10</f>
        <v>0</v>
      </c>
      <c r="F12" s="224">
        <f>+F8/F10</f>
        <v>0</v>
      </c>
      <c r="G12" s="224">
        <f>+G8/G10</f>
        <v>0</v>
      </c>
      <c r="H12" s="224">
        <f>+H8/H10</f>
        <v>0</v>
      </c>
      <c r="I12" s="224"/>
      <c r="J12" s="224"/>
      <c r="K12" s="224"/>
      <c r="L12" s="224"/>
      <c r="M12" s="224"/>
      <c r="N12" s="224"/>
      <c r="O12" s="224"/>
      <c r="P12" s="224"/>
      <c r="Q12" s="224"/>
      <c r="R12" s="224"/>
      <c r="S12" s="224"/>
      <c r="T12" s="224"/>
      <c r="U12" s="224"/>
      <c r="V12" s="224"/>
      <c r="W12" s="224"/>
      <c r="X12" s="224"/>
      <c r="Y12" s="224"/>
      <c r="Z12" s="224"/>
      <c r="AA12" s="224"/>
      <c r="AB12" s="224"/>
      <c r="AC12" s="224"/>
    </row>
    <row r="13" spans="1:29">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29"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c r="A15" s="171" t="s">
        <v>343</v>
      </c>
      <c r="B15" s="222">
        <f t="shared" ref="B15:B20" si="5">SUM(D15:I15)</f>
        <v>20.547511682865395</v>
      </c>
      <c r="C15" s="222">
        <f t="shared" ref="C15:C20" si="6">SUM(D15:AC15)</f>
        <v>20.547511682865395</v>
      </c>
      <c r="D15" s="171">
        <f>+D49*D4</f>
        <v>7.9924776680771039</v>
      </c>
      <c r="E15" s="171">
        <f>+E49*E4</f>
        <v>5.1434268364526208</v>
      </c>
      <c r="F15" s="171">
        <f>+F49*F4</f>
        <v>3.9710566902575781</v>
      </c>
      <c r="G15" s="171">
        <f>+G49*G4</f>
        <v>3.4405504880780926</v>
      </c>
      <c r="H15" s="171">
        <f>+H49*H4</f>
        <v>0</v>
      </c>
      <c r="I15" s="171">
        <f t="shared" ref="I15:AC15" si="7">H15</f>
        <v>0</v>
      </c>
      <c r="J15" s="171">
        <f t="shared" si="7"/>
        <v>0</v>
      </c>
      <c r="K15" s="171">
        <f t="shared" si="7"/>
        <v>0</v>
      </c>
      <c r="L15" s="171">
        <f t="shared" si="7"/>
        <v>0</v>
      </c>
      <c r="M15" s="171">
        <f t="shared" si="7"/>
        <v>0</v>
      </c>
      <c r="N15" s="171">
        <f t="shared" si="7"/>
        <v>0</v>
      </c>
      <c r="O15" s="171">
        <f t="shared" si="7"/>
        <v>0</v>
      </c>
      <c r="P15" s="171">
        <f t="shared" si="7"/>
        <v>0</v>
      </c>
      <c r="Q15" s="171">
        <f t="shared" si="7"/>
        <v>0</v>
      </c>
      <c r="R15" s="171">
        <f t="shared" si="7"/>
        <v>0</v>
      </c>
      <c r="S15" s="171">
        <f t="shared" si="7"/>
        <v>0</v>
      </c>
      <c r="T15" s="171">
        <f t="shared" si="7"/>
        <v>0</v>
      </c>
      <c r="U15" s="171">
        <f t="shared" si="7"/>
        <v>0</v>
      </c>
      <c r="V15" s="171">
        <f t="shared" si="7"/>
        <v>0</v>
      </c>
      <c r="W15" s="171">
        <f t="shared" si="7"/>
        <v>0</v>
      </c>
      <c r="X15" s="171">
        <f t="shared" si="7"/>
        <v>0</v>
      </c>
      <c r="Y15" s="171">
        <f t="shared" si="7"/>
        <v>0</v>
      </c>
      <c r="Z15" s="171">
        <f t="shared" si="7"/>
        <v>0</v>
      </c>
      <c r="AA15" s="171">
        <f t="shared" si="7"/>
        <v>0</v>
      </c>
      <c r="AB15" s="171">
        <f t="shared" si="7"/>
        <v>0</v>
      </c>
      <c r="AC15" s="171">
        <f t="shared" si="7"/>
        <v>0</v>
      </c>
    </row>
    <row r="16" spans="1:29">
      <c r="A16" s="170" t="s">
        <v>344</v>
      </c>
      <c r="B16" s="254">
        <f t="shared" si="5"/>
        <v>16252935.62267936</v>
      </c>
      <c r="C16" s="254">
        <f t="shared" si="6"/>
        <v>44575590.22230605</v>
      </c>
      <c r="D16" s="170">
        <f t="shared" ref="D16:AC16" si="8">+D50*D9</f>
        <v>1737541.9284523658</v>
      </c>
      <c r="E16" s="170">
        <f t="shared" si="8"/>
        <v>2456353.740880047</v>
      </c>
      <c r="F16" s="170">
        <f t="shared" si="8"/>
        <v>2929880.8106432967</v>
      </c>
      <c r="G16" s="170">
        <f t="shared" si="8"/>
        <v>3252781.9051048169</v>
      </c>
      <c r="H16" s="170">
        <f t="shared" si="8"/>
        <v>3071774.4917088281</v>
      </c>
      <c r="I16" s="170">
        <f t="shared" si="8"/>
        <v>2804602.7458900041</v>
      </c>
      <c r="J16" s="170">
        <f t="shared" si="8"/>
        <v>2514201.8862744467</v>
      </c>
      <c r="K16" s="170">
        <f t="shared" si="8"/>
        <v>2245835.8060833071</v>
      </c>
      <c r="L16" s="170">
        <f t="shared" si="8"/>
        <v>2012549.592985776</v>
      </c>
      <c r="M16" s="170">
        <f t="shared" si="8"/>
        <v>1821269.1363791097</v>
      </c>
      <c r="N16" s="170">
        <f t="shared" si="8"/>
        <v>1670330.7214859673</v>
      </c>
      <c r="O16" s="170">
        <f t="shared" si="8"/>
        <v>1492983.169245064</v>
      </c>
      <c r="P16" s="170">
        <f t="shared" si="8"/>
        <v>1367408.6284194898</v>
      </c>
      <c r="Q16" s="170">
        <f t="shared" si="8"/>
        <v>1278117.0776571915</v>
      </c>
      <c r="R16" s="170">
        <f t="shared" si="8"/>
        <v>1215601.418766374</v>
      </c>
      <c r="S16" s="170">
        <f t="shared" si="8"/>
        <v>1173675.4425497858</v>
      </c>
      <c r="T16" s="170">
        <f t="shared" si="8"/>
        <v>1146272.6901073428</v>
      </c>
      <c r="U16" s="170">
        <f t="shared" si="8"/>
        <v>1129991.095911464</v>
      </c>
      <c r="V16" s="170">
        <f t="shared" si="8"/>
        <v>1120759.7564960269</v>
      </c>
      <c r="W16" s="170">
        <f t="shared" si="8"/>
        <v>1117740.5871849644</v>
      </c>
      <c r="X16" s="170">
        <f t="shared" si="8"/>
        <v>1120981.5688947954</v>
      </c>
      <c r="Y16" s="170">
        <f t="shared" si="8"/>
        <v>1130871.9183912738</v>
      </c>
      <c r="Z16" s="170">
        <f t="shared" si="8"/>
        <v>1147677.0109093464</v>
      </c>
      <c r="AA16" s="170">
        <f t="shared" si="8"/>
        <v>1171821.9267736392</v>
      </c>
      <c r="AB16" s="170">
        <f t="shared" si="8"/>
        <v>1203202.8107916065</v>
      </c>
      <c r="AC16" s="170">
        <f t="shared" si="8"/>
        <v>1241362.3543197128</v>
      </c>
    </row>
    <row r="17" spans="1:33">
      <c r="A17" s="252" t="s">
        <v>345</v>
      </c>
      <c r="B17" s="253">
        <f t="shared" si="5"/>
        <v>10.834907189988243</v>
      </c>
      <c r="C17" s="253">
        <f t="shared" si="6"/>
        <v>35.845297284001852</v>
      </c>
      <c r="D17" s="252">
        <f t="shared" ref="D17:AC17" si="9">+D51*D9</f>
        <v>0.95770795401119801</v>
      </c>
      <c r="E17" s="252">
        <f t="shared" si="9"/>
        <v>1.47050294557484</v>
      </c>
      <c r="F17" s="252">
        <f t="shared" si="9"/>
        <v>1.949656961240757</v>
      </c>
      <c r="G17" s="252">
        <f t="shared" si="9"/>
        <v>2.3680529084653545</v>
      </c>
      <c r="H17" s="252">
        <f t="shared" si="9"/>
        <v>2.1227193740545314</v>
      </c>
      <c r="I17" s="252">
        <f t="shared" si="9"/>
        <v>1.966267046641561</v>
      </c>
      <c r="J17" s="252">
        <f t="shared" si="9"/>
        <v>1.8249240160850115</v>
      </c>
      <c r="K17" s="252">
        <f t="shared" si="9"/>
        <v>1.7040643796451558</v>
      </c>
      <c r="L17" s="252">
        <f t="shared" si="9"/>
        <v>1.5867371945554953</v>
      </c>
      <c r="M17" s="252">
        <f t="shared" si="9"/>
        <v>1.4953424321350255</v>
      </c>
      <c r="N17" s="252">
        <f t="shared" si="9"/>
        <v>1.4279280414749562</v>
      </c>
      <c r="O17" s="252">
        <f t="shared" si="9"/>
        <v>1.3862532124486384</v>
      </c>
      <c r="P17" s="252">
        <f t="shared" si="9"/>
        <v>1.2777395413832255</v>
      </c>
      <c r="Q17" s="252">
        <f t="shared" si="9"/>
        <v>1.2178832469513843</v>
      </c>
      <c r="R17" s="252">
        <f t="shared" si="9"/>
        <v>1.2154127866122622</v>
      </c>
      <c r="S17" s="252">
        <f t="shared" si="9"/>
        <v>1.1945789624628194</v>
      </c>
      <c r="T17" s="252">
        <f t="shared" si="9"/>
        <v>1.1379497109673651</v>
      </c>
      <c r="U17" s="252">
        <f t="shared" si="9"/>
        <v>1.1183093200117125</v>
      </c>
      <c r="V17" s="252">
        <f t="shared" si="9"/>
        <v>1.0853281332675215</v>
      </c>
      <c r="W17" s="252">
        <f t="shared" si="9"/>
        <v>1.0729346369013841</v>
      </c>
      <c r="X17" s="252">
        <f t="shared" si="9"/>
        <v>1.0804049219608451</v>
      </c>
      <c r="Y17" s="252">
        <f t="shared" si="9"/>
        <v>1.0565685277977621</v>
      </c>
      <c r="Z17" s="252">
        <f t="shared" si="9"/>
        <v>1.0461535530259785</v>
      </c>
      <c r="AA17" s="252">
        <f t="shared" si="9"/>
        <v>1.0475275271375848</v>
      </c>
      <c r="AB17" s="252">
        <f t="shared" si="9"/>
        <v>1.0296516953502199</v>
      </c>
      <c r="AC17" s="252">
        <f t="shared" si="9"/>
        <v>1.0046982538392659</v>
      </c>
    </row>
    <row r="18" spans="1:33">
      <c r="A18" s="252" t="s">
        <v>346</v>
      </c>
      <c r="B18" s="253">
        <f t="shared" si="5"/>
        <v>4.2844792494531063</v>
      </c>
      <c r="C18" s="253">
        <f t="shared" si="6"/>
        <v>14.181627047125843</v>
      </c>
      <c r="D18" s="252">
        <f t="shared" ref="D18:AC18" si="10">+D52*D9</f>
        <v>0.38179317861264267</v>
      </c>
      <c r="E18" s="252">
        <f t="shared" si="10"/>
        <v>0.58392087732813702</v>
      </c>
      <c r="F18" s="252">
        <f t="shared" si="10"/>
        <v>0.77213923202213997</v>
      </c>
      <c r="G18" s="252">
        <f t="shared" si="10"/>
        <v>0.93495527284365498</v>
      </c>
      <c r="H18" s="252">
        <f t="shared" si="10"/>
        <v>0.83716085090366887</v>
      </c>
      <c r="I18" s="252">
        <f t="shared" si="10"/>
        <v>0.77450983774286342</v>
      </c>
      <c r="J18" s="252">
        <f t="shared" si="10"/>
        <v>0.71735626847111644</v>
      </c>
      <c r="K18" s="252">
        <f t="shared" si="10"/>
        <v>0.67096939058042482</v>
      </c>
      <c r="L18" s="252">
        <f t="shared" si="10"/>
        <v>0.6226547720303649</v>
      </c>
      <c r="M18" s="252">
        <f t="shared" si="10"/>
        <v>0.58506744143701961</v>
      </c>
      <c r="N18" s="252">
        <f t="shared" si="10"/>
        <v>0.55802810111814605</v>
      </c>
      <c r="O18" s="252">
        <f t="shared" si="10"/>
        <v>0.54201263558494528</v>
      </c>
      <c r="P18" s="252">
        <f t="shared" si="10"/>
        <v>0.49985266232568981</v>
      </c>
      <c r="Q18" s="252">
        <f t="shared" si="10"/>
        <v>0.47666898581460521</v>
      </c>
      <c r="R18" s="252">
        <f t="shared" si="10"/>
        <v>0.47668322418988796</v>
      </c>
      <c r="S18" s="252">
        <f t="shared" si="10"/>
        <v>0.46895379528037939</v>
      </c>
      <c r="T18" s="252">
        <f t="shared" si="10"/>
        <v>0.44772029083348763</v>
      </c>
      <c r="U18" s="252">
        <f t="shared" si="10"/>
        <v>0.44151291206080145</v>
      </c>
      <c r="V18" s="252">
        <f t="shared" si="10"/>
        <v>0.42984266015963246</v>
      </c>
      <c r="W18" s="252">
        <f t="shared" si="10"/>
        <v>0.42669691671444998</v>
      </c>
      <c r="X18" s="252">
        <f t="shared" si="10"/>
        <v>0.43265275021142197</v>
      </c>
      <c r="Y18" s="252">
        <f t="shared" si="10"/>
        <v>0.42402783212095463</v>
      </c>
      <c r="Z18" s="252">
        <f t="shared" si="10"/>
        <v>0.42231157500717859</v>
      </c>
      <c r="AA18" s="252">
        <f t="shared" si="10"/>
        <v>0.42380092362112326</v>
      </c>
      <c r="AB18" s="252">
        <f t="shared" si="10"/>
        <v>0.41953962439156361</v>
      </c>
      <c r="AC18" s="252">
        <f t="shared" si="10"/>
        <v>0.41079503571954706</v>
      </c>
    </row>
    <row r="19" spans="1:33">
      <c r="A19" s="252" t="s">
        <v>347</v>
      </c>
      <c r="B19" s="253">
        <f t="shared" si="5"/>
        <v>42.884927167869449</v>
      </c>
      <c r="C19" s="253">
        <f t="shared" si="6"/>
        <v>142.42055455293402</v>
      </c>
      <c r="D19" s="252">
        <f t="shared" ref="D19:AC19" si="11">+D53*D9</f>
        <v>3.8104919647818098</v>
      </c>
      <c r="E19" s="252">
        <f t="shared" si="11"/>
        <v>5.8430028549417683</v>
      </c>
      <c r="F19" s="252">
        <f t="shared" si="11"/>
        <v>7.7219880868299295</v>
      </c>
      <c r="G19" s="252">
        <f t="shared" si="11"/>
        <v>9.3729454112658033</v>
      </c>
      <c r="H19" s="252">
        <f t="shared" si="11"/>
        <v>8.3814671646436363</v>
      </c>
      <c r="I19" s="252">
        <f t="shared" si="11"/>
        <v>7.7550316854064993</v>
      </c>
      <c r="J19" s="252">
        <f t="shared" si="11"/>
        <v>7.1855609567028953</v>
      </c>
      <c r="K19" s="252">
        <f t="shared" si="11"/>
        <v>6.7081758167230277</v>
      </c>
      <c r="L19" s="252">
        <f t="shared" si="11"/>
        <v>6.2526491294724389</v>
      </c>
      <c r="M19" s="252">
        <f t="shared" si="11"/>
        <v>5.8736531504073088</v>
      </c>
      <c r="N19" s="252">
        <f t="shared" si="11"/>
        <v>5.6180357400343439</v>
      </c>
      <c r="O19" s="252">
        <f t="shared" si="11"/>
        <v>5.4407601853886796</v>
      </c>
      <c r="P19" s="252">
        <f t="shared" si="11"/>
        <v>5.038693657871498</v>
      </c>
      <c r="Q19" s="252">
        <f t="shared" si="11"/>
        <v>4.7842072863805054</v>
      </c>
      <c r="R19" s="252">
        <f t="shared" si="11"/>
        <v>4.7870406812755517</v>
      </c>
      <c r="S19" s="252">
        <f t="shared" si="11"/>
        <v>4.7267061768050471</v>
      </c>
      <c r="T19" s="252">
        <f t="shared" si="11"/>
        <v>4.5146289978295879</v>
      </c>
      <c r="U19" s="252">
        <f t="shared" si="11"/>
        <v>4.4412534510622956</v>
      </c>
      <c r="V19" s="252">
        <f t="shared" si="11"/>
        <v>4.3447004717290838</v>
      </c>
      <c r="W19" s="252">
        <f t="shared" si="11"/>
        <v>4.3066728963216265</v>
      </c>
      <c r="X19" s="252">
        <f t="shared" si="11"/>
        <v>4.3486257255944265</v>
      </c>
      <c r="Y19" s="252">
        <f t="shared" si="11"/>
        <v>4.2803104348716312</v>
      </c>
      <c r="Z19" s="252">
        <f t="shared" si="11"/>
        <v>4.254658655140573</v>
      </c>
      <c r="AA19" s="252">
        <f t="shared" si="11"/>
        <v>4.2721705559501775</v>
      </c>
      <c r="AB19" s="252">
        <f t="shared" si="11"/>
        <v>4.2153437327741043</v>
      </c>
      <c r="AC19" s="252">
        <f t="shared" si="11"/>
        <v>4.1417796827297702</v>
      </c>
    </row>
    <row r="20" spans="1:33">
      <c r="A20" s="252" t="s">
        <v>348</v>
      </c>
      <c r="B20" s="253">
        <f t="shared" si="5"/>
        <v>203.50662637129744</v>
      </c>
      <c r="C20" s="253">
        <f t="shared" si="6"/>
        <v>675.87631264407844</v>
      </c>
      <c r="D20" s="252">
        <f t="shared" ref="D20:AC20" si="12">+D54*D9</f>
        <v>18.083515557550111</v>
      </c>
      <c r="E20" s="252">
        <f t="shared" si="12"/>
        <v>27.728802737118773</v>
      </c>
      <c r="F20" s="252">
        <f t="shared" si="12"/>
        <v>36.644310549605777</v>
      </c>
      <c r="G20" s="252">
        <f t="shared" si="12"/>
        <v>44.478494019043055</v>
      </c>
      <c r="H20" s="252">
        <f t="shared" si="12"/>
        <v>39.772308890481256</v>
      </c>
      <c r="I20" s="252">
        <f t="shared" si="12"/>
        <v>36.799194617498486</v>
      </c>
      <c r="J20" s="252">
        <f t="shared" si="12"/>
        <v>34.096235832754644</v>
      </c>
      <c r="K20" s="252">
        <f t="shared" si="12"/>
        <v>31.830901700799842</v>
      </c>
      <c r="L20" s="252">
        <f t="shared" si="12"/>
        <v>29.669769522833732</v>
      </c>
      <c r="M20" s="252">
        <f t="shared" si="12"/>
        <v>27.870264323091902</v>
      </c>
      <c r="N20" s="252">
        <f t="shared" si="12"/>
        <v>26.657920235426747</v>
      </c>
      <c r="O20" s="252">
        <f t="shared" si="12"/>
        <v>25.815942163405765</v>
      </c>
      <c r="P20" s="252">
        <f t="shared" si="12"/>
        <v>23.909592128501977</v>
      </c>
      <c r="Q20" s="252">
        <f t="shared" si="12"/>
        <v>22.700908298077234</v>
      </c>
      <c r="R20" s="252">
        <f t="shared" si="12"/>
        <v>22.715096280462241</v>
      </c>
      <c r="S20" s="252">
        <f t="shared" si="12"/>
        <v>22.430091728418329</v>
      </c>
      <c r="T20" s="252">
        <f t="shared" si="12"/>
        <v>21.424408727052992</v>
      </c>
      <c r="U20" s="252">
        <f t="shared" si="12"/>
        <v>21.076464361806252</v>
      </c>
      <c r="V20" s="252">
        <f t="shared" si="12"/>
        <v>20.620287054138</v>
      </c>
      <c r="W20" s="252">
        <f t="shared" si="12"/>
        <v>20.440477154630724</v>
      </c>
      <c r="X20" s="252">
        <f t="shared" si="12"/>
        <v>20.640281881569184</v>
      </c>
      <c r="Y20" s="252">
        <f t="shared" si="12"/>
        <v>20.317635770291744</v>
      </c>
      <c r="Z20" s="252">
        <f t="shared" si="12"/>
        <v>20.196820541494144</v>
      </c>
      <c r="AA20" s="252">
        <f t="shared" si="12"/>
        <v>20.280632791478329</v>
      </c>
      <c r="AB20" s="252">
        <f t="shared" si="12"/>
        <v>20.011779871949511</v>
      </c>
      <c r="AC20" s="252">
        <f t="shared" si="12"/>
        <v>19.664175904597613</v>
      </c>
    </row>
    <row r="21" spans="1:33">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33">
      <c r="A22" s="315" t="s">
        <v>398</v>
      </c>
      <c r="B22" s="282"/>
    </row>
    <row r="23" spans="1:33">
      <c r="A23" s="282" t="s">
        <v>399</v>
      </c>
      <c r="B23" s="321">
        <v>6100</v>
      </c>
    </row>
    <row r="24" spans="1:33">
      <c r="A24" s="282" t="s">
        <v>400</v>
      </c>
      <c r="B24" s="321">
        <v>20550</v>
      </c>
    </row>
    <row r="25" spans="1:33">
      <c r="A25" t="s">
        <v>401</v>
      </c>
    </row>
    <row r="26" spans="1:33">
      <c r="A26" s="314" t="s">
        <v>402</v>
      </c>
    </row>
    <row r="27" spans="1:33" ht="18.600000000000001">
      <c r="A27" s="213" t="s">
        <v>362</v>
      </c>
      <c r="B27" s="213"/>
      <c r="C27" s="213"/>
    </row>
    <row r="28" spans="1:33">
      <c r="A28" s="742" t="s">
        <v>405</v>
      </c>
      <c r="B28" s="742"/>
      <c r="C28" s="742"/>
      <c r="D28" s="742"/>
      <c r="E28" s="742"/>
    </row>
    <row r="29" spans="1:33">
      <c r="A29" s="694"/>
      <c r="B29" s="694"/>
      <c r="C29" s="694"/>
      <c r="D29" s="694"/>
      <c r="E29" s="694"/>
    </row>
    <row r="30" spans="1:33">
      <c r="A30" s="694"/>
      <c r="B30" s="694"/>
      <c r="C30" s="320" t="s">
        <v>406</v>
      </c>
      <c r="D30" s="291">
        <f>SUM(E32:AC32)+D35</f>
        <v>1473003</v>
      </c>
      <c r="E30" s="694"/>
      <c r="I30" s="164">
        <f>SUM(E32:I32)+D35</f>
        <v>186679</v>
      </c>
    </row>
    <row r="31" spans="1:33">
      <c r="B31" s="743" t="s">
        <v>407</v>
      </c>
      <c r="C31" s="743"/>
      <c r="D31" s="319">
        <f>AVERAGE(E31:AC31)</f>
        <v>353703864</v>
      </c>
      <c r="E31" s="318">
        <f t="shared" ref="E31:AC31" si="13">+E37-D37</f>
        <v>126495700</v>
      </c>
      <c r="F31" s="318">
        <f t="shared" si="13"/>
        <v>153982300</v>
      </c>
      <c r="G31" s="318">
        <f t="shared" si="13"/>
        <v>186702700</v>
      </c>
      <c r="H31" s="318">
        <f t="shared" si="13"/>
        <v>232867500</v>
      </c>
      <c r="I31" s="318">
        <f t="shared" si="13"/>
        <v>295972000</v>
      </c>
      <c r="J31" s="318">
        <f t="shared" si="13"/>
        <v>372130500</v>
      </c>
      <c r="K31" s="318">
        <f t="shared" si="13"/>
        <v>449893300</v>
      </c>
      <c r="L31" s="318">
        <f t="shared" si="13"/>
        <v>527857400</v>
      </c>
      <c r="M31" s="318">
        <f t="shared" si="13"/>
        <v>593511700</v>
      </c>
      <c r="N31" s="318">
        <f t="shared" si="13"/>
        <v>640670800</v>
      </c>
      <c r="O31" s="318">
        <f t="shared" si="13"/>
        <v>662618600</v>
      </c>
      <c r="P31" s="318">
        <f t="shared" si="13"/>
        <v>643367000</v>
      </c>
      <c r="Q31" s="318">
        <f t="shared" si="13"/>
        <v>608767800</v>
      </c>
      <c r="R31" s="318">
        <f t="shared" si="13"/>
        <v>560614400</v>
      </c>
      <c r="S31" s="318">
        <f t="shared" si="13"/>
        <v>501767700</v>
      </c>
      <c r="T31" s="318">
        <f t="shared" si="13"/>
        <v>447227600</v>
      </c>
      <c r="U31" s="318">
        <f t="shared" si="13"/>
        <v>394175900</v>
      </c>
      <c r="V31" s="318">
        <f t="shared" si="13"/>
        <v>355709300</v>
      </c>
      <c r="W31" s="318">
        <f t="shared" si="13"/>
        <v>315717700</v>
      </c>
      <c r="X31" s="318">
        <f t="shared" si="13"/>
        <v>269790800</v>
      </c>
      <c r="Y31" s="318">
        <f t="shared" si="13"/>
        <v>216781800</v>
      </c>
      <c r="Z31" s="318">
        <f t="shared" si="13"/>
        <v>159325900</v>
      </c>
      <c r="AA31" s="318">
        <f t="shared" si="13"/>
        <v>98271000</v>
      </c>
      <c r="AB31" s="318">
        <f t="shared" si="13"/>
        <v>39869600</v>
      </c>
      <c r="AC31" s="318">
        <f t="shared" si="13"/>
        <v>-11492400</v>
      </c>
    </row>
    <row r="32" spans="1:33">
      <c r="B32" s="282"/>
      <c r="C32" s="292" t="s">
        <v>408</v>
      </c>
      <c r="D32" s="291">
        <f>AVERAGE(E32:AC32)</f>
        <v>57984.24</v>
      </c>
      <c r="E32" s="164">
        <f t="shared" ref="E32:AC32" si="14">+E35-D35</f>
        <v>20737</v>
      </c>
      <c r="F32" s="164">
        <f t="shared" si="14"/>
        <v>25243</v>
      </c>
      <c r="G32" s="164">
        <f t="shared" si="14"/>
        <v>30607</v>
      </c>
      <c r="H32" s="164">
        <f t="shared" si="14"/>
        <v>38175</v>
      </c>
      <c r="I32" s="164">
        <f t="shared" si="14"/>
        <v>48520</v>
      </c>
      <c r="J32" s="164">
        <f t="shared" si="14"/>
        <v>61005</v>
      </c>
      <c r="K32" s="164">
        <f t="shared" si="14"/>
        <v>73753</v>
      </c>
      <c r="L32" s="164">
        <f t="shared" si="14"/>
        <v>86534</v>
      </c>
      <c r="M32" s="164">
        <f t="shared" si="14"/>
        <v>97297</v>
      </c>
      <c r="N32" s="164">
        <f t="shared" si="14"/>
        <v>105028</v>
      </c>
      <c r="O32" s="164">
        <f t="shared" si="14"/>
        <v>108626</v>
      </c>
      <c r="P32" s="164">
        <f t="shared" si="14"/>
        <v>105470</v>
      </c>
      <c r="Q32" s="164">
        <f t="shared" si="14"/>
        <v>99798</v>
      </c>
      <c r="R32" s="164">
        <f t="shared" si="14"/>
        <v>91904</v>
      </c>
      <c r="S32" s="164">
        <f t="shared" si="14"/>
        <v>82257</v>
      </c>
      <c r="T32" s="164">
        <f t="shared" si="14"/>
        <v>73316</v>
      </c>
      <c r="U32" s="164">
        <f t="shared" si="14"/>
        <v>64619</v>
      </c>
      <c r="V32" s="164">
        <f t="shared" si="14"/>
        <v>58313</v>
      </c>
      <c r="W32" s="164">
        <f t="shared" si="14"/>
        <v>51757</v>
      </c>
      <c r="X32" s="164">
        <f t="shared" si="14"/>
        <v>44228</v>
      </c>
      <c r="Y32" s="164">
        <f t="shared" si="14"/>
        <v>35538</v>
      </c>
      <c r="Z32" s="164">
        <f t="shared" si="14"/>
        <v>26119</v>
      </c>
      <c r="AA32" s="164">
        <f t="shared" si="14"/>
        <v>16110</v>
      </c>
      <c r="AB32" s="164">
        <f t="shared" si="14"/>
        <v>6536</v>
      </c>
      <c r="AC32" s="164">
        <f t="shared" si="14"/>
        <v>-1884</v>
      </c>
      <c r="AD32" s="164"/>
      <c r="AE32" s="164"/>
      <c r="AF32" s="164"/>
      <c r="AG32" s="164"/>
    </row>
    <row r="33" spans="1:29" ht="18.600000000000001">
      <c r="A33" s="213" t="s">
        <v>351</v>
      </c>
      <c r="D33" t="s">
        <v>409</v>
      </c>
      <c r="E33" s="163">
        <f t="shared" ref="E33:AC33" si="15">(+E36-D36)/D36</f>
        <v>0.3827290506995637</v>
      </c>
      <c r="F33" s="163">
        <f t="shared" si="15"/>
        <v>0.32520944402132523</v>
      </c>
      <c r="G33" s="163">
        <f t="shared" si="15"/>
        <v>0.24991789819376026</v>
      </c>
      <c r="H33" s="163">
        <f t="shared" si="15"/>
        <v>0.17781135049921176</v>
      </c>
      <c r="I33" s="163">
        <f t="shared" si="15"/>
        <v>0.18571189559979923</v>
      </c>
      <c r="J33" s="163">
        <f t="shared" si="15"/>
        <v>0.21466534970133108</v>
      </c>
      <c r="K33" s="163">
        <f t="shared" si="15"/>
        <v>0.1941916747337851</v>
      </c>
      <c r="L33" s="163">
        <f t="shared" si="15"/>
        <v>0.16459143968871595</v>
      </c>
      <c r="M33" s="163">
        <f t="shared" si="15"/>
        <v>0.15149237108809444</v>
      </c>
      <c r="N33" s="163">
        <f t="shared" si="15"/>
        <v>0.13608337161786396</v>
      </c>
      <c r="O33" s="163">
        <f t="shared" si="15"/>
        <v>0.12955198467596041</v>
      </c>
      <c r="P33" s="163">
        <f t="shared" si="15"/>
        <v>4.1076273741332527E-2</v>
      </c>
      <c r="Q33" s="163">
        <f t="shared" si="15"/>
        <v>5.5563599507710129E-2</v>
      </c>
      <c r="R33" s="163">
        <f t="shared" si="15"/>
        <v>8.1101471142964912E-2</v>
      </c>
      <c r="S33" s="163">
        <f t="shared" si="15"/>
        <v>4.5724164181945061E-2</v>
      </c>
      <c r="T33" s="163">
        <f t="shared" si="15"/>
        <v>1.5014787290513384E-2</v>
      </c>
      <c r="U33" s="163">
        <f t="shared" si="15"/>
        <v>3.6533432947329102E-2</v>
      </c>
      <c r="V33" s="163">
        <f t="shared" si="15"/>
        <v>1.2973908029407524E-2</v>
      </c>
      <c r="W33" s="163">
        <f t="shared" si="15"/>
        <v>2.6981642237085528E-2</v>
      </c>
      <c r="X33" s="163">
        <f t="shared" si="15"/>
        <v>3.8938004046226757E-2</v>
      </c>
      <c r="Y33" s="163">
        <f t="shared" si="15"/>
        <v>1.2003841229193341E-4</v>
      </c>
      <c r="Z33" s="163">
        <f t="shared" si="15"/>
        <v>6.6946722677868904E-3</v>
      </c>
      <c r="AA33" s="163">
        <f t="shared" si="15"/>
        <v>1.1207227734576814E-2</v>
      </c>
      <c r="AB33" s="163">
        <f t="shared" si="15"/>
        <v>-1.4279538338595365E-2</v>
      </c>
      <c r="AC33" s="163">
        <f t="shared" si="15"/>
        <v>-2.8334861714711002E-2</v>
      </c>
    </row>
    <row r="34" spans="1:29" ht="29.1">
      <c r="A34" s="169" t="s">
        <v>352</v>
      </c>
      <c r="B34" s="212" t="s">
        <v>331</v>
      </c>
      <c r="C34" s="212" t="s">
        <v>332</v>
      </c>
      <c r="D34" s="169">
        <v>2025</v>
      </c>
      <c r="E34" s="169">
        <v>2026</v>
      </c>
      <c r="F34" s="169">
        <v>2027</v>
      </c>
      <c r="G34" s="169">
        <v>2028</v>
      </c>
      <c r="H34" s="169">
        <v>2029</v>
      </c>
      <c r="I34" s="169">
        <v>2030</v>
      </c>
      <c r="J34" s="169">
        <v>2031</v>
      </c>
      <c r="K34" s="169">
        <v>2032</v>
      </c>
      <c r="L34" s="169">
        <v>2033</v>
      </c>
      <c r="M34" s="169">
        <v>2034</v>
      </c>
      <c r="N34" s="169">
        <v>2035</v>
      </c>
      <c r="O34" s="169">
        <v>2036</v>
      </c>
      <c r="P34" s="169">
        <v>2037</v>
      </c>
      <c r="Q34" s="169">
        <v>2038</v>
      </c>
      <c r="R34" s="169">
        <v>2039</v>
      </c>
      <c r="S34" s="169">
        <v>2040</v>
      </c>
      <c r="T34" s="169">
        <v>2041</v>
      </c>
      <c r="U34" s="169">
        <v>2042</v>
      </c>
      <c r="V34" s="169">
        <v>2043</v>
      </c>
      <c r="W34" s="169">
        <v>2044</v>
      </c>
      <c r="X34" s="169">
        <v>2045</v>
      </c>
      <c r="Y34" s="169">
        <v>2046</v>
      </c>
      <c r="Z34" s="169">
        <v>2047</v>
      </c>
      <c r="AA34" s="169">
        <v>2048</v>
      </c>
      <c r="AB34" s="169">
        <v>2049</v>
      </c>
      <c r="AC34" s="169">
        <v>2050</v>
      </c>
    </row>
    <row r="35" spans="1:29">
      <c r="A35" s="183" t="s">
        <v>353</v>
      </c>
      <c r="B35" s="183">
        <f t="shared" ref="B35:B44" si="16">I35</f>
        <v>186679</v>
      </c>
      <c r="C35" s="183">
        <f t="shared" ref="C35:C44" si="17">AC35</f>
        <v>1473003</v>
      </c>
      <c r="D35" s="183">
        <v>23397</v>
      </c>
      <c r="E35" s="183">
        <v>44134</v>
      </c>
      <c r="F35" s="183">
        <v>69377</v>
      </c>
      <c r="G35" s="183">
        <v>99984</v>
      </c>
      <c r="H35" s="183">
        <v>138159</v>
      </c>
      <c r="I35" s="183">
        <v>186679</v>
      </c>
      <c r="J35" s="183">
        <v>247684</v>
      </c>
      <c r="K35" s="183">
        <v>321437</v>
      </c>
      <c r="L35" s="183">
        <v>407971</v>
      </c>
      <c r="M35" s="183">
        <v>505268</v>
      </c>
      <c r="N35" s="183">
        <v>610296</v>
      </c>
      <c r="O35" s="183">
        <v>718922</v>
      </c>
      <c r="P35" s="183">
        <v>824392</v>
      </c>
      <c r="Q35" s="183">
        <v>924190</v>
      </c>
      <c r="R35" s="183">
        <v>1016094</v>
      </c>
      <c r="S35" s="183">
        <v>1098351</v>
      </c>
      <c r="T35" s="183">
        <v>1171667</v>
      </c>
      <c r="U35" s="183">
        <v>1236286</v>
      </c>
      <c r="V35" s="183">
        <v>1294599</v>
      </c>
      <c r="W35" s="183">
        <v>1346356</v>
      </c>
      <c r="X35" s="183">
        <v>1390584</v>
      </c>
      <c r="Y35" s="183">
        <v>1426122</v>
      </c>
      <c r="Z35" s="183">
        <v>1452241</v>
      </c>
      <c r="AA35" s="183">
        <v>1468351</v>
      </c>
      <c r="AB35" s="183">
        <v>1474887</v>
      </c>
      <c r="AC35" s="183">
        <v>1473003</v>
      </c>
    </row>
    <row r="36" spans="1:29">
      <c r="A36" s="171" t="s">
        <v>339</v>
      </c>
      <c r="B36" s="183">
        <f t="shared" si="16"/>
        <v>212610</v>
      </c>
      <c r="C36" s="317">
        <f t="shared" si="17"/>
        <v>731110</v>
      </c>
      <c r="D36" s="183">
        <v>66470</v>
      </c>
      <c r="E36" s="183">
        <v>91910</v>
      </c>
      <c r="F36" s="183">
        <v>121800</v>
      </c>
      <c r="G36" s="183">
        <v>152240</v>
      </c>
      <c r="H36" s="183">
        <v>179310</v>
      </c>
      <c r="I36" s="183">
        <v>212610</v>
      </c>
      <c r="J36" s="183">
        <v>258250</v>
      </c>
      <c r="K36" s="183">
        <v>308400</v>
      </c>
      <c r="L36" s="183">
        <v>359160</v>
      </c>
      <c r="M36" s="183">
        <v>413570</v>
      </c>
      <c r="N36" s="183">
        <v>469850</v>
      </c>
      <c r="O36" s="183">
        <v>530720</v>
      </c>
      <c r="P36" s="183">
        <v>552520</v>
      </c>
      <c r="Q36" s="183">
        <v>583220</v>
      </c>
      <c r="R36" s="183">
        <v>630520</v>
      </c>
      <c r="S36" s="183">
        <v>659350</v>
      </c>
      <c r="T36" s="183">
        <v>669250</v>
      </c>
      <c r="U36" s="183">
        <v>693700</v>
      </c>
      <c r="V36" s="183">
        <v>702700</v>
      </c>
      <c r="W36" s="183">
        <v>721660</v>
      </c>
      <c r="X36" s="183">
        <v>749760</v>
      </c>
      <c r="Y36" s="183">
        <v>749850</v>
      </c>
      <c r="Z36" s="183">
        <v>754870</v>
      </c>
      <c r="AA36" s="183">
        <v>763330</v>
      </c>
      <c r="AB36" s="183">
        <v>752430</v>
      </c>
      <c r="AC36" s="183">
        <v>731110</v>
      </c>
    </row>
    <row r="37" spans="1:29">
      <c r="A37" s="250" t="s">
        <v>354</v>
      </c>
      <c r="B37" s="250">
        <f t="shared" si="16"/>
        <v>1138741900</v>
      </c>
      <c r="C37" s="250">
        <f t="shared" si="17"/>
        <v>8985318300</v>
      </c>
      <c r="D37" s="316">
        <f t="shared" ref="D37:AC37" si="18">D35*$B$23</f>
        <v>142721700</v>
      </c>
      <c r="E37" s="316">
        <f t="shared" si="18"/>
        <v>269217400</v>
      </c>
      <c r="F37" s="316">
        <f t="shared" si="18"/>
        <v>423199700</v>
      </c>
      <c r="G37" s="316">
        <f t="shared" si="18"/>
        <v>609902400</v>
      </c>
      <c r="H37" s="316">
        <f t="shared" si="18"/>
        <v>842769900</v>
      </c>
      <c r="I37" s="316">
        <f t="shared" si="18"/>
        <v>1138741900</v>
      </c>
      <c r="J37" s="316">
        <f t="shared" si="18"/>
        <v>1510872400</v>
      </c>
      <c r="K37" s="316">
        <f t="shared" si="18"/>
        <v>1960765700</v>
      </c>
      <c r="L37" s="316">
        <f t="shared" si="18"/>
        <v>2488623100</v>
      </c>
      <c r="M37" s="316">
        <f t="shared" si="18"/>
        <v>3082134800</v>
      </c>
      <c r="N37" s="316">
        <f t="shared" si="18"/>
        <v>3722805600</v>
      </c>
      <c r="O37" s="316">
        <f t="shared" si="18"/>
        <v>4385424200</v>
      </c>
      <c r="P37" s="316">
        <f t="shared" si="18"/>
        <v>5028791200</v>
      </c>
      <c r="Q37" s="316">
        <f t="shared" si="18"/>
        <v>5637559000</v>
      </c>
      <c r="R37" s="316">
        <f t="shared" si="18"/>
        <v>6198173400</v>
      </c>
      <c r="S37" s="316">
        <f t="shared" si="18"/>
        <v>6699941100</v>
      </c>
      <c r="T37" s="316">
        <f t="shared" si="18"/>
        <v>7147168700</v>
      </c>
      <c r="U37" s="316">
        <f t="shared" si="18"/>
        <v>7541344600</v>
      </c>
      <c r="V37" s="316">
        <f t="shared" si="18"/>
        <v>7897053900</v>
      </c>
      <c r="W37" s="316">
        <f t="shared" si="18"/>
        <v>8212771600</v>
      </c>
      <c r="X37" s="316">
        <f t="shared" si="18"/>
        <v>8482562400</v>
      </c>
      <c r="Y37" s="316">
        <f t="shared" si="18"/>
        <v>8699344200</v>
      </c>
      <c r="Z37" s="316">
        <f t="shared" si="18"/>
        <v>8858670100</v>
      </c>
      <c r="AA37" s="316">
        <f t="shared" si="18"/>
        <v>8956941100</v>
      </c>
      <c r="AB37" s="316">
        <f t="shared" si="18"/>
        <v>8996810700</v>
      </c>
      <c r="AC37" s="316">
        <f t="shared" si="18"/>
        <v>8985318300</v>
      </c>
    </row>
    <row r="38" spans="1:29">
      <c r="A38" s="206" t="s">
        <v>355</v>
      </c>
      <c r="B38" s="206">
        <f t="shared" si="16"/>
        <v>1099</v>
      </c>
      <c r="C38" s="206">
        <f t="shared" si="17"/>
        <v>1841</v>
      </c>
      <c r="D38" s="206">
        <v>374</v>
      </c>
      <c r="E38" s="206">
        <v>454</v>
      </c>
      <c r="F38" s="206">
        <v>551</v>
      </c>
      <c r="G38" s="206">
        <v>688</v>
      </c>
      <c r="H38" s="206">
        <v>874</v>
      </c>
      <c r="I38" s="206">
        <v>1099</v>
      </c>
      <c r="J38" s="206">
        <v>1329</v>
      </c>
      <c r="K38" s="206">
        <v>1562</v>
      </c>
      <c r="L38" s="206">
        <v>1769</v>
      </c>
      <c r="M38" s="206">
        <v>1942</v>
      </c>
      <c r="N38" s="206">
        <v>2067</v>
      </c>
      <c r="O38" s="206">
        <v>2090</v>
      </c>
      <c r="P38" s="206">
        <v>2082</v>
      </c>
      <c r="Q38" s="206">
        <v>2040</v>
      </c>
      <c r="R38" s="206">
        <v>1973</v>
      </c>
      <c r="S38" s="206">
        <v>1935</v>
      </c>
      <c r="T38" s="206">
        <v>1926</v>
      </c>
      <c r="U38" s="206">
        <v>1990</v>
      </c>
      <c r="V38" s="206">
        <v>2070</v>
      </c>
      <c r="W38" s="206">
        <v>2140</v>
      </c>
      <c r="X38" s="206">
        <v>2182</v>
      </c>
      <c r="Y38" s="206">
        <v>2186</v>
      </c>
      <c r="Z38" s="206">
        <v>2143</v>
      </c>
      <c r="AA38" s="206">
        <v>2061</v>
      </c>
      <c r="AB38" s="206">
        <v>1955</v>
      </c>
      <c r="AC38" s="206">
        <v>1841</v>
      </c>
    </row>
    <row r="39" spans="1:29">
      <c r="A39" s="209" t="s">
        <v>356</v>
      </c>
      <c r="B39" s="209">
        <f t="shared" si="16"/>
        <v>0.12740000000000001</v>
      </c>
      <c r="C39" s="209">
        <f t="shared" si="17"/>
        <v>5.33E-2</v>
      </c>
      <c r="D39" s="209">
        <v>0.12740000000000001</v>
      </c>
      <c r="E39" s="209">
        <v>0.12740000000000001</v>
      </c>
      <c r="F39" s="209">
        <v>0.12740000000000001</v>
      </c>
      <c r="G39" s="209">
        <v>0.12740000000000001</v>
      </c>
      <c r="H39" s="209">
        <v>0.12740000000000001</v>
      </c>
      <c r="I39" s="209">
        <v>0.12740000000000001</v>
      </c>
      <c r="J39" s="209">
        <v>0.12740000000000001</v>
      </c>
      <c r="K39" s="209">
        <v>0.12740000000000001</v>
      </c>
      <c r="L39" s="209">
        <v>9.1300000000000006E-2</v>
      </c>
      <c r="M39" s="209">
        <v>9.1300000000000006E-2</v>
      </c>
      <c r="N39" s="209">
        <v>9.1300000000000006E-2</v>
      </c>
      <c r="O39" s="209">
        <v>9.1300000000000006E-2</v>
      </c>
      <c r="P39" s="209">
        <v>9.1300000000000006E-2</v>
      </c>
      <c r="Q39" s="209">
        <v>9.1300000000000006E-2</v>
      </c>
      <c r="R39" s="209">
        <v>9.1300000000000006E-2</v>
      </c>
      <c r="S39" s="209">
        <v>5.33E-2</v>
      </c>
      <c r="T39" s="209">
        <v>5.33E-2</v>
      </c>
      <c r="U39" s="209">
        <v>5.33E-2</v>
      </c>
      <c r="V39" s="209">
        <v>5.33E-2</v>
      </c>
      <c r="W39" s="209">
        <v>5.33E-2</v>
      </c>
      <c r="X39" s="209">
        <v>5.33E-2</v>
      </c>
      <c r="Y39" s="209">
        <v>5.33E-2</v>
      </c>
      <c r="Z39" s="209">
        <v>5.33E-2</v>
      </c>
      <c r="AA39" s="209">
        <v>5.33E-2</v>
      </c>
      <c r="AB39" s="209">
        <v>5.33E-2</v>
      </c>
      <c r="AC39" s="209">
        <v>5.33E-2</v>
      </c>
    </row>
    <row r="40" spans="1:29">
      <c r="A40" s="208" t="s">
        <v>344</v>
      </c>
      <c r="B40" s="208">
        <f t="shared" si="16"/>
        <v>-261780218</v>
      </c>
      <c r="C40" s="208">
        <f t="shared" si="17"/>
        <v>-914265236</v>
      </c>
      <c r="D40" s="208">
        <v>-81306537</v>
      </c>
      <c r="E40" s="208">
        <v>-108408716</v>
      </c>
      <c r="F40" s="208">
        <v>-135510894</v>
      </c>
      <c r="G40" s="208">
        <v>-162613073</v>
      </c>
      <c r="H40" s="208">
        <v>-212196646</v>
      </c>
      <c r="I40" s="208">
        <v>-261780218</v>
      </c>
      <c r="J40" s="208">
        <v>-311363790</v>
      </c>
      <c r="K40" s="208">
        <v>-360947362</v>
      </c>
      <c r="L40" s="208">
        <v>-410530935</v>
      </c>
      <c r="M40" s="208">
        <v>-460114507</v>
      </c>
      <c r="N40" s="208">
        <v>-509698079</v>
      </c>
      <c r="O40" s="208">
        <v>-536669223</v>
      </c>
      <c r="P40" s="208">
        <v>-563640367</v>
      </c>
      <c r="Q40" s="208">
        <v>-590611511</v>
      </c>
      <c r="R40" s="208">
        <v>-617582654</v>
      </c>
      <c r="S40" s="208">
        <v>-644553798</v>
      </c>
      <c r="T40" s="208">
        <v>-671524942</v>
      </c>
      <c r="U40" s="208">
        <v>-698496086</v>
      </c>
      <c r="V40" s="208">
        <v>-725467230</v>
      </c>
      <c r="W40" s="208">
        <v>-752438373</v>
      </c>
      <c r="X40" s="208">
        <v>-779409517</v>
      </c>
      <c r="Y40" s="208">
        <v>-806380661</v>
      </c>
      <c r="Z40" s="208">
        <v>-833351805</v>
      </c>
      <c r="AA40" s="208">
        <v>-860322949</v>
      </c>
      <c r="AB40" s="208">
        <v>-887294092</v>
      </c>
      <c r="AC40" s="208">
        <v>-914265236</v>
      </c>
    </row>
    <row r="41" spans="1:29">
      <c r="A41" s="206" t="s">
        <v>345</v>
      </c>
      <c r="B41" s="206">
        <f t="shared" si="16"/>
        <v>-183.530383</v>
      </c>
      <c r="C41" s="206">
        <f t="shared" si="17"/>
        <v>-739.961771</v>
      </c>
      <c r="D41" s="206">
        <v>-44.814985999999998</v>
      </c>
      <c r="E41" s="206">
        <v>-64.899176999999995</v>
      </c>
      <c r="F41" s="206">
        <v>-90.174233999999998</v>
      </c>
      <c r="G41" s="206">
        <v>-118.383701</v>
      </c>
      <c r="H41" s="206">
        <v>-146.636393</v>
      </c>
      <c r="I41" s="206">
        <v>-183.530383</v>
      </c>
      <c r="J41" s="206">
        <v>-226.00224</v>
      </c>
      <c r="K41" s="206">
        <v>-273.87467099999998</v>
      </c>
      <c r="L41" s="206">
        <v>-323.67138</v>
      </c>
      <c r="M41" s="206">
        <v>-377.77434</v>
      </c>
      <c r="N41" s="206">
        <v>-435.72938599999998</v>
      </c>
      <c r="O41" s="206">
        <v>-498.303966</v>
      </c>
      <c r="P41" s="206">
        <v>-526.67912799999999</v>
      </c>
      <c r="Q41" s="206">
        <v>-562.77775899999995</v>
      </c>
      <c r="R41" s="206">
        <v>-617.48681999999997</v>
      </c>
      <c r="S41" s="206">
        <v>-656.03349900000001</v>
      </c>
      <c r="T41" s="206">
        <v>-666.64906199999996</v>
      </c>
      <c r="U41" s="206">
        <v>-691.27507800000001</v>
      </c>
      <c r="V41" s="206">
        <v>-702.53235800000004</v>
      </c>
      <c r="W41" s="206">
        <v>-722.27599299999997</v>
      </c>
      <c r="X41" s="206">
        <v>-751.19689900000003</v>
      </c>
      <c r="Y41" s="206">
        <v>-753.39781100000005</v>
      </c>
      <c r="Z41" s="206">
        <v>-759.63354100000004</v>
      </c>
      <c r="AA41" s="206">
        <v>-769.06904599999996</v>
      </c>
      <c r="AB41" s="206">
        <v>-759.30994999999996</v>
      </c>
      <c r="AC41" s="206">
        <v>-739.961771</v>
      </c>
    </row>
    <row r="42" spans="1:29">
      <c r="A42" s="206" t="s">
        <v>347</v>
      </c>
      <c r="B42" s="206">
        <f t="shared" si="16"/>
        <v>-72.292361</v>
      </c>
      <c r="C42" s="206">
        <f t="shared" si="17"/>
        <v>-302.55115999999998</v>
      </c>
      <c r="D42" s="206">
        <v>-17.865629999999999</v>
      </c>
      <c r="E42" s="206">
        <v>-25.770764</v>
      </c>
      <c r="F42" s="206">
        <v>-35.712468999999999</v>
      </c>
      <c r="G42" s="206">
        <v>-46.740284000000003</v>
      </c>
      <c r="H42" s="206">
        <v>-57.830652999999998</v>
      </c>
      <c r="I42" s="206">
        <v>-72.292361</v>
      </c>
      <c r="J42" s="206">
        <v>-88.838835000000003</v>
      </c>
      <c r="K42" s="206">
        <v>-107.837194</v>
      </c>
      <c r="L42" s="206">
        <v>-127.012545</v>
      </c>
      <c r="M42" s="206">
        <v>-147.807928</v>
      </c>
      <c r="N42" s="206">
        <v>-170.281159</v>
      </c>
      <c r="O42" s="206">
        <v>-194.832404</v>
      </c>
      <c r="P42" s="206">
        <v>-206.03726800000001</v>
      </c>
      <c r="Q42" s="206">
        <v>-220.266355</v>
      </c>
      <c r="R42" s="206">
        <v>-242.177482</v>
      </c>
      <c r="S42" s="206">
        <v>-257.537935</v>
      </c>
      <c r="T42" s="206">
        <v>-262.28954499999998</v>
      </c>
      <c r="U42" s="206">
        <v>-272.918116</v>
      </c>
      <c r="V42" s="206">
        <v>-278.23693900000001</v>
      </c>
      <c r="W42" s="206">
        <v>-287.242977</v>
      </c>
      <c r="X42" s="206">
        <v>-300.819996</v>
      </c>
      <c r="Y42" s="206">
        <v>-302.35771</v>
      </c>
      <c r="Z42" s="206">
        <v>-306.649092</v>
      </c>
      <c r="AA42" s="206">
        <v>-311.14425499999999</v>
      </c>
      <c r="AB42" s="206">
        <v>-309.38676900000002</v>
      </c>
      <c r="AC42" s="206">
        <v>-302.55115999999998</v>
      </c>
    </row>
    <row r="43" spans="1:29">
      <c r="A43" s="206" t="s">
        <v>346</v>
      </c>
      <c r="B43" s="206">
        <f t="shared" si="16"/>
        <v>-723.85077999999999</v>
      </c>
      <c r="C43" s="206">
        <f t="shared" si="17"/>
        <v>-3050.4269490000001</v>
      </c>
      <c r="D43" s="206">
        <v>-178.30816100000001</v>
      </c>
      <c r="E43" s="206">
        <v>-257.87508800000001</v>
      </c>
      <c r="F43" s="206">
        <v>-357.15224499999999</v>
      </c>
      <c r="G43" s="206">
        <v>-468.57228700000002</v>
      </c>
      <c r="H43" s="206">
        <v>-578.98756100000003</v>
      </c>
      <c r="I43" s="206">
        <v>-723.85077999999999</v>
      </c>
      <c r="J43" s="206">
        <v>-889.87423999999999</v>
      </c>
      <c r="K43" s="206">
        <v>-1078.1279549999999</v>
      </c>
      <c r="L43" s="206">
        <v>-1275.4497590000001</v>
      </c>
      <c r="M43" s="206">
        <v>-1483.8844899999999</v>
      </c>
      <c r="N43" s="206">
        <v>-1714.3323700000001</v>
      </c>
      <c r="O43" s="206">
        <v>-1955.7410970000001</v>
      </c>
      <c r="P43" s="206">
        <v>-2076.9293710000002</v>
      </c>
      <c r="Q43" s="206">
        <v>-2210.7582659999998</v>
      </c>
      <c r="R43" s="206">
        <v>-2432.0416570000002</v>
      </c>
      <c r="S43" s="206">
        <v>-2595.791228</v>
      </c>
      <c r="T43" s="206">
        <v>-2644.8209069999998</v>
      </c>
      <c r="U43" s="206">
        <v>-2745.3297320000001</v>
      </c>
      <c r="V43" s="206">
        <v>-2812.322443</v>
      </c>
      <c r="W43" s="206">
        <v>-2899.157447</v>
      </c>
      <c r="X43" s="206">
        <v>-3023.5646780000002</v>
      </c>
      <c r="Y43" s="206">
        <v>-3052.1224390000002</v>
      </c>
      <c r="Z43" s="206">
        <v>-3089.3948700000001</v>
      </c>
      <c r="AA43" s="206">
        <v>-3136.522954</v>
      </c>
      <c r="AB43" s="206">
        <v>-3108.5778359999999</v>
      </c>
      <c r="AC43" s="206">
        <v>-3050.4269490000001</v>
      </c>
    </row>
    <row r="44" spans="1:29">
      <c r="A44" s="206" t="s">
        <v>348</v>
      </c>
      <c r="B44" s="206">
        <f t="shared" si="16"/>
        <v>-3434.8184259999998</v>
      </c>
      <c r="C44" s="206">
        <f t="shared" si="17"/>
        <v>-14482.69505</v>
      </c>
      <c r="D44" s="206">
        <v>-846.20002699999998</v>
      </c>
      <c r="E44" s="206">
        <v>-1223.78298</v>
      </c>
      <c r="F44" s="206">
        <v>-1694.8482220000001</v>
      </c>
      <c r="G44" s="206">
        <v>-2223.5688730000002</v>
      </c>
      <c r="H44" s="206">
        <v>-2747.4512119999999</v>
      </c>
      <c r="I44" s="206">
        <v>-3434.8184259999998</v>
      </c>
      <c r="J44" s="206">
        <v>-4222.5460380000004</v>
      </c>
      <c r="K44" s="206">
        <v>-5115.8147749999998</v>
      </c>
      <c r="L44" s="206">
        <v>-6052.2027710000002</v>
      </c>
      <c r="M44" s="206">
        <v>-7040.9763569999996</v>
      </c>
      <c r="N44" s="206">
        <v>-8134.6110440000002</v>
      </c>
      <c r="O44" s="206">
        <v>-9279.8243860000002</v>
      </c>
      <c r="P44" s="206">
        <v>-9855.4382370000003</v>
      </c>
      <c r="Q44" s="206">
        <v>-10489.97622</v>
      </c>
      <c r="R44" s="206">
        <v>-11540.336520000001</v>
      </c>
      <c r="S44" s="206">
        <v>-12318.056839999999</v>
      </c>
      <c r="T44" s="206">
        <v>-12551.136350000001</v>
      </c>
      <c r="U44" s="206">
        <v>-13028.268910000001</v>
      </c>
      <c r="V44" s="206">
        <v>-13347.5015</v>
      </c>
      <c r="W44" s="206">
        <v>-13760.079530000001</v>
      </c>
      <c r="X44" s="206">
        <v>-14351.022870000001</v>
      </c>
      <c r="Y44" s="206">
        <v>-14487.713680000001</v>
      </c>
      <c r="Z44" s="206">
        <v>-14665.325430000001</v>
      </c>
      <c r="AA44" s="206">
        <v>-14889.54372</v>
      </c>
      <c r="AB44" s="206">
        <v>-14757.556989999999</v>
      </c>
      <c r="AC44" s="206">
        <v>-14482.69505</v>
      </c>
    </row>
    <row r="45" spans="1:29">
      <c r="A45" s="165"/>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row>
    <row r="46" spans="1:29" ht="15.6">
      <c r="A46" s="205" t="s">
        <v>357</v>
      </c>
      <c r="B46" s="171"/>
      <c r="C46" s="171"/>
      <c r="D46" s="204"/>
      <c r="E46" s="203"/>
      <c r="F46" s="203"/>
      <c r="G46" s="203"/>
      <c r="H46" s="203"/>
      <c r="I46" s="203"/>
      <c r="J46" s="203"/>
      <c r="K46" s="203"/>
      <c r="L46" s="203"/>
      <c r="M46" s="165"/>
      <c r="N46" s="165"/>
      <c r="O46" s="165"/>
      <c r="P46" s="165"/>
      <c r="Q46" s="165"/>
      <c r="R46" s="165"/>
      <c r="S46" s="165"/>
      <c r="T46" s="165"/>
      <c r="U46" s="165"/>
      <c r="V46" s="165"/>
      <c r="W46" s="165"/>
      <c r="X46" s="165"/>
      <c r="Y46" s="165"/>
      <c r="Z46" s="165"/>
      <c r="AA46" s="165"/>
      <c r="AB46" s="165"/>
      <c r="AC46" s="165"/>
    </row>
    <row r="47" spans="1:29">
      <c r="A47" s="201" t="s">
        <v>339</v>
      </c>
      <c r="B47" s="202">
        <f t="shared" ref="B47:AC47" si="19">+B36/B35</f>
        <v>1.1389068936516695</v>
      </c>
      <c r="C47" s="202">
        <f t="shared" si="19"/>
        <v>0.49633979021088215</v>
      </c>
      <c r="D47" s="202">
        <f t="shared" si="19"/>
        <v>2.8409625165619525</v>
      </c>
      <c r="E47" s="202">
        <f t="shared" si="19"/>
        <v>2.082521412063262</v>
      </c>
      <c r="F47" s="202">
        <f t="shared" si="19"/>
        <v>1.7556250630612451</v>
      </c>
      <c r="G47" s="202">
        <f t="shared" si="19"/>
        <v>1.5226436229796767</v>
      </c>
      <c r="H47" s="202">
        <f t="shared" si="19"/>
        <v>1.2978524743230626</v>
      </c>
      <c r="I47" s="202">
        <f t="shared" si="19"/>
        <v>1.1389068936516695</v>
      </c>
      <c r="J47" s="202">
        <f t="shared" si="19"/>
        <v>1.042659194780446</v>
      </c>
      <c r="K47" s="202">
        <f t="shared" si="19"/>
        <v>0.95944150797823524</v>
      </c>
      <c r="L47" s="202">
        <f t="shared" si="19"/>
        <v>0.88035669201977595</v>
      </c>
      <c r="M47" s="202">
        <f t="shared" si="19"/>
        <v>0.81851611422057202</v>
      </c>
      <c r="N47" s="202">
        <f t="shared" si="19"/>
        <v>0.76987232424921681</v>
      </c>
      <c r="O47" s="202">
        <f t="shared" si="19"/>
        <v>0.73821638508767295</v>
      </c>
      <c r="P47" s="202">
        <f t="shared" si="19"/>
        <v>0.6702151403701152</v>
      </c>
      <c r="Q47" s="202">
        <f t="shared" si="19"/>
        <v>0.63106071262402752</v>
      </c>
      <c r="R47" s="202">
        <f t="shared" si="19"/>
        <v>0.62053313965046542</v>
      </c>
      <c r="S47" s="202">
        <f t="shared" si="19"/>
        <v>0.60030900868665849</v>
      </c>
      <c r="T47" s="202">
        <f t="shared" si="19"/>
        <v>0.57119471658756282</v>
      </c>
      <c r="U47" s="202">
        <f t="shared" si="19"/>
        <v>0.56111611714441478</v>
      </c>
      <c r="V47" s="202">
        <f t="shared" si="19"/>
        <v>0.54279356001356405</v>
      </c>
      <c r="W47" s="202">
        <f t="shared" si="19"/>
        <v>0.53600979235803903</v>
      </c>
      <c r="X47" s="202">
        <f t="shared" si="19"/>
        <v>0.53916915482991323</v>
      </c>
      <c r="Y47" s="202">
        <f t="shared" si="19"/>
        <v>0.52579653073159238</v>
      </c>
      <c r="Z47" s="202">
        <f t="shared" si="19"/>
        <v>0.51979664532264269</v>
      </c>
      <c r="AA47" s="202">
        <f t="shared" si="19"/>
        <v>0.51985526621359612</v>
      </c>
      <c r="AB47" s="202">
        <f t="shared" si="19"/>
        <v>0.5101611174279792</v>
      </c>
      <c r="AC47" s="202">
        <f t="shared" si="19"/>
        <v>0.49633979021088215</v>
      </c>
    </row>
    <row r="48" spans="1:29">
      <c r="A48" s="201" t="s">
        <v>354</v>
      </c>
      <c r="B48" s="200">
        <f t="shared" ref="B48:AC48" si="20">+B37/B35</f>
        <v>6100</v>
      </c>
      <c r="C48" s="200">
        <f t="shared" si="20"/>
        <v>6100</v>
      </c>
      <c r="D48" s="200">
        <f t="shared" si="20"/>
        <v>6100</v>
      </c>
      <c r="E48" s="200">
        <f t="shared" si="20"/>
        <v>6100</v>
      </c>
      <c r="F48" s="200">
        <f t="shared" si="20"/>
        <v>6100</v>
      </c>
      <c r="G48" s="200">
        <f t="shared" si="20"/>
        <v>6100</v>
      </c>
      <c r="H48" s="200">
        <f t="shared" si="20"/>
        <v>6100</v>
      </c>
      <c r="I48" s="200">
        <f t="shared" si="20"/>
        <v>6100</v>
      </c>
      <c r="J48" s="200">
        <f t="shared" si="20"/>
        <v>6100</v>
      </c>
      <c r="K48" s="200">
        <f t="shared" si="20"/>
        <v>6100</v>
      </c>
      <c r="L48" s="200">
        <f t="shared" si="20"/>
        <v>6100</v>
      </c>
      <c r="M48" s="200">
        <f t="shared" si="20"/>
        <v>6100</v>
      </c>
      <c r="N48" s="200">
        <f t="shared" si="20"/>
        <v>6100</v>
      </c>
      <c r="O48" s="200">
        <f t="shared" si="20"/>
        <v>6100</v>
      </c>
      <c r="P48" s="200">
        <f t="shared" si="20"/>
        <v>6100</v>
      </c>
      <c r="Q48" s="200">
        <f t="shared" si="20"/>
        <v>6100</v>
      </c>
      <c r="R48" s="200">
        <f t="shared" si="20"/>
        <v>6100</v>
      </c>
      <c r="S48" s="200">
        <f t="shared" si="20"/>
        <v>6100</v>
      </c>
      <c r="T48" s="200">
        <f t="shared" si="20"/>
        <v>6100</v>
      </c>
      <c r="U48" s="200">
        <f t="shared" si="20"/>
        <v>6100</v>
      </c>
      <c r="V48" s="200">
        <f t="shared" si="20"/>
        <v>6100</v>
      </c>
      <c r="W48" s="200">
        <f t="shared" si="20"/>
        <v>6100</v>
      </c>
      <c r="X48" s="200">
        <f t="shared" si="20"/>
        <v>6100</v>
      </c>
      <c r="Y48" s="200">
        <f t="shared" si="20"/>
        <v>6100</v>
      </c>
      <c r="Z48" s="200">
        <f t="shared" si="20"/>
        <v>6100</v>
      </c>
      <c r="AA48" s="200">
        <f t="shared" si="20"/>
        <v>6100</v>
      </c>
      <c r="AB48" s="200">
        <f t="shared" si="20"/>
        <v>6100</v>
      </c>
      <c r="AC48" s="200">
        <f t="shared" si="20"/>
        <v>6100</v>
      </c>
    </row>
    <row r="49" spans="1:29">
      <c r="A49" s="195" t="s">
        <v>343</v>
      </c>
      <c r="B49" s="198">
        <f t="shared" ref="B49:AC49" si="21">+B38/B35</f>
        <v>5.8871110301640783E-3</v>
      </c>
      <c r="C49" s="198">
        <f t="shared" si="21"/>
        <v>1.249827732869519E-3</v>
      </c>
      <c r="D49" s="198">
        <f t="shared" si="21"/>
        <v>1.5984955336154207E-2</v>
      </c>
      <c r="E49" s="198">
        <f t="shared" si="21"/>
        <v>1.0286853672905242E-2</v>
      </c>
      <c r="F49" s="198">
        <f t="shared" si="21"/>
        <v>7.9421133805151565E-3</v>
      </c>
      <c r="G49" s="198">
        <f t="shared" si="21"/>
        <v>6.8811009761561848E-3</v>
      </c>
      <c r="H49" s="198">
        <f t="shared" si="21"/>
        <v>6.3260446297382002E-3</v>
      </c>
      <c r="I49" s="198">
        <f t="shared" si="21"/>
        <v>5.8871110301640783E-3</v>
      </c>
      <c r="J49" s="198">
        <f t="shared" si="21"/>
        <v>5.3657079181537769E-3</v>
      </c>
      <c r="K49" s="198">
        <f t="shared" si="21"/>
        <v>4.8594281305512433E-3</v>
      </c>
      <c r="L49" s="198">
        <f t="shared" si="21"/>
        <v>4.3360925163798405E-3</v>
      </c>
      <c r="M49" s="198">
        <f t="shared" si="21"/>
        <v>3.8435048330786831E-3</v>
      </c>
      <c r="N49" s="198">
        <f t="shared" si="21"/>
        <v>3.386881119981124E-3</v>
      </c>
      <c r="O49" s="198">
        <f t="shared" si="21"/>
        <v>2.9071303980125799E-3</v>
      </c>
      <c r="P49" s="198">
        <f t="shared" si="21"/>
        <v>2.5254975788217256E-3</v>
      </c>
      <c r="Q49" s="198">
        <f t="shared" si="21"/>
        <v>2.2073383178783583E-3</v>
      </c>
      <c r="R49" s="198">
        <f t="shared" si="21"/>
        <v>1.9417494838076005E-3</v>
      </c>
      <c r="S49" s="198">
        <f t="shared" si="21"/>
        <v>1.7617319053745114E-3</v>
      </c>
      <c r="T49" s="198">
        <f t="shared" si="21"/>
        <v>1.6438117656296541E-3</v>
      </c>
      <c r="U49" s="198">
        <f t="shared" si="21"/>
        <v>1.6096599007025883E-3</v>
      </c>
      <c r="V49" s="198">
        <f t="shared" si="21"/>
        <v>1.5989507175581011E-3</v>
      </c>
      <c r="W49" s="198">
        <f t="shared" si="21"/>
        <v>1.5894755918939717E-3</v>
      </c>
      <c r="X49" s="198">
        <f t="shared" si="21"/>
        <v>1.5691249144244431E-3</v>
      </c>
      <c r="Y49" s="198">
        <f t="shared" si="21"/>
        <v>1.53282818720979E-3</v>
      </c>
      <c r="Z49" s="198">
        <f t="shared" si="21"/>
        <v>1.4756503913606626E-3</v>
      </c>
      <c r="AA49" s="198">
        <f t="shared" si="21"/>
        <v>1.4036153481013737E-3</v>
      </c>
      <c r="AB49" s="198">
        <f t="shared" si="21"/>
        <v>1.3255252775297361E-3</v>
      </c>
      <c r="AC49" s="198">
        <f t="shared" si="21"/>
        <v>1.249827732869519E-3</v>
      </c>
    </row>
    <row r="50" spans="1:29">
      <c r="A50" s="197" t="s">
        <v>344</v>
      </c>
      <c r="B50" s="196">
        <f>-B40/B35</f>
        <v>1402.301372945002</v>
      </c>
      <c r="C50" s="196">
        <f>-C40/C$35</f>
        <v>620.68117715985647</v>
      </c>
      <c r="D50" s="196">
        <f t="shared" ref="D50:AC50" si="22">-D40/D35</f>
        <v>3475.0838569047314</v>
      </c>
      <c r="E50" s="196">
        <f t="shared" si="22"/>
        <v>2456.3537408800471</v>
      </c>
      <c r="F50" s="196">
        <f t="shared" si="22"/>
        <v>1953.2538737621978</v>
      </c>
      <c r="G50" s="196">
        <f t="shared" si="22"/>
        <v>1626.3909525524084</v>
      </c>
      <c r="H50" s="196">
        <f t="shared" si="22"/>
        <v>1535.887245854414</v>
      </c>
      <c r="I50" s="196">
        <f t="shared" si="22"/>
        <v>1402.301372945002</v>
      </c>
      <c r="J50" s="196">
        <f t="shared" si="22"/>
        <v>1257.1009431372233</v>
      </c>
      <c r="K50" s="196">
        <f t="shared" si="22"/>
        <v>1122.9179030416535</v>
      </c>
      <c r="L50" s="196">
        <f t="shared" si="22"/>
        <v>1006.274796492888</v>
      </c>
      <c r="M50" s="196">
        <f t="shared" si="22"/>
        <v>910.6345681895549</v>
      </c>
      <c r="N50" s="196">
        <f t="shared" si="22"/>
        <v>835.16536074298369</v>
      </c>
      <c r="O50" s="196">
        <f t="shared" si="22"/>
        <v>746.49158462253206</v>
      </c>
      <c r="P50" s="196">
        <f t="shared" si="22"/>
        <v>683.70431420974489</v>
      </c>
      <c r="Q50" s="196">
        <f t="shared" si="22"/>
        <v>639.05853882859583</v>
      </c>
      <c r="R50" s="196">
        <f t="shared" si="22"/>
        <v>607.80070938318704</v>
      </c>
      <c r="S50" s="196">
        <f t="shared" si="22"/>
        <v>586.83772127489294</v>
      </c>
      <c r="T50" s="196">
        <f t="shared" si="22"/>
        <v>573.13634505367145</v>
      </c>
      <c r="U50" s="196">
        <f t="shared" si="22"/>
        <v>564.99554795573192</v>
      </c>
      <c r="V50" s="196">
        <f t="shared" si="22"/>
        <v>560.37987824801348</v>
      </c>
      <c r="W50" s="196">
        <f t="shared" si="22"/>
        <v>558.8702935924822</v>
      </c>
      <c r="X50" s="196">
        <f t="shared" si="22"/>
        <v>560.49078444739769</v>
      </c>
      <c r="Y50" s="196">
        <f t="shared" si="22"/>
        <v>565.43595919563688</v>
      </c>
      <c r="Z50" s="196">
        <f t="shared" si="22"/>
        <v>573.83850545467317</v>
      </c>
      <c r="AA50" s="196">
        <f t="shared" si="22"/>
        <v>585.91096338681962</v>
      </c>
      <c r="AB50" s="196">
        <f t="shared" si="22"/>
        <v>601.60140539580323</v>
      </c>
      <c r="AC50" s="196">
        <f t="shared" si="22"/>
        <v>620.68117715985647</v>
      </c>
    </row>
    <row r="51" spans="1:29">
      <c r="A51" s="195" t="s">
        <v>345</v>
      </c>
      <c r="B51" s="194">
        <f>-B41/$B$35</f>
        <v>9.8313352332078056E-4</v>
      </c>
      <c r="C51" s="194">
        <f>-C41/C$35</f>
        <v>5.0234912691963292E-4</v>
      </c>
      <c r="D51" s="194">
        <f t="shared" ref="D51:AC51" si="23">-D41/D$35</f>
        <v>1.9154159080223959E-3</v>
      </c>
      <c r="E51" s="194">
        <f t="shared" si="23"/>
        <v>1.47050294557484E-3</v>
      </c>
      <c r="F51" s="194">
        <f t="shared" si="23"/>
        <v>1.299771307493838E-3</v>
      </c>
      <c r="G51" s="194">
        <f t="shared" si="23"/>
        <v>1.1840264542326772E-3</v>
      </c>
      <c r="H51" s="194">
        <f t="shared" si="23"/>
        <v>1.0613596870272656E-3</v>
      </c>
      <c r="I51" s="194">
        <f t="shared" si="23"/>
        <v>9.8313352332078056E-4</v>
      </c>
      <c r="J51" s="194">
        <f t="shared" si="23"/>
        <v>9.1246200804250574E-4</v>
      </c>
      <c r="K51" s="194">
        <f t="shared" si="23"/>
        <v>8.5203218982257787E-4</v>
      </c>
      <c r="L51" s="194">
        <f t="shared" si="23"/>
        <v>7.9336859727774768E-4</v>
      </c>
      <c r="M51" s="194">
        <f t="shared" si="23"/>
        <v>7.4767121606751272E-4</v>
      </c>
      <c r="N51" s="194">
        <f t="shared" si="23"/>
        <v>7.1396402073747812E-4</v>
      </c>
      <c r="O51" s="194">
        <f t="shared" si="23"/>
        <v>6.9312660622431919E-4</v>
      </c>
      <c r="P51" s="194">
        <f t="shared" si="23"/>
        <v>6.3886977069161277E-4</v>
      </c>
      <c r="Q51" s="194">
        <f t="shared" si="23"/>
        <v>6.0894162347569219E-4</v>
      </c>
      <c r="R51" s="194">
        <f t="shared" si="23"/>
        <v>6.0770639330613111E-4</v>
      </c>
      <c r="S51" s="194">
        <f t="shared" si="23"/>
        <v>5.9728948123140963E-4</v>
      </c>
      <c r="T51" s="194">
        <f t="shared" si="23"/>
        <v>5.6897485548368257E-4</v>
      </c>
      <c r="U51" s="194">
        <f t="shared" si="23"/>
        <v>5.5915466000585625E-4</v>
      </c>
      <c r="V51" s="194">
        <f t="shared" si="23"/>
        <v>5.4266406663376079E-4</v>
      </c>
      <c r="W51" s="194">
        <f t="shared" si="23"/>
        <v>5.3646731845069203E-4</v>
      </c>
      <c r="X51" s="194">
        <f t="shared" si="23"/>
        <v>5.4020246098042261E-4</v>
      </c>
      <c r="Y51" s="194">
        <f t="shared" si="23"/>
        <v>5.28284263898881E-4</v>
      </c>
      <c r="Z51" s="194">
        <f t="shared" si="23"/>
        <v>5.2307677651298925E-4</v>
      </c>
      <c r="AA51" s="194">
        <f t="shared" si="23"/>
        <v>5.237637635687924E-4</v>
      </c>
      <c r="AB51" s="194">
        <f t="shared" si="23"/>
        <v>5.1482584767511001E-4</v>
      </c>
      <c r="AC51" s="194">
        <f t="shared" si="23"/>
        <v>5.0234912691963292E-4</v>
      </c>
    </row>
    <row r="52" spans="1:29">
      <c r="A52" s="195" t="s">
        <v>346</v>
      </c>
      <c r="B52" s="194">
        <f>-B43/$B$35</f>
        <v>3.8775158427032498E-3</v>
      </c>
      <c r="C52" s="194">
        <f>-C42/C$35</f>
        <v>2.0539751785977352E-4</v>
      </c>
      <c r="D52" s="194">
        <f t="shared" ref="D52:AC52" si="24">-D42/D$35</f>
        <v>7.6358635722528529E-4</v>
      </c>
      <c r="E52" s="194">
        <f t="shared" si="24"/>
        <v>5.8392087732813704E-4</v>
      </c>
      <c r="F52" s="194">
        <f t="shared" si="24"/>
        <v>5.1475948801475995E-4</v>
      </c>
      <c r="G52" s="194">
        <f t="shared" si="24"/>
        <v>4.6747763642182751E-4</v>
      </c>
      <c r="H52" s="194">
        <f t="shared" si="24"/>
        <v>4.1858042545183446E-4</v>
      </c>
      <c r="I52" s="194">
        <f t="shared" si="24"/>
        <v>3.872549188714317E-4</v>
      </c>
      <c r="J52" s="194">
        <f t="shared" si="24"/>
        <v>3.5867813423555824E-4</v>
      </c>
      <c r="K52" s="194">
        <f t="shared" si="24"/>
        <v>3.3548469529021238E-4</v>
      </c>
      <c r="L52" s="194">
        <f t="shared" si="24"/>
        <v>3.1132738601518246E-4</v>
      </c>
      <c r="M52" s="194">
        <f t="shared" si="24"/>
        <v>2.9253372071850981E-4</v>
      </c>
      <c r="N52" s="194">
        <f t="shared" si="24"/>
        <v>2.79014050559073E-4</v>
      </c>
      <c r="O52" s="194">
        <f t="shared" si="24"/>
        <v>2.7100631779247264E-4</v>
      </c>
      <c r="P52" s="194">
        <f t="shared" si="24"/>
        <v>2.499263311628449E-4</v>
      </c>
      <c r="Q52" s="194">
        <f t="shared" si="24"/>
        <v>2.3833449290730261E-4</v>
      </c>
      <c r="R52" s="194">
        <f t="shared" si="24"/>
        <v>2.3834161209494397E-4</v>
      </c>
      <c r="S52" s="194">
        <f t="shared" si="24"/>
        <v>2.344768976401897E-4</v>
      </c>
      <c r="T52" s="194">
        <f t="shared" si="24"/>
        <v>2.2386014541674382E-4</v>
      </c>
      <c r="U52" s="194">
        <f t="shared" si="24"/>
        <v>2.2075645603040074E-4</v>
      </c>
      <c r="V52" s="194">
        <f t="shared" si="24"/>
        <v>2.1492133007981623E-4</v>
      </c>
      <c r="W52" s="194">
        <f t="shared" si="24"/>
        <v>2.1334845835722498E-4</v>
      </c>
      <c r="X52" s="194">
        <f t="shared" si="24"/>
        <v>2.1632637510571098E-4</v>
      </c>
      <c r="Y52" s="194">
        <f t="shared" si="24"/>
        <v>2.120139160604773E-4</v>
      </c>
      <c r="Z52" s="194">
        <f t="shared" si="24"/>
        <v>2.1115578750358928E-4</v>
      </c>
      <c r="AA52" s="194">
        <f t="shared" si="24"/>
        <v>2.1190046181056163E-4</v>
      </c>
      <c r="AB52" s="194">
        <f t="shared" si="24"/>
        <v>2.097698121957818E-4</v>
      </c>
      <c r="AC52" s="194">
        <f t="shared" si="24"/>
        <v>2.0539751785977352E-4</v>
      </c>
    </row>
    <row r="53" spans="1:29">
      <c r="A53" s="195" t="s">
        <v>347</v>
      </c>
      <c r="B53" s="194">
        <f>-B42/$B$35</f>
        <v>3.872549188714317E-4</v>
      </c>
      <c r="C53" s="194">
        <f>-C43/C$35</f>
        <v>2.0708898413648851E-3</v>
      </c>
      <c r="D53" s="194">
        <f t="shared" ref="D53:AC53" si="25">-D43/D$35</f>
        <v>7.6209839295636201E-3</v>
      </c>
      <c r="E53" s="194">
        <f t="shared" si="25"/>
        <v>5.8430028549417683E-3</v>
      </c>
      <c r="F53" s="194">
        <f t="shared" si="25"/>
        <v>5.1479920578866196E-3</v>
      </c>
      <c r="G53" s="194">
        <f t="shared" si="25"/>
        <v>4.6864727056329016E-3</v>
      </c>
      <c r="H53" s="194">
        <f t="shared" si="25"/>
        <v>4.1907335823218178E-3</v>
      </c>
      <c r="I53" s="194">
        <f t="shared" si="25"/>
        <v>3.8775158427032498E-3</v>
      </c>
      <c r="J53" s="194">
        <f t="shared" si="25"/>
        <v>3.5927804783514477E-3</v>
      </c>
      <c r="K53" s="194">
        <f t="shared" si="25"/>
        <v>3.354087908361514E-3</v>
      </c>
      <c r="L53" s="194">
        <f t="shared" si="25"/>
        <v>3.1263245647362194E-3</v>
      </c>
      <c r="M53" s="194">
        <f t="shared" si="25"/>
        <v>2.9368265752036543E-3</v>
      </c>
      <c r="N53" s="194">
        <f t="shared" si="25"/>
        <v>2.809017870017172E-3</v>
      </c>
      <c r="O53" s="194">
        <f t="shared" si="25"/>
        <v>2.7203800926943397E-3</v>
      </c>
      <c r="P53" s="194">
        <f t="shared" si="25"/>
        <v>2.519346828935749E-3</v>
      </c>
      <c r="Q53" s="194">
        <f t="shared" si="25"/>
        <v>2.3921036431902528E-3</v>
      </c>
      <c r="R53" s="194">
        <f t="shared" si="25"/>
        <v>2.3935203406377759E-3</v>
      </c>
      <c r="S53" s="194">
        <f t="shared" si="25"/>
        <v>2.3633530884025235E-3</v>
      </c>
      <c r="T53" s="194">
        <f t="shared" si="25"/>
        <v>2.2573144989147939E-3</v>
      </c>
      <c r="U53" s="194">
        <f t="shared" si="25"/>
        <v>2.2206267255311476E-3</v>
      </c>
      <c r="V53" s="194">
        <f t="shared" si="25"/>
        <v>2.1723502358645418E-3</v>
      </c>
      <c r="W53" s="194">
        <f t="shared" si="25"/>
        <v>2.1533364481608132E-3</v>
      </c>
      <c r="X53" s="194">
        <f t="shared" si="25"/>
        <v>2.1743128627972133E-3</v>
      </c>
      <c r="Y53" s="194">
        <f t="shared" si="25"/>
        <v>2.1401552174358158E-3</v>
      </c>
      <c r="Z53" s="194">
        <f t="shared" si="25"/>
        <v>2.1273293275702863E-3</v>
      </c>
      <c r="AA53" s="194">
        <f t="shared" si="25"/>
        <v>2.1360852779750889E-3</v>
      </c>
      <c r="AB53" s="194">
        <f t="shared" si="25"/>
        <v>2.1076718663870521E-3</v>
      </c>
      <c r="AC53" s="194">
        <f t="shared" si="25"/>
        <v>2.0708898413648851E-3</v>
      </c>
    </row>
    <row r="54" spans="1:29">
      <c r="A54" s="195" t="s">
        <v>348</v>
      </c>
      <c r="B54" s="194">
        <f>-B44/$B$35</f>
        <v>1.8399597308749242E-2</v>
      </c>
      <c r="C54" s="194">
        <f>-C44/C$35</f>
        <v>9.8320879522988073E-3</v>
      </c>
      <c r="D54" s="194">
        <f t="shared" ref="D54:AC54" si="26">-D44/D$35</f>
        <v>3.6167031115100223E-2</v>
      </c>
      <c r="E54" s="194">
        <f t="shared" si="26"/>
        <v>2.7728802737118773E-2</v>
      </c>
      <c r="F54" s="194">
        <f t="shared" si="26"/>
        <v>2.4429540366403851E-2</v>
      </c>
      <c r="G54" s="194">
        <f t="shared" si="26"/>
        <v>2.2239247009521526E-2</v>
      </c>
      <c r="H54" s="194">
        <f t="shared" si="26"/>
        <v>1.9886154445240629E-2</v>
      </c>
      <c r="I54" s="194">
        <f t="shared" si="26"/>
        <v>1.8399597308749242E-2</v>
      </c>
      <c r="J54" s="194">
        <f t="shared" si="26"/>
        <v>1.7048117916377323E-2</v>
      </c>
      <c r="K54" s="194">
        <f t="shared" si="26"/>
        <v>1.5915450850399922E-2</v>
      </c>
      <c r="L54" s="194">
        <f t="shared" si="26"/>
        <v>1.4834884761416867E-2</v>
      </c>
      <c r="M54" s="194">
        <f t="shared" si="26"/>
        <v>1.3935132161545951E-2</v>
      </c>
      <c r="N54" s="194">
        <f t="shared" si="26"/>
        <v>1.3328960117713373E-2</v>
      </c>
      <c r="O54" s="194">
        <f t="shared" si="26"/>
        <v>1.2907971081702883E-2</v>
      </c>
      <c r="P54" s="194">
        <f t="shared" si="26"/>
        <v>1.1954796064250988E-2</v>
      </c>
      <c r="Q54" s="194">
        <f t="shared" si="26"/>
        <v>1.1350454149038618E-2</v>
      </c>
      <c r="R54" s="194">
        <f t="shared" si="26"/>
        <v>1.135754814023112E-2</v>
      </c>
      <c r="S54" s="194">
        <f t="shared" si="26"/>
        <v>1.1215045864209164E-2</v>
      </c>
      <c r="T54" s="194">
        <f t="shared" si="26"/>
        <v>1.0712204363526497E-2</v>
      </c>
      <c r="U54" s="194">
        <f t="shared" si="26"/>
        <v>1.0538232180903126E-2</v>
      </c>
      <c r="V54" s="194">
        <f t="shared" si="26"/>
        <v>1.0310143527069E-2</v>
      </c>
      <c r="W54" s="194">
        <f t="shared" si="26"/>
        <v>1.0220238577315362E-2</v>
      </c>
      <c r="X54" s="194">
        <f t="shared" si="26"/>
        <v>1.0320140940784591E-2</v>
      </c>
      <c r="Y54" s="194">
        <f t="shared" si="26"/>
        <v>1.0158817885145872E-2</v>
      </c>
      <c r="Z54" s="194">
        <f t="shared" si="26"/>
        <v>1.0098410270747073E-2</v>
      </c>
      <c r="AA54" s="194">
        <f t="shared" si="26"/>
        <v>1.0140316395739165E-2</v>
      </c>
      <c r="AB54" s="194">
        <f t="shared" si="26"/>
        <v>1.0005889935974755E-2</v>
      </c>
      <c r="AC54" s="194">
        <f t="shared" si="26"/>
        <v>9.8320879522988073E-3</v>
      </c>
    </row>
  </sheetData>
  <mergeCells count="2">
    <mergeCell ref="A28:E28"/>
    <mergeCell ref="B31:C31"/>
  </mergeCells>
  <hyperlinks>
    <hyperlink ref="A26" r:id="rId1" xr:uid="{CB741A3E-4579-40F5-94E4-FC7446D9479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657CE-E002-45CB-BEB5-A504ACF824A4}">
  <sheetPr>
    <tabColor theme="5" tint="0.79998168889431442"/>
  </sheetPr>
  <dimension ref="A1:XFD39"/>
  <sheetViews>
    <sheetView topLeftCell="O1" zoomScale="145" zoomScaleNormal="145" workbookViewId="0">
      <selection activeCell="AB2" sqref="AB2:AC19"/>
    </sheetView>
  </sheetViews>
  <sheetFormatPr defaultRowHeight="14.45"/>
  <cols>
    <col min="1" max="1" width="39.5703125" customWidth="1"/>
    <col min="2" max="2" width="14.7109375" customWidth="1"/>
    <col min="3" max="3" width="14.28515625" customWidth="1"/>
    <col min="4" max="28" width="16.28515625" customWidth="1"/>
    <col min="29" max="29" width="38.28515625" customWidth="1"/>
  </cols>
  <sheetData>
    <row r="1" spans="1:30 16384:16384" ht="15" thickBot="1"/>
    <row r="2" spans="1:30 16384:16384" ht="30.75" customHeight="1">
      <c r="A2" s="327" t="s">
        <v>2</v>
      </c>
      <c r="B2" s="696" t="s">
        <v>28</v>
      </c>
      <c r="C2" s="697"/>
      <c r="D2" s="697"/>
      <c r="E2" s="697"/>
      <c r="F2" s="697"/>
      <c r="G2" s="698"/>
      <c r="H2" s="699" t="s">
        <v>29</v>
      </c>
      <c r="I2" s="700"/>
      <c r="J2" s="700"/>
      <c r="K2" s="700"/>
      <c r="L2" s="700"/>
      <c r="M2" s="700"/>
      <c r="N2" s="700"/>
      <c r="O2" s="700"/>
      <c r="P2" s="700"/>
      <c r="Q2" s="700"/>
      <c r="R2" s="700"/>
      <c r="S2" s="700"/>
      <c r="T2" s="700"/>
      <c r="U2" s="700"/>
      <c r="V2" s="700"/>
      <c r="W2" s="700"/>
      <c r="X2" s="700"/>
      <c r="Y2" s="700"/>
      <c r="Z2" s="700"/>
      <c r="AA2" s="701"/>
      <c r="AB2" s="530" t="s">
        <v>30</v>
      </c>
      <c r="AC2" s="327" t="s">
        <v>2</v>
      </c>
    </row>
    <row r="3" spans="1:30 16384:16384">
      <c r="A3" s="327"/>
      <c r="B3" s="370">
        <v>2025</v>
      </c>
      <c r="C3" s="370">
        <v>2026</v>
      </c>
      <c r="D3" s="370">
        <v>2027</v>
      </c>
      <c r="E3" s="370">
        <v>2028</v>
      </c>
      <c r="F3" s="370">
        <v>2029</v>
      </c>
      <c r="G3" s="370">
        <v>2030</v>
      </c>
      <c r="H3" s="327">
        <v>2031</v>
      </c>
      <c r="I3" s="327">
        <v>2032</v>
      </c>
      <c r="J3" s="327">
        <v>2033</v>
      </c>
      <c r="K3" s="327">
        <v>2034</v>
      </c>
      <c r="L3" s="327">
        <v>2035</v>
      </c>
      <c r="M3" s="327">
        <v>2036</v>
      </c>
      <c r="N3" s="327">
        <v>2037</v>
      </c>
      <c r="O3" s="327">
        <v>2038</v>
      </c>
      <c r="P3" s="327">
        <v>2039</v>
      </c>
      <c r="Q3" s="327">
        <v>2040</v>
      </c>
      <c r="R3" s="327">
        <v>2041</v>
      </c>
      <c r="S3" s="327">
        <v>2042</v>
      </c>
      <c r="T3" s="327">
        <v>2043</v>
      </c>
      <c r="U3" s="327">
        <v>2044</v>
      </c>
      <c r="V3" s="327">
        <v>2045</v>
      </c>
      <c r="W3" s="327">
        <v>2046</v>
      </c>
      <c r="X3" s="327">
        <v>2047</v>
      </c>
      <c r="Y3" s="327">
        <v>2048</v>
      </c>
      <c r="Z3" s="327">
        <v>2049</v>
      </c>
      <c r="AA3" s="327">
        <v>2050</v>
      </c>
      <c r="AB3" s="530"/>
      <c r="AC3" s="327"/>
    </row>
    <row r="4" spans="1:30 16384:16384">
      <c r="A4" s="490" t="s">
        <v>8</v>
      </c>
      <c r="B4" s="489"/>
      <c r="C4" s="489"/>
      <c r="D4" s="489"/>
      <c r="E4" s="489"/>
      <c r="F4" s="489"/>
      <c r="G4" s="489"/>
      <c r="H4" s="490"/>
      <c r="I4" s="490"/>
      <c r="J4" s="490"/>
      <c r="K4" s="490"/>
      <c r="L4" s="490"/>
      <c r="M4" s="490"/>
      <c r="N4" s="490"/>
      <c r="O4" s="490"/>
      <c r="P4" s="490"/>
      <c r="Q4" s="490"/>
      <c r="R4" s="490"/>
      <c r="S4" s="490"/>
      <c r="T4" s="490"/>
      <c r="U4" s="490"/>
      <c r="V4" s="490"/>
      <c r="W4" s="490"/>
      <c r="X4" s="490"/>
      <c r="Y4" s="490"/>
      <c r="Z4" s="490"/>
      <c r="AA4" s="490"/>
      <c r="AB4" s="531"/>
      <c r="AC4" s="490" t="s">
        <v>8</v>
      </c>
    </row>
    <row r="5" spans="1:30 16384:16384">
      <c r="A5" s="329" t="s">
        <v>9</v>
      </c>
      <c r="B5" s="366">
        <f>'M1 Calculations'!M9</f>
        <v>0</v>
      </c>
      <c r="C5" s="366">
        <f>'M1 Calculations'!N9</f>
        <v>20000</v>
      </c>
      <c r="D5" s="366">
        <f>'M1 Calculations'!O9</f>
        <v>30000</v>
      </c>
      <c r="E5" s="366">
        <f>'M1 Calculations'!P9</f>
        <v>40000</v>
      </c>
      <c r="F5" s="366">
        <f>'M1 Calculations'!Q9</f>
        <v>40000</v>
      </c>
      <c r="G5" s="366">
        <f>'M1 Calculations'!R9</f>
        <v>60000</v>
      </c>
      <c r="H5" s="366">
        <f>'M1 Calculations'!S9</f>
        <v>60000</v>
      </c>
      <c r="I5" s="366">
        <f>'M1 Calculations'!T9</f>
        <v>60000</v>
      </c>
      <c r="J5" s="366">
        <f>'M1 Calculations'!U9</f>
        <v>60000</v>
      </c>
      <c r="K5" s="366">
        <f>'M1 Calculations'!V9</f>
        <v>60000</v>
      </c>
      <c r="L5" s="366">
        <f>'M1 Calculations'!W9</f>
        <v>60000</v>
      </c>
      <c r="M5" s="366">
        <f>'M1 Calculations'!X9</f>
        <v>60000</v>
      </c>
      <c r="N5" s="366">
        <f>'M1 Calculations'!Y9</f>
        <v>50000</v>
      </c>
      <c r="O5" s="366">
        <f>'M1 Calculations'!Z9</f>
        <v>60000</v>
      </c>
      <c r="P5" s="366">
        <f>'M1 Calculations'!AA9</f>
        <v>50000</v>
      </c>
      <c r="Q5" s="366">
        <f>'M1 Calculations'!AB9</f>
        <v>50000</v>
      </c>
      <c r="R5" s="366">
        <f>'M1 Calculations'!AC9</f>
        <v>49999.999999999534</v>
      </c>
      <c r="S5" s="366">
        <f>'M1 Calculations'!AD9</f>
        <v>40000</v>
      </c>
      <c r="T5" s="366">
        <f>'M1 Calculations'!AE9</f>
        <v>40000</v>
      </c>
      <c r="U5" s="366">
        <f>'M1 Calculations'!AF9</f>
        <v>30000</v>
      </c>
      <c r="V5" s="366">
        <f>'M1 Calculations'!AG9</f>
        <v>30000</v>
      </c>
      <c r="W5" s="366">
        <f>'M1 Calculations'!AH9</f>
        <v>20000</v>
      </c>
      <c r="X5" s="366">
        <f>'M1 Calculations'!AI9</f>
        <v>20000</v>
      </c>
      <c r="Y5" s="366">
        <f>'M1 Calculations'!AJ9</f>
        <v>20000</v>
      </c>
      <c r="Z5" s="366">
        <f>'M1 Calculations'!AK9</f>
        <v>10000.000000000233</v>
      </c>
      <c r="AA5" s="366">
        <f>'M1 Calculations'!AL9</f>
        <v>10000</v>
      </c>
      <c r="AB5" s="532">
        <f>SUM(B5:AA5)</f>
        <v>1029999.9999999998</v>
      </c>
      <c r="AC5" s="329" t="s">
        <v>9</v>
      </c>
    </row>
    <row r="6" spans="1:30 16384:16384">
      <c r="A6" s="329" t="s">
        <v>10</v>
      </c>
      <c r="B6" s="367">
        <v>0</v>
      </c>
      <c r="C6" s="367">
        <f>'Measure 2 CCR Summary'!C24</f>
        <v>2888</v>
      </c>
      <c r="D6" s="367">
        <f>'Measure 2 CCR Summary'!D24</f>
        <v>5935</v>
      </c>
      <c r="E6" s="367">
        <f>'Measure 2 CCR Summary'!E24</f>
        <v>9140</v>
      </c>
      <c r="F6" s="367">
        <f>'Measure 2 CCR Summary'!F24</f>
        <v>9379</v>
      </c>
      <c r="G6" s="367">
        <f>'Measure 2 CCR Summary'!G24</f>
        <v>9617</v>
      </c>
      <c r="H6" s="331">
        <f>'Measure 2 CCR Summary'!H24</f>
        <v>36802</v>
      </c>
      <c r="I6" s="331">
        <f>'Measure 2 CCR Summary'!I24</f>
        <v>36988</v>
      </c>
      <c r="J6" s="331">
        <f>'Measure 2 CCR Summary'!J24</f>
        <v>37175</v>
      </c>
      <c r="K6" s="331">
        <f>'Measure 2 CCR Summary'!K24</f>
        <v>37361</v>
      </c>
      <c r="L6" s="331">
        <f>'Measure 2 CCR Summary'!L24</f>
        <v>37548</v>
      </c>
      <c r="M6" s="331">
        <f>'Measure 2 CCR Summary'!M24</f>
        <v>37731</v>
      </c>
      <c r="N6" s="331">
        <f>'Measure 2 CCR Summary'!N24</f>
        <v>37915</v>
      </c>
      <c r="O6" s="331">
        <f>'Measure 2 CCR Summary'!O24</f>
        <v>38098</v>
      </c>
      <c r="P6" s="331">
        <f>'Measure 2 CCR Summary'!P24</f>
        <v>38282</v>
      </c>
      <c r="Q6" s="331">
        <f>'Measure 2 CCR Summary'!Q24</f>
        <v>38465</v>
      </c>
      <c r="R6" s="331">
        <f>'Measure 2 CCR Summary'!R24</f>
        <v>38465</v>
      </c>
      <c r="S6" s="331">
        <f>'Measure 2 CCR Summary'!S24</f>
        <v>38465</v>
      </c>
      <c r="T6" s="331">
        <f>'Measure 2 CCR Summary'!T24</f>
        <v>38465</v>
      </c>
      <c r="U6" s="331">
        <f>'Measure 2 CCR Summary'!U24</f>
        <v>38465</v>
      </c>
      <c r="V6" s="331">
        <f>'Measure 2 CCR Summary'!V24</f>
        <v>38465</v>
      </c>
      <c r="W6" s="331">
        <f>'Measure 2 CCR Summary'!W24</f>
        <v>38465</v>
      </c>
      <c r="X6" s="331">
        <f>'Measure 2 CCR Summary'!X24</f>
        <v>38465</v>
      </c>
      <c r="Y6" s="331">
        <f>'Measure 2 CCR Summary'!Y24</f>
        <v>38465</v>
      </c>
      <c r="Z6" s="331">
        <f>'Measure 2 CCR Summary'!Z24</f>
        <v>38465</v>
      </c>
      <c r="AA6" s="331">
        <f>'Measure 2 CCR Summary'!AA24</f>
        <v>38465</v>
      </c>
      <c r="AB6" s="533">
        <f>SUM(B6:AA6)</f>
        <v>797974</v>
      </c>
      <c r="AC6" s="329" t="s">
        <v>10</v>
      </c>
    </row>
    <row r="7" spans="1:30 16384:16384">
      <c r="A7" s="329" t="s">
        <v>11</v>
      </c>
      <c r="B7" s="366">
        <v>0</v>
      </c>
      <c r="C7" s="366">
        <f>'M3 MHD Rebate'!D31</f>
        <v>6932.8717224414104</v>
      </c>
      <c r="D7" s="366">
        <f>'M3 MHD Rebate'!E31</f>
        <v>12181.01733184775</v>
      </c>
      <c r="E7" s="366">
        <f>'M3 MHD Rebate'!F31</f>
        <v>17052.052671616362</v>
      </c>
      <c r="F7" s="366">
        <f>'M3 MHD Rebate'!G31</f>
        <v>17456.71498970746</v>
      </c>
      <c r="G7" s="366">
        <f>'M3 MHD Rebate'!H31</f>
        <v>17861.377307798557</v>
      </c>
      <c r="H7" s="330">
        <f>'M3 MHD Rebate'!I31</f>
        <v>17944.701825769531</v>
      </c>
      <c r="I7" s="330">
        <f>'M3 MHD Rebate'!J31</f>
        <v>18028.026343740508</v>
      </c>
      <c r="J7" s="330">
        <f>'M3 MHD Rebate'!K31</f>
        <v>18111.350861711479</v>
      </c>
      <c r="K7" s="330">
        <f>'M3 MHD Rebate'!L31</f>
        <v>18194.675379682456</v>
      </c>
      <c r="L7" s="330">
        <f>'M3 MHD Rebate'!M31</f>
        <v>18277.99989765343</v>
      </c>
      <c r="M7" s="330">
        <f>'M3 MHD Rebate'!N31</f>
        <v>18360.050677896172</v>
      </c>
      <c r="N7" s="330">
        <f>'M3 MHD Rebate'!O31</f>
        <v>18442.101458138914</v>
      </c>
      <c r="O7" s="330">
        <f>'M3 MHD Rebate'!P31</f>
        <v>18524.152238381655</v>
      </c>
      <c r="P7" s="330">
        <f>'M3 MHD Rebate'!Q31</f>
        <v>18606.203018624394</v>
      </c>
      <c r="Q7" s="330">
        <f>'M3 MHD Rebate'!R31</f>
        <v>18688.253798867139</v>
      </c>
      <c r="R7" s="330">
        <f>'M3 MHD Rebate'!S31</f>
        <v>18688.253798867139</v>
      </c>
      <c r="S7" s="330">
        <f>'M3 MHD Rebate'!T31</f>
        <v>18688.253798867139</v>
      </c>
      <c r="T7" s="330">
        <f>'M3 MHD Rebate'!U31</f>
        <v>18688.253798867139</v>
      </c>
      <c r="U7" s="330">
        <f>'M3 MHD Rebate'!V31</f>
        <v>18688.253798867139</v>
      </c>
      <c r="V7" s="330">
        <f>'M3 MHD Rebate'!W31</f>
        <v>18688.253798867139</v>
      </c>
      <c r="W7" s="330">
        <f>'M3 MHD Rebate'!X31</f>
        <v>10711.560104228725</v>
      </c>
      <c r="X7" s="330">
        <f>'M3 MHD Rebate'!Y31</f>
        <v>5013.9217509155742</v>
      </c>
      <c r="Y7" s="330">
        <f>'M3 MHD Rebate'!Z31</f>
        <v>0</v>
      </c>
      <c r="Z7" s="330">
        <f>'M3 MHD Rebate'!AA31</f>
        <v>0</v>
      </c>
      <c r="AA7" s="330">
        <f>'M3 MHD Rebate'!AB31</f>
        <v>0</v>
      </c>
      <c r="AB7" s="533">
        <f>SUM(B7:AA7)</f>
        <v>363828.30037335708</v>
      </c>
      <c r="AC7" s="329" t="s">
        <v>11</v>
      </c>
    </row>
    <row r="8" spans="1:30 16384:16384">
      <c r="A8" s="329" t="s">
        <v>12</v>
      </c>
      <c r="B8" s="366">
        <v>0</v>
      </c>
      <c r="C8" s="366">
        <f>'M4 MHD Grant'!D31</f>
        <v>3639.7552309869825</v>
      </c>
      <c r="D8" s="366">
        <f>'M4 MHD Grant'!E31</f>
        <v>3730.434134583616</v>
      </c>
      <c r="E8" s="366">
        <f>'M4 MHD Grant'!F31</f>
        <v>3821.11303818025</v>
      </c>
      <c r="F8" s="366">
        <f>'M4 MHD Grant'!G31</f>
        <v>3911.7919417768835</v>
      </c>
      <c r="G8" s="366">
        <f>'M4 MHD Grant'!H31</f>
        <v>4002.4708453735166</v>
      </c>
      <c r="H8" s="330">
        <f>'M4 MHD Grant'!I31</f>
        <v>4021.1426504676219</v>
      </c>
      <c r="I8" s="330">
        <f>'M4 MHD Grant'!J31</f>
        <v>4039.8144555617282</v>
      </c>
      <c r="J8" s="330">
        <f>'M4 MHD Grant'!K31</f>
        <v>4058.4862606558331</v>
      </c>
      <c r="K8" s="330">
        <f>'M4 MHD Grant'!L31</f>
        <v>4077.1580657499389</v>
      </c>
      <c r="L8" s="330">
        <f>'M4 MHD Grant'!M31</f>
        <v>4095.8298708440443</v>
      </c>
      <c r="M8" s="330">
        <f>'M4 MHD Grant'!N31</f>
        <v>4114.2162499533169</v>
      </c>
      <c r="N8" s="330">
        <f>'M4 MHD Grant'!O31</f>
        <v>4132.6026290625905</v>
      </c>
      <c r="O8" s="330">
        <f>'M4 MHD Grant'!P31</f>
        <v>4150.9890081718631</v>
      </c>
      <c r="P8" s="330">
        <f>'M4 MHD Grant'!Q31</f>
        <v>4169.3753872811358</v>
      </c>
      <c r="Q8" s="330">
        <f>'M4 MHD Grant'!R31</f>
        <v>4187.7617663904093</v>
      </c>
      <c r="R8" s="330">
        <f>'M4 MHD Grant'!S31</f>
        <v>4187.7617663904093</v>
      </c>
      <c r="S8" s="330">
        <f>'M4 MHD Grant'!T31</f>
        <v>4187.7617663904093</v>
      </c>
      <c r="T8" s="330">
        <f>'M4 MHD Grant'!U31</f>
        <v>4187.7617663904093</v>
      </c>
      <c r="U8" s="330">
        <f>'M4 MHD Grant'!V31</f>
        <v>4187.7617663904093</v>
      </c>
      <c r="V8" s="330">
        <f>'M4 MHD Grant'!W31</f>
        <v>4187.7617663904093</v>
      </c>
      <c r="W8" s="330">
        <f>'M4 MHD Grant'!X31</f>
        <v>0</v>
      </c>
      <c r="X8" s="330">
        <f>'M4 MHD Grant'!Y31</f>
        <v>0</v>
      </c>
      <c r="Y8" s="330">
        <f>'M4 MHD Grant'!Z31</f>
        <v>0</v>
      </c>
      <c r="Z8" s="330">
        <f>'M4 MHD Grant'!AA31</f>
        <v>0</v>
      </c>
      <c r="AA8" s="330">
        <f>'M4 MHD Grant'!AB31</f>
        <v>0</v>
      </c>
      <c r="AB8" s="533">
        <f>SUM(B8:AA8)</f>
        <v>81091.750366991764</v>
      </c>
      <c r="AC8" s="329" t="s">
        <v>12</v>
      </c>
    </row>
    <row r="9" spans="1:30 16384:16384">
      <c r="A9" s="329" t="s">
        <v>13</v>
      </c>
      <c r="B9" s="366">
        <v>0</v>
      </c>
      <c r="C9" s="366">
        <f>'M5 MHD Charger'!C22</f>
        <v>704.29750956334203</v>
      </c>
      <c r="D9" s="366">
        <f>'M5 MHD Charger'!D22</f>
        <v>733.4282757707374</v>
      </c>
      <c r="E9" s="366">
        <f>'M5 MHD Charger'!E22</f>
        <v>762.55904197813265</v>
      </c>
      <c r="F9" s="366">
        <f>'M5 MHD Charger'!F22</f>
        <v>791.68980818552814</v>
      </c>
      <c r="G9" s="366">
        <f>'M5 MHD Charger'!G22</f>
        <v>820.82057439292328</v>
      </c>
      <c r="H9" s="366">
        <f>'M5 MHD Charger'!H22</f>
        <v>5228.4053234720795</v>
      </c>
      <c r="I9" s="366">
        <f>'M5 MHD Charger'!I22</f>
        <v>5265.8950238938814</v>
      </c>
      <c r="J9" s="366">
        <f>'M5 MHD Charger'!J22</f>
        <v>5303.3847243156843</v>
      </c>
      <c r="K9" s="366">
        <f>'M5 MHD Charger'!K22</f>
        <v>5340.8744247374862</v>
      </c>
      <c r="L9" s="366">
        <f>'M5 MHD Charger'!L22</f>
        <v>5378.3641251592881</v>
      </c>
      <c r="M9" s="366">
        <f>'M5 MHD Charger'!M22</f>
        <v>5415.2807404074802</v>
      </c>
      <c r="N9" s="366">
        <f>'M5 MHD Charger'!N22</f>
        <v>5452.1973556556713</v>
      </c>
      <c r="O9" s="366">
        <f>'M5 MHD Charger'!O22</f>
        <v>5489.1139709038634</v>
      </c>
      <c r="P9" s="366">
        <f>'M5 MHD Charger'!P22</f>
        <v>5526.0305861520555</v>
      </c>
      <c r="Q9" s="366">
        <f>'M5 MHD Charger'!Q22</f>
        <v>5562.9472014002476</v>
      </c>
      <c r="R9" s="366">
        <f>'M5 MHD Charger'!R22</f>
        <v>5562.9472014002476</v>
      </c>
      <c r="S9" s="366">
        <f>'M5 MHD Charger'!S22</f>
        <v>5562.9472014002476</v>
      </c>
      <c r="T9" s="366">
        <f>'M5 MHD Charger'!T22</f>
        <v>5562.9472014002476</v>
      </c>
      <c r="U9" s="366">
        <f>'M5 MHD Charger'!U22</f>
        <v>5562.9472014002476</v>
      </c>
      <c r="V9" s="366">
        <f>'M5 MHD Charger'!V22</f>
        <v>5562.9472014002476</v>
      </c>
      <c r="W9" s="366">
        <f>'M5 MHD Charger'!W22</f>
        <v>5562.9472014002476</v>
      </c>
      <c r="X9" s="366">
        <f>'M5 MHD Charger'!X22</f>
        <v>5562.9472014002476</v>
      </c>
      <c r="Y9" s="366">
        <f>'M5 MHD Charger'!Y22</f>
        <v>5562.9472014002476</v>
      </c>
      <c r="Z9" s="366">
        <f>'M5 MHD Charger'!Z22</f>
        <v>5562.9472014002476</v>
      </c>
      <c r="AA9" s="366">
        <f>'M5 MHD Charger'!AA22</f>
        <v>5562.9472014002476</v>
      </c>
      <c r="AB9" s="533">
        <f>SUM(B9:AA9)</f>
        <v>113404.76069999092</v>
      </c>
      <c r="AC9" s="329" t="s">
        <v>13</v>
      </c>
      <c r="XFD9">
        <f>'M5 MHD Charger'!F42</f>
        <v>109591.96549010019</v>
      </c>
    </row>
    <row r="10" spans="1:30 16384:16384">
      <c r="A10" s="491" t="s">
        <v>15</v>
      </c>
      <c r="B10" s="492"/>
      <c r="C10" s="492"/>
      <c r="D10" s="492"/>
      <c r="E10" s="492"/>
      <c r="F10" s="492"/>
      <c r="G10" s="492"/>
      <c r="H10" s="493"/>
      <c r="I10" s="493"/>
      <c r="J10" s="493"/>
      <c r="K10" s="493"/>
      <c r="L10" s="493"/>
      <c r="M10" s="493"/>
      <c r="N10" s="493"/>
      <c r="O10" s="493"/>
      <c r="P10" s="493"/>
      <c r="Q10" s="493"/>
      <c r="R10" s="493"/>
      <c r="S10" s="493"/>
      <c r="T10" s="493"/>
      <c r="U10" s="493"/>
      <c r="V10" s="493"/>
      <c r="W10" s="493"/>
      <c r="X10" s="493"/>
      <c r="Y10" s="493"/>
      <c r="Z10" s="493"/>
      <c r="AA10" s="493"/>
      <c r="AB10" s="534"/>
      <c r="AC10" s="491" t="s">
        <v>15</v>
      </c>
    </row>
    <row r="11" spans="1:30 16384:16384">
      <c r="A11" s="336" t="s">
        <v>16</v>
      </c>
      <c r="B11" s="622">
        <f>'M6 New Const ETO'!D10+'M 6 New Const OHCS'!D10</f>
        <v>9389.2396812104853</v>
      </c>
      <c r="C11" s="622">
        <f>'M6 New Const ETO'!E10+'M 6 New Const OHCS'!E10</f>
        <v>15559.148932554614</v>
      </c>
      <c r="D11" s="622">
        <f>'M6 New Const ETO'!F10+'M 6 New Const OHCS'!F10</f>
        <v>21064.888847308081</v>
      </c>
      <c r="E11" s="622">
        <f>'M6 New Const ETO'!G10+'M 6 New Const OHCS'!G10</f>
        <v>25643.852796750121</v>
      </c>
      <c r="F11" s="622">
        <f>'M6 New Const ETO'!H10+'M 6 New Const OHCS'!H10</f>
        <v>23157.10871191421</v>
      </c>
      <c r="G11" s="622">
        <f>'M6 New Const ETO'!I10+'M 6 New Const OHCS'!I10</f>
        <v>21959.446418552459</v>
      </c>
      <c r="H11" s="368">
        <f>'M6 New Const ETO'!J10+'M 6 New Const OHCS'!J10</f>
        <v>22336.530655436833</v>
      </c>
      <c r="I11" s="368">
        <f>'M6 New Const ETO'!K10+'M 6 New Const OHCS'!K10</f>
        <v>21959.446418552459</v>
      </c>
      <c r="J11" s="368">
        <f>'M6 New Const ETO'!L10+'M 6 New Const OHCS'!L10</f>
        <v>21959.446418552459</v>
      </c>
      <c r="K11" s="368">
        <f>'M6 New Const ETO'!M10+'M 6 New Const OHCS'!M10</f>
        <v>21959.446418552459</v>
      </c>
      <c r="L11" s="368">
        <f>'M6 New Const ETO'!N10+'M 6 New Const OHCS'!N10</f>
        <v>21959.446418552459</v>
      </c>
      <c r="M11" s="368">
        <f>'M6 New Const ETO'!O10+'M 6 New Const OHCS'!O10</f>
        <v>21959.446418552459</v>
      </c>
      <c r="N11" s="368">
        <f>'M6 New Const ETO'!P10+'M 6 New Const OHCS'!P10</f>
        <v>21959.446418552459</v>
      </c>
      <c r="O11" s="368">
        <f>'M6 New Const ETO'!Q10+'M 6 New Const OHCS'!Q10</f>
        <v>21959.446418552459</v>
      </c>
      <c r="P11" s="368">
        <f>'M6 New Const ETO'!R10+'M 6 New Const OHCS'!R10</f>
        <v>21959.446418552459</v>
      </c>
      <c r="Q11" s="368">
        <f>'M6 New Const ETO'!S10+'M 6 New Const OHCS'!S10</f>
        <v>21959.446418552459</v>
      </c>
      <c r="R11" s="368">
        <f>'M6 New Const ETO'!T10+'M 6 New Const OHCS'!T10</f>
        <v>21959.446418552459</v>
      </c>
      <c r="S11" s="368">
        <f>'M6 New Const ETO'!U10+'M 6 New Const OHCS'!U10</f>
        <v>21959.446418552459</v>
      </c>
      <c r="T11" s="368">
        <f>'M6 New Const ETO'!V10+'M 6 New Const OHCS'!V10</f>
        <v>21959.446418552459</v>
      </c>
      <c r="U11" s="368">
        <f>'M6 New Const ETO'!W10+'M 6 New Const OHCS'!W10</f>
        <v>21959.446418552459</v>
      </c>
      <c r="V11" s="368">
        <f>'M6 New Const ETO'!X10+'M 6 New Const OHCS'!X10</f>
        <v>21959.446418552459</v>
      </c>
      <c r="W11" s="368">
        <f>'M6 New Const ETO'!Y10+'M 6 New Const OHCS'!Y10</f>
        <v>21959.446418552459</v>
      </c>
      <c r="X11" s="368">
        <f>'M6 New Const ETO'!Z10+'M 6 New Const OHCS'!Z10</f>
        <v>21959.446418552459</v>
      </c>
      <c r="Y11" s="368">
        <f>'M6 New Const ETO'!AA10+'M 6 New Const OHCS'!AA10</f>
        <v>21959.446418552459</v>
      </c>
      <c r="Z11" s="368">
        <f>'M6 New Const ETO'!AB10+'M 6 New Const OHCS'!AB10</f>
        <v>21959.446418552459</v>
      </c>
      <c r="AA11" s="368">
        <f>'M6 New Const ETO'!AC10+'M 6 New Const OHCS'!AC10</f>
        <v>21959.446418552459</v>
      </c>
      <c r="AB11" s="535">
        <f>SUM(B11:AA11)</f>
        <v>556339.69799622381</v>
      </c>
      <c r="AC11" s="336" t="s">
        <v>16</v>
      </c>
    </row>
    <row r="12" spans="1:30 16384:16384">
      <c r="A12" s="336" t="s">
        <v>17</v>
      </c>
      <c r="B12" s="622">
        <f>'M7 BPS'!D10</f>
        <v>6268.1742001672437</v>
      </c>
      <c r="C12" s="622">
        <f>'M7 BPS'!E10</f>
        <v>12536.348400334487</v>
      </c>
      <c r="D12" s="622">
        <f>'M7 BPS'!F10</f>
        <v>18804.522600501732</v>
      </c>
      <c r="E12" s="622">
        <f>'M7 BPS'!G10</f>
        <v>24378.069827847499</v>
      </c>
      <c r="F12" s="622">
        <f>'M7 BPS'!H10</f>
        <v>20721.359353670374</v>
      </c>
      <c r="G12" s="622">
        <f>'M7 BPS'!I10</f>
        <v>17613.155450619819</v>
      </c>
      <c r="H12" s="339">
        <f>'M7 BPS'!J10</f>
        <v>14961.873130302438</v>
      </c>
      <c r="I12" s="339">
        <f>'M7 BPS'!K10</f>
        <v>12809.393732535507</v>
      </c>
      <c r="J12" s="339">
        <f>'M7 BPS'!L10</f>
        <v>10989.121130138634</v>
      </c>
      <c r="K12" s="339">
        <f>'M7 BPS'!M10</f>
        <v>9719.848796244336</v>
      </c>
      <c r="L12" s="339">
        <f>'M7 BPS'!N10</f>
        <v>8383.5912539934579</v>
      </c>
      <c r="M12" s="339">
        <f>'M7 BPS'!O10</f>
        <v>7324.7666250412794</v>
      </c>
      <c r="N12" s="339">
        <f>'M7 BPS'!P10</f>
        <v>6255.1489668036056</v>
      </c>
      <c r="O12" s="339">
        <f>'M7 BPS'!Q10</f>
        <v>5353.3116069784937</v>
      </c>
      <c r="P12" s="339">
        <f>'M7 BPS'!R10</f>
        <v>4771.1502429661796</v>
      </c>
      <c r="Q12" s="339">
        <f>'M7 BPS'!S10</f>
        <v>4040.0510503942196</v>
      </c>
      <c r="R12" s="339">
        <f>'M7 BPS'!T10</f>
        <v>3881.9418112316034</v>
      </c>
      <c r="S12" s="339">
        <f>'M7 BPS'!U10</f>
        <v>3793.3897245054109</v>
      </c>
      <c r="T12" s="339">
        <f>'M7 BPS'!V10</f>
        <v>3673.4945332283037</v>
      </c>
      <c r="U12" s="339">
        <f>'M7 BPS'!W10</f>
        <v>3708.2698185118106</v>
      </c>
      <c r="V12" s="339">
        <f>'M7 BPS'!X10</f>
        <v>3676.620915436572</v>
      </c>
      <c r="W12" s="339">
        <f>'M7 BPS'!Y10</f>
        <v>3579.1452925754143</v>
      </c>
      <c r="X12" s="339">
        <f>'M7 BPS'!Z10</f>
        <v>3518.2246321749867</v>
      </c>
      <c r="Y12" s="339">
        <f>'M7 BPS'!AA10</f>
        <v>3479.891858363168</v>
      </c>
      <c r="Z12" s="339">
        <f>'M7 BPS'!AB10</f>
        <v>3488.5206408744984</v>
      </c>
      <c r="AA12" s="339">
        <f>'M7 BPS'!AC10</f>
        <v>3396.5320132425722</v>
      </c>
      <c r="AB12" s="535">
        <f>SUM(B12:AA12)</f>
        <v>221125.91760868367</v>
      </c>
      <c r="AC12" s="336" t="s">
        <v>17</v>
      </c>
    </row>
    <row r="13" spans="1:30 16384:16384">
      <c r="A13" s="338" t="s">
        <v>18</v>
      </c>
      <c r="B13" s="622">
        <f>SUM('M8 New HPs'!D10+'M8 Existing HPs Com'!D10+'M8 Existing HPs Rental'!D10)</f>
        <v>7579.3215736516813</v>
      </c>
      <c r="C13" s="622">
        <f>SUM('M8 New HPs'!E10+'M8 Existing HPs Com'!E10+'M8 Existing HPs Rental'!E10)</f>
        <v>11730.210362449681</v>
      </c>
      <c r="D13" s="622">
        <f>SUM('M8 New HPs'!F10+'M8 Existing HPs Com'!F10+'M8 Existing HPs Rental'!F10)</f>
        <v>15383.431185940037</v>
      </c>
      <c r="E13" s="622">
        <f>SUM('M8 New HPs'!G10+'M8 Existing HPs Com'!G10+'M8 Existing HPs Rental'!G10)</f>
        <v>18274.332784154332</v>
      </c>
      <c r="F13" s="622">
        <f>SUM('M8 New HPs'!H10+'M8 Existing HPs Com'!H10+'M8 Existing HPs Rental'!H10)</f>
        <v>15940.886824982008</v>
      </c>
      <c r="G13" s="622">
        <f>SUM('M8 New HPs'!I10+'M8 Existing HPs Com'!I10+'M8 Existing HPs Rental'!I10)</f>
        <v>14316.715334709641</v>
      </c>
      <c r="H13" s="339">
        <f>SUM('M8 New HPs'!J10+'M8 Existing HPs Com'!J10+'M8 Existing HPs Rental'!J10)</f>
        <v>13413.007379977389</v>
      </c>
      <c r="I13" s="339">
        <f>SUM('M8 New HPs'!K10+'M8 Existing HPs Com'!K10+'M8 Existing HPs Rental'!K10)</f>
        <v>14316.715334709641</v>
      </c>
      <c r="J13" s="339">
        <f>SUM('M8 New HPs'!L10+'M8 Existing HPs Com'!L10+'M8 Existing HPs Rental'!L10)</f>
        <v>14316.715334709641</v>
      </c>
      <c r="K13" s="339">
        <f>SUM('M8 New HPs'!M10+'M8 Existing HPs Com'!M10+'M8 Existing HPs Rental'!M10)</f>
        <v>14316.715334709641</v>
      </c>
      <c r="L13" s="339">
        <f>SUM('M8 New HPs'!N10+'M8 Existing HPs Com'!N10+'M8 Existing HPs Rental'!N10)</f>
        <v>14316.715334709641</v>
      </c>
      <c r="M13" s="339">
        <f>SUM('M8 New HPs'!O10+'M8 Existing HPs Com'!O10+'M8 Existing HPs Rental'!O10)</f>
        <v>14316.715334709641</v>
      </c>
      <c r="N13" s="339">
        <f>SUM('M8 New HPs'!P10+'M8 Existing HPs Com'!P10+'M8 Existing HPs Rental'!P10)</f>
        <v>14316.715334709641</v>
      </c>
      <c r="O13" s="339">
        <f>SUM('M8 New HPs'!Q10+'M8 Existing HPs Com'!Q10+'M8 Existing HPs Rental'!Q10)</f>
        <v>14316.715334709641</v>
      </c>
      <c r="P13" s="339">
        <f>SUM('M8 New HPs'!R10+'M8 Existing HPs Com'!R10+'M8 Existing HPs Rental'!R10)</f>
        <v>14316.715334709641</v>
      </c>
      <c r="Q13" s="339">
        <f>SUM('M8 New HPs'!S10+'M8 Existing HPs Com'!S10+'M8 Existing HPs Rental'!S10)</f>
        <v>14316.715334709641</v>
      </c>
      <c r="R13" s="339">
        <f>SUM('M8 New HPs'!T10+'M8 Existing HPs Com'!T10+'M8 Existing HPs Rental'!T10)</f>
        <v>14316.715334709641</v>
      </c>
      <c r="S13" s="339">
        <f>SUM('M8 New HPs'!U10+'M8 Existing HPs Com'!U10+'M8 Existing HPs Rental'!U10)</f>
        <v>14316.715334709641</v>
      </c>
      <c r="T13" s="339">
        <f>SUM('M8 New HPs'!V10+'M8 Existing HPs Com'!V10+'M8 Existing HPs Rental'!V10)</f>
        <v>14316.715334709641</v>
      </c>
      <c r="U13" s="339">
        <f>SUM('M8 New HPs'!W10+'M8 Existing HPs Com'!W10+'M8 Existing HPs Rental'!W10)</f>
        <v>14316.715334709641</v>
      </c>
      <c r="V13" s="339">
        <f>SUM('M8 New HPs'!X10+'M8 Existing HPs Com'!X10+'M8 Existing HPs Rental'!X10)</f>
        <v>14316.715334709641</v>
      </c>
      <c r="W13" s="339">
        <f>SUM('M8 New HPs'!Y10+'M8 Existing HPs Com'!Y10+'M8 Existing HPs Rental'!Y10)</f>
        <v>14316.715334709641</v>
      </c>
      <c r="X13" s="339">
        <f>SUM('M8 New HPs'!Z10+'M8 Existing HPs Com'!Z10+'M8 Existing HPs Rental'!Z10)</f>
        <v>14316.715334709641</v>
      </c>
      <c r="Y13" s="339">
        <f>SUM('M8 New HPs'!AA10+'M8 Existing HPs Com'!AA10+'M8 Existing HPs Rental'!AA10)</f>
        <v>14316.715334709641</v>
      </c>
      <c r="Z13" s="339">
        <f>SUM('M8 New HPs'!AB10+'M8 Existing HPs Com'!AB10+'M8 Existing HPs Rental'!AB10)</f>
        <v>14316.715334709641</v>
      </c>
      <c r="AA13" s="339">
        <f>SUM('M8 New HPs'!AC10+'M8 Existing HPs Com'!AC10+'M8 Existing HPs Rental'!AC10)</f>
        <v>14316.715334709641</v>
      </c>
      <c r="AB13" s="535">
        <f>SUM(B13:AA13)</f>
        <v>368655.49680534785</v>
      </c>
      <c r="AC13" s="338" t="s">
        <v>18</v>
      </c>
    </row>
    <row r="14" spans="1:30 16384:16384">
      <c r="A14" s="338" t="s">
        <v>19</v>
      </c>
      <c r="B14" s="622">
        <f>SUM('M 9 Res Wz ETO'!D10+'M9 Res Wz COU'!D10+'M9 Res Wz HH'!D10)</f>
        <v>2679.3663125026701</v>
      </c>
      <c r="C14" s="622">
        <f>SUM('M 9 Res Wz ETO'!E10+'M9 Res Wz COU'!E10+'M9 Res Wz HH'!E10)</f>
        <v>4723.1242171811009</v>
      </c>
      <c r="D14" s="622">
        <f>SUM('M 9 Res Wz ETO'!F10+'M9 Res Wz COU'!F10+'M9 Res Wz HH'!F10)</f>
        <v>6367.6184375599059</v>
      </c>
      <c r="E14" s="622">
        <f>SUM('M 9 Res Wz ETO'!G10+'M9 Res Wz COU'!G10+'M9 Res Wz HH'!G10)</f>
        <v>7466.0070448532679</v>
      </c>
      <c r="F14" s="622">
        <f>SUM('M 9 Res Wz ETO'!H10+'M9 Res Wz COU'!H10+'M9 Res Wz HH'!H10)</f>
        <v>6239.4649289864092</v>
      </c>
      <c r="G14" s="622">
        <f>SUM('M 9 Res Wz ETO'!I10+'M9 Res Wz COU'!I10+'M9 Res Wz HH'!I10)</f>
        <v>5039.5348542286984</v>
      </c>
      <c r="H14" s="339">
        <f>SUM('M 9 Res Wz ETO'!J10+'M9 Res Wz COU'!J10+'M9 Res Wz HH'!J10)</f>
        <v>4583.5797781235742</v>
      </c>
      <c r="I14" s="339">
        <f>SUM('M 9 Res Wz ETO'!K10+'M9 Res Wz COU'!K10+'M9 Res Wz HH'!K10)</f>
        <v>5039.5348542286984</v>
      </c>
      <c r="J14" s="339">
        <f>SUM('M 9 Res Wz ETO'!L10+'M9 Res Wz COU'!L10+'M9 Res Wz HH'!L10)</f>
        <v>5039.5348542286984</v>
      </c>
      <c r="K14" s="339">
        <f>SUM('M 9 Res Wz ETO'!M10+'M9 Res Wz COU'!M10+'M9 Res Wz HH'!M10)</f>
        <v>5039.5348542286984</v>
      </c>
      <c r="L14" s="339">
        <f>SUM('M 9 Res Wz ETO'!N10+'M9 Res Wz COU'!N10+'M9 Res Wz HH'!N10)</f>
        <v>5039.5348542286984</v>
      </c>
      <c r="M14" s="339">
        <f>SUM('M 9 Res Wz ETO'!O10+'M9 Res Wz COU'!O10+'M9 Res Wz HH'!O10)</f>
        <v>5039.5348542286984</v>
      </c>
      <c r="N14" s="339">
        <f>SUM('M 9 Res Wz ETO'!P10+'M9 Res Wz COU'!P10+'M9 Res Wz HH'!P10)</f>
        <v>5039.5348542286984</v>
      </c>
      <c r="O14" s="339">
        <f>SUM('M 9 Res Wz ETO'!Q10+'M9 Res Wz COU'!Q10+'M9 Res Wz HH'!Q10)</f>
        <v>5039.5348542286984</v>
      </c>
      <c r="P14" s="339">
        <f>SUM('M 9 Res Wz ETO'!R10+'M9 Res Wz COU'!R10+'M9 Res Wz HH'!R10)</f>
        <v>5039.5348542286984</v>
      </c>
      <c r="Q14" s="339">
        <f>SUM('M 9 Res Wz ETO'!S10+'M9 Res Wz COU'!S10+'M9 Res Wz HH'!S10)</f>
        <v>5039.5348542286984</v>
      </c>
      <c r="R14" s="339">
        <f>SUM('M 9 Res Wz ETO'!T10+'M9 Res Wz COU'!T10+'M9 Res Wz HH'!T10)</f>
        <v>5039.5348542286984</v>
      </c>
      <c r="S14" s="339">
        <f>SUM('M 9 Res Wz ETO'!U10+'M9 Res Wz COU'!U10+'M9 Res Wz HH'!U10)</f>
        <v>5039.5348542286984</v>
      </c>
      <c r="T14" s="339">
        <f>SUM('M 9 Res Wz ETO'!V10+'M9 Res Wz COU'!V10+'M9 Res Wz HH'!V10)</f>
        <v>5039.5348542286984</v>
      </c>
      <c r="U14" s="339">
        <f>SUM('M 9 Res Wz ETO'!W10+'M9 Res Wz COU'!W10+'M9 Res Wz HH'!W10)</f>
        <v>5039.5348542286984</v>
      </c>
      <c r="V14" s="339">
        <f>SUM('M 9 Res Wz ETO'!X10+'M9 Res Wz COU'!X10+'M9 Res Wz HH'!X10)</f>
        <v>5039.5348542286984</v>
      </c>
      <c r="W14" s="339">
        <f>SUM('M 9 Res Wz ETO'!Y10+'M9 Res Wz COU'!Y10+'M9 Res Wz HH'!Y10)</f>
        <v>5039.5348542286984</v>
      </c>
      <c r="X14" s="339">
        <f>SUM('M 9 Res Wz ETO'!Z10+'M9 Res Wz COU'!Z10+'M9 Res Wz HH'!Z10)</f>
        <v>5039.5348542286984</v>
      </c>
      <c r="Y14" s="339">
        <f>SUM('M 9 Res Wz ETO'!AA10+'M9 Res Wz COU'!AA10+'M9 Res Wz HH'!AA10)</f>
        <v>5039.5348542286984</v>
      </c>
      <c r="Z14" s="339">
        <f>SUM('M 9 Res Wz ETO'!AB10+'M9 Res Wz COU'!AB10+'M9 Res Wz HH'!AB10)</f>
        <v>5039.5348542286984</v>
      </c>
      <c r="AA14" s="339">
        <f>SUM('M 9 Res Wz ETO'!AC10+'M9 Res Wz COU'!AC10+'M9 Res Wz HH'!AC10)</f>
        <v>5039.5348542286984</v>
      </c>
      <c r="AB14" s="535">
        <f>SUM(B14:AA14)</f>
        <v>132849.85780378085</v>
      </c>
      <c r="AC14" s="338" t="s">
        <v>19</v>
      </c>
      <c r="AD14" s="164">
        <f>SUM(AB11:AB14)</f>
        <v>1278970.9702140361</v>
      </c>
    </row>
    <row r="15" spans="1:30 16384:16384" ht="15" thickBot="1">
      <c r="A15" s="342" t="s">
        <v>21</v>
      </c>
      <c r="B15" s="606"/>
      <c r="C15" s="606"/>
      <c r="D15" s="606"/>
      <c r="E15" s="606"/>
      <c r="F15" s="606"/>
      <c r="G15" s="606"/>
      <c r="H15" s="343"/>
      <c r="I15" s="343"/>
      <c r="J15" s="343"/>
      <c r="K15" s="343"/>
      <c r="L15" s="343"/>
      <c r="M15" s="343"/>
      <c r="N15" s="343"/>
      <c r="O15" s="343"/>
      <c r="P15" s="343"/>
      <c r="Q15" s="343"/>
      <c r="R15" s="343"/>
      <c r="S15" s="343"/>
      <c r="T15" s="343"/>
      <c r="U15" s="343"/>
      <c r="V15" s="343"/>
      <c r="W15" s="343"/>
      <c r="X15" s="343"/>
      <c r="Y15" s="343"/>
      <c r="Z15" s="343"/>
      <c r="AA15" s="343"/>
      <c r="AB15" s="536"/>
      <c r="AC15" s="342" t="s">
        <v>21</v>
      </c>
    </row>
    <row r="16" spans="1:30 16384:16384" ht="15" thickBot="1">
      <c r="A16" s="542" t="s">
        <v>22</v>
      </c>
      <c r="B16" s="369">
        <v>0</v>
      </c>
      <c r="C16" s="369">
        <v>10885.311645323</v>
      </c>
      <c r="D16" s="369">
        <v>4278.2879633966659</v>
      </c>
      <c r="E16" s="369">
        <v>27609.347696053497</v>
      </c>
      <c r="F16" s="369">
        <v>14137.881395425095</v>
      </c>
      <c r="G16" s="369">
        <v>13950.697814235311</v>
      </c>
      <c r="H16" s="345">
        <v>13909.483080762322</v>
      </c>
      <c r="I16" s="345">
        <v>13868.268347289355</v>
      </c>
      <c r="J16" s="345">
        <v>13827.053613816372</v>
      </c>
      <c r="K16" s="345">
        <v>13785.838880343397</v>
      </c>
      <c r="L16" s="345">
        <v>13744.624146870416</v>
      </c>
      <c r="M16" s="345">
        <v>13703.409413397432</v>
      </c>
      <c r="N16" s="345">
        <v>13662.194679924458</v>
      </c>
      <c r="O16" s="345">
        <v>13620.979946451484</v>
      </c>
      <c r="P16" s="345">
        <v>13579.765212978495</v>
      </c>
      <c r="Q16" s="345">
        <v>13538.55047950552</v>
      </c>
      <c r="R16" s="345">
        <v>13538.55047950552</v>
      </c>
      <c r="S16" s="345">
        <v>13538.55047950552</v>
      </c>
      <c r="T16" s="345">
        <v>13538.55047950552</v>
      </c>
      <c r="U16" s="345">
        <v>13538.55047950552</v>
      </c>
      <c r="V16" s="345">
        <v>13538.55047950552</v>
      </c>
      <c r="W16" s="345">
        <v>13538.55047950552</v>
      </c>
      <c r="X16" s="345">
        <v>13538.55047950552</v>
      </c>
      <c r="Y16" s="345">
        <v>13538.55047950552</v>
      </c>
      <c r="Z16" s="345">
        <v>13538.55047950552</v>
      </c>
      <c r="AA16" s="345">
        <v>13538.55047950552</v>
      </c>
      <c r="AB16" s="537">
        <f>SUM(B16:AA16)</f>
        <v>343487.19911082793</v>
      </c>
      <c r="AC16" s="542" t="s">
        <v>22</v>
      </c>
    </row>
    <row r="17" spans="1:29" s="40" customFormat="1">
      <c r="A17" s="580" t="s">
        <v>23</v>
      </c>
      <c r="B17" s="581">
        <f>'M11 FoodWasteInf'!V22</f>
        <v>5366.78</v>
      </c>
      <c r="C17" s="581">
        <f>'M11 FoodWasteInf'!W22</f>
        <v>18783.72</v>
      </c>
      <c r="D17" s="581">
        <f>'M11 FoodWasteInf'!X22</f>
        <v>40640.080000000002</v>
      </c>
      <c r="E17" s="581">
        <f>'M11 FoodWasteInf'!Y22</f>
        <v>58903.06</v>
      </c>
      <c r="F17" s="581">
        <f>'M11 FoodWasteInf'!Z22</f>
        <v>58903.06</v>
      </c>
      <c r="G17" s="581">
        <f>'M11 FoodWasteInf'!AA22</f>
        <v>58903.06</v>
      </c>
      <c r="H17" s="591">
        <f>'M11 FoodWasteInf'!AB22</f>
        <v>58903.06</v>
      </c>
      <c r="I17" s="591">
        <f>'M11 FoodWasteInf'!AC22</f>
        <v>58903.06</v>
      </c>
      <c r="J17" s="591">
        <f>'M11 FoodWasteInf'!AD22</f>
        <v>58903.06</v>
      </c>
      <c r="K17" s="591">
        <f>'M11 FoodWasteInf'!AE22</f>
        <v>58903.06</v>
      </c>
      <c r="L17" s="591">
        <f>'M11 FoodWasteInf'!AF22</f>
        <v>58903.06</v>
      </c>
      <c r="M17" s="591">
        <f>'M11 FoodWasteInf'!AG22</f>
        <v>58903.06</v>
      </c>
      <c r="N17" s="591">
        <f>'M11 FoodWasteInf'!AH22</f>
        <v>58903.06</v>
      </c>
      <c r="O17" s="591">
        <f>'M11 FoodWasteInf'!AI22</f>
        <v>58903.06</v>
      </c>
      <c r="P17" s="591">
        <f>'M11 FoodWasteInf'!AJ22</f>
        <v>58903.06</v>
      </c>
      <c r="Q17" s="591">
        <f>'M11 FoodWasteInf'!AK22</f>
        <v>58903.06</v>
      </c>
      <c r="R17" s="591">
        <f>'M11 FoodWasteInf'!AL22</f>
        <v>58903.06</v>
      </c>
      <c r="S17" s="591">
        <f>'M11 FoodWasteInf'!AM22</f>
        <v>58903.06</v>
      </c>
      <c r="T17" s="591">
        <f>'M11 FoodWasteInf'!AN22</f>
        <v>58903.06</v>
      </c>
      <c r="U17" s="591">
        <f>'M11 FoodWasteInf'!AO22</f>
        <v>58903.06</v>
      </c>
      <c r="V17" s="591">
        <f>'M11 FoodWasteInf'!AP22</f>
        <v>58903.06</v>
      </c>
      <c r="W17" s="591">
        <f>'M11 FoodWasteInf'!AQ22</f>
        <v>58903.06</v>
      </c>
      <c r="X17" s="591">
        <f>'M11 FoodWasteInf'!AR22</f>
        <v>58903.06</v>
      </c>
      <c r="Y17" s="591">
        <f>'M11 FoodWasteInf'!AS22</f>
        <v>58903.06</v>
      </c>
      <c r="Z17" s="591">
        <f>'M11 FoodWasteInf'!AT22</f>
        <v>58903.06</v>
      </c>
      <c r="AA17" s="591">
        <f>'M11 FoodWasteInf'!AU22</f>
        <v>58903.06</v>
      </c>
      <c r="AB17" s="592">
        <f>SUM(B17:AA17)</f>
        <v>1419560.9600000009</v>
      </c>
      <c r="AC17" s="580" t="s">
        <v>23</v>
      </c>
    </row>
    <row r="18" spans="1:29">
      <c r="A18" s="346" t="s">
        <v>24</v>
      </c>
      <c r="B18" s="369">
        <f>'M12 LandfillMethane'!F20</f>
        <v>0</v>
      </c>
      <c r="C18" s="369">
        <f>'M12 LandfillMethane'!F21</f>
        <v>7840.8826600000002</v>
      </c>
      <c r="D18" s="369">
        <f>'M12 LandfillMethane'!F22</f>
        <v>55958.475810000004</v>
      </c>
      <c r="E18" s="369">
        <f>'M12 LandfillMethane'!F23</f>
        <v>58309.018980000001</v>
      </c>
      <c r="F18" s="369">
        <f>'M12 LandfillMethane'!F24</f>
        <v>60637.930220000002</v>
      </c>
      <c r="G18" s="369">
        <f>'M12 LandfillMethane'!F25</f>
        <v>92475.939629999993</v>
      </c>
      <c r="H18" s="347">
        <f>'M12 LandfillMethane'!F26</f>
        <v>85472.139169999995</v>
      </c>
      <c r="I18" s="347">
        <f>'M12 LandfillMethane'!F27</f>
        <v>78939.381689999995</v>
      </c>
      <c r="J18" s="347">
        <f>'M12 LandfillMethane'!F28</f>
        <v>73012.408530000001</v>
      </c>
      <c r="K18" s="347">
        <f>'M12 LandfillMethane'!F29</f>
        <v>67344.312210000004</v>
      </c>
      <c r="L18" s="347">
        <f>'M12 LandfillMethane'!F30</f>
        <v>54991.40969</v>
      </c>
      <c r="M18" s="347">
        <f>'M12 LandfillMethane'!F31</f>
        <v>50756.310230000003</v>
      </c>
      <c r="N18" s="347">
        <f>'M12 LandfillMethane'!F32</f>
        <v>46902.287490000002</v>
      </c>
      <c r="O18" s="347">
        <f>'M12 LandfillMethane'!F33</f>
        <v>43429.341469999999</v>
      </c>
      <c r="P18" s="347">
        <f>'M12 LandfillMethane'!F34</f>
        <v>40146.933810000002</v>
      </c>
      <c r="Q18" s="347">
        <f>'M12 LandfillMethane'!F35</f>
        <v>37076.692280000003</v>
      </c>
      <c r="R18" s="347">
        <f>'M12 LandfillMethane'!F36</f>
        <v>34387.527470000001</v>
      </c>
      <c r="S18" s="347">
        <f>'M12 LandfillMethane'!F37</f>
        <v>31676.73489</v>
      </c>
      <c r="T18" s="347">
        <f>'M12 LandfillMethane'!F38</f>
        <v>29368.646799999999</v>
      </c>
      <c r="U18" s="347">
        <f>'M12 LandfillMethane'!F39</f>
        <v>27060.558710000001</v>
      </c>
      <c r="V18" s="347">
        <f>'M12 LandfillMethane'!F40</f>
        <v>25133.547340000001</v>
      </c>
      <c r="W18" s="347">
        <f>'M12 LandfillMethane'!F41</f>
        <v>23228.16374</v>
      </c>
      <c r="X18" s="347">
        <f>'M12 LandfillMethane'!F42</f>
        <v>21491.690729999998</v>
      </c>
      <c r="Y18" s="347">
        <f>'M12 LandfillMethane'!F43</f>
        <v>19755.217720000001</v>
      </c>
      <c r="Z18" s="347">
        <f>'M12 LandfillMethane'!F44</f>
        <v>18421.449189999999</v>
      </c>
      <c r="AA18" s="347">
        <f>'M12 LandfillMethane'!F45</f>
        <v>16875.51454</v>
      </c>
      <c r="AB18" s="537">
        <f>SUM(B18:AA18)</f>
        <v>1100692.5149999999</v>
      </c>
      <c r="AC18" s="346" t="s">
        <v>24</v>
      </c>
    </row>
    <row r="19" spans="1:29">
      <c r="A19" s="350" t="s">
        <v>31</v>
      </c>
      <c r="B19" s="351">
        <f>SUM(B4:B18)</f>
        <v>31282.881767532079</v>
      </c>
      <c r="C19" s="351">
        <f>SUM(C4:C18)</f>
        <v>116223.67068083464</v>
      </c>
      <c r="D19" s="351">
        <f>SUM(D4:D18)</f>
        <v>215077.18458690852</v>
      </c>
      <c r="E19" s="351">
        <f>SUM(E4:E18)</f>
        <v>291359.41388143349</v>
      </c>
      <c r="F19" s="351">
        <f>SUM(F4:F18)</f>
        <v>271276.88817464793</v>
      </c>
      <c r="G19" s="351">
        <f>SUM(G4:G18)</f>
        <v>316560.21822991094</v>
      </c>
      <c r="H19" s="351">
        <f t="shared" ref="C19:AA19" si="0">SUM(H4:H18)</f>
        <v>337575.92299431178</v>
      </c>
      <c r="I19" s="351">
        <f t="shared" si="0"/>
        <v>330157.53620051179</v>
      </c>
      <c r="J19" s="351">
        <f t="shared" si="0"/>
        <v>322695.56172812881</v>
      </c>
      <c r="K19" s="351">
        <f t="shared" si="0"/>
        <v>316042.46436424844</v>
      </c>
      <c r="L19" s="351">
        <f t="shared" si="0"/>
        <v>302638.57559201145</v>
      </c>
      <c r="M19" s="351">
        <f t="shared" si="0"/>
        <v>297623.79054418649</v>
      </c>
      <c r="N19" s="351">
        <f t="shared" si="0"/>
        <v>282980.28918707604</v>
      </c>
      <c r="O19" s="351">
        <f t="shared" si="0"/>
        <v>288884.6448483782</v>
      </c>
      <c r="P19" s="351">
        <f t="shared" si="0"/>
        <v>275300.21486549306</v>
      </c>
      <c r="Q19" s="351">
        <f t="shared" si="0"/>
        <v>271778.01318404835</v>
      </c>
      <c r="R19" s="351">
        <f t="shared" si="0"/>
        <v>268930.73913488525</v>
      </c>
      <c r="S19" s="351">
        <f t="shared" si="0"/>
        <v>256131.39446815953</v>
      </c>
      <c r="T19" s="351">
        <f t="shared" si="0"/>
        <v>253703.41118688241</v>
      </c>
      <c r="U19" s="351">
        <f t="shared" si="0"/>
        <v>241430.09838216595</v>
      </c>
      <c r="V19" s="351">
        <f t="shared" si="0"/>
        <v>239471.4381090907</v>
      </c>
      <c r="W19" s="351">
        <f t="shared" si="0"/>
        <v>215304.1234252007</v>
      </c>
      <c r="X19" s="351">
        <f t="shared" si="0"/>
        <v>207809.09140148712</v>
      </c>
      <c r="Y19" s="351">
        <f t="shared" si="0"/>
        <v>201020.36386675976</v>
      </c>
      <c r="Z19" s="351">
        <f t="shared" si="0"/>
        <v>189695.22411927133</v>
      </c>
      <c r="AA19" s="351">
        <f t="shared" si="0"/>
        <v>188057.30084163914</v>
      </c>
      <c r="AB19" s="538">
        <f>SUM(AB5:AB18)</f>
        <v>6529010.4557652045</v>
      </c>
      <c r="AC19" s="350" t="s">
        <v>31</v>
      </c>
    </row>
    <row r="20" spans="1:29" ht="15" thickBot="1">
      <c r="A20" s="371"/>
      <c r="B20" s="372"/>
      <c r="C20" s="372"/>
      <c r="D20" s="372"/>
      <c r="E20" s="372"/>
      <c r="F20" s="495"/>
      <c r="G20" s="372"/>
      <c r="H20" s="372"/>
      <c r="I20" s="372"/>
      <c r="J20" s="372"/>
      <c r="K20" s="372"/>
      <c r="L20" s="372"/>
      <c r="M20" s="372"/>
      <c r="N20" s="372"/>
      <c r="O20" s="372"/>
      <c r="P20" s="372"/>
      <c r="Q20" s="372"/>
      <c r="R20" s="372"/>
      <c r="S20" s="372"/>
      <c r="T20" s="372"/>
      <c r="U20" s="372"/>
      <c r="V20" s="372"/>
      <c r="W20" s="372"/>
      <c r="X20" s="372"/>
      <c r="Y20" s="372"/>
      <c r="Z20" s="495"/>
      <c r="AA20" s="372"/>
    </row>
    <row r="21" spans="1:29" ht="57.95">
      <c r="F21" s="496" t="s">
        <v>3</v>
      </c>
      <c r="G21" s="538">
        <f>SUM(B19:G19)</f>
        <v>1241780.2573212674</v>
      </c>
      <c r="Z21" s="494" t="s">
        <v>4</v>
      </c>
      <c r="AA21" s="582">
        <f>SUM(B19:AA19)</f>
        <v>6529010.4557652017</v>
      </c>
    </row>
    <row r="24" spans="1:29">
      <c r="B24" s="164"/>
      <c r="C24" s="164"/>
      <c r="D24" s="164"/>
    </row>
    <row r="25" spans="1:29">
      <c r="B25" s="164"/>
      <c r="D25" s="164"/>
    </row>
    <row r="26" spans="1:29">
      <c r="B26" s="164"/>
      <c r="D26" s="164"/>
    </row>
    <row r="27" spans="1:29">
      <c r="B27" s="164"/>
      <c r="D27" s="164"/>
    </row>
    <row r="28" spans="1:29">
      <c r="B28" s="164"/>
      <c r="D28" s="164"/>
    </row>
    <row r="29" spans="1:29">
      <c r="B29" s="164"/>
      <c r="D29" s="164"/>
    </row>
    <row r="30" spans="1:29">
      <c r="D30" s="164"/>
    </row>
    <row r="31" spans="1:29">
      <c r="D31" s="164"/>
    </row>
    <row r="32" spans="1:29">
      <c r="D32" s="164"/>
    </row>
    <row r="33" spans="4:4">
      <c r="D33" s="164"/>
    </row>
    <row r="34" spans="4:4">
      <c r="D34" s="164"/>
    </row>
    <row r="35" spans="4:4">
      <c r="D35" s="164"/>
    </row>
    <row r="36" spans="4:4">
      <c r="D36" s="164"/>
    </row>
    <row r="37" spans="4:4">
      <c r="D37" s="164"/>
    </row>
    <row r="39" spans="4:4">
      <c r="D39" s="164"/>
    </row>
  </sheetData>
  <mergeCells count="2">
    <mergeCell ref="B2:G2"/>
    <mergeCell ref="H2:AA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69B87-306B-456E-AC52-74C7A3B24F1E}">
  <sheetPr>
    <tabColor theme="9" tint="0.79998168889431442"/>
  </sheetPr>
  <dimension ref="A1:AC51"/>
  <sheetViews>
    <sheetView workbookViewId="0">
      <selection activeCell="B7" sqref="B7"/>
    </sheetView>
  </sheetViews>
  <sheetFormatPr defaultRowHeight="14.45"/>
  <cols>
    <col min="1" max="1" width="54.5703125" customWidth="1"/>
    <col min="2" max="2" width="14.7109375" bestFit="1" customWidth="1"/>
    <col min="3" max="3" width="16.28515625" customWidth="1"/>
    <col min="4" max="29" width="17.7109375" customWidth="1"/>
  </cols>
  <sheetData>
    <row r="1" spans="1:29" ht="21">
      <c r="A1" s="193" t="s">
        <v>410</v>
      </c>
    </row>
    <row r="2" spans="1:29">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29" ht="29.45" thickBot="1">
      <c r="A3" s="167" t="s">
        <v>411</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29" ht="15.6" thickTop="1" thickBot="1">
      <c r="A4" s="222" t="s">
        <v>333</v>
      </c>
      <c r="B4" s="171">
        <f>SUM(D4:I4)</f>
        <v>6000</v>
      </c>
      <c r="C4" s="247"/>
      <c r="D4" s="246">
        <f>+'Buildings M6-9 Summary'!G18</f>
        <v>1500</v>
      </c>
      <c r="E4" s="245">
        <f>+$D$4</f>
        <v>1500</v>
      </c>
      <c r="F4" s="171">
        <f>+$D$4</f>
        <v>1500</v>
      </c>
      <c r="G4" s="171">
        <f>+$D$4</f>
        <v>1500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29" ht="15.6" thickTop="1" thickBot="1">
      <c r="A5" s="244" t="s">
        <v>334</v>
      </c>
      <c r="B5" s="240">
        <f>+D5</f>
        <v>2000</v>
      </c>
      <c r="C5" s="243"/>
      <c r="D5" s="242">
        <f>+'Buildings M6-9 Summary'!H18</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29" ht="15" thickTop="1">
      <c r="A6" s="237" t="s">
        <v>335</v>
      </c>
      <c r="B6" s="237">
        <f>SUM(D6:I6)</f>
        <v>12000000</v>
      </c>
      <c r="C6" s="237"/>
      <c r="D6" s="238">
        <f t="shared" ref="D6:I6" si="0">+D5*D4</f>
        <v>3000000</v>
      </c>
      <c r="E6" s="237">
        <f t="shared" si="0"/>
        <v>3000000</v>
      </c>
      <c r="F6" s="237">
        <f t="shared" si="0"/>
        <v>3000000</v>
      </c>
      <c r="G6" s="237">
        <f t="shared" si="0"/>
        <v>3000000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29">
      <c r="A7" s="235" t="s">
        <v>336</v>
      </c>
      <c r="B7" s="235">
        <v>628415</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c r="A8" s="233" t="s">
        <v>337</v>
      </c>
      <c r="B8" s="233">
        <v>12628415</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c r="A9" s="222"/>
      <c r="B9" s="171"/>
      <c r="C9" s="231" t="s">
        <v>338</v>
      </c>
      <c r="D9" s="171">
        <f>+D4</f>
        <v>1500</v>
      </c>
      <c r="E9" s="171">
        <f>+D4+E4</f>
        <v>3000</v>
      </c>
      <c r="F9" s="171">
        <f>+F4+E4+D4</f>
        <v>4500</v>
      </c>
      <c r="G9" s="171">
        <f>+G4+F4+E4+D4</f>
        <v>6000</v>
      </c>
      <c r="H9" s="171">
        <f>++H4+G4+F4+E4+D4</f>
        <v>6000</v>
      </c>
      <c r="I9" s="171">
        <f>+I4+H4+G4+F4+E4+D4</f>
        <v>6000</v>
      </c>
      <c r="J9" s="171">
        <f t="shared" ref="J9:AC9" si="1">+I9</f>
        <v>6000</v>
      </c>
      <c r="K9" s="171">
        <f t="shared" si="1"/>
        <v>6000</v>
      </c>
      <c r="L9" s="171">
        <f t="shared" si="1"/>
        <v>6000</v>
      </c>
      <c r="M9" s="171">
        <f t="shared" si="1"/>
        <v>6000</v>
      </c>
      <c r="N9" s="171">
        <f t="shared" si="1"/>
        <v>6000</v>
      </c>
      <c r="O9" s="171">
        <f t="shared" si="1"/>
        <v>6000</v>
      </c>
      <c r="P9" s="171">
        <f t="shared" si="1"/>
        <v>6000</v>
      </c>
      <c r="Q9" s="171">
        <f t="shared" si="1"/>
        <v>6000</v>
      </c>
      <c r="R9" s="171">
        <f t="shared" si="1"/>
        <v>6000</v>
      </c>
      <c r="S9" s="171">
        <f t="shared" si="1"/>
        <v>6000</v>
      </c>
      <c r="T9" s="171">
        <f t="shared" si="1"/>
        <v>6000</v>
      </c>
      <c r="U9" s="171">
        <f t="shared" si="1"/>
        <v>6000</v>
      </c>
      <c r="V9" s="171">
        <f t="shared" si="1"/>
        <v>6000</v>
      </c>
      <c r="W9" s="171">
        <f t="shared" si="1"/>
        <v>6000</v>
      </c>
      <c r="X9" s="171">
        <f t="shared" si="1"/>
        <v>6000</v>
      </c>
      <c r="Y9" s="171">
        <f t="shared" si="1"/>
        <v>6000</v>
      </c>
      <c r="Z9" s="171">
        <f t="shared" si="1"/>
        <v>6000</v>
      </c>
      <c r="AA9" s="171">
        <f t="shared" si="1"/>
        <v>6000</v>
      </c>
      <c r="AB9" s="171">
        <f t="shared" si="1"/>
        <v>6000</v>
      </c>
      <c r="AC9" s="171">
        <f t="shared" si="1"/>
        <v>6000</v>
      </c>
    </row>
    <row r="10" spans="1:29">
      <c r="A10" s="229" t="s">
        <v>339</v>
      </c>
      <c r="B10" s="229">
        <f>SUM(D10:I10)</f>
        <v>42165.738740534769</v>
      </c>
      <c r="C10" s="229">
        <f>SUM(D10:AC10)</f>
        <v>178257.07978550787</v>
      </c>
      <c r="D10" s="230">
        <f t="shared" ref="D10:J10" si="2">+D9*D44</f>
        <v>4261.4437748429291</v>
      </c>
      <c r="E10" s="230">
        <f t="shared" si="2"/>
        <v>6247.5642361897862</v>
      </c>
      <c r="F10" s="230">
        <f t="shared" si="2"/>
        <v>7900.3127837756028</v>
      </c>
      <c r="G10" s="230">
        <f t="shared" si="2"/>
        <v>9135.86173787806</v>
      </c>
      <c r="H10" s="230">
        <f t="shared" si="2"/>
        <v>7787.1148459383758</v>
      </c>
      <c r="I10" s="230">
        <f t="shared" si="2"/>
        <v>6833.4413619100169</v>
      </c>
      <c r="J10" s="230">
        <f t="shared" si="2"/>
        <v>6255.9551686826762</v>
      </c>
      <c r="K10" s="230">
        <f t="shared" ref="K10:AC10" si="3">+$I$10</f>
        <v>6833.4413619100169</v>
      </c>
      <c r="L10" s="230">
        <f t="shared" si="3"/>
        <v>6833.4413619100169</v>
      </c>
      <c r="M10" s="230">
        <f t="shared" si="3"/>
        <v>6833.4413619100169</v>
      </c>
      <c r="N10" s="230">
        <f t="shared" si="3"/>
        <v>6833.4413619100169</v>
      </c>
      <c r="O10" s="230">
        <f t="shared" si="3"/>
        <v>6833.4413619100169</v>
      </c>
      <c r="P10" s="230">
        <f t="shared" si="3"/>
        <v>6833.4413619100169</v>
      </c>
      <c r="Q10" s="230">
        <f t="shared" si="3"/>
        <v>6833.4413619100169</v>
      </c>
      <c r="R10" s="230">
        <f t="shared" si="3"/>
        <v>6833.4413619100169</v>
      </c>
      <c r="S10" s="230">
        <f t="shared" si="3"/>
        <v>6833.4413619100169</v>
      </c>
      <c r="T10" s="230">
        <f t="shared" si="3"/>
        <v>6833.4413619100169</v>
      </c>
      <c r="U10" s="230">
        <f t="shared" si="3"/>
        <v>6833.4413619100169</v>
      </c>
      <c r="V10" s="230">
        <f t="shared" si="3"/>
        <v>6833.4413619100169</v>
      </c>
      <c r="W10" s="230">
        <f t="shared" si="3"/>
        <v>6833.4413619100169</v>
      </c>
      <c r="X10" s="230">
        <f t="shared" si="3"/>
        <v>6833.4413619100169</v>
      </c>
      <c r="Y10" s="230">
        <f t="shared" si="3"/>
        <v>6833.4413619100169</v>
      </c>
      <c r="Z10" s="230">
        <f t="shared" si="3"/>
        <v>6833.4413619100169</v>
      </c>
      <c r="AA10" s="230">
        <f t="shared" si="3"/>
        <v>6833.4413619100169</v>
      </c>
      <c r="AB10" s="230">
        <f t="shared" si="3"/>
        <v>6833.4413619100169</v>
      </c>
      <c r="AC10" s="230">
        <f t="shared" si="3"/>
        <v>6833.4413619100169</v>
      </c>
    </row>
    <row r="11" spans="1:29">
      <c r="A11" s="229" t="s">
        <v>340</v>
      </c>
      <c r="B11" s="228"/>
      <c r="C11" s="228"/>
      <c r="D11" s="227">
        <f t="shared" ref="D11:AC11" si="4">+D44</f>
        <v>2.8409625165619525</v>
      </c>
      <c r="E11" s="227">
        <f t="shared" si="4"/>
        <v>2.082521412063262</v>
      </c>
      <c r="F11" s="227">
        <f t="shared" si="4"/>
        <v>1.7556250630612451</v>
      </c>
      <c r="G11" s="227">
        <f t="shared" si="4"/>
        <v>1.5226436229796767</v>
      </c>
      <c r="H11" s="227">
        <f t="shared" si="4"/>
        <v>1.2978524743230626</v>
      </c>
      <c r="I11" s="227">
        <f t="shared" si="4"/>
        <v>1.1389068936516695</v>
      </c>
      <c r="J11" s="227">
        <f t="shared" si="4"/>
        <v>1.042659194780446</v>
      </c>
      <c r="K11" s="227">
        <f t="shared" si="4"/>
        <v>0.95944150797823524</v>
      </c>
      <c r="L11" s="227">
        <f t="shared" si="4"/>
        <v>0.88035669201977595</v>
      </c>
      <c r="M11" s="227">
        <f t="shared" si="4"/>
        <v>0.81851611422057202</v>
      </c>
      <c r="N11" s="227">
        <f t="shared" si="4"/>
        <v>0.76987232424921681</v>
      </c>
      <c r="O11" s="227">
        <f t="shared" si="4"/>
        <v>0.73821638508767295</v>
      </c>
      <c r="P11" s="227">
        <f t="shared" si="4"/>
        <v>0.6702151403701152</v>
      </c>
      <c r="Q11" s="227">
        <f t="shared" si="4"/>
        <v>0.63106071262402752</v>
      </c>
      <c r="R11" s="227">
        <f t="shared" si="4"/>
        <v>0.62053313965046542</v>
      </c>
      <c r="S11" s="227">
        <f t="shared" si="4"/>
        <v>0.60030900868665849</v>
      </c>
      <c r="T11" s="227">
        <f t="shared" si="4"/>
        <v>0.57119471658756282</v>
      </c>
      <c r="U11" s="227">
        <f t="shared" si="4"/>
        <v>0.56111611714441478</v>
      </c>
      <c r="V11" s="227">
        <f t="shared" si="4"/>
        <v>0.54279356001356405</v>
      </c>
      <c r="W11" s="227">
        <f t="shared" si="4"/>
        <v>0.53600979235803903</v>
      </c>
      <c r="X11" s="227">
        <f t="shared" si="4"/>
        <v>0.53916915482991323</v>
      </c>
      <c r="Y11" s="227">
        <f t="shared" si="4"/>
        <v>0.52579653073159238</v>
      </c>
      <c r="Z11" s="227">
        <f t="shared" si="4"/>
        <v>0.51979664532264269</v>
      </c>
      <c r="AA11" s="227">
        <f t="shared" si="4"/>
        <v>0.51985526621359612</v>
      </c>
      <c r="AB11" s="227">
        <f t="shared" si="4"/>
        <v>0.5101611174279792</v>
      </c>
      <c r="AC11" s="227">
        <f t="shared" si="4"/>
        <v>0.49633979021088215</v>
      </c>
    </row>
    <row r="12" spans="1:29">
      <c r="A12" s="225" t="s">
        <v>341</v>
      </c>
      <c r="B12" s="225">
        <f>B8/B10</f>
        <v>299.49469349294361</v>
      </c>
      <c r="C12" s="225">
        <f>+B8/C10</f>
        <v>70.84383417026379</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29">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29"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c r="A15" s="171" t="s">
        <v>343</v>
      </c>
      <c r="B15" s="222">
        <f t="shared" ref="B15:B20" si="5">SUM(D15:I15)</f>
        <v>61.642535048596187</v>
      </c>
      <c r="C15" s="222">
        <f t="shared" ref="C15:C20" si="6">SUM(D15:AC15)</f>
        <v>61.642535048596187</v>
      </c>
      <c r="D15" s="171">
        <f>+D46*D4</f>
        <v>23.977433004231312</v>
      </c>
      <c r="E15" s="171">
        <f>+E46*E4</f>
        <v>15.430280509357864</v>
      </c>
      <c r="F15" s="171">
        <f>+F46*F4</f>
        <v>11.913170070772734</v>
      </c>
      <c r="G15" s="171">
        <f>+G46*G4</f>
        <v>10.321651464234277</v>
      </c>
      <c r="H15" s="171">
        <f>+H46*H4</f>
        <v>0</v>
      </c>
      <c r="I15" s="171">
        <f t="shared" ref="I15:AC15" si="7">H15</f>
        <v>0</v>
      </c>
      <c r="J15" s="171">
        <f t="shared" si="7"/>
        <v>0</v>
      </c>
      <c r="K15" s="171">
        <f t="shared" si="7"/>
        <v>0</v>
      </c>
      <c r="L15" s="171">
        <f t="shared" si="7"/>
        <v>0</v>
      </c>
      <c r="M15" s="171">
        <f t="shared" si="7"/>
        <v>0</v>
      </c>
      <c r="N15" s="171">
        <f t="shared" si="7"/>
        <v>0</v>
      </c>
      <c r="O15" s="171">
        <f t="shared" si="7"/>
        <v>0</v>
      </c>
      <c r="P15" s="171">
        <f t="shared" si="7"/>
        <v>0</v>
      </c>
      <c r="Q15" s="171">
        <f t="shared" si="7"/>
        <v>0</v>
      </c>
      <c r="R15" s="171">
        <f t="shared" si="7"/>
        <v>0</v>
      </c>
      <c r="S15" s="171">
        <f t="shared" si="7"/>
        <v>0</v>
      </c>
      <c r="T15" s="171">
        <f t="shared" si="7"/>
        <v>0</v>
      </c>
      <c r="U15" s="171">
        <f t="shared" si="7"/>
        <v>0</v>
      </c>
      <c r="V15" s="171">
        <f t="shared" si="7"/>
        <v>0</v>
      </c>
      <c r="W15" s="171">
        <f t="shared" si="7"/>
        <v>0</v>
      </c>
      <c r="X15" s="171">
        <f t="shared" si="7"/>
        <v>0</v>
      </c>
      <c r="Y15" s="171">
        <f t="shared" si="7"/>
        <v>0</v>
      </c>
      <c r="Z15" s="171">
        <f t="shared" si="7"/>
        <v>0</v>
      </c>
      <c r="AA15" s="171">
        <f t="shared" si="7"/>
        <v>0</v>
      </c>
      <c r="AB15" s="171">
        <f t="shared" si="7"/>
        <v>0</v>
      </c>
      <c r="AC15" s="171">
        <f t="shared" si="7"/>
        <v>0</v>
      </c>
    </row>
    <row r="16" spans="1:29">
      <c r="A16" s="170" t="s">
        <v>344</v>
      </c>
      <c r="B16" s="254">
        <f t="shared" si="5"/>
        <v>48758806.868038073</v>
      </c>
      <c r="C16" s="254">
        <f t="shared" si="6"/>
        <v>133726770.6669181</v>
      </c>
      <c r="D16" s="170">
        <f t="shared" ref="D16:AC16" si="8">+D47*D9</f>
        <v>5212625.7853570972</v>
      </c>
      <c r="E16" s="170">
        <f t="shared" si="8"/>
        <v>7369061.2226401409</v>
      </c>
      <c r="F16" s="170">
        <f t="shared" si="8"/>
        <v>8789642.4319298901</v>
      </c>
      <c r="G16" s="170">
        <f t="shared" si="8"/>
        <v>9758345.7153144497</v>
      </c>
      <c r="H16" s="170">
        <f t="shared" si="8"/>
        <v>9215323.4751264844</v>
      </c>
      <c r="I16" s="170">
        <f t="shared" si="8"/>
        <v>8413808.2376700118</v>
      </c>
      <c r="J16" s="170">
        <f t="shared" si="8"/>
        <v>7542605.6588233402</v>
      </c>
      <c r="K16" s="170">
        <f t="shared" si="8"/>
        <v>6737507.4182499209</v>
      </c>
      <c r="L16" s="170">
        <f t="shared" si="8"/>
        <v>6037648.7789573278</v>
      </c>
      <c r="M16" s="170">
        <f t="shared" si="8"/>
        <v>5463807.4091373291</v>
      </c>
      <c r="N16" s="170">
        <f t="shared" si="8"/>
        <v>5010992.1644579023</v>
      </c>
      <c r="O16" s="170">
        <f t="shared" si="8"/>
        <v>4478949.5077351928</v>
      </c>
      <c r="P16" s="170">
        <f t="shared" si="8"/>
        <v>4102225.8852584693</v>
      </c>
      <c r="Q16" s="170">
        <f t="shared" si="8"/>
        <v>3834351.2329715751</v>
      </c>
      <c r="R16" s="170">
        <f t="shared" si="8"/>
        <v>3646804.2562991222</v>
      </c>
      <c r="S16" s="170">
        <f t="shared" si="8"/>
        <v>3521026.3276493577</v>
      </c>
      <c r="T16" s="170">
        <f t="shared" si="8"/>
        <v>3438818.0703220288</v>
      </c>
      <c r="U16" s="170">
        <f t="shared" si="8"/>
        <v>3389973.2877343916</v>
      </c>
      <c r="V16" s="170">
        <f t="shared" si="8"/>
        <v>3362279.2694880809</v>
      </c>
      <c r="W16" s="170">
        <f t="shared" si="8"/>
        <v>3353221.7615548931</v>
      </c>
      <c r="X16" s="170">
        <f t="shared" si="8"/>
        <v>3362944.7066843859</v>
      </c>
      <c r="Y16" s="170">
        <f t="shared" si="8"/>
        <v>3392615.7551738215</v>
      </c>
      <c r="Z16" s="170">
        <f t="shared" si="8"/>
        <v>3443031.0327280392</v>
      </c>
      <c r="AA16" s="170">
        <f t="shared" si="8"/>
        <v>3515465.7803209177</v>
      </c>
      <c r="AB16" s="170">
        <f t="shared" si="8"/>
        <v>3609608.4323748192</v>
      </c>
      <c r="AC16" s="170">
        <f t="shared" si="8"/>
        <v>3724087.0629591388</v>
      </c>
    </row>
    <row r="17" spans="1:29">
      <c r="A17" s="252" t="s">
        <v>345</v>
      </c>
      <c r="B17" s="253">
        <f t="shared" si="5"/>
        <v>32.50472156996473</v>
      </c>
      <c r="C17" s="253">
        <f t="shared" si="6"/>
        <v>107.53589185200558</v>
      </c>
      <c r="D17" s="252">
        <f t="shared" ref="D17:AC17" si="9">+D48*D9</f>
        <v>2.8731238620335939</v>
      </c>
      <c r="E17" s="252">
        <f t="shared" si="9"/>
        <v>4.4115088367245203</v>
      </c>
      <c r="F17" s="252">
        <f t="shared" si="9"/>
        <v>5.8489708837222709</v>
      </c>
      <c r="G17" s="252">
        <f t="shared" si="9"/>
        <v>7.1041587253960632</v>
      </c>
      <c r="H17" s="252">
        <f t="shared" si="9"/>
        <v>6.3681581221635932</v>
      </c>
      <c r="I17" s="252">
        <f t="shared" si="9"/>
        <v>5.8988011399246831</v>
      </c>
      <c r="J17" s="252">
        <f t="shared" si="9"/>
        <v>5.4747720482550344</v>
      </c>
      <c r="K17" s="252">
        <f t="shared" si="9"/>
        <v>5.1121931389354671</v>
      </c>
      <c r="L17" s="252">
        <f t="shared" si="9"/>
        <v>4.7602115836664858</v>
      </c>
      <c r="M17" s="252">
        <f t="shared" si="9"/>
        <v>4.4860272964050765</v>
      </c>
      <c r="N17" s="252">
        <f t="shared" si="9"/>
        <v>4.2837841244248684</v>
      </c>
      <c r="O17" s="252">
        <f t="shared" si="9"/>
        <v>4.1587596373459155</v>
      </c>
      <c r="P17" s="252">
        <f t="shared" si="9"/>
        <v>3.8332186241496764</v>
      </c>
      <c r="Q17" s="252">
        <f t="shared" si="9"/>
        <v>3.6536497408541533</v>
      </c>
      <c r="R17" s="252">
        <f t="shared" si="9"/>
        <v>3.6462383598367865</v>
      </c>
      <c r="S17" s="252">
        <f t="shared" si="9"/>
        <v>3.5837368873884579</v>
      </c>
      <c r="T17" s="252">
        <f t="shared" si="9"/>
        <v>3.4138491329020955</v>
      </c>
      <c r="U17" s="252">
        <f t="shared" si="9"/>
        <v>3.3549279600351376</v>
      </c>
      <c r="V17" s="252">
        <f t="shared" si="9"/>
        <v>3.2559843998025646</v>
      </c>
      <c r="W17" s="252">
        <f t="shared" si="9"/>
        <v>3.2188039107041524</v>
      </c>
      <c r="X17" s="252">
        <f t="shared" si="9"/>
        <v>3.2412147658825354</v>
      </c>
      <c r="Y17" s="252">
        <f t="shared" si="9"/>
        <v>3.1697055833932861</v>
      </c>
      <c r="Z17" s="252">
        <f t="shared" si="9"/>
        <v>3.1384606590779356</v>
      </c>
      <c r="AA17" s="252">
        <f t="shared" si="9"/>
        <v>3.1425825814127544</v>
      </c>
      <c r="AB17" s="252">
        <f t="shared" si="9"/>
        <v>3.0889550860506603</v>
      </c>
      <c r="AC17" s="252">
        <f t="shared" si="9"/>
        <v>3.0140947615177973</v>
      </c>
    </row>
    <row r="18" spans="1:29">
      <c r="A18" s="252" t="s">
        <v>346</v>
      </c>
      <c r="B18" s="253">
        <f t="shared" si="5"/>
        <v>12.853437748359319</v>
      </c>
      <c r="C18" s="253">
        <f t="shared" si="6"/>
        <v>42.54488114137753</v>
      </c>
      <c r="D18" s="252">
        <f t="shared" ref="D18:AC18" si="10">+D49*D9</f>
        <v>1.145379535837928</v>
      </c>
      <c r="E18" s="252">
        <f t="shared" si="10"/>
        <v>1.7517626319844111</v>
      </c>
      <c r="F18" s="252">
        <f t="shared" si="10"/>
        <v>2.3164176960664196</v>
      </c>
      <c r="G18" s="252">
        <f t="shared" si="10"/>
        <v>2.8048658185309652</v>
      </c>
      <c r="H18" s="252">
        <f t="shared" si="10"/>
        <v>2.5114825527110067</v>
      </c>
      <c r="I18" s="252">
        <f t="shared" si="10"/>
        <v>2.32352951322859</v>
      </c>
      <c r="J18" s="252">
        <f t="shared" si="10"/>
        <v>2.1520688054133497</v>
      </c>
      <c r="K18" s="252">
        <f t="shared" si="10"/>
        <v>2.0129081717412745</v>
      </c>
      <c r="L18" s="252">
        <f t="shared" si="10"/>
        <v>1.8679643160910948</v>
      </c>
      <c r="M18" s="252">
        <f t="shared" si="10"/>
        <v>1.7552023243110588</v>
      </c>
      <c r="N18" s="252">
        <f t="shared" si="10"/>
        <v>1.6740843033544379</v>
      </c>
      <c r="O18" s="252">
        <f t="shared" si="10"/>
        <v>1.6260379067548358</v>
      </c>
      <c r="P18" s="252">
        <f t="shared" si="10"/>
        <v>1.4995579869770694</v>
      </c>
      <c r="Q18" s="252">
        <f t="shared" si="10"/>
        <v>1.4300069574438157</v>
      </c>
      <c r="R18" s="252">
        <f t="shared" si="10"/>
        <v>1.4300496725696639</v>
      </c>
      <c r="S18" s="252">
        <f t="shared" si="10"/>
        <v>1.4068613858411383</v>
      </c>
      <c r="T18" s="252">
        <f t="shared" si="10"/>
        <v>1.3431608725004629</v>
      </c>
      <c r="U18" s="252">
        <f t="shared" si="10"/>
        <v>1.3245387361824044</v>
      </c>
      <c r="V18" s="252">
        <f t="shared" si="10"/>
        <v>1.2895279804788975</v>
      </c>
      <c r="W18" s="252">
        <f t="shared" si="10"/>
        <v>1.2800907501433498</v>
      </c>
      <c r="X18" s="252">
        <f t="shared" si="10"/>
        <v>1.297958250634266</v>
      </c>
      <c r="Y18" s="252">
        <f t="shared" si="10"/>
        <v>1.2720834963628638</v>
      </c>
      <c r="Z18" s="252">
        <f t="shared" si="10"/>
        <v>1.2669347250215357</v>
      </c>
      <c r="AA18" s="252">
        <f t="shared" si="10"/>
        <v>1.2714027708633697</v>
      </c>
      <c r="AB18" s="252">
        <f t="shared" si="10"/>
        <v>1.2586188731746908</v>
      </c>
      <c r="AC18" s="252">
        <f t="shared" si="10"/>
        <v>1.2323851071586411</v>
      </c>
    </row>
    <row r="19" spans="1:29">
      <c r="A19" s="252" t="s">
        <v>347</v>
      </c>
      <c r="B19" s="253">
        <f t="shared" si="5"/>
        <v>128.65478150360835</v>
      </c>
      <c r="C19" s="253">
        <f t="shared" si="6"/>
        <v>427.26166365880204</v>
      </c>
      <c r="D19" s="252">
        <f t="shared" ref="D19:AC19" si="11">+D50*D9</f>
        <v>11.43147589434543</v>
      </c>
      <c r="E19" s="252">
        <f t="shared" si="11"/>
        <v>17.529008564825304</v>
      </c>
      <c r="F19" s="252">
        <f t="shared" si="11"/>
        <v>23.165964260489787</v>
      </c>
      <c r="G19" s="252">
        <f t="shared" si="11"/>
        <v>28.11883623379741</v>
      </c>
      <c r="H19" s="252">
        <f t="shared" si="11"/>
        <v>25.144401493930907</v>
      </c>
      <c r="I19" s="252">
        <f t="shared" si="11"/>
        <v>23.265095056219501</v>
      </c>
      <c r="J19" s="252">
        <f t="shared" si="11"/>
        <v>21.556682870108688</v>
      </c>
      <c r="K19" s="252">
        <f t="shared" si="11"/>
        <v>20.124527450169083</v>
      </c>
      <c r="L19" s="252">
        <f t="shared" si="11"/>
        <v>18.757947388417318</v>
      </c>
      <c r="M19" s="252">
        <f t="shared" si="11"/>
        <v>17.620959451221925</v>
      </c>
      <c r="N19" s="252">
        <f t="shared" si="11"/>
        <v>16.854107220103032</v>
      </c>
      <c r="O19" s="252">
        <f t="shared" si="11"/>
        <v>16.322280556166039</v>
      </c>
      <c r="P19" s="252">
        <f t="shared" si="11"/>
        <v>15.116080973614494</v>
      </c>
      <c r="Q19" s="252">
        <f t="shared" si="11"/>
        <v>14.352621859141516</v>
      </c>
      <c r="R19" s="252">
        <f t="shared" si="11"/>
        <v>14.361122043826656</v>
      </c>
      <c r="S19" s="252">
        <f t="shared" si="11"/>
        <v>14.180118530415141</v>
      </c>
      <c r="T19" s="252">
        <f t="shared" si="11"/>
        <v>13.543886993488764</v>
      </c>
      <c r="U19" s="252">
        <f t="shared" si="11"/>
        <v>13.323760353186886</v>
      </c>
      <c r="V19" s="252">
        <f t="shared" si="11"/>
        <v>13.034101415187251</v>
      </c>
      <c r="W19" s="252">
        <f t="shared" si="11"/>
        <v>12.920018688964879</v>
      </c>
      <c r="X19" s="252">
        <f t="shared" si="11"/>
        <v>13.04587717678328</v>
      </c>
      <c r="Y19" s="252">
        <f t="shared" si="11"/>
        <v>12.840931304614895</v>
      </c>
      <c r="Z19" s="252">
        <f t="shared" si="11"/>
        <v>12.763975965421718</v>
      </c>
      <c r="AA19" s="252">
        <f t="shared" si="11"/>
        <v>12.816511667850534</v>
      </c>
      <c r="AB19" s="252">
        <f t="shared" si="11"/>
        <v>12.646031198322312</v>
      </c>
      <c r="AC19" s="252">
        <f t="shared" si="11"/>
        <v>12.425339048189311</v>
      </c>
    </row>
    <row r="20" spans="1:29">
      <c r="A20" s="252" t="s">
        <v>348</v>
      </c>
      <c r="B20" s="253">
        <f t="shared" si="5"/>
        <v>610.51987911389233</v>
      </c>
      <c r="C20" s="253">
        <f t="shared" si="6"/>
        <v>2027.6289379322345</v>
      </c>
      <c r="D20" s="252">
        <f t="shared" ref="D20:AC20" si="12">+D51*D9</f>
        <v>54.250546672650337</v>
      </c>
      <c r="E20" s="252">
        <f t="shared" si="12"/>
        <v>83.186408211356323</v>
      </c>
      <c r="F20" s="252">
        <f t="shared" si="12"/>
        <v>109.93293164881733</v>
      </c>
      <c r="G20" s="252">
        <f t="shared" si="12"/>
        <v>133.43548205712915</v>
      </c>
      <c r="H20" s="252">
        <f t="shared" si="12"/>
        <v>119.31692667144377</v>
      </c>
      <c r="I20" s="252">
        <f t="shared" si="12"/>
        <v>110.39758385249544</v>
      </c>
      <c r="J20" s="252">
        <f t="shared" si="12"/>
        <v>102.28870749826393</v>
      </c>
      <c r="K20" s="252">
        <f t="shared" si="12"/>
        <v>95.492705102399526</v>
      </c>
      <c r="L20" s="252">
        <f t="shared" si="12"/>
        <v>89.009308568501197</v>
      </c>
      <c r="M20" s="252">
        <f t="shared" si="12"/>
        <v>83.610792969275707</v>
      </c>
      <c r="N20" s="252">
        <f t="shared" si="12"/>
        <v>79.973760706280231</v>
      </c>
      <c r="O20" s="252">
        <f t="shared" si="12"/>
        <v>77.447826490217295</v>
      </c>
      <c r="P20" s="252">
        <f t="shared" si="12"/>
        <v>71.728776385505924</v>
      </c>
      <c r="Q20" s="252">
        <f t="shared" si="12"/>
        <v>68.102724894231713</v>
      </c>
      <c r="R20" s="252">
        <f t="shared" si="12"/>
        <v>68.145288841386716</v>
      </c>
      <c r="S20" s="252">
        <f t="shared" si="12"/>
        <v>67.290275185254984</v>
      </c>
      <c r="T20" s="252">
        <f t="shared" si="12"/>
        <v>64.273226181158975</v>
      </c>
      <c r="U20" s="252">
        <f t="shared" si="12"/>
        <v>63.229393085418756</v>
      </c>
      <c r="V20" s="252">
        <f t="shared" si="12"/>
        <v>61.860861162414004</v>
      </c>
      <c r="W20" s="252">
        <f t="shared" si="12"/>
        <v>61.321431463892168</v>
      </c>
      <c r="X20" s="252">
        <f t="shared" si="12"/>
        <v>61.920845644707548</v>
      </c>
      <c r="Y20" s="252">
        <f t="shared" si="12"/>
        <v>60.952907310875233</v>
      </c>
      <c r="Z20" s="252">
        <f t="shared" si="12"/>
        <v>60.590461624482437</v>
      </c>
      <c r="AA20" s="252">
        <f t="shared" si="12"/>
        <v>60.84189837443499</v>
      </c>
      <c r="AB20" s="252">
        <f t="shared" si="12"/>
        <v>60.035339615848528</v>
      </c>
      <c r="AC20" s="252">
        <f t="shared" si="12"/>
        <v>58.992527713792846</v>
      </c>
    </row>
    <row r="21" spans="1:29">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29">
      <c r="A22" s="315" t="s">
        <v>398</v>
      </c>
      <c r="B22" s="282"/>
      <c r="D22" s="744" t="s">
        <v>412</v>
      </c>
      <c r="E22" s="745"/>
      <c r="F22" s="746"/>
    </row>
    <row r="23" spans="1:29">
      <c r="A23" s="282" t="s">
        <v>399</v>
      </c>
      <c r="B23" s="321">
        <v>6100</v>
      </c>
      <c r="D23" s="282"/>
      <c r="E23" s="292" t="s">
        <v>319</v>
      </c>
      <c r="F23" s="282">
        <v>235</v>
      </c>
    </row>
    <row r="24" spans="1:29">
      <c r="A24" s="282" t="s">
        <v>400</v>
      </c>
      <c r="B24" s="321">
        <v>20550</v>
      </c>
      <c r="D24" s="282"/>
      <c r="E24" s="292" t="s">
        <v>334</v>
      </c>
      <c r="F24" s="267">
        <v>3545</v>
      </c>
    </row>
    <row r="25" spans="1:29">
      <c r="A25" t="s">
        <v>401</v>
      </c>
    </row>
    <row r="26" spans="1:29">
      <c r="A26" s="314" t="s">
        <v>402</v>
      </c>
    </row>
    <row r="27" spans="1:29" ht="18.600000000000001">
      <c r="A27" s="213" t="s">
        <v>349</v>
      </c>
      <c r="B27" s="213"/>
      <c r="C27" s="213"/>
    </row>
    <row r="28" spans="1:29">
      <c r="A28" s="742" t="s">
        <v>405</v>
      </c>
      <c r="B28" s="742"/>
      <c r="C28" s="742"/>
      <c r="D28" s="742"/>
      <c r="E28" s="742"/>
    </row>
    <row r="30" spans="1:29" ht="18.600000000000001">
      <c r="A30" s="213" t="s">
        <v>351</v>
      </c>
    </row>
    <row r="31" spans="1:29" ht="29.1">
      <c r="A31" s="169" t="s">
        <v>352</v>
      </c>
      <c r="B31" s="212" t="s">
        <v>331</v>
      </c>
      <c r="C31" s="212" t="s">
        <v>332</v>
      </c>
      <c r="D31" s="169">
        <v>2025</v>
      </c>
      <c r="E31" s="169">
        <v>2026</v>
      </c>
      <c r="F31" s="169">
        <v>2027</v>
      </c>
      <c r="G31" s="169">
        <v>2028</v>
      </c>
      <c r="H31" s="169">
        <v>2029</v>
      </c>
      <c r="I31" s="169">
        <v>2030</v>
      </c>
      <c r="J31" s="169">
        <v>2031</v>
      </c>
      <c r="K31" s="169">
        <v>2032</v>
      </c>
      <c r="L31" s="169">
        <v>2033</v>
      </c>
      <c r="M31" s="169">
        <v>2034</v>
      </c>
      <c r="N31" s="169">
        <v>2035</v>
      </c>
      <c r="O31" s="169">
        <v>2036</v>
      </c>
      <c r="P31" s="169">
        <v>2037</v>
      </c>
      <c r="Q31" s="169">
        <v>2038</v>
      </c>
      <c r="R31" s="169">
        <v>2039</v>
      </c>
      <c r="S31" s="169">
        <v>2040</v>
      </c>
      <c r="T31" s="169">
        <v>2041</v>
      </c>
      <c r="U31" s="169">
        <v>2042</v>
      </c>
      <c r="V31" s="169">
        <v>2043</v>
      </c>
      <c r="W31" s="169">
        <v>2044</v>
      </c>
      <c r="X31" s="169">
        <v>2045</v>
      </c>
      <c r="Y31" s="169">
        <v>2046</v>
      </c>
      <c r="Z31" s="169">
        <v>2047</v>
      </c>
      <c r="AA31" s="169">
        <v>2048</v>
      </c>
      <c r="AB31" s="169">
        <v>2049</v>
      </c>
      <c r="AC31" s="169">
        <v>2050</v>
      </c>
    </row>
    <row r="32" spans="1:29">
      <c r="A32" s="183" t="s">
        <v>353</v>
      </c>
      <c r="B32" s="183">
        <f t="shared" ref="B32:B41" si="13">I32</f>
        <v>186679</v>
      </c>
      <c r="C32" s="183">
        <f t="shared" ref="C32:C41" si="14">AC32</f>
        <v>1473003</v>
      </c>
      <c r="D32" s="183">
        <v>23397</v>
      </c>
      <c r="E32" s="183">
        <v>44134</v>
      </c>
      <c r="F32" s="183">
        <v>69377</v>
      </c>
      <c r="G32" s="183">
        <v>99984</v>
      </c>
      <c r="H32" s="183">
        <v>138159</v>
      </c>
      <c r="I32" s="183">
        <v>186679</v>
      </c>
      <c r="J32" s="183">
        <v>247684</v>
      </c>
      <c r="K32" s="183">
        <v>321437</v>
      </c>
      <c r="L32" s="183">
        <v>407971</v>
      </c>
      <c r="M32" s="183">
        <v>505268</v>
      </c>
      <c r="N32" s="183">
        <v>610296</v>
      </c>
      <c r="O32" s="183">
        <v>718922</v>
      </c>
      <c r="P32" s="183">
        <v>824392</v>
      </c>
      <c r="Q32" s="183">
        <v>924190</v>
      </c>
      <c r="R32" s="183">
        <v>1016094</v>
      </c>
      <c r="S32" s="183">
        <v>1098351</v>
      </c>
      <c r="T32" s="183">
        <v>1171667</v>
      </c>
      <c r="U32" s="183">
        <v>1236286</v>
      </c>
      <c r="V32" s="183">
        <v>1294599</v>
      </c>
      <c r="W32" s="183">
        <v>1346356</v>
      </c>
      <c r="X32" s="183">
        <v>1390584</v>
      </c>
      <c r="Y32" s="183">
        <v>1426122</v>
      </c>
      <c r="Z32" s="183">
        <v>1452241</v>
      </c>
      <c r="AA32" s="183">
        <v>1468351</v>
      </c>
      <c r="AB32" s="183">
        <v>1474887</v>
      </c>
      <c r="AC32" s="183">
        <v>1473003</v>
      </c>
    </row>
    <row r="33" spans="1:29">
      <c r="A33" s="171" t="s">
        <v>339</v>
      </c>
      <c r="B33" s="183">
        <f t="shared" si="13"/>
        <v>212610</v>
      </c>
      <c r="C33" s="183">
        <f t="shared" si="14"/>
        <v>731110</v>
      </c>
      <c r="D33" s="183">
        <v>66470</v>
      </c>
      <c r="E33" s="183">
        <v>91910</v>
      </c>
      <c r="F33" s="183">
        <v>121800</v>
      </c>
      <c r="G33" s="183">
        <v>152240</v>
      </c>
      <c r="H33" s="183">
        <v>179310</v>
      </c>
      <c r="I33" s="183">
        <v>212610</v>
      </c>
      <c r="J33" s="183">
        <v>258250</v>
      </c>
      <c r="K33" s="183">
        <v>308400</v>
      </c>
      <c r="L33" s="183">
        <v>359160</v>
      </c>
      <c r="M33" s="183">
        <v>413570</v>
      </c>
      <c r="N33" s="183">
        <v>469850</v>
      </c>
      <c r="O33" s="183">
        <v>530720</v>
      </c>
      <c r="P33" s="183">
        <v>552520</v>
      </c>
      <c r="Q33" s="183">
        <v>583220</v>
      </c>
      <c r="R33" s="183">
        <v>630520</v>
      </c>
      <c r="S33" s="183">
        <v>659350</v>
      </c>
      <c r="T33" s="183">
        <v>669250</v>
      </c>
      <c r="U33" s="183">
        <v>693700</v>
      </c>
      <c r="V33" s="183">
        <v>702700</v>
      </c>
      <c r="W33" s="183">
        <v>721660</v>
      </c>
      <c r="X33" s="183">
        <v>749760</v>
      </c>
      <c r="Y33" s="183">
        <v>749850</v>
      </c>
      <c r="Z33" s="183">
        <v>754870</v>
      </c>
      <c r="AA33" s="183">
        <v>763330</v>
      </c>
      <c r="AB33" s="183">
        <v>752430</v>
      </c>
      <c r="AC33" s="183">
        <v>731110</v>
      </c>
    </row>
    <row r="34" spans="1:29">
      <c r="A34" s="250" t="s">
        <v>354</v>
      </c>
      <c r="B34" s="250">
        <f t="shared" si="13"/>
        <v>1138741900</v>
      </c>
      <c r="C34" s="250">
        <f t="shared" si="14"/>
        <v>8985318300</v>
      </c>
      <c r="D34" s="316">
        <f t="shared" ref="D34:AC34" si="15">D32*$B$23</f>
        <v>142721700</v>
      </c>
      <c r="E34" s="316">
        <f t="shared" si="15"/>
        <v>269217400</v>
      </c>
      <c r="F34" s="316">
        <f t="shared" si="15"/>
        <v>423199700</v>
      </c>
      <c r="G34" s="316">
        <f t="shared" si="15"/>
        <v>609902400</v>
      </c>
      <c r="H34" s="316">
        <f t="shared" si="15"/>
        <v>842769900</v>
      </c>
      <c r="I34" s="316">
        <f t="shared" si="15"/>
        <v>1138741900</v>
      </c>
      <c r="J34" s="316">
        <f t="shared" si="15"/>
        <v>1510872400</v>
      </c>
      <c r="K34" s="316">
        <f t="shared" si="15"/>
        <v>1960765700</v>
      </c>
      <c r="L34" s="316">
        <f t="shared" si="15"/>
        <v>2488623100</v>
      </c>
      <c r="M34" s="316">
        <f t="shared" si="15"/>
        <v>3082134800</v>
      </c>
      <c r="N34" s="316">
        <f t="shared" si="15"/>
        <v>3722805600</v>
      </c>
      <c r="O34" s="316">
        <f t="shared" si="15"/>
        <v>4385424200</v>
      </c>
      <c r="P34" s="316">
        <f t="shared" si="15"/>
        <v>5028791200</v>
      </c>
      <c r="Q34" s="316">
        <f t="shared" si="15"/>
        <v>5637559000</v>
      </c>
      <c r="R34" s="316">
        <f t="shared" si="15"/>
        <v>6198173400</v>
      </c>
      <c r="S34" s="316">
        <f t="shared" si="15"/>
        <v>6699941100</v>
      </c>
      <c r="T34" s="316">
        <f t="shared" si="15"/>
        <v>7147168700</v>
      </c>
      <c r="U34" s="316">
        <f t="shared" si="15"/>
        <v>7541344600</v>
      </c>
      <c r="V34" s="316">
        <f t="shared" si="15"/>
        <v>7897053900</v>
      </c>
      <c r="W34" s="316">
        <f t="shared" si="15"/>
        <v>8212771600</v>
      </c>
      <c r="X34" s="316">
        <f t="shared" si="15"/>
        <v>8482562400</v>
      </c>
      <c r="Y34" s="316">
        <f t="shared" si="15"/>
        <v>8699344200</v>
      </c>
      <c r="Z34" s="316">
        <f t="shared" si="15"/>
        <v>8858670100</v>
      </c>
      <c r="AA34" s="316">
        <f t="shared" si="15"/>
        <v>8956941100</v>
      </c>
      <c r="AB34" s="316">
        <f t="shared" si="15"/>
        <v>8996810700</v>
      </c>
      <c r="AC34" s="316">
        <f t="shared" si="15"/>
        <v>8985318300</v>
      </c>
    </row>
    <row r="35" spans="1:29">
      <c r="A35" s="206" t="s">
        <v>355</v>
      </c>
      <c r="B35" s="206">
        <f t="shared" si="13"/>
        <v>1099</v>
      </c>
      <c r="C35" s="206">
        <f t="shared" si="14"/>
        <v>1841</v>
      </c>
      <c r="D35" s="206">
        <v>374</v>
      </c>
      <c r="E35" s="206">
        <v>454</v>
      </c>
      <c r="F35" s="206">
        <v>551</v>
      </c>
      <c r="G35" s="206">
        <v>688</v>
      </c>
      <c r="H35" s="206">
        <v>874</v>
      </c>
      <c r="I35" s="206">
        <v>1099</v>
      </c>
      <c r="J35" s="206">
        <v>1329</v>
      </c>
      <c r="K35" s="206">
        <v>1562</v>
      </c>
      <c r="L35" s="206">
        <v>1769</v>
      </c>
      <c r="M35" s="206">
        <v>1942</v>
      </c>
      <c r="N35" s="206">
        <v>2067</v>
      </c>
      <c r="O35" s="206">
        <v>2090</v>
      </c>
      <c r="P35" s="206">
        <v>2082</v>
      </c>
      <c r="Q35" s="206">
        <v>2040</v>
      </c>
      <c r="R35" s="206">
        <v>1973</v>
      </c>
      <c r="S35" s="206">
        <v>1935</v>
      </c>
      <c r="T35" s="206">
        <v>1926</v>
      </c>
      <c r="U35" s="206">
        <v>1990</v>
      </c>
      <c r="V35" s="206">
        <v>2070</v>
      </c>
      <c r="W35" s="206">
        <v>2140</v>
      </c>
      <c r="X35" s="206">
        <v>2182</v>
      </c>
      <c r="Y35" s="206">
        <v>2186</v>
      </c>
      <c r="Z35" s="206">
        <v>2143</v>
      </c>
      <c r="AA35" s="206">
        <v>2061</v>
      </c>
      <c r="AB35" s="206">
        <v>1955</v>
      </c>
      <c r="AC35" s="206">
        <v>1841</v>
      </c>
    </row>
    <row r="36" spans="1:29">
      <c r="A36" s="209" t="s">
        <v>356</v>
      </c>
      <c r="B36" s="209">
        <f t="shared" si="13"/>
        <v>0.12740000000000001</v>
      </c>
      <c r="C36" s="209">
        <f t="shared" si="14"/>
        <v>5.33E-2</v>
      </c>
      <c r="D36" s="209">
        <v>0.12740000000000001</v>
      </c>
      <c r="E36" s="209">
        <v>0.12740000000000001</v>
      </c>
      <c r="F36" s="209">
        <v>0.12740000000000001</v>
      </c>
      <c r="G36" s="209">
        <v>0.12740000000000001</v>
      </c>
      <c r="H36" s="209">
        <v>0.12740000000000001</v>
      </c>
      <c r="I36" s="209">
        <v>0.12740000000000001</v>
      </c>
      <c r="J36" s="209">
        <v>0.12740000000000001</v>
      </c>
      <c r="K36" s="209">
        <v>0.12740000000000001</v>
      </c>
      <c r="L36" s="209">
        <v>9.1300000000000006E-2</v>
      </c>
      <c r="M36" s="209">
        <v>9.1300000000000006E-2</v>
      </c>
      <c r="N36" s="209">
        <v>9.1300000000000006E-2</v>
      </c>
      <c r="O36" s="209">
        <v>9.1300000000000006E-2</v>
      </c>
      <c r="P36" s="209">
        <v>9.1300000000000006E-2</v>
      </c>
      <c r="Q36" s="209">
        <v>9.1300000000000006E-2</v>
      </c>
      <c r="R36" s="209">
        <v>9.1300000000000006E-2</v>
      </c>
      <c r="S36" s="209">
        <v>5.33E-2</v>
      </c>
      <c r="T36" s="209">
        <v>5.33E-2</v>
      </c>
      <c r="U36" s="209">
        <v>5.33E-2</v>
      </c>
      <c r="V36" s="209">
        <v>5.33E-2</v>
      </c>
      <c r="W36" s="209">
        <v>5.33E-2</v>
      </c>
      <c r="X36" s="209">
        <v>5.33E-2</v>
      </c>
      <c r="Y36" s="209">
        <v>5.33E-2</v>
      </c>
      <c r="Z36" s="209">
        <v>5.33E-2</v>
      </c>
      <c r="AA36" s="209">
        <v>5.33E-2</v>
      </c>
      <c r="AB36" s="209">
        <v>5.33E-2</v>
      </c>
      <c r="AC36" s="209">
        <v>5.33E-2</v>
      </c>
    </row>
    <row r="37" spans="1:29">
      <c r="A37" s="208" t="s">
        <v>344</v>
      </c>
      <c r="B37" s="208">
        <f t="shared" si="13"/>
        <v>-261780218</v>
      </c>
      <c r="C37" s="208">
        <f t="shared" si="14"/>
        <v>-914265236</v>
      </c>
      <c r="D37" s="208">
        <v>-81306537</v>
      </c>
      <c r="E37" s="208">
        <v>-108408716</v>
      </c>
      <c r="F37" s="208">
        <v>-135510894</v>
      </c>
      <c r="G37" s="208">
        <v>-162613073</v>
      </c>
      <c r="H37" s="208">
        <v>-212196646</v>
      </c>
      <c r="I37" s="208">
        <v>-261780218</v>
      </c>
      <c r="J37" s="208">
        <v>-311363790</v>
      </c>
      <c r="K37" s="208">
        <v>-360947362</v>
      </c>
      <c r="L37" s="208">
        <v>-410530935</v>
      </c>
      <c r="M37" s="208">
        <v>-460114507</v>
      </c>
      <c r="N37" s="208">
        <v>-509698079</v>
      </c>
      <c r="O37" s="208">
        <v>-536669223</v>
      </c>
      <c r="P37" s="208">
        <v>-563640367</v>
      </c>
      <c r="Q37" s="208">
        <v>-590611511</v>
      </c>
      <c r="R37" s="208">
        <v>-617582654</v>
      </c>
      <c r="S37" s="208">
        <v>-644553798</v>
      </c>
      <c r="T37" s="208">
        <v>-671524942</v>
      </c>
      <c r="U37" s="208">
        <v>-698496086</v>
      </c>
      <c r="V37" s="208">
        <v>-725467230</v>
      </c>
      <c r="W37" s="208">
        <v>-752438373</v>
      </c>
      <c r="X37" s="208">
        <v>-779409517</v>
      </c>
      <c r="Y37" s="208">
        <v>-806380661</v>
      </c>
      <c r="Z37" s="208">
        <v>-833351805</v>
      </c>
      <c r="AA37" s="208">
        <v>-860322949</v>
      </c>
      <c r="AB37" s="208">
        <v>-887294092</v>
      </c>
      <c r="AC37" s="208">
        <v>-914265236</v>
      </c>
    </row>
    <row r="38" spans="1:29">
      <c r="A38" s="206" t="s">
        <v>345</v>
      </c>
      <c r="B38" s="206">
        <f t="shared" si="13"/>
        <v>-183.530383</v>
      </c>
      <c r="C38" s="206">
        <f t="shared" si="14"/>
        <v>-739.961771</v>
      </c>
      <c r="D38" s="206">
        <v>-44.814985999999998</v>
      </c>
      <c r="E38" s="206">
        <v>-64.899176999999995</v>
      </c>
      <c r="F38" s="206">
        <v>-90.174233999999998</v>
      </c>
      <c r="G38" s="206">
        <v>-118.383701</v>
      </c>
      <c r="H38" s="206">
        <v>-146.636393</v>
      </c>
      <c r="I38" s="206">
        <v>-183.530383</v>
      </c>
      <c r="J38" s="206">
        <v>-226.00224</v>
      </c>
      <c r="K38" s="206">
        <v>-273.87467099999998</v>
      </c>
      <c r="L38" s="206">
        <v>-323.67138</v>
      </c>
      <c r="M38" s="206">
        <v>-377.77434</v>
      </c>
      <c r="N38" s="206">
        <v>-435.72938599999998</v>
      </c>
      <c r="O38" s="206">
        <v>-498.303966</v>
      </c>
      <c r="P38" s="206">
        <v>-526.67912799999999</v>
      </c>
      <c r="Q38" s="206">
        <v>-562.77775899999995</v>
      </c>
      <c r="R38" s="206">
        <v>-617.48681999999997</v>
      </c>
      <c r="S38" s="206">
        <v>-656.03349900000001</v>
      </c>
      <c r="T38" s="206">
        <v>-666.64906199999996</v>
      </c>
      <c r="U38" s="206">
        <v>-691.27507800000001</v>
      </c>
      <c r="V38" s="206">
        <v>-702.53235800000004</v>
      </c>
      <c r="W38" s="206">
        <v>-722.27599299999997</v>
      </c>
      <c r="X38" s="206">
        <v>-751.19689900000003</v>
      </c>
      <c r="Y38" s="206">
        <v>-753.39781100000005</v>
      </c>
      <c r="Z38" s="206">
        <v>-759.63354100000004</v>
      </c>
      <c r="AA38" s="206">
        <v>-769.06904599999996</v>
      </c>
      <c r="AB38" s="206">
        <v>-759.30994999999996</v>
      </c>
      <c r="AC38" s="206">
        <v>-739.961771</v>
      </c>
    </row>
    <row r="39" spans="1:29">
      <c r="A39" s="206" t="s">
        <v>347</v>
      </c>
      <c r="B39" s="206">
        <f t="shared" si="13"/>
        <v>-72.292361</v>
      </c>
      <c r="C39" s="206">
        <f t="shared" si="14"/>
        <v>-302.55115999999998</v>
      </c>
      <c r="D39" s="206">
        <v>-17.865629999999999</v>
      </c>
      <c r="E39" s="206">
        <v>-25.770764</v>
      </c>
      <c r="F39" s="206">
        <v>-35.712468999999999</v>
      </c>
      <c r="G39" s="206">
        <v>-46.740284000000003</v>
      </c>
      <c r="H39" s="206">
        <v>-57.830652999999998</v>
      </c>
      <c r="I39" s="206">
        <v>-72.292361</v>
      </c>
      <c r="J39" s="206">
        <v>-88.838835000000003</v>
      </c>
      <c r="K39" s="206">
        <v>-107.837194</v>
      </c>
      <c r="L39" s="206">
        <v>-127.012545</v>
      </c>
      <c r="M39" s="206">
        <v>-147.807928</v>
      </c>
      <c r="N39" s="206">
        <v>-170.281159</v>
      </c>
      <c r="O39" s="206">
        <v>-194.832404</v>
      </c>
      <c r="P39" s="206">
        <v>-206.03726800000001</v>
      </c>
      <c r="Q39" s="206">
        <v>-220.266355</v>
      </c>
      <c r="R39" s="206">
        <v>-242.177482</v>
      </c>
      <c r="S39" s="206">
        <v>-257.537935</v>
      </c>
      <c r="T39" s="206">
        <v>-262.28954499999998</v>
      </c>
      <c r="U39" s="206">
        <v>-272.918116</v>
      </c>
      <c r="V39" s="206">
        <v>-278.23693900000001</v>
      </c>
      <c r="W39" s="206">
        <v>-287.242977</v>
      </c>
      <c r="X39" s="206">
        <v>-300.819996</v>
      </c>
      <c r="Y39" s="206">
        <v>-302.35771</v>
      </c>
      <c r="Z39" s="206">
        <v>-306.649092</v>
      </c>
      <c r="AA39" s="206">
        <v>-311.14425499999999</v>
      </c>
      <c r="AB39" s="206">
        <v>-309.38676900000002</v>
      </c>
      <c r="AC39" s="206">
        <v>-302.55115999999998</v>
      </c>
    </row>
    <row r="40" spans="1:29">
      <c r="A40" s="206" t="s">
        <v>346</v>
      </c>
      <c r="B40" s="206">
        <f t="shared" si="13"/>
        <v>-723.85077999999999</v>
      </c>
      <c r="C40" s="206">
        <f t="shared" si="14"/>
        <v>-3050.4269490000001</v>
      </c>
      <c r="D40" s="206">
        <v>-178.30816100000001</v>
      </c>
      <c r="E40" s="206">
        <v>-257.87508800000001</v>
      </c>
      <c r="F40" s="206">
        <v>-357.15224499999999</v>
      </c>
      <c r="G40" s="206">
        <v>-468.57228700000002</v>
      </c>
      <c r="H40" s="206">
        <v>-578.98756100000003</v>
      </c>
      <c r="I40" s="206">
        <v>-723.85077999999999</v>
      </c>
      <c r="J40" s="206">
        <v>-889.87423999999999</v>
      </c>
      <c r="K40" s="206">
        <v>-1078.1279549999999</v>
      </c>
      <c r="L40" s="206">
        <v>-1275.4497590000001</v>
      </c>
      <c r="M40" s="206">
        <v>-1483.8844899999999</v>
      </c>
      <c r="N40" s="206">
        <v>-1714.3323700000001</v>
      </c>
      <c r="O40" s="206">
        <v>-1955.7410970000001</v>
      </c>
      <c r="P40" s="206">
        <v>-2076.9293710000002</v>
      </c>
      <c r="Q40" s="206">
        <v>-2210.7582659999998</v>
      </c>
      <c r="R40" s="206">
        <v>-2432.0416570000002</v>
      </c>
      <c r="S40" s="206">
        <v>-2595.791228</v>
      </c>
      <c r="T40" s="206">
        <v>-2644.8209069999998</v>
      </c>
      <c r="U40" s="206">
        <v>-2745.3297320000001</v>
      </c>
      <c r="V40" s="206">
        <v>-2812.322443</v>
      </c>
      <c r="W40" s="206">
        <v>-2899.157447</v>
      </c>
      <c r="X40" s="206">
        <v>-3023.5646780000002</v>
      </c>
      <c r="Y40" s="206">
        <v>-3052.1224390000002</v>
      </c>
      <c r="Z40" s="206">
        <v>-3089.3948700000001</v>
      </c>
      <c r="AA40" s="206">
        <v>-3136.522954</v>
      </c>
      <c r="AB40" s="206">
        <v>-3108.5778359999999</v>
      </c>
      <c r="AC40" s="206">
        <v>-3050.4269490000001</v>
      </c>
    </row>
    <row r="41" spans="1:29">
      <c r="A41" s="206" t="s">
        <v>348</v>
      </c>
      <c r="B41" s="206">
        <f t="shared" si="13"/>
        <v>-3434.8184259999998</v>
      </c>
      <c r="C41" s="206">
        <f t="shared" si="14"/>
        <v>-14482.69505</v>
      </c>
      <c r="D41" s="206">
        <v>-846.20002699999998</v>
      </c>
      <c r="E41" s="206">
        <v>-1223.78298</v>
      </c>
      <c r="F41" s="206">
        <v>-1694.8482220000001</v>
      </c>
      <c r="G41" s="206">
        <v>-2223.5688730000002</v>
      </c>
      <c r="H41" s="206">
        <v>-2747.4512119999999</v>
      </c>
      <c r="I41" s="206">
        <v>-3434.8184259999998</v>
      </c>
      <c r="J41" s="206">
        <v>-4222.5460380000004</v>
      </c>
      <c r="K41" s="206">
        <v>-5115.8147749999998</v>
      </c>
      <c r="L41" s="206">
        <v>-6052.2027710000002</v>
      </c>
      <c r="M41" s="206">
        <v>-7040.9763569999996</v>
      </c>
      <c r="N41" s="206">
        <v>-8134.6110440000002</v>
      </c>
      <c r="O41" s="206">
        <v>-9279.8243860000002</v>
      </c>
      <c r="P41" s="206">
        <v>-9855.4382370000003</v>
      </c>
      <c r="Q41" s="206">
        <v>-10489.97622</v>
      </c>
      <c r="R41" s="206">
        <v>-11540.336520000001</v>
      </c>
      <c r="S41" s="206">
        <v>-12318.056839999999</v>
      </c>
      <c r="T41" s="206">
        <v>-12551.136350000001</v>
      </c>
      <c r="U41" s="206">
        <v>-13028.268910000001</v>
      </c>
      <c r="V41" s="206">
        <v>-13347.5015</v>
      </c>
      <c r="W41" s="206">
        <v>-13760.079530000001</v>
      </c>
      <c r="X41" s="206">
        <v>-14351.022870000001</v>
      </c>
      <c r="Y41" s="206">
        <v>-14487.713680000001</v>
      </c>
      <c r="Z41" s="206">
        <v>-14665.325430000001</v>
      </c>
      <c r="AA41" s="206">
        <v>-14889.54372</v>
      </c>
      <c r="AB41" s="206">
        <v>-14757.556989999999</v>
      </c>
      <c r="AC41" s="206">
        <v>-14482.69505</v>
      </c>
    </row>
    <row r="42" spans="1:29">
      <c r="A42" s="165"/>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row>
    <row r="43" spans="1:29" ht="15.6">
      <c r="A43" s="205" t="s">
        <v>357</v>
      </c>
      <c r="B43" s="171"/>
      <c r="C43" s="171"/>
      <c r="D43" s="204"/>
      <c r="E43" s="203"/>
      <c r="F43" s="203"/>
      <c r="G43" s="203"/>
      <c r="H43" s="203"/>
      <c r="I43" s="203"/>
      <c r="J43" s="203"/>
      <c r="K43" s="203"/>
      <c r="L43" s="203"/>
      <c r="M43" s="165"/>
      <c r="N43" s="165"/>
      <c r="O43" s="165"/>
      <c r="P43" s="165"/>
      <c r="Q43" s="165"/>
      <c r="R43" s="165"/>
      <c r="S43" s="165"/>
      <c r="T43" s="165"/>
      <c r="U43" s="165"/>
      <c r="V43" s="165"/>
      <c r="W43" s="165"/>
      <c r="X43" s="165"/>
      <c r="Y43" s="165"/>
      <c r="Z43" s="165"/>
      <c r="AA43" s="165"/>
      <c r="AB43" s="165"/>
      <c r="AC43" s="165"/>
    </row>
    <row r="44" spans="1:29">
      <c r="A44" s="201" t="s">
        <v>339</v>
      </c>
      <c r="B44" s="202">
        <f t="shared" ref="B44:AC44" si="16">+B33/B32</f>
        <v>1.1389068936516695</v>
      </c>
      <c r="C44" s="202">
        <f t="shared" si="16"/>
        <v>0.49633979021088215</v>
      </c>
      <c r="D44" s="202">
        <f t="shared" si="16"/>
        <v>2.8409625165619525</v>
      </c>
      <c r="E44" s="202">
        <f t="shared" si="16"/>
        <v>2.082521412063262</v>
      </c>
      <c r="F44" s="202">
        <f t="shared" si="16"/>
        <v>1.7556250630612451</v>
      </c>
      <c r="G44" s="202">
        <f t="shared" si="16"/>
        <v>1.5226436229796767</v>
      </c>
      <c r="H44" s="202">
        <f t="shared" si="16"/>
        <v>1.2978524743230626</v>
      </c>
      <c r="I44" s="202">
        <f t="shared" si="16"/>
        <v>1.1389068936516695</v>
      </c>
      <c r="J44" s="202">
        <f t="shared" si="16"/>
        <v>1.042659194780446</v>
      </c>
      <c r="K44" s="202">
        <f t="shared" si="16"/>
        <v>0.95944150797823524</v>
      </c>
      <c r="L44" s="202">
        <f t="shared" si="16"/>
        <v>0.88035669201977595</v>
      </c>
      <c r="M44" s="202">
        <f t="shared" si="16"/>
        <v>0.81851611422057202</v>
      </c>
      <c r="N44" s="202">
        <f t="shared" si="16"/>
        <v>0.76987232424921681</v>
      </c>
      <c r="O44" s="202">
        <f t="shared" si="16"/>
        <v>0.73821638508767295</v>
      </c>
      <c r="P44" s="202">
        <f t="shared" si="16"/>
        <v>0.6702151403701152</v>
      </c>
      <c r="Q44" s="202">
        <f t="shared" si="16"/>
        <v>0.63106071262402752</v>
      </c>
      <c r="R44" s="202">
        <f t="shared" si="16"/>
        <v>0.62053313965046542</v>
      </c>
      <c r="S44" s="202">
        <f t="shared" si="16"/>
        <v>0.60030900868665849</v>
      </c>
      <c r="T44" s="202">
        <f t="shared" si="16"/>
        <v>0.57119471658756282</v>
      </c>
      <c r="U44" s="202">
        <f t="shared" si="16"/>
        <v>0.56111611714441478</v>
      </c>
      <c r="V44" s="202">
        <f t="shared" si="16"/>
        <v>0.54279356001356405</v>
      </c>
      <c r="W44" s="202">
        <f t="shared" si="16"/>
        <v>0.53600979235803903</v>
      </c>
      <c r="X44" s="202">
        <f t="shared" si="16"/>
        <v>0.53916915482991323</v>
      </c>
      <c r="Y44" s="202">
        <f t="shared" si="16"/>
        <v>0.52579653073159238</v>
      </c>
      <c r="Z44" s="202">
        <f t="shared" si="16"/>
        <v>0.51979664532264269</v>
      </c>
      <c r="AA44" s="202">
        <f t="shared" si="16"/>
        <v>0.51985526621359612</v>
      </c>
      <c r="AB44" s="202">
        <f t="shared" si="16"/>
        <v>0.5101611174279792</v>
      </c>
      <c r="AC44" s="202">
        <f t="shared" si="16"/>
        <v>0.49633979021088215</v>
      </c>
    </row>
    <row r="45" spans="1:29">
      <c r="A45" s="201" t="s">
        <v>354</v>
      </c>
      <c r="B45" s="200">
        <f t="shared" ref="B45:AC45" si="17">+B34/B32</f>
        <v>6100</v>
      </c>
      <c r="C45" s="200">
        <f t="shared" si="17"/>
        <v>6100</v>
      </c>
      <c r="D45" s="200">
        <f t="shared" si="17"/>
        <v>6100</v>
      </c>
      <c r="E45" s="200">
        <f t="shared" si="17"/>
        <v>6100</v>
      </c>
      <c r="F45" s="200">
        <f t="shared" si="17"/>
        <v>6100</v>
      </c>
      <c r="G45" s="200">
        <f t="shared" si="17"/>
        <v>6100</v>
      </c>
      <c r="H45" s="200">
        <f t="shared" si="17"/>
        <v>6100</v>
      </c>
      <c r="I45" s="200">
        <f t="shared" si="17"/>
        <v>6100</v>
      </c>
      <c r="J45" s="200">
        <f t="shared" si="17"/>
        <v>6100</v>
      </c>
      <c r="K45" s="200">
        <f t="shared" si="17"/>
        <v>6100</v>
      </c>
      <c r="L45" s="200">
        <f t="shared" si="17"/>
        <v>6100</v>
      </c>
      <c r="M45" s="200">
        <f t="shared" si="17"/>
        <v>6100</v>
      </c>
      <c r="N45" s="200">
        <f t="shared" si="17"/>
        <v>6100</v>
      </c>
      <c r="O45" s="200">
        <f t="shared" si="17"/>
        <v>6100</v>
      </c>
      <c r="P45" s="200">
        <f t="shared" si="17"/>
        <v>6100</v>
      </c>
      <c r="Q45" s="200">
        <f t="shared" si="17"/>
        <v>6100</v>
      </c>
      <c r="R45" s="200">
        <f t="shared" si="17"/>
        <v>6100</v>
      </c>
      <c r="S45" s="200">
        <f t="shared" si="17"/>
        <v>6100</v>
      </c>
      <c r="T45" s="200">
        <f t="shared" si="17"/>
        <v>6100</v>
      </c>
      <c r="U45" s="200">
        <f t="shared" si="17"/>
        <v>6100</v>
      </c>
      <c r="V45" s="200">
        <f t="shared" si="17"/>
        <v>6100</v>
      </c>
      <c r="W45" s="200">
        <f t="shared" si="17"/>
        <v>6100</v>
      </c>
      <c r="X45" s="200">
        <f t="shared" si="17"/>
        <v>6100</v>
      </c>
      <c r="Y45" s="200">
        <f t="shared" si="17"/>
        <v>6100</v>
      </c>
      <c r="Z45" s="200">
        <f t="shared" si="17"/>
        <v>6100</v>
      </c>
      <c r="AA45" s="200">
        <f t="shared" si="17"/>
        <v>6100</v>
      </c>
      <c r="AB45" s="200">
        <f t="shared" si="17"/>
        <v>6100</v>
      </c>
      <c r="AC45" s="200">
        <f t="shared" si="17"/>
        <v>6100</v>
      </c>
    </row>
    <row r="46" spans="1:29">
      <c r="A46" s="195" t="s">
        <v>343</v>
      </c>
      <c r="B46" s="198">
        <f t="shared" ref="B46:AC46" si="18">+B35/B32</f>
        <v>5.8871110301640783E-3</v>
      </c>
      <c r="C46" s="198">
        <f t="shared" si="18"/>
        <v>1.249827732869519E-3</v>
      </c>
      <c r="D46" s="198">
        <f t="shared" si="18"/>
        <v>1.5984955336154207E-2</v>
      </c>
      <c r="E46" s="198">
        <f t="shared" si="18"/>
        <v>1.0286853672905242E-2</v>
      </c>
      <c r="F46" s="198">
        <f t="shared" si="18"/>
        <v>7.9421133805151565E-3</v>
      </c>
      <c r="G46" s="198">
        <f t="shared" si="18"/>
        <v>6.8811009761561848E-3</v>
      </c>
      <c r="H46" s="198">
        <f t="shared" si="18"/>
        <v>6.3260446297382002E-3</v>
      </c>
      <c r="I46" s="198">
        <f t="shared" si="18"/>
        <v>5.8871110301640783E-3</v>
      </c>
      <c r="J46" s="198">
        <f t="shared" si="18"/>
        <v>5.3657079181537769E-3</v>
      </c>
      <c r="K46" s="198">
        <f t="shared" si="18"/>
        <v>4.8594281305512433E-3</v>
      </c>
      <c r="L46" s="198">
        <f t="shared" si="18"/>
        <v>4.3360925163798405E-3</v>
      </c>
      <c r="M46" s="198">
        <f t="shared" si="18"/>
        <v>3.8435048330786831E-3</v>
      </c>
      <c r="N46" s="198">
        <f t="shared" si="18"/>
        <v>3.386881119981124E-3</v>
      </c>
      <c r="O46" s="198">
        <f t="shared" si="18"/>
        <v>2.9071303980125799E-3</v>
      </c>
      <c r="P46" s="198">
        <f t="shared" si="18"/>
        <v>2.5254975788217256E-3</v>
      </c>
      <c r="Q46" s="198">
        <f t="shared" si="18"/>
        <v>2.2073383178783583E-3</v>
      </c>
      <c r="R46" s="198">
        <f t="shared" si="18"/>
        <v>1.9417494838076005E-3</v>
      </c>
      <c r="S46" s="198">
        <f t="shared" si="18"/>
        <v>1.7617319053745114E-3</v>
      </c>
      <c r="T46" s="198">
        <f t="shared" si="18"/>
        <v>1.6438117656296541E-3</v>
      </c>
      <c r="U46" s="198">
        <f t="shared" si="18"/>
        <v>1.6096599007025883E-3</v>
      </c>
      <c r="V46" s="198">
        <f t="shared" si="18"/>
        <v>1.5989507175581011E-3</v>
      </c>
      <c r="W46" s="198">
        <f t="shared" si="18"/>
        <v>1.5894755918939717E-3</v>
      </c>
      <c r="X46" s="198">
        <f t="shared" si="18"/>
        <v>1.5691249144244431E-3</v>
      </c>
      <c r="Y46" s="198">
        <f t="shared" si="18"/>
        <v>1.53282818720979E-3</v>
      </c>
      <c r="Z46" s="198">
        <f t="shared" si="18"/>
        <v>1.4756503913606626E-3</v>
      </c>
      <c r="AA46" s="198">
        <f t="shared" si="18"/>
        <v>1.4036153481013737E-3</v>
      </c>
      <c r="AB46" s="198">
        <f t="shared" si="18"/>
        <v>1.3255252775297361E-3</v>
      </c>
      <c r="AC46" s="198">
        <f t="shared" si="18"/>
        <v>1.249827732869519E-3</v>
      </c>
    </row>
    <row r="47" spans="1:29">
      <c r="A47" s="197" t="s">
        <v>344</v>
      </c>
      <c r="B47" s="196">
        <f>-B37/B32</f>
        <v>1402.301372945002</v>
      </c>
      <c r="C47" s="196">
        <f>-C37/C$32</f>
        <v>620.68117715985647</v>
      </c>
      <c r="D47" s="196">
        <f t="shared" ref="D47:AC47" si="19">-D37/D32</f>
        <v>3475.0838569047314</v>
      </c>
      <c r="E47" s="196">
        <f t="shared" si="19"/>
        <v>2456.3537408800471</v>
      </c>
      <c r="F47" s="196">
        <f t="shared" si="19"/>
        <v>1953.2538737621978</v>
      </c>
      <c r="G47" s="196">
        <f t="shared" si="19"/>
        <v>1626.3909525524084</v>
      </c>
      <c r="H47" s="196">
        <f t="shared" si="19"/>
        <v>1535.887245854414</v>
      </c>
      <c r="I47" s="196">
        <f t="shared" si="19"/>
        <v>1402.301372945002</v>
      </c>
      <c r="J47" s="196">
        <f t="shared" si="19"/>
        <v>1257.1009431372233</v>
      </c>
      <c r="K47" s="196">
        <f t="shared" si="19"/>
        <v>1122.9179030416535</v>
      </c>
      <c r="L47" s="196">
        <f t="shared" si="19"/>
        <v>1006.274796492888</v>
      </c>
      <c r="M47" s="196">
        <f t="shared" si="19"/>
        <v>910.6345681895549</v>
      </c>
      <c r="N47" s="196">
        <f t="shared" si="19"/>
        <v>835.16536074298369</v>
      </c>
      <c r="O47" s="196">
        <f t="shared" si="19"/>
        <v>746.49158462253206</v>
      </c>
      <c r="P47" s="196">
        <f t="shared" si="19"/>
        <v>683.70431420974489</v>
      </c>
      <c r="Q47" s="196">
        <f t="shared" si="19"/>
        <v>639.05853882859583</v>
      </c>
      <c r="R47" s="196">
        <f t="shared" si="19"/>
        <v>607.80070938318704</v>
      </c>
      <c r="S47" s="196">
        <f t="shared" si="19"/>
        <v>586.83772127489294</v>
      </c>
      <c r="T47" s="196">
        <f t="shared" si="19"/>
        <v>573.13634505367145</v>
      </c>
      <c r="U47" s="196">
        <f t="shared" si="19"/>
        <v>564.99554795573192</v>
      </c>
      <c r="V47" s="196">
        <f t="shared" si="19"/>
        <v>560.37987824801348</v>
      </c>
      <c r="W47" s="196">
        <f t="shared" si="19"/>
        <v>558.8702935924822</v>
      </c>
      <c r="X47" s="196">
        <f t="shared" si="19"/>
        <v>560.49078444739769</v>
      </c>
      <c r="Y47" s="196">
        <f t="shared" si="19"/>
        <v>565.43595919563688</v>
      </c>
      <c r="Z47" s="196">
        <f t="shared" si="19"/>
        <v>573.83850545467317</v>
      </c>
      <c r="AA47" s="196">
        <f t="shared" si="19"/>
        <v>585.91096338681962</v>
      </c>
      <c r="AB47" s="196">
        <f t="shared" si="19"/>
        <v>601.60140539580323</v>
      </c>
      <c r="AC47" s="196">
        <f t="shared" si="19"/>
        <v>620.68117715985647</v>
      </c>
    </row>
    <row r="48" spans="1:29">
      <c r="A48" s="195" t="s">
        <v>345</v>
      </c>
      <c r="B48" s="194">
        <f>-B38/$B$32</f>
        <v>9.8313352332078056E-4</v>
      </c>
      <c r="C48" s="194">
        <f>-C38/C$32</f>
        <v>5.0234912691963292E-4</v>
      </c>
      <c r="D48" s="194">
        <f t="shared" ref="D48:AC48" si="20">-D38/D$32</f>
        <v>1.9154159080223959E-3</v>
      </c>
      <c r="E48" s="194">
        <f t="shared" si="20"/>
        <v>1.47050294557484E-3</v>
      </c>
      <c r="F48" s="194">
        <f t="shared" si="20"/>
        <v>1.299771307493838E-3</v>
      </c>
      <c r="G48" s="194">
        <f t="shared" si="20"/>
        <v>1.1840264542326772E-3</v>
      </c>
      <c r="H48" s="194">
        <f t="shared" si="20"/>
        <v>1.0613596870272656E-3</v>
      </c>
      <c r="I48" s="194">
        <f t="shared" si="20"/>
        <v>9.8313352332078056E-4</v>
      </c>
      <c r="J48" s="194">
        <f t="shared" si="20"/>
        <v>9.1246200804250574E-4</v>
      </c>
      <c r="K48" s="194">
        <f t="shared" si="20"/>
        <v>8.5203218982257787E-4</v>
      </c>
      <c r="L48" s="194">
        <f t="shared" si="20"/>
        <v>7.9336859727774768E-4</v>
      </c>
      <c r="M48" s="194">
        <f t="shared" si="20"/>
        <v>7.4767121606751272E-4</v>
      </c>
      <c r="N48" s="194">
        <f t="shared" si="20"/>
        <v>7.1396402073747812E-4</v>
      </c>
      <c r="O48" s="194">
        <f t="shared" si="20"/>
        <v>6.9312660622431919E-4</v>
      </c>
      <c r="P48" s="194">
        <f t="shared" si="20"/>
        <v>6.3886977069161277E-4</v>
      </c>
      <c r="Q48" s="194">
        <f t="shared" si="20"/>
        <v>6.0894162347569219E-4</v>
      </c>
      <c r="R48" s="194">
        <f t="shared" si="20"/>
        <v>6.0770639330613111E-4</v>
      </c>
      <c r="S48" s="194">
        <f t="shared" si="20"/>
        <v>5.9728948123140963E-4</v>
      </c>
      <c r="T48" s="194">
        <f t="shared" si="20"/>
        <v>5.6897485548368257E-4</v>
      </c>
      <c r="U48" s="194">
        <f t="shared" si="20"/>
        <v>5.5915466000585625E-4</v>
      </c>
      <c r="V48" s="194">
        <f t="shared" si="20"/>
        <v>5.4266406663376079E-4</v>
      </c>
      <c r="W48" s="194">
        <f t="shared" si="20"/>
        <v>5.3646731845069203E-4</v>
      </c>
      <c r="X48" s="194">
        <f t="shared" si="20"/>
        <v>5.4020246098042261E-4</v>
      </c>
      <c r="Y48" s="194">
        <f t="shared" si="20"/>
        <v>5.28284263898881E-4</v>
      </c>
      <c r="Z48" s="194">
        <f t="shared" si="20"/>
        <v>5.2307677651298925E-4</v>
      </c>
      <c r="AA48" s="194">
        <f t="shared" si="20"/>
        <v>5.237637635687924E-4</v>
      </c>
      <c r="AB48" s="194">
        <f t="shared" si="20"/>
        <v>5.1482584767511001E-4</v>
      </c>
      <c r="AC48" s="194">
        <f t="shared" si="20"/>
        <v>5.0234912691963292E-4</v>
      </c>
    </row>
    <row r="49" spans="1:29">
      <c r="A49" s="195" t="s">
        <v>346</v>
      </c>
      <c r="B49" s="194">
        <f>-B40/$B$32</f>
        <v>3.8775158427032498E-3</v>
      </c>
      <c r="C49" s="194">
        <f>-C39/C$32</f>
        <v>2.0539751785977352E-4</v>
      </c>
      <c r="D49" s="194">
        <f t="shared" ref="D49:AC49" si="21">-D39/D$32</f>
        <v>7.6358635722528529E-4</v>
      </c>
      <c r="E49" s="194">
        <f t="shared" si="21"/>
        <v>5.8392087732813704E-4</v>
      </c>
      <c r="F49" s="194">
        <f t="shared" si="21"/>
        <v>5.1475948801475995E-4</v>
      </c>
      <c r="G49" s="194">
        <f t="shared" si="21"/>
        <v>4.6747763642182751E-4</v>
      </c>
      <c r="H49" s="194">
        <f t="shared" si="21"/>
        <v>4.1858042545183446E-4</v>
      </c>
      <c r="I49" s="194">
        <f t="shared" si="21"/>
        <v>3.872549188714317E-4</v>
      </c>
      <c r="J49" s="194">
        <f t="shared" si="21"/>
        <v>3.5867813423555824E-4</v>
      </c>
      <c r="K49" s="194">
        <f t="shared" si="21"/>
        <v>3.3548469529021238E-4</v>
      </c>
      <c r="L49" s="194">
        <f t="shared" si="21"/>
        <v>3.1132738601518246E-4</v>
      </c>
      <c r="M49" s="194">
        <f t="shared" si="21"/>
        <v>2.9253372071850981E-4</v>
      </c>
      <c r="N49" s="194">
        <f t="shared" si="21"/>
        <v>2.79014050559073E-4</v>
      </c>
      <c r="O49" s="194">
        <f t="shared" si="21"/>
        <v>2.7100631779247264E-4</v>
      </c>
      <c r="P49" s="194">
        <f t="shared" si="21"/>
        <v>2.499263311628449E-4</v>
      </c>
      <c r="Q49" s="194">
        <f t="shared" si="21"/>
        <v>2.3833449290730261E-4</v>
      </c>
      <c r="R49" s="194">
        <f t="shared" si="21"/>
        <v>2.3834161209494397E-4</v>
      </c>
      <c r="S49" s="194">
        <f t="shared" si="21"/>
        <v>2.344768976401897E-4</v>
      </c>
      <c r="T49" s="194">
        <f t="shared" si="21"/>
        <v>2.2386014541674382E-4</v>
      </c>
      <c r="U49" s="194">
        <f t="shared" si="21"/>
        <v>2.2075645603040074E-4</v>
      </c>
      <c r="V49" s="194">
        <f t="shared" si="21"/>
        <v>2.1492133007981623E-4</v>
      </c>
      <c r="W49" s="194">
        <f t="shared" si="21"/>
        <v>2.1334845835722498E-4</v>
      </c>
      <c r="X49" s="194">
        <f t="shared" si="21"/>
        <v>2.1632637510571098E-4</v>
      </c>
      <c r="Y49" s="194">
        <f t="shared" si="21"/>
        <v>2.120139160604773E-4</v>
      </c>
      <c r="Z49" s="194">
        <f t="shared" si="21"/>
        <v>2.1115578750358928E-4</v>
      </c>
      <c r="AA49" s="194">
        <f t="shared" si="21"/>
        <v>2.1190046181056163E-4</v>
      </c>
      <c r="AB49" s="194">
        <f t="shared" si="21"/>
        <v>2.097698121957818E-4</v>
      </c>
      <c r="AC49" s="194">
        <f t="shared" si="21"/>
        <v>2.0539751785977352E-4</v>
      </c>
    </row>
    <row r="50" spans="1:29">
      <c r="A50" s="195" t="s">
        <v>347</v>
      </c>
      <c r="B50" s="194">
        <f>-B39/$B$32</f>
        <v>3.872549188714317E-4</v>
      </c>
      <c r="C50" s="194">
        <f>-C40/C$32</f>
        <v>2.0708898413648851E-3</v>
      </c>
      <c r="D50" s="194">
        <f t="shared" ref="D50:AC50" si="22">-D40/D$32</f>
        <v>7.6209839295636201E-3</v>
      </c>
      <c r="E50" s="194">
        <f t="shared" si="22"/>
        <v>5.8430028549417683E-3</v>
      </c>
      <c r="F50" s="194">
        <f t="shared" si="22"/>
        <v>5.1479920578866196E-3</v>
      </c>
      <c r="G50" s="194">
        <f t="shared" si="22"/>
        <v>4.6864727056329016E-3</v>
      </c>
      <c r="H50" s="194">
        <f t="shared" si="22"/>
        <v>4.1907335823218178E-3</v>
      </c>
      <c r="I50" s="194">
        <f t="shared" si="22"/>
        <v>3.8775158427032498E-3</v>
      </c>
      <c r="J50" s="194">
        <f t="shared" si="22"/>
        <v>3.5927804783514477E-3</v>
      </c>
      <c r="K50" s="194">
        <f t="shared" si="22"/>
        <v>3.354087908361514E-3</v>
      </c>
      <c r="L50" s="194">
        <f t="shared" si="22"/>
        <v>3.1263245647362194E-3</v>
      </c>
      <c r="M50" s="194">
        <f t="shared" si="22"/>
        <v>2.9368265752036543E-3</v>
      </c>
      <c r="N50" s="194">
        <f t="shared" si="22"/>
        <v>2.809017870017172E-3</v>
      </c>
      <c r="O50" s="194">
        <f t="shared" si="22"/>
        <v>2.7203800926943397E-3</v>
      </c>
      <c r="P50" s="194">
        <f t="shared" si="22"/>
        <v>2.519346828935749E-3</v>
      </c>
      <c r="Q50" s="194">
        <f t="shared" si="22"/>
        <v>2.3921036431902528E-3</v>
      </c>
      <c r="R50" s="194">
        <f t="shared" si="22"/>
        <v>2.3935203406377759E-3</v>
      </c>
      <c r="S50" s="194">
        <f t="shared" si="22"/>
        <v>2.3633530884025235E-3</v>
      </c>
      <c r="T50" s="194">
        <f t="shared" si="22"/>
        <v>2.2573144989147939E-3</v>
      </c>
      <c r="U50" s="194">
        <f t="shared" si="22"/>
        <v>2.2206267255311476E-3</v>
      </c>
      <c r="V50" s="194">
        <f t="shared" si="22"/>
        <v>2.1723502358645418E-3</v>
      </c>
      <c r="W50" s="194">
        <f t="shared" si="22"/>
        <v>2.1533364481608132E-3</v>
      </c>
      <c r="X50" s="194">
        <f t="shared" si="22"/>
        <v>2.1743128627972133E-3</v>
      </c>
      <c r="Y50" s="194">
        <f t="shared" si="22"/>
        <v>2.1401552174358158E-3</v>
      </c>
      <c r="Z50" s="194">
        <f t="shared" si="22"/>
        <v>2.1273293275702863E-3</v>
      </c>
      <c r="AA50" s="194">
        <f t="shared" si="22"/>
        <v>2.1360852779750889E-3</v>
      </c>
      <c r="AB50" s="194">
        <f t="shared" si="22"/>
        <v>2.1076718663870521E-3</v>
      </c>
      <c r="AC50" s="194">
        <f t="shared" si="22"/>
        <v>2.0708898413648851E-3</v>
      </c>
    </row>
    <row r="51" spans="1:29">
      <c r="A51" s="195" t="s">
        <v>348</v>
      </c>
      <c r="B51" s="194">
        <f>-B41/$B$32</f>
        <v>1.8399597308749242E-2</v>
      </c>
      <c r="C51" s="194">
        <f>-C41/C$32</f>
        <v>9.8320879522988073E-3</v>
      </c>
      <c r="D51" s="194">
        <f t="shared" ref="D51:AC51" si="23">-D41/D$32</f>
        <v>3.6167031115100223E-2</v>
      </c>
      <c r="E51" s="194">
        <f t="shared" si="23"/>
        <v>2.7728802737118773E-2</v>
      </c>
      <c r="F51" s="194">
        <f t="shared" si="23"/>
        <v>2.4429540366403851E-2</v>
      </c>
      <c r="G51" s="194">
        <f t="shared" si="23"/>
        <v>2.2239247009521526E-2</v>
      </c>
      <c r="H51" s="194">
        <f t="shared" si="23"/>
        <v>1.9886154445240629E-2</v>
      </c>
      <c r="I51" s="194">
        <f t="shared" si="23"/>
        <v>1.8399597308749242E-2</v>
      </c>
      <c r="J51" s="194">
        <f t="shared" si="23"/>
        <v>1.7048117916377323E-2</v>
      </c>
      <c r="K51" s="194">
        <f t="shared" si="23"/>
        <v>1.5915450850399922E-2</v>
      </c>
      <c r="L51" s="194">
        <f t="shared" si="23"/>
        <v>1.4834884761416867E-2</v>
      </c>
      <c r="M51" s="194">
        <f t="shared" si="23"/>
        <v>1.3935132161545951E-2</v>
      </c>
      <c r="N51" s="194">
        <f t="shared" si="23"/>
        <v>1.3328960117713373E-2</v>
      </c>
      <c r="O51" s="194">
        <f t="shared" si="23"/>
        <v>1.2907971081702883E-2</v>
      </c>
      <c r="P51" s="194">
        <f t="shared" si="23"/>
        <v>1.1954796064250988E-2</v>
      </c>
      <c r="Q51" s="194">
        <f t="shared" si="23"/>
        <v>1.1350454149038618E-2</v>
      </c>
      <c r="R51" s="194">
        <f t="shared" si="23"/>
        <v>1.135754814023112E-2</v>
      </c>
      <c r="S51" s="194">
        <f t="shared" si="23"/>
        <v>1.1215045864209164E-2</v>
      </c>
      <c r="T51" s="194">
        <f t="shared" si="23"/>
        <v>1.0712204363526497E-2</v>
      </c>
      <c r="U51" s="194">
        <f t="shared" si="23"/>
        <v>1.0538232180903126E-2</v>
      </c>
      <c r="V51" s="194">
        <f t="shared" si="23"/>
        <v>1.0310143527069E-2</v>
      </c>
      <c r="W51" s="194">
        <f t="shared" si="23"/>
        <v>1.0220238577315362E-2</v>
      </c>
      <c r="X51" s="194">
        <f t="shared" si="23"/>
        <v>1.0320140940784591E-2</v>
      </c>
      <c r="Y51" s="194">
        <f t="shared" si="23"/>
        <v>1.0158817885145872E-2</v>
      </c>
      <c r="Z51" s="194">
        <f t="shared" si="23"/>
        <v>1.0098410270747073E-2</v>
      </c>
      <c r="AA51" s="194">
        <f t="shared" si="23"/>
        <v>1.0140316395739165E-2</v>
      </c>
      <c r="AB51" s="194">
        <f t="shared" si="23"/>
        <v>1.0005889935974755E-2</v>
      </c>
      <c r="AC51" s="194">
        <f t="shared" si="23"/>
        <v>9.8320879522988073E-3</v>
      </c>
    </row>
  </sheetData>
  <mergeCells count="2">
    <mergeCell ref="A28:E28"/>
    <mergeCell ref="D22:F22"/>
  </mergeCells>
  <hyperlinks>
    <hyperlink ref="A26" r:id="rId1" xr:uid="{20A05F53-F40F-4CAD-9417-0B9D12240818}"/>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940AB-7875-4E93-9D5D-245AF708A1CA}">
  <sheetPr>
    <tabColor theme="9" tint="0.79998168889431442"/>
  </sheetPr>
  <dimension ref="A1:AD46"/>
  <sheetViews>
    <sheetView topLeftCell="A2" workbookViewId="0">
      <selection activeCell="B7" sqref="B7"/>
    </sheetView>
  </sheetViews>
  <sheetFormatPr defaultRowHeight="14.45"/>
  <cols>
    <col min="1" max="1" width="54.5703125" customWidth="1"/>
    <col min="2" max="2" width="15" bestFit="1" customWidth="1"/>
    <col min="3" max="3" width="16.7109375" customWidth="1"/>
    <col min="4" max="29" width="17.7109375" customWidth="1"/>
  </cols>
  <sheetData>
    <row r="1" spans="1:30" ht="21">
      <c r="A1" s="193" t="s">
        <v>413</v>
      </c>
    </row>
    <row r="2" spans="1:30">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30" ht="29.1">
      <c r="A3" s="167" t="s">
        <v>414</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30" ht="15.6" thickTop="1" thickBot="1">
      <c r="A4" s="222" t="s">
        <v>333</v>
      </c>
      <c r="B4" s="171">
        <f>SUM(D4:I4)</f>
        <v>2200</v>
      </c>
      <c r="C4" s="247"/>
      <c r="D4" s="246">
        <f>+[3]Dashboard!G19</f>
        <v>550</v>
      </c>
      <c r="E4" s="245">
        <f>+$D$4</f>
        <v>550</v>
      </c>
      <c r="F4" s="171">
        <f>+$D$4</f>
        <v>550</v>
      </c>
      <c r="G4" s="171">
        <f>+$D$4</f>
        <v>550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30" ht="15.6" thickTop="1" thickBot="1">
      <c r="A5" s="244" t="s">
        <v>334</v>
      </c>
      <c r="B5" s="240">
        <f>+D5</f>
        <v>2000</v>
      </c>
      <c r="C5" s="243"/>
      <c r="D5" s="242">
        <f>+[3]Dashboard!H19</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30" ht="15" thickTop="1">
      <c r="A6" s="237" t="s">
        <v>335</v>
      </c>
      <c r="B6" s="237">
        <f>SUM(D6:I6)</f>
        <v>4400000</v>
      </c>
      <c r="C6" s="237"/>
      <c r="D6" s="238">
        <f t="shared" ref="D6:I6" si="0">+D5*D4</f>
        <v>1100000</v>
      </c>
      <c r="E6" s="237">
        <f t="shared" si="0"/>
        <v>1100000</v>
      </c>
      <c r="F6" s="237">
        <f t="shared" si="0"/>
        <v>1100000</v>
      </c>
      <c r="G6" s="237">
        <f t="shared" si="0"/>
        <v>1100000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30">
      <c r="A7" s="235" t="s">
        <v>336</v>
      </c>
      <c r="B7" s="235">
        <v>157103</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30">
      <c r="A8" s="233" t="s">
        <v>337</v>
      </c>
      <c r="B8" s="233">
        <v>4557103</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30">
      <c r="A9" s="222"/>
      <c r="B9" s="171"/>
      <c r="C9" s="231" t="s">
        <v>338</v>
      </c>
      <c r="D9" s="171">
        <f>+D4</f>
        <v>550</v>
      </c>
      <c r="E9" s="171">
        <f>+D4+E4</f>
        <v>1100</v>
      </c>
      <c r="F9" s="171">
        <f>+F4+E4+D4</f>
        <v>1650</v>
      </c>
      <c r="G9" s="171">
        <f>+G4+F4+E4+D4</f>
        <v>2200</v>
      </c>
      <c r="H9" s="171">
        <f>++H4+G4+F4+E4+D4</f>
        <v>2200</v>
      </c>
      <c r="I9" s="171">
        <f>+I4+H4+G4+F4+E4+D4</f>
        <v>2200</v>
      </c>
      <c r="J9" s="171">
        <f t="shared" ref="J9:AC9" si="1">+I9</f>
        <v>2200</v>
      </c>
      <c r="K9" s="171">
        <f t="shared" si="1"/>
        <v>2200</v>
      </c>
      <c r="L9" s="171">
        <f t="shared" si="1"/>
        <v>2200</v>
      </c>
      <c r="M9" s="171">
        <f t="shared" si="1"/>
        <v>2200</v>
      </c>
      <c r="N9" s="171">
        <f t="shared" si="1"/>
        <v>2200</v>
      </c>
      <c r="O9" s="171">
        <f t="shared" si="1"/>
        <v>2200</v>
      </c>
      <c r="P9" s="171">
        <f t="shared" si="1"/>
        <v>2200</v>
      </c>
      <c r="Q9" s="171">
        <f t="shared" si="1"/>
        <v>2200</v>
      </c>
      <c r="R9" s="171">
        <f t="shared" si="1"/>
        <v>2200</v>
      </c>
      <c r="S9" s="171">
        <f t="shared" si="1"/>
        <v>2200</v>
      </c>
      <c r="T9" s="171">
        <f t="shared" si="1"/>
        <v>2200</v>
      </c>
      <c r="U9" s="171">
        <f t="shared" si="1"/>
        <v>2200</v>
      </c>
      <c r="V9" s="171">
        <f t="shared" si="1"/>
        <v>2200</v>
      </c>
      <c r="W9" s="171">
        <f t="shared" si="1"/>
        <v>2200</v>
      </c>
      <c r="X9" s="171">
        <f t="shared" si="1"/>
        <v>2200</v>
      </c>
      <c r="Y9" s="171">
        <f t="shared" si="1"/>
        <v>2200</v>
      </c>
      <c r="Z9" s="171">
        <f t="shared" si="1"/>
        <v>2200</v>
      </c>
      <c r="AA9" s="171">
        <f t="shared" si="1"/>
        <v>2200</v>
      </c>
      <c r="AB9" s="171">
        <f t="shared" si="1"/>
        <v>2200</v>
      </c>
      <c r="AC9" s="171">
        <f t="shared" si="1"/>
        <v>2200</v>
      </c>
    </row>
    <row r="10" spans="1:30">
      <c r="A10" s="229" t="s">
        <v>339</v>
      </c>
      <c r="B10" s="229">
        <f>SUM(D10:I10)</f>
        <v>24166.640118137337</v>
      </c>
      <c r="C10" s="229">
        <f>SUM(D10:AC10)</f>
        <v>98739.759178485809</v>
      </c>
      <c r="D10" s="230">
        <f t="shared" ref="D10:J10" si="2">+D9*D39</f>
        <v>1991.4209079411737</v>
      </c>
      <c r="E10" s="230">
        <f t="shared" si="2"/>
        <v>3510.430161418386</v>
      </c>
      <c r="F10" s="230">
        <f t="shared" si="2"/>
        <v>4732.6893792674973</v>
      </c>
      <c r="G10" s="230">
        <f t="shared" si="2"/>
        <v>5549.0592900936454</v>
      </c>
      <c r="H10" s="230">
        <f t="shared" si="2"/>
        <v>4637.4401499223313</v>
      </c>
      <c r="I10" s="230">
        <f t="shared" si="2"/>
        <v>3745.6002294943032</v>
      </c>
      <c r="J10" s="230">
        <f t="shared" si="2"/>
        <v>3406.7146999567103</v>
      </c>
      <c r="K10" s="230">
        <f t="shared" ref="K10:AC10" si="3">+$I$10</f>
        <v>3745.6002294943032</v>
      </c>
      <c r="L10" s="230">
        <f t="shared" si="3"/>
        <v>3745.6002294943032</v>
      </c>
      <c r="M10" s="230">
        <f t="shared" si="3"/>
        <v>3745.6002294943032</v>
      </c>
      <c r="N10" s="230">
        <f t="shared" si="3"/>
        <v>3745.6002294943032</v>
      </c>
      <c r="O10" s="230">
        <f t="shared" si="3"/>
        <v>3745.6002294943032</v>
      </c>
      <c r="P10" s="230">
        <f t="shared" si="3"/>
        <v>3745.6002294943032</v>
      </c>
      <c r="Q10" s="230">
        <f t="shared" si="3"/>
        <v>3745.6002294943032</v>
      </c>
      <c r="R10" s="230">
        <f t="shared" si="3"/>
        <v>3745.6002294943032</v>
      </c>
      <c r="S10" s="230">
        <f t="shared" si="3"/>
        <v>3745.6002294943032</v>
      </c>
      <c r="T10" s="230">
        <f t="shared" si="3"/>
        <v>3745.6002294943032</v>
      </c>
      <c r="U10" s="230">
        <f t="shared" si="3"/>
        <v>3745.6002294943032</v>
      </c>
      <c r="V10" s="230">
        <f t="shared" si="3"/>
        <v>3745.6002294943032</v>
      </c>
      <c r="W10" s="230">
        <f t="shared" si="3"/>
        <v>3745.6002294943032</v>
      </c>
      <c r="X10" s="230">
        <f t="shared" si="3"/>
        <v>3745.6002294943032</v>
      </c>
      <c r="Y10" s="230">
        <f t="shared" si="3"/>
        <v>3745.6002294943032</v>
      </c>
      <c r="Z10" s="230">
        <f t="shared" si="3"/>
        <v>3745.6002294943032</v>
      </c>
      <c r="AA10" s="230">
        <f t="shared" si="3"/>
        <v>3745.6002294943032</v>
      </c>
      <c r="AB10" s="230">
        <f t="shared" si="3"/>
        <v>3745.6002294943032</v>
      </c>
      <c r="AC10" s="230">
        <f t="shared" si="3"/>
        <v>3745.6002294943032</v>
      </c>
      <c r="AD10" s="165">
        <f>SUM(D10:AC10)</f>
        <v>98739.759178485809</v>
      </c>
    </row>
    <row r="11" spans="1:30">
      <c r="A11" s="229" t="s">
        <v>340</v>
      </c>
      <c r="B11" s="228"/>
      <c r="C11" s="228"/>
      <c r="D11" s="227">
        <f t="shared" ref="D11:AC11" si="4">+D39</f>
        <v>3.6207652871657703</v>
      </c>
      <c r="E11" s="227">
        <f t="shared" si="4"/>
        <v>3.1913001467439872</v>
      </c>
      <c r="F11" s="227">
        <f t="shared" si="4"/>
        <v>2.8682965934954532</v>
      </c>
      <c r="G11" s="227">
        <f t="shared" si="4"/>
        <v>2.5222996773152935</v>
      </c>
      <c r="H11" s="227">
        <f t="shared" si="4"/>
        <v>2.1079273408737871</v>
      </c>
      <c r="I11" s="227">
        <f t="shared" si="4"/>
        <v>1.702545558861047</v>
      </c>
      <c r="J11" s="227">
        <f t="shared" si="4"/>
        <v>1.5485066817985047</v>
      </c>
      <c r="K11" s="227">
        <f t="shared" si="4"/>
        <v>1.4034599553522382</v>
      </c>
      <c r="L11" s="227">
        <f t="shared" si="4"/>
        <v>1.2692809539465</v>
      </c>
      <c r="M11" s="227">
        <f t="shared" si="4"/>
        <v>1.1557464570173623</v>
      </c>
      <c r="N11" s="227">
        <f t="shared" si="4"/>
        <v>1.0557327081803427</v>
      </c>
      <c r="O11" s="227">
        <f t="shared" si="4"/>
        <v>0.97888005377786047</v>
      </c>
      <c r="P11" s="227">
        <f t="shared" si="4"/>
        <v>0.8628600510871075</v>
      </c>
      <c r="Q11" s="227">
        <f t="shared" si="4"/>
        <v>0.7712333784200095</v>
      </c>
      <c r="R11" s="227">
        <f t="shared" si="4"/>
        <v>0.70578355950903682</v>
      </c>
      <c r="S11" s="227">
        <f t="shared" si="4"/>
        <v>0.6305978492861134</v>
      </c>
      <c r="T11" s="227">
        <f t="shared" si="4"/>
        <v>0.61513983889427104</v>
      </c>
      <c r="U11" s="227">
        <f t="shared" si="4"/>
        <v>0.61287904225003331</v>
      </c>
      <c r="V11" s="227">
        <f t="shared" si="4"/>
        <v>0.60026505254332574</v>
      </c>
      <c r="W11" s="227">
        <f t="shared" si="4"/>
        <v>0.59611564206104728</v>
      </c>
      <c r="X11" s="227">
        <f t="shared" si="4"/>
        <v>0.59930042374441272</v>
      </c>
      <c r="Y11" s="227">
        <f t="shared" si="4"/>
        <v>0.58606920796617634</v>
      </c>
      <c r="Z11" s="227">
        <f t="shared" si="4"/>
        <v>0.57739277255860788</v>
      </c>
      <c r="AA11" s="227">
        <f t="shared" si="4"/>
        <v>0.57194143102409012</v>
      </c>
      <c r="AB11" s="227">
        <f t="shared" si="4"/>
        <v>0.55759313285927137</v>
      </c>
      <c r="AC11" s="227">
        <f t="shared" si="4"/>
        <v>0.53939030962614654</v>
      </c>
    </row>
    <row r="12" spans="1:30">
      <c r="A12" s="225" t="s">
        <v>341</v>
      </c>
      <c r="B12" s="225">
        <f>B8/B10</f>
        <v>188.56998646575792</v>
      </c>
      <c r="C12" s="225">
        <f>+B8/C10</f>
        <v>46.152664721031009</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30">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30"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30">
      <c r="A15" s="171" t="s">
        <v>343</v>
      </c>
      <c r="B15" s="222">
        <f t="shared" ref="B15:B20" si="5">SUM(D15:I15)</f>
        <v>62.378027680509646</v>
      </c>
      <c r="C15" s="222">
        <f t="shared" ref="C15:C20" si="6">SUM(D15:AC15)</f>
        <v>62.378027680509646</v>
      </c>
      <c r="D15" s="171">
        <f>+D41*D4</f>
        <v>20.881008288470344</v>
      </c>
      <c r="E15" s="171">
        <f>+E41*E4</f>
        <v>16.687780648005582</v>
      </c>
      <c r="F15" s="171">
        <f>+F41*F4</f>
        <v>13.606454304376971</v>
      </c>
      <c r="G15" s="171">
        <f>+G41*G4</f>
        <v>11.202784439656753</v>
      </c>
      <c r="H15" s="171">
        <f>+H41*H4</f>
        <v>0</v>
      </c>
      <c r="I15" s="171">
        <f t="shared" ref="I15:AC15" si="7">H15</f>
        <v>0</v>
      </c>
      <c r="J15" s="171">
        <f t="shared" si="7"/>
        <v>0</v>
      </c>
      <c r="K15" s="171">
        <f t="shared" si="7"/>
        <v>0</v>
      </c>
      <c r="L15" s="171">
        <f t="shared" si="7"/>
        <v>0</v>
      </c>
      <c r="M15" s="171">
        <f t="shared" si="7"/>
        <v>0</v>
      </c>
      <c r="N15" s="171">
        <f t="shared" si="7"/>
        <v>0</v>
      </c>
      <c r="O15" s="171">
        <f t="shared" si="7"/>
        <v>0</v>
      </c>
      <c r="P15" s="171">
        <f t="shared" si="7"/>
        <v>0</v>
      </c>
      <c r="Q15" s="171">
        <f t="shared" si="7"/>
        <v>0</v>
      </c>
      <c r="R15" s="171">
        <f t="shared" si="7"/>
        <v>0</v>
      </c>
      <c r="S15" s="171">
        <f t="shared" si="7"/>
        <v>0</v>
      </c>
      <c r="T15" s="171">
        <f t="shared" si="7"/>
        <v>0</v>
      </c>
      <c r="U15" s="171">
        <f t="shared" si="7"/>
        <v>0</v>
      </c>
      <c r="V15" s="171">
        <f t="shared" si="7"/>
        <v>0</v>
      </c>
      <c r="W15" s="171">
        <f t="shared" si="7"/>
        <v>0</v>
      </c>
      <c r="X15" s="171">
        <f t="shared" si="7"/>
        <v>0</v>
      </c>
      <c r="Y15" s="171">
        <f t="shared" si="7"/>
        <v>0</v>
      </c>
      <c r="Z15" s="171">
        <f t="shared" si="7"/>
        <v>0</v>
      </c>
      <c r="AA15" s="171">
        <f t="shared" si="7"/>
        <v>0</v>
      </c>
      <c r="AB15" s="171">
        <f t="shared" si="7"/>
        <v>0</v>
      </c>
      <c r="AC15" s="171">
        <f t="shared" si="7"/>
        <v>0</v>
      </c>
    </row>
    <row r="16" spans="1:30">
      <c r="A16" s="170" t="s">
        <v>344</v>
      </c>
      <c r="B16" s="254">
        <f t="shared" si="5"/>
        <v>4065665.3849359797</v>
      </c>
      <c r="C16" s="254">
        <f t="shared" si="6"/>
        <v>40381458.719002098</v>
      </c>
      <c r="D16" s="170">
        <f t="shared" ref="D16:AC16" si="8">+D42*D9</f>
        <v>201762.16152067899</v>
      </c>
      <c r="E16" s="170">
        <f t="shared" si="8"/>
        <v>410858.38597811514</v>
      </c>
      <c r="F16" s="170">
        <f t="shared" si="8"/>
        <v>621901.60431384458</v>
      </c>
      <c r="G16" s="170">
        <f t="shared" si="8"/>
        <v>837188.93589648418</v>
      </c>
      <c r="H16" s="170">
        <f t="shared" si="8"/>
        <v>949337.71057854488</v>
      </c>
      <c r="I16" s="170">
        <f t="shared" si="8"/>
        <v>1044616.5866483118</v>
      </c>
      <c r="J16" s="170">
        <f t="shared" si="8"/>
        <v>1140469.0119189317</v>
      </c>
      <c r="K16" s="170">
        <f t="shared" si="8"/>
        <v>1237999.0647296326</v>
      </c>
      <c r="L16" s="170">
        <f t="shared" si="8"/>
        <v>1337725.9197124715</v>
      </c>
      <c r="M16" s="170">
        <f t="shared" si="8"/>
        <v>1439607.0434616127</v>
      </c>
      <c r="N16" s="170">
        <f t="shared" si="8"/>
        <v>1543734.5362959688</v>
      </c>
      <c r="O16" s="170">
        <f t="shared" si="8"/>
        <v>1583386.1933035024</v>
      </c>
      <c r="P16" s="170">
        <f t="shared" si="8"/>
        <v>1628015.7744174893</v>
      </c>
      <c r="Q16" s="170">
        <f t="shared" si="8"/>
        <v>1676674.7594022674</v>
      </c>
      <c r="R16" s="170">
        <f t="shared" si="8"/>
        <v>1728646.4304112878</v>
      </c>
      <c r="S16" s="170">
        <f t="shared" si="8"/>
        <v>1783374.4211911077</v>
      </c>
      <c r="T16" s="170">
        <f t="shared" si="8"/>
        <v>1840417.0667029074</v>
      </c>
      <c r="U16" s="170">
        <f t="shared" si="8"/>
        <v>1899417.2000533121</v>
      </c>
      <c r="V16" s="170">
        <f t="shared" si="8"/>
        <v>1960081.5309078654</v>
      </c>
      <c r="W16" s="170">
        <f t="shared" si="8"/>
        <v>2022166.2697974055</v>
      </c>
      <c r="X16" s="170">
        <f t="shared" si="8"/>
        <v>2085466.793482939</v>
      </c>
      <c r="Y16" s="170">
        <f t="shared" si="8"/>
        <v>2149810.0479871188</v>
      </c>
      <c r="Z16" s="170">
        <f t="shared" si="8"/>
        <v>2215048.8391343174</v>
      </c>
      <c r="AA16" s="170">
        <f t="shared" si="8"/>
        <v>2281057.3377222875</v>
      </c>
      <c r="AB16" s="170">
        <f t="shared" si="8"/>
        <v>2347727.738755642</v>
      </c>
      <c r="AC16" s="170">
        <f t="shared" si="8"/>
        <v>2414967.3546780534</v>
      </c>
    </row>
    <row r="17" spans="1:29">
      <c r="A17" s="252" t="s">
        <v>345</v>
      </c>
      <c r="B17" s="253">
        <f t="shared" si="5"/>
        <v>8.9318248936057252</v>
      </c>
      <c r="C17" s="253">
        <f t="shared" si="6"/>
        <v>36.149959374877085</v>
      </c>
      <c r="D17" s="252">
        <f t="shared" ref="D17:AC17" si="9">+D43*D9</f>
        <v>0.52182242466725959</v>
      </c>
      <c r="E17" s="252">
        <f t="shared" si="9"/>
        <v>1.0223207555887677</v>
      </c>
      <c r="F17" s="252">
        <f t="shared" si="9"/>
        <v>1.5522325721552299</v>
      </c>
      <c r="G17" s="252">
        <f t="shared" si="9"/>
        <v>2.0579431481557049</v>
      </c>
      <c r="H17" s="252">
        <f t="shared" si="9"/>
        <v>1.9472180933533128</v>
      </c>
      <c r="I17" s="252">
        <f t="shared" si="9"/>
        <v>1.830287899685451</v>
      </c>
      <c r="J17" s="252">
        <f t="shared" si="9"/>
        <v>1.7036914712626787</v>
      </c>
      <c r="K17" s="252">
        <f t="shared" si="9"/>
        <v>1.5991394552278451</v>
      </c>
      <c r="L17" s="252">
        <f t="shared" si="9"/>
        <v>1.5180219510615862</v>
      </c>
      <c r="M17" s="252">
        <f t="shared" si="9"/>
        <v>1.4704313895011709</v>
      </c>
      <c r="N17" s="252">
        <f t="shared" si="9"/>
        <v>1.4475763165212652</v>
      </c>
      <c r="O17" s="252">
        <f t="shared" si="9"/>
        <v>1.4481890818427288</v>
      </c>
      <c r="P17" s="252">
        <f t="shared" si="9"/>
        <v>1.3826712732293751</v>
      </c>
      <c r="Q17" s="252">
        <f t="shared" si="9"/>
        <v>1.3513894945166842</v>
      </c>
      <c r="R17" s="252">
        <f t="shared" si="9"/>
        <v>1.3705555505156624</v>
      </c>
      <c r="S17" s="252">
        <f t="shared" si="9"/>
        <v>1.3699780267084076</v>
      </c>
      <c r="T17" s="252">
        <f t="shared" si="9"/>
        <v>1.3315448345121337</v>
      </c>
      <c r="U17" s="252">
        <f t="shared" si="9"/>
        <v>1.3211542459936123</v>
      </c>
      <c r="V17" s="252">
        <f t="shared" si="9"/>
        <v>1.2919816846840559</v>
      </c>
      <c r="W17" s="252">
        <f t="shared" si="9"/>
        <v>1.2792381395734649</v>
      </c>
      <c r="X17" s="252">
        <f t="shared" si="9"/>
        <v>1.2829231284646208</v>
      </c>
      <c r="Y17" s="252">
        <f t="shared" si="9"/>
        <v>1.2533574841468791</v>
      </c>
      <c r="Z17" s="252">
        <f t="shared" si="9"/>
        <v>1.2334971519477058</v>
      </c>
      <c r="AA17" s="252">
        <f t="shared" si="9"/>
        <v>1.221102427078067</v>
      </c>
      <c r="AB17" s="252">
        <f t="shared" si="9"/>
        <v>1.190056624336538</v>
      </c>
      <c r="AC17" s="252">
        <f t="shared" si="9"/>
        <v>1.151634750146884</v>
      </c>
    </row>
    <row r="18" spans="1:29">
      <c r="A18" s="252" t="s">
        <v>346</v>
      </c>
      <c r="B18" s="253">
        <f t="shared" si="5"/>
        <v>3.7458355572849205</v>
      </c>
      <c r="C18" s="253">
        <f t="shared" si="6"/>
        <v>14.898876647015879</v>
      </c>
      <c r="D18" s="252">
        <f t="shared" ref="D18:AC18" si="10">+D44*D9</f>
        <v>0.21967186858775223</v>
      </c>
      <c r="E18" s="252">
        <f t="shared" si="10"/>
        <v>0.43224824206766882</v>
      </c>
      <c r="F18" s="252">
        <f t="shared" si="10"/>
        <v>0.65751316945214511</v>
      </c>
      <c r="G18" s="252">
        <f t="shared" si="10"/>
        <v>0.86951491987806317</v>
      </c>
      <c r="H18" s="252">
        <f t="shared" si="10"/>
        <v>0.81380320399464723</v>
      </c>
      <c r="I18" s="252">
        <f t="shared" si="10"/>
        <v>0.75308415330464351</v>
      </c>
      <c r="J18" s="252">
        <f t="shared" si="10"/>
        <v>0.69011374457529195</v>
      </c>
      <c r="K18" s="252">
        <f t="shared" si="10"/>
        <v>0.64185842108485724</v>
      </c>
      <c r="L18" s="252">
        <f t="shared" si="10"/>
        <v>0.60400638829157671</v>
      </c>
      <c r="M18" s="252">
        <f t="shared" si="10"/>
        <v>0.5843353751120719</v>
      </c>
      <c r="N18" s="252">
        <f t="shared" si="10"/>
        <v>0.57692183036629374</v>
      </c>
      <c r="O18" s="252">
        <f t="shared" si="10"/>
        <v>0.57965255650673664</v>
      </c>
      <c r="P18" s="252">
        <f t="shared" si="10"/>
        <v>0.55545675157326158</v>
      </c>
      <c r="Q18" s="252">
        <f t="shared" si="10"/>
        <v>0.54475308297745051</v>
      </c>
      <c r="R18" s="252">
        <f t="shared" si="10"/>
        <v>0.55638943992216916</v>
      </c>
      <c r="S18" s="252">
        <f t="shared" si="10"/>
        <v>0.55930633145027986</v>
      </c>
      <c r="T18" s="252">
        <f t="shared" si="10"/>
        <v>0.54642354104107727</v>
      </c>
      <c r="U18" s="252">
        <f t="shared" si="10"/>
        <v>0.54498869236453551</v>
      </c>
      <c r="V18" s="252">
        <f t="shared" si="10"/>
        <v>0.53521327725835954</v>
      </c>
      <c r="W18" s="252">
        <f t="shared" si="10"/>
        <v>0.53247939230736119</v>
      </c>
      <c r="X18" s="252">
        <f t="shared" si="10"/>
        <v>0.53774496578920716</v>
      </c>
      <c r="Y18" s="252">
        <f t="shared" si="10"/>
        <v>0.52694261834657519</v>
      </c>
      <c r="Z18" s="252">
        <f t="shared" si="10"/>
        <v>0.52128315359771371</v>
      </c>
      <c r="AA18" s="252">
        <f t="shared" si="10"/>
        <v>0.51707094640823736</v>
      </c>
      <c r="AB18" s="252">
        <f t="shared" si="10"/>
        <v>0.5065123060594201</v>
      </c>
      <c r="AC18" s="252">
        <f t="shared" si="10"/>
        <v>0.49158827469848188</v>
      </c>
    </row>
    <row r="19" spans="1:29">
      <c r="A19" s="252" t="s">
        <v>347</v>
      </c>
      <c r="B19" s="253">
        <f t="shared" si="5"/>
        <v>32.074622014541546</v>
      </c>
      <c r="C19" s="253">
        <f t="shared" si="6"/>
        <v>151.01414996316993</v>
      </c>
      <c r="D19" s="252">
        <f t="shared" ref="D19:AC19" si="11">+D45*D9</f>
        <v>1.8501236941160648</v>
      </c>
      <c r="E19" s="252">
        <f t="shared" si="11"/>
        <v>3.5861983322913917</v>
      </c>
      <c r="F19" s="252">
        <f t="shared" si="11"/>
        <v>5.4328182402111223</v>
      </c>
      <c r="G19" s="252">
        <f t="shared" si="11"/>
        <v>7.2430112539565465</v>
      </c>
      <c r="H19" s="252">
        <f t="shared" si="11"/>
        <v>7.0083204531008692</v>
      </c>
      <c r="I19" s="252">
        <f t="shared" si="11"/>
        <v>6.9541500408655539</v>
      </c>
      <c r="J19" s="252">
        <f t="shared" si="11"/>
        <v>6.8611547746336834</v>
      </c>
      <c r="K19" s="252">
        <f t="shared" si="11"/>
        <v>6.7598684786147167</v>
      </c>
      <c r="L19" s="252">
        <f t="shared" si="11"/>
        <v>6.6178538292732485</v>
      </c>
      <c r="M19" s="252">
        <f t="shared" si="11"/>
        <v>6.4868730752863417</v>
      </c>
      <c r="N19" s="252">
        <f t="shared" si="11"/>
        <v>6.4372359334167157</v>
      </c>
      <c r="O19" s="252">
        <f t="shared" si="11"/>
        <v>6.4454633528192993</v>
      </c>
      <c r="P19" s="252">
        <f t="shared" si="11"/>
        <v>6.2027024414373502</v>
      </c>
      <c r="Q19" s="252">
        <f t="shared" si="11"/>
        <v>6.0567072736078371</v>
      </c>
      <c r="R19" s="252">
        <f t="shared" si="11"/>
        <v>6.1291978019907534</v>
      </c>
      <c r="S19" s="252">
        <f t="shared" si="11"/>
        <v>6.1034519506914169</v>
      </c>
      <c r="T19" s="252">
        <f t="shared" si="11"/>
        <v>5.8963100023670494</v>
      </c>
      <c r="U19" s="252">
        <f t="shared" si="11"/>
        <v>5.8014125827123353</v>
      </c>
      <c r="V19" s="252">
        <f t="shared" si="11"/>
        <v>5.6648990904586194</v>
      </c>
      <c r="W19" s="252">
        <f t="shared" si="11"/>
        <v>5.5795177251208674</v>
      </c>
      <c r="X19" s="252">
        <f t="shared" si="11"/>
        <v>5.5690763460534258</v>
      </c>
      <c r="Y19" s="252">
        <f t="shared" si="11"/>
        <v>5.4420492738124828</v>
      </c>
      <c r="Z19" s="252">
        <f t="shared" si="11"/>
        <v>5.3559464279125342</v>
      </c>
      <c r="AA19" s="252">
        <f t="shared" si="11"/>
        <v>5.3057215555766728</v>
      </c>
      <c r="AB19" s="252">
        <f t="shared" si="11"/>
        <v>5.1837384560842024</v>
      </c>
      <c r="AC19" s="252">
        <f t="shared" si="11"/>
        <v>5.0403475767588573</v>
      </c>
    </row>
    <row r="20" spans="1:29">
      <c r="A20" s="252" t="s">
        <v>348</v>
      </c>
      <c r="B20" s="253">
        <f t="shared" si="5"/>
        <v>152.01248242421619</v>
      </c>
      <c r="C20" s="253">
        <f t="shared" si="6"/>
        <v>717.09160052312677</v>
      </c>
      <c r="D20" s="252">
        <f t="shared" ref="D20:AC20" si="12">+D46*D9</f>
        <v>8.7668082874859241</v>
      </c>
      <c r="E20" s="252">
        <f t="shared" si="12"/>
        <v>16.990646497129752</v>
      </c>
      <c r="F20" s="252">
        <f t="shared" si="12"/>
        <v>25.738714902339428</v>
      </c>
      <c r="G20" s="252">
        <f t="shared" si="12"/>
        <v>34.317452197769363</v>
      </c>
      <c r="H20" s="252">
        <f t="shared" si="12"/>
        <v>33.215840603486022</v>
      </c>
      <c r="I20" s="252">
        <f t="shared" si="12"/>
        <v>32.983019936005725</v>
      </c>
      <c r="J20" s="252">
        <f t="shared" si="12"/>
        <v>32.565923191391271</v>
      </c>
      <c r="K20" s="252">
        <f t="shared" si="12"/>
        <v>32.103802065924029</v>
      </c>
      <c r="L20" s="252">
        <f t="shared" si="12"/>
        <v>31.440504685318803</v>
      </c>
      <c r="M20" s="252">
        <f t="shared" si="12"/>
        <v>30.822344663514528</v>
      </c>
      <c r="N20" s="252">
        <f t="shared" si="12"/>
        <v>30.589208488647913</v>
      </c>
      <c r="O20" s="252">
        <f t="shared" si="12"/>
        <v>30.62858619293814</v>
      </c>
      <c r="P20" s="252">
        <f t="shared" si="12"/>
        <v>29.477560492689609</v>
      </c>
      <c r="Q20" s="252">
        <f t="shared" si="12"/>
        <v>28.783432481244152</v>
      </c>
      <c r="R20" s="252">
        <f t="shared" si="12"/>
        <v>29.127216809858464</v>
      </c>
      <c r="S20" s="252">
        <f t="shared" si="12"/>
        <v>29.003641737069596</v>
      </c>
      <c r="T20" s="252">
        <f t="shared" si="12"/>
        <v>28.017401075101894</v>
      </c>
      <c r="U20" s="252">
        <f t="shared" si="12"/>
        <v>27.563880698601356</v>
      </c>
      <c r="V20" s="252">
        <f t="shared" si="12"/>
        <v>26.914816643542167</v>
      </c>
      <c r="W20" s="252">
        <f t="shared" si="12"/>
        <v>26.507569228487437</v>
      </c>
      <c r="X20" s="252">
        <f t="shared" si="12"/>
        <v>26.4565261619918</v>
      </c>
      <c r="Y20" s="252">
        <f t="shared" si="12"/>
        <v>25.85313517153093</v>
      </c>
      <c r="Z20" s="252">
        <f t="shared" si="12"/>
        <v>25.444089161590522</v>
      </c>
      <c r="AA20" s="252">
        <f t="shared" si="12"/>
        <v>25.205680050978966</v>
      </c>
      <c r="AB20" s="252">
        <f t="shared" si="12"/>
        <v>24.626867658452227</v>
      </c>
      <c r="AC20" s="252">
        <f t="shared" si="12"/>
        <v>23.946931440036874</v>
      </c>
    </row>
    <row r="21" spans="1:29">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29" ht="18.600000000000001">
      <c r="A22" s="213" t="s">
        <v>349</v>
      </c>
      <c r="B22" s="213"/>
      <c r="C22" s="213"/>
    </row>
    <row r="23" spans="1:29" ht="15" customHeight="1">
      <c r="A23" s="742" t="s">
        <v>415</v>
      </c>
      <c r="B23" s="742"/>
      <c r="C23" s="742"/>
      <c r="D23" s="742"/>
      <c r="E23" s="742"/>
      <c r="F23" s="742"/>
    </row>
    <row r="25" spans="1:29" ht="18.600000000000001">
      <c r="A25" s="213" t="s">
        <v>351</v>
      </c>
      <c r="D25" s="47" t="s">
        <v>416</v>
      </c>
      <c r="E25" s="164">
        <f t="shared" ref="E25:AC25" si="13">E27-D27</f>
        <v>113824.06</v>
      </c>
      <c r="F25" s="164">
        <f t="shared" si="13"/>
        <v>114954.39999999997</v>
      </c>
      <c r="G25" s="164">
        <f t="shared" si="13"/>
        <v>112472.64000000001</v>
      </c>
      <c r="H25" s="164">
        <f t="shared" si="13"/>
        <v>106887.79000000004</v>
      </c>
      <c r="I25" s="164">
        <f t="shared" si="13"/>
        <v>98839.020000000019</v>
      </c>
      <c r="J25" s="164">
        <f t="shared" si="13"/>
        <v>81814.569999999949</v>
      </c>
      <c r="K25" s="164">
        <f t="shared" si="13"/>
        <v>67684.269999999902</v>
      </c>
      <c r="L25" s="164">
        <f t="shared" si="13"/>
        <v>55956.130000000121</v>
      </c>
      <c r="M25" s="164">
        <f t="shared" si="13"/>
        <v>46443.580000000075</v>
      </c>
      <c r="N25" s="164">
        <f t="shared" si="13"/>
        <v>38548.179999999935</v>
      </c>
      <c r="O25" s="164">
        <f t="shared" si="13"/>
        <v>31994.979999999981</v>
      </c>
      <c r="P25" s="164">
        <f t="shared" si="13"/>
        <v>26555.840000000084</v>
      </c>
      <c r="Q25" s="164">
        <f t="shared" si="13"/>
        <v>22041.34999999986</v>
      </c>
      <c r="R25" s="164">
        <f t="shared" si="13"/>
        <v>18294.310000000056</v>
      </c>
      <c r="S25" s="164">
        <f t="shared" si="13"/>
        <v>15184.280000000028</v>
      </c>
      <c r="T25" s="164">
        <f t="shared" si="13"/>
        <v>12602.959999999963</v>
      </c>
      <c r="U25" s="164">
        <f t="shared" si="13"/>
        <v>10460.449999999953</v>
      </c>
      <c r="V25" s="164">
        <f t="shared" si="13"/>
        <v>8682.1700000001583</v>
      </c>
      <c r="W25" s="164">
        <f t="shared" si="13"/>
        <v>7206.1999999999534</v>
      </c>
      <c r="X25" s="164">
        <f t="shared" si="13"/>
        <v>5981.1499999999069</v>
      </c>
      <c r="Y25" s="164">
        <f t="shared" si="13"/>
        <v>4964.3600000001024</v>
      </c>
      <c r="Z25" s="164">
        <f t="shared" si="13"/>
        <v>4120.4099999999162</v>
      </c>
      <c r="AA25" s="164">
        <f t="shared" si="13"/>
        <v>3419.9499999999534</v>
      </c>
      <c r="AB25" s="164">
        <f t="shared" si="13"/>
        <v>2838.5500000000466</v>
      </c>
      <c r="AC25" s="164">
        <f t="shared" si="13"/>
        <v>2356</v>
      </c>
    </row>
    <row r="26" spans="1:29" ht="29.1">
      <c r="A26" s="169" t="s">
        <v>352</v>
      </c>
      <c r="B26" s="212" t="s">
        <v>331</v>
      </c>
      <c r="C26" s="212" t="s">
        <v>332</v>
      </c>
      <c r="D26" s="169">
        <v>2025</v>
      </c>
      <c r="E26" s="169">
        <v>2026</v>
      </c>
      <c r="F26" s="169">
        <v>2027</v>
      </c>
      <c r="G26" s="169">
        <v>2028</v>
      </c>
      <c r="H26" s="169">
        <v>2029</v>
      </c>
      <c r="I26" s="169">
        <v>2030</v>
      </c>
      <c r="J26" s="169">
        <v>2031</v>
      </c>
      <c r="K26" s="169">
        <v>2032</v>
      </c>
      <c r="L26" s="169">
        <v>2033</v>
      </c>
      <c r="M26" s="169">
        <v>2034</v>
      </c>
      <c r="N26" s="169">
        <v>2035</v>
      </c>
      <c r="O26" s="169">
        <v>2036</v>
      </c>
      <c r="P26" s="169">
        <v>2037</v>
      </c>
      <c r="Q26" s="169">
        <v>2038</v>
      </c>
      <c r="R26" s="169">
        <v>2039</v>
      </c>
      <c r="S26" s="169">
        <v>2040</v>
      </c>
      <c r="T26" s="169">
        <v>2041</v>
      </c>
      <c r="U26" s="169">
        <v>2042</v>
      </c>
      <c r="V26" s="169">
        <v>2043</v>
      </c>
      <c r="W26" s="169">
        <v>2044</v>
      </c>
      <c r="X26" s="169">
        <v>2045</v>
      </c>
      <c r="Y26" s="169">
        <v>2046</v>
      </c>
      <c r="Z26" s="169">
        <v>2047</v>
      </c>
      <c r="AA26" s="169">
        <v>2048</v>
      </c>
      <c r="AB26" s="169">
        <v>2049</v>
      </c>
      <c r="AC26" s="169">
        <v>2050</v>
      </c>
    </row>
    <row r="27" spans="1:29">
      <c r="A27" s="183" t="s">
        <v>353</v>
      </c>
      <c r="B27" s="183">
        <f t="shared" ref="B27:B36" si="14">+I27</f>
        <v>914706.8</v>
      </c>
      <c r="C27" s="183">
        <f t="shared" ref="C27:C36" si="15">+AC27</f>
        <v>1381856.49</v>
      </c>
      <c r="D27" s="183">
        <v>367728.89</v>
      </c>
      <c r="E27" s="183">
        <v>481552.95</v>
      </c>
      <c r="F27" s="183">
        <v>596507.35</v>
      </c>
      <c r="G27" s="183">
        <v>708979.99</v>
      </c>
      <c r="H27" s="183">
        <v>815867.78</v>
      </c>
      <c r="I27" s="183">
        <v>914706.8</v>
      </c>
      <c r="J27" s="183">
        <v>996521.37</v>
      </c>
      <c r="K27" s="183">
        <v>1064205.6399999999</v>
      </c>
      <c r="L27" s="183">
        <v>1120161.77</v>
      </c>
      <c r="M27" s="183">
        <v>1166605.3500000001</v>
      </c>
      <c r="N27" s="183">
        <v>1205153.53</v>
      </c>
      <c r="O27" s="183">
        <v>1237148.51</v>
      </c>
      <c r="P27" s="183">
        <v>1263704.3500000001</v>
      </c>
      <c r="Q27" s="183">
        <v>1285745.7</v>
      </c>
      <c r="R27" s="183">
        <v>1304040.01</v>
      </c>
      <c r="S27" s="183">
        <v>1319224.29</v>
      </c>
      <c r="T27" s="183">
        <v>1331827.25</v>
      </c>
      <c r="U27" s="183">
        <v>1342287.7</v>
      </c>
      <c r="V27" s="183">
        <v>1350969.87</v>
      </c>
      <c r="W27" s="183">
        <v>1358176.07</v>
      </c>
      <c r="X27" s="183">
        <v>1364157.22</v>
      </c>
      <c r="Y27" s="183">
        <v>1369121.58</v>
      </c>
      <c r="Z27" s="183">
        <v>1373241.99</v>
      </c>
      <c r="AA27" s="183">
        <v>1376661.94</v>
      </c>
      <c r="AB27" s="183">
        <v>1379500.49</v>
      </c>
      <c r="AC27" s="183">
        <v>1381856.49</v>
      </c>
    </row>
    <row r="28" spans="1:29">
      <c r="A28" s="171" t="s">
        <v>339</v>
      </c>
      <c r="B28" s="183">
        <f t="shared" si="14"/>
        <v>1557330</v>
      </c>
      <c r="C28" s="183">
        <f t="shared" si="15"/>
        <v>745360</v>
      </c>
      <c r="D28" s="183">
        <v>1331460</v>
      </c>
      <c r="E28" s="183">
        <v>1536780</v>
      </c>
      <c r="F28" s="183">
        <v>1710960</v>
      </c>
      <c r="G28" s="183">
        <v>1788260</v>
      </c>
      <c r="H28" s="183">
        <v>1719790</v>
      </c>
      <c r="I28" s="183">
        <v>1557330</v>
      </c>
      <c r="J28" s="183">
        <v>1543120</v>
      </c>
      <c r="K28" s="183">
        <v>1493570</v>
      </c>
      <c r="L28" s="183">
        <v>1421800</v>
      </c>
      <c r="M28" s="183">
        <v>1348300</v>
      </c>
      <c r="N28" s="183">
        <v>1272320</v>
      </c>
      <c r="O28" s="183">
        <v>1211020</v>
      </c>
      <c r="P28" s="183">
        <v>1090400</v>
      </c>
      <c r="Q28" s="183">
        <v>991610</v>
      </c>
      <c r="R28" s="183">
        <v>920370</v>
      </c>
      <c r="S28" s="183">
        <v>831900</v>
      </c>
      <c r="T28" s="183">
        <v>819260</v>
      </c>
      <c r="U28" s="183">
        <v>822660</v>
      </c>
      <c r="V28" s="183">
        <v>810940</v>
      </c>
      <c r="W28" s="183">
        <v>809630</v>
      </c>
      <c r="X28" s="183">
        <v>817540</v>
      </c>
      <c r="Y28" s="183">
        <v>802400</v>
      </c>
      <c r="Z28" s="183">
        <v>792900</v>
      </c>
      <c r="AA28" s="183">
        <v>787370</v>
      </c>
      <c r="AB28" s="183">
        <v>769200</v>
      </c>
      <c r="AC28" s="183">
        <v>745360</v>
      </c>
    </row>
    <row r="29" spans="1:29">
      <c r="A29" s="250" t="s">
        <v>354</v>
      </c>
      <c r="B29" s="250">
        <f t="shared" si="14"/>
        <v>3623786810</v>
      </c>
      <c r="C29" s="250">
        <f t="shared" si="15"/>
        <v>99527505</v>
      </c>
      <c r="D29" s="250">
        <v>3988983815</v>
      </c>
      <c r="E29" s="250">
        <v>4174593678</v>
      </c>
      <c r="F29" s="250">
        <v>4216222793</v>
      </c>
      <c r="G29" s="250">
        <v>4125985874</v>
      </c>
      <c r="H29" s="250">
        <v>3920000000</v>
      </c>
      <c r="I29" s="250">
        <v>3623786810</v>
      </c>
      <c r="J29" s="250">
        <v>3000568456</v>
      </c>
      <c r="K29" s="250">
        <v>2485168037</v>
      </c>
      <c r="L29" s="250">
        <v>2058938096</v>
      </c>
      <c r="M29" s="250">
        <v>1712916331</v>
      </c>
      <c r="N29" s="250">
        <v>1425465308</v>
      </c>
      <c r="O29" s="250">
        <v>1186322289</v>
      </c>
      <c r="P29" s="250">
        <v>987468546</v>
      </c>
      <c r="Q29" s="250">
        <v>821848583</v>
      </c>
      <c r="R29" s="250">
        <v>683871664</v>
      </c>
      <c r="S29" s="250">
        <v>568808577</v>
      </c>
      <c r="T29" s="250">
        <v>472881072</v>
      </c>
      <c r="U29" s="250">
        <v>393179502</v>
      </c>
      <c r="V29" s="250">
        <v>327425428</v>
      </c>
      <c r="W29" s="250">
        <v>273641534</v>
      </c>
      <c r="X29" s="250">
        <v>229702437</v>
      </c>
      <c r="Y29" s="250">
        <v>193633300</v>
      </c>
      <c r="Z29" s="250">
        <v>163690389</v>
      </c>
      <c r="AA29" s="250">
        <v>138618243</v>
      </c>
      <c r="AB29" s="250">
        <v>117473269</v>
      </c>
      <c r="AC29" s="250">
        <v>99527505</v>
      </c>
    </row>
    <row r="30" spans="1:29">
      <c r="A30" s="206" t="s">
        <v>355</v>
      </c>
      <c r="B30" s="206">
        <f t="shared" si="14"/>
        <v>12683</v>
      </c>
      <c r="C30" s="206">
        <f t="shared" si="15"/>
        <v>348</v>
      </c>
      <c r="D30" s="206">
        <v>13961</v>
      </c>
      <c r="E30" s="206">
        <v>14611</v>
      </c>
      <c r="F30" s="206">
        <v>14757</v>
      </c>
      <c r="G30" s="206">
        <v>14441</v>
      </c>
      <c r="H30" s="206">
        <v>13722</v>
      </c>
      <c r="I30" s="206">
        <v>12683</v>
      </c>
      <c r="J30" s="206">
        <v>10502</v>
      </c>
      <c r="K30" s="206">
        <v>8698</v>
      </c>
      <c r="L30" s="206">
        <v>7206</v>
      </c>
      <c r="M30" s="206">
        <v>5995</v>
      </c>
      <c r="N30" s="206">
        <v>4989</v>
      </c>
      <c r="O30" s="206">
        <v>4152</v>
      </c>
      <c r="P30" s="206">
        <v>3456</v>
      </c>
      <c r="Q30" s="206">
        <v>2876</v>
      </c>
      <c r="R30" s="206">
        <v>2394</v>
      </c>
      <c r="S30" s="206">
        <v>1991</v>
      </c>
      <c r="T30" s="206">
        <v>1655</v>
      </c>
      <c r="U30" s="206">
        <v>1376</v>
      </c>
      <c r="V30" s="206">
        <v>1146</v>
      </c>
      <c r="W30" s="206">
        <v>958</v>
      </c>
      <c r="X30" s="206">
        <v>804</v>
      </c>
      <c r="Y30" s="206">
        <v>678</v>
      </c>
      <c r="Z30" s="206">
        <v>573</v>
      </c>
      <c r="AA30" s="206">
        <v>485</v>
      </c>
      <c r="AB30" s="206">
        <v>411</v>
      </c>
      <c r="AC30" s="206">
        <v>348</v>
      </c>
    </row>
    <row r="31" spans="1:29">
      <c r="A31" s="209" t="s">
        <v>356</v>
      </c>
      <c r="B31" s="209">
        <f t="shared" si="14"/>
        <v>0.12740000000000001</v>
      </c>
      <c r="C31" s="209">
        <f t="shared" si="15"/>
        <v>9.1300000000000006E-2</v>
      </c>
      <c r="D31" s="209">
        <v>0.12740000000000001</v>
      </c>
      <c r="E31" s="209">
        <v>0.12740000000000001</v>
      </c>
      <c r="F31" s="209">
        <v>0.12740000000000001</v>
      </c>
      <c r="G31" s="209">
        <v>0.12740000000000001</v>
      </c>
      <c r="H31" s="209">
        <v>0.12740000000000001</v>
      </c>
      <c r="I31" s="209">
        <v>0.12740000000000001</v>
      </c>
      <c r="J31" s="209">
        <v>0.12740000000000001</v>
      </c>
      <c r="K31" s="209">
        <v>0.12740000000000001</v>
      </c>
      <c r="L31" s="209">
        <v>0.12740000000000001</v>
      </c>
      <c r="M31" s="209">
        <v>0.12740000000000001</v>
      </c>
      <c r="N31" s="209">
        <v>9.1300000000000006E-2</v>
      </c>
      <c r="O31" s="209">
        <v>9.1300000000000006E-2</v>
      </c>
      <c r="P31" s="209">
        <v>9.1300000000000006E-2</v>
      </c>
      <c r="Q31" s="209">
        <v>9.1300000000000006E-2</v>
      </c>
      <c r="R31" s="209">
        <v>9.1300000000000006E-2</v>
      </c>
      <c r="S31" s="209">
        <v>9.1300000000000006E-2</v>
      </c>
      <c r="T31" s="209">
        <v>9.1300000000000006E-2</v>
      </c>
      <c r="U31" s="209">
        <v>9.1300000000000006E-2</v>
      </c>
      <c r="V31" s="209">
        <v>9.1300000000000006E-2</v>
      </c>
      <c r="W31" s="209">
        <v>9.1300000000000006E-2</v>
      </c>
      <c r="X31" s="209">
        <v>9.1300000000000006E-2</v>
      </c>
      <c r="Y31" s="209">
        <v>9.1300000000000006E-2</v>
      </c>
      <c r="Z31" s="209">
        <v>9.1300000000000006E-2</v>
      </c>
      <c r="AA31" s="209">
        <v>9.1300000000000006E-2</v>
      </c>
      <c r="AB31" s="209">
        <v>9.1300000000000006E-2</v>
      </c>
      <c r="AC31" s="209">
        <v>9.1300000000000006E-2</v>
      </c>
    </row>
    <row r="32" spans="1:29">
      <c r="A32" s="208" t="s">
        <v>344</v>
      </c>
      <c r="B32" s="208">
        <f t="shared" si="14"/>
        <v>-434326316</v>
      </c>
      <c r="C32" s="208">
        <f t="shared" si="15"/>
        <v>-1516881051</v>
      </c>
      <c r="D32" s="208">
        <v>-134897774</v>
      </c>
      <c r="E32" s="208">
        <v>-179863698</v>
      </c>
      <c r="F32" s="208">
        <v>-224829623</v>
      </c>
      <c r="G32" s="208">
        <v>-269795547</v>
      </c>
      <c r="H32" s="208">
        <v>-352060932</v>
      </c>
      <c r="I32" s="208">
        <v>-434326316</v>
      </c>
      <c r="J32" s="208">
        <v>-516591701</v>
      </c>
      <c r="K32" s="208">
        <v>-598857085</v>
      </c>
      <c r="L32" s="208">
        <v>-681122470</v>
      </c>
      <c r="M32" s="208">
        <v>-763387854</v>
      </c>
      <c r="N32" s="208">
        <v>-845653239</v>
      </c>
      <c r="O32" s="208">
        <v>-890401759</v>
      </c>
      <c r="P32" s="208">
        <v>-935150280</v>
      </c>
      <c r="Q32" s="208">
        <v>-979898801</v>
      </c>
      <c r="R32" s="208">
        <v>-1024647322</v>
      </c>
      <c r="S32" s="208">
        <v>-1069395843</v>
      </c>
      <c r="T32" s="208">
        <v>-1114144364</v>
      </c>
      <c r="U32" s="208">
        <v>-1158892884</v>
      </c>
      <c r="V32" s="208">
        <v>-1203641405</v>
      </c>
      <c r="W32" s="208">
        <v>-1248389926</v>
      </c>
      <c r="X32" s="208">
        <v>-1293138447</v>
      </c>
      <c r="Y32" s="208">
        <v>-1337886968</v>
      </c>
      <c r="Z32" s="208">
        <v>-1382635489</v>
      </c>
      <c r="AA32" s="208">
        <v>-1427384009</v>
      </c>
      <c r="AB32" s="208">
        <v>-1472132530</v>
      </c>
      <c r="AC32" s="208">
        <v>-1516881051</v>
      </c>
    </row>
    <row r="33" spans="1:29">
      <c r="A33" s="206" t="s">
        <v>345</v>
      </c>
      <c r="B33" s="206">
        <f t="shared" si="14"/>
        <v>-760.98944900000004</v>
      </c>
      <c r="C33" s="206">
        <f t="shared" si="15"/>
        <v>-723.36088800000005</v>
      </c>
      <c r="D33" s="206">
        <v>-348.88941999999997</v>
      </c>
      <c r="E33" s="206">
        <v>-447.54688700000003</v>
      </c>
      <c r="F33" s="206">
        <v>-561.162508</v>
      </c>
      <c r="G33" s="206">
        <v>-663.20023300000003</v>
      </c>
      <c r="H33" s="206">
        <v>-722.12386500000002</v>
      </c>
      <c r="I33" s="206">
        <v>-760.98944900000004</v>
      </c>
      <c r="J33" s="206">
        <v>-771.71134500000005</v>
      </c>
      <c r="K33" s="206">
        <v>-773.551467</v>
      </c>
      <c r="L33" s="206">
        <v>-772.92279799999994</v>
      </c>
      <c r="M33" s="206">
        <v>-779.73323900000003</v>
      </c>
      <c r="N33" s="206">
        <v>-792.97804900000006</v>
      </c>
      <c r="O33" s="206">
        <v>-814.37498400000004</v>
      </c>
      <c r="P33" s="206">
        <v>-794.22168299999998</v>
      </c>
      <c r="Q33" s="206">
        <v>-789.79237799999999</v>
      </c>
      <c r="R33" s="206">
        <v>-812.390579</v>
      </c>
      <c r="S33" s="206">
        <v>-821.50376800000004</v>
      </c>
      <c r="T33" s="206">
        <v>-806.08531600000003</v>
      </c>
      <c r="U33" s="206">
        <v>-806.07686100000001</v>
      </c>
      <c r="V33" s="206">
        <v>-793.37651300000005</v>
      </c>
      <c r="W33" s="206">
        <v>-789.74119499999995</v>
      </c>
      <c r="X33" s="206">
        <v>-795.50402199999996</v>
      </c>
      <c r="Y33" s="206">
        <v>-779.99944500000004</v>
      </c>
      <c r="Z33" s="206">
        <v>-769.95003799999995</v>
      </c>
      <c r="AA33" s="206">
        <v>-764.11147100000005</v>
      </c>
      <c r="AB33" s="206">
        <v>-746.21986200000003</v>
      </c>
      <c r="AC33" s="206">
        <v>-723.36088800000005</v>
      </c>
    </row>
    <row r="34" spans="1:29">
      <c r="A34" s="206" t="s">
        <v>347</v>
      </c>
      <c r="B34" s="206">
        <f t="shared" si="14"/>
        <v>-313.11417999999998</v>
      </c>
      <c r="C34" s="206">
        <f t="shared" si="15"/>
        <v>-308.77474899999999</v>
      </c>
      <c r="D34" s="206">
        <v>-146.87216799999999</v>
      </c>
      <c r="E34" s="206">
        <v>-189.22765100000001</v>
      </c>
      <c r="F34" s="206">
        <v>-237.703902</v>
      </c>
      <c r="G34" s="206">
        <v>-280.21303599999999</v>
      </c>
      <c r="H34" s="206">
        <v>-301.79809699999998</v>
      </c>
      <c r="I34" s="206">
        <v>-313.11417999999998</v>
      </c>
      <c r="J34" s="206">
        <v>-312.59686099999999</v>
      </c>
      <c r="K34" s="206">
        <v>-310.48606899999999</v>
      </c>
      <c r="L34" s="206">
        <v>-307.53857499999998</v>
      </c>
      <c r="M34" s="206">
        <v>-309.85853400000002</v>
      </c>
      <c r="N34" s="206">
        <v>-316.03608200000002</v>
      </c>
      <c r="O34" s="206">
        <v>-325.96195299999999</v>
      </c>
      <c r="P34" s="206">
        <v>-319.06050599999998</v>
      </c>
      <c r="Q34" s="206">
        <v>-318.36997000000002</v>
      </c>
      <c r="R34" s="206">
        <v>-329.79731399999997</v>
      </c>
      <c r="S34" s="206">
        <v>-335.38659000000001</v>
      </c>
      <c r="T34" s="206">
        <v>-330.79171000000002</v>
      </c>
      <c r="U34" s="206">
        <v>-332.51437199999998</v>
      </c>
      <c r="V34" s="206">
        <v>-328.66227800000001</v>
      </c>
      <c r="W34" s="206">
        <v>-328.727622</v>
      </c>
      <c r="X34" s="206">
        <v>-333.44030800000002</v>
      </c>
      <c r="Y34" s="206">
        <v>-327.93114100000003</v>
      </c>
      <c r="Z34" s="206">
        <v>-325.38541600000002</v>
      </c>
      <c r="AA34" s="206">
        <v>-323.55995100000001</v>
      </c>
      <c r="AB34" s="206">
        <v>-317.60635200000002</v>
      </c>
      <c r="AC34" s="206">
        <v>-308.77474899999999</v>
      </c>
    </row>
    <row r="35" spans="1:29">
      <c r="A35" s="206" t="s">
        <v>346</v>
      </c>
      <c r="B35" s="206">
        <f t="shared" si="14"/>
        <v>-2891.3674230000001</v>
      </c>
      <c r="C35" s="206">
        <f t="shared" si="15"/>
        <v>-3165.9259139999999</v>
      </c>
      <c r="D35" s="206">
        <v>-1236.9889680000001</v>
      </c>
      <c r="E35" s="206">
        <v>-1569.9494420000001</v>
      </c>
      <c r="F35" s="206">
        <v>-1964.0703100000001</v>
      </c>
      <c r="G35" s="206">
        <v>-2334.1591119999998</v>
      </c>
      <c r="H35" s="206">
        <v>-2599.0285680000002</v>
      </c>
      <c r="I35" s="206">
        <v>-2891.3674230000001</v>
      </c>
      <c r="J35" s="206">
        <v>-3107.8578889999999</v>
      </c>
      <c r="K35" s="206">
        <v>-3269.950073</v>
      </c>
      <c r="L35" s="206">
        <v>-3369.5758449999998</v>
      </c>
      <c r="M35" s="206">
        <v>-3439.8276519999999</v>
      </c>
      <c r="N35" s="206">
        <v>-3526.2989130000001</v>
      </c>
      <c r="O35" s="206">
        <v>-3624.5433560000001</v>
      </c>
      <c r="P35" s="206">
        <v>-3562.9009350000001</v>
      </c>
      <c r="Q35" s="206">
        <v>-3539.7206059999999</v>
      </c>
      <c r="R35" s="206">
        <v>-3633.054165</v>
      </c>
      <c r="S35" s="206">
        <v>-3659.9191209999999</v>
      </c>
      <c r="T35" s="206">
        <v>-3569.4846980000002</v>
      </c>
      <c r="U35" s="206">
        <v>-3539.6203420000002</v>
      </c>
      <c r="V35" s="206">
        <v>-3478.6854490000001</v>
      </c>
      <c r="W35" s="206">
        <v>-3444.5306620000001</v>
      </c>
      <c r="X35" s="206">
        <v>-3453.2253209999999</v>
      </c>
      <c r="Y35" s="206">
        <v>-3386.739591</v>
      </c>
      <c r="Z35" s="206">
        <v>-3343.1866049999999</v>
      </c>
      <c r="AA35" s="206">
        <v>-3320.0840589999998</v>
      </c>
      <c r="AB35" s="206">
        <v>-3250.440791</v>
      </c>
      <c r="AC35" s="206">
        <v>-3165.9259139999999</v>
      </c>
    </row>
    <row r="36" spans="1:29">
      <c r="A36" s="206" t="s">
        <v>348</v>
      </c>
      <c r="B36" s="206">
        <f t="shared" si="14"/>
        <v>-13713.542100000001</v>
      </c>
      <c r="C36" s="206">
        <f t="shared" si="15"/>
        <v>-15041.464830000001</v>
      </c>
      <c r="D36" s="206">
        <v>-5861.4703280000003</v>
      </c>
      <c r="E36" s="206">
        <v>-7438.0872209999998</v>
      </c>
      <c r="F36" s="206">
        <v>-9305.050072</v>
      </c>
      <c r="G36" s="206">
        <v>-11059.26678</v>
      </c>
      <c r="H36" s="206">
        <v>-12318.06097</v>
      </c>
      <c r="I36" s="206">
        <v>-13713.542100000001</v>
      </c>
      <c r="J36" s="206">
        <v>-14751.199269999999</v>
      </c>
      <c r="K36" s="206">
        <v>-15529.566919999999</v>
      </c>
      <c r="L36" s="206">
        <v>-16008.386990000001</v>
      </c>
      <c r="M36" s="206">
        <v>-16344.32372</v>
      </c>
      <c r="N36" s="206">
        <v>-16756.678449999999</v>
      </c>
      <c r="O36" s="206">
        <v>-17223.686259999999</v>
      </c>
      <c r="P36" s="206">
        <v>-16932.237010000001</v>
      </c>
      <c r="Q36" s="206">
        <v>-16821.897519999999</v>
      </c>
      <c r="R36" s="206">
        <v>-17265.0255</v>
      </c>
      <c r="S36" s="206">
        <v>-17391.958490000001</v>
      </c>
      <c r="T36" s="206">
        <v>-16961.062829999999</v>
      </c>
      <c r="U36" s="206">
        <v>-16817.571830000001</v>
      </c>
      <c r="V36" s="206">
        <v>-16527.775610000001</v>
      </c>
      <c r="W36" s="206">
        <v>-16364.521000000001</v>
      </c>
      <c r="X36" s="206">
        <v>-16404.936900000001</v>
      </c>
      <c r="Y36" s="206">
        <v>-16089.12967</v>
      </c>
      <c r="Z36" s="206">
        <v>-15882.223470000001</v>
      </c>
      <c r="AA36" s="206">
        <v>-15772.59109</v>
      </c>
      <c r="AB36" s="206">
        <v>-15442.170910000001</v>
      </c>
      <c r="AC36" s="206">
        <v>-15041.464830000001</v>
      </c>
    </row>
    <row r="37" spans="1:29">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row>
    <row r="38" spans="1:29" ht="15.6">
      <c r="A38" s="205" t="s">
        <v>357</v>
      </c>
      <c r="B38" s="171"/>
      <c r="C38" s="171"/>
      <c r="D38" s="204"/>
      <c r="E38" s="605">
        <f t="shared" ref="E38:AC38" si="16">+E39/D39</f>
        <v>0.881388296020161</v>
      </c>
      <c r="F38" s="605">
        <f t="shared" si="16"/>
        <v>0.89878621928492453</v>
      </c>
      <c r="G38" s="605">
        <f t="shared" si="16"/>
        <v>0.87937198790223081</v>
      </c>
      <c r="H38" s="605">
        <f t="shared" si="16"/>
        <v>0.83571645345387369</v>
      </c>
      <c r="I38" s="605">
        <f t="shared" si="16"/>
        <v>0.80768702309980978</v>
      </c>
      <c r="J38" s="605">
        <f t="shared" si="16"/>
        <v>0.90952437292451094</v>
      </c>
      <c r="K38" s="605">
        <f t="shared" si="16"/>
        <v>0.90633122339659344</v>
      </c>
      <c r="L38" s="605">
        <f t="shared" si="16"/>
        <v>0.90439413615327402</v>
      </c>
      <c r="M38" s="605">
        <f t="shared" si="16"/>
        <v>0.9105521148992809</v>
      </c>
      <c r="N38" s="605">
        <f t="shared" si="16"/>
        <v>0.91346393646308433</v>
      </c>
      <c r="O38" s="605">
        <f t="shared" si="16"/>
        <v>0.9272044393367852</v>
      </c>
      <c r="P38" s="605">
        <f t="shared" si="16"/>
        <v>0.88147679356322683</v>
      </c>
      <c r="Q38" s="605">
        <f t="shared" si="16"/>
        <v>0.8938105054792389</v>
      </c>
      <c r="R38" s="605">
        <f t="shared" si="16"/>
        <v>0.91513616922927177</v>
      </c>
      <c r="S38" s="605">
        <f t="shared" si="16"/>
        <v>0.89347200113980452</v>
      </c>
      <c r="T38" s="605">
        <f t="shared" si="16"/>
        <v>0.97548673784831008</v>
      </c>
      <c r="U38" s="605">
        <f t="shared" si="16"/>
        <v>0.9963247435765149</v>
      </c>
      <c r="V38" s="605">
        <f t="shared" si="16"/>
        <v>0.9794184678588479</v>
      </c>
      <c r="W38" s="605">
        <f t="shared" si="16"/>
        <v>0.99308736954667376</v>
      </c>
      <c r="X38" s="605">
        <f t="shared" si="16"/>
        <v>1.0053425568105447</v>
      </c>
      <c r="Y38" s="605">
        <f t="shared" si="16"/>
        <v>0.97792223189903971</v>
      </c>
      <c r="Z38" s="605">
        <f t="shared" si="16"/>
        <v>0.9851955446735069</v>
      </c>
      <c r="AA38" s="605">
        <f t="shared" si="16"/>
        <v>0.99055869454277867</v>
      </c>
      <c r="AB38" s="605">
        <f t="shared" si="16"/>
        <v>0.97491299390721287</v>
      </c>
      <c r="AC38" s="605">
        <f t="shared" si="16"/>
        <v>0.96735464954565897</v>
      </c>
    </row>
    <row r="39" spans="1:29">
      <c r="A39" s="201" t="s">
        <v>417</v>
      </c>
      <c r="B39" s="202">
        <f t="shared" ref="B39:AC39" si="17">+B28/B27</f>
        <v>1.702545558861047</v>
      </c>
      <c r="C39" s="202">
        <f t="shared" si="17"/>
        <v>0.53939030962614654</v>
      </c>
      <c r="D39" s="202">
        <f t="shared" si="17"/>
        <v>3.6207652871657703</v>
      </c>
      <c r="E39" s="202">
        <f t="shared" si="17"/>
        <v>3.1913001467439872</v>
      </c>
      <c r="F39" s="202">
        <f t="shared" si="17"/>
        <v>2.8682965934954532</v>
      </c>
      <c r="G39" s="202">
        <f t="shared" si="17"/>
        <v>2.5222996773152935</v>
      </c>
      <c r="H39" s="202">
        <f t="shared" si="17"/>
        <v>2.1079273408737871</v>
      </c>
      <c r="I39" s="202">
        <f t="shared" si="17"/>
        <v>1.702545558861047</v>
      </c>
      <c r="J39" s="202">
        <f t="shared" si="17"/>
        <v>1.5485066817985047</v>
      </c>
      <c r="K39" s="202">
        <f t="shared" si="17"/>
        <v>1.4034599553522382</v>
      </c>
      <c r="L39" s="202">
        <f t="shared" si="17"/>
        <v>1.2692809539465</v>
      </c>
      <c r="M39" s="202">
        <f t="shared" si="17"/>
        <v>1.1557464570173623</v>
      </c>
      <c r="N39" s="202">
        <f t="shared" si="17"/>
        <v>1.0557327081803427</v>
      </c>
      <c r="O39" s="202">
        <f t="shared" si="17"/>
        <v>0.97888005377786047</v>
      </c>
      <c r="P39" s="202">
        <f t="shared" si="17"/>
        <v>0.8628600510871075</v>
      </c>
      <c r="Q39" s="202">
        <f t="shared" si="17"/>
        <v>0.7712333784200095</v>
      </c>
      <c r="R39" s="202">
        <f t="shared" si="17"/>
        <v>0.70578355950903682</v>
      </c>
      <c r="S39" s="202">
        <f t="shared" si="17"/>
        <v>0.6305978492861134</v>
      </c>
      <c r="T39" s="202">
        <f t="shared" si="17"/>
        <v>0.61513983889427104</v>
      </c>
      <c r="U39" s="202">
        <f t="shared" si="17"/>
        <v>0.61287904225003331</v>
      </c>
      <c r="V39" s="202">
        <f t="shared" si="17"/>
        <v>0.60026505254332574</v>
      </c>
      <c r="W39" s="202">
        <f t="shared" si="17"/>
        <v>0.59611564206104728</v>
      </c>
      <c r="X39" s="202">
        <f t="shared" si="17"/>
        <v>0.59930042374441272</v>
      </c>
      <c r="Y39" s="202">
        <f t="shared" si="17"/>
        <v>0.58606920796617634</v>
      </c>
      <c r="Z39" s="202">
        <f t="shared" si="17"/>
        <v>0.57739277255860788</v>
      </c>
      <c r="AA39" s="202">
        <f t="shared" si="17"/>
        <v>0.57194143102409012</v>
      </c>
      <c r="AB39" s="202">
        <f t="shared" si="17"/>
        <v>0.55759313285927137</v>
      </c>
      <c r="AC39" s="202">
        <f t="shared" si="17"/>
        <v>0.53939030962614654</v>
      </c>
    </row>
    <row r="40" spans="1:29">
      <c r="A40" s="201" t="s">
        <v>354</v>
      </c>
      <c r="B40" s="200">
        <f t="shared" ref="B40:AC40" si="18">+B29/B27</f>
        <v>3961.6922165660076</v>
      </c>
      <c r="C40" s="200">
        <f t="shared" si="18"/>
        <v>72.024487144826452</v>
      </c>
      <c r="D40" s="200">
        <f t="shared" si="18"/>
        <v>10847.621504527424</v>
      </c>
      <c r="E40" s="200">
        <f t="shared" si="18"/>
        <v>8669.0231634963511</v>
      </c>
      <c r="F40" s="200">
        <f t="shared" si="18"/>
        <v>7068.1824674918089</v>
      </c>
      <c r="G40" s="200">
        <f t="shared" si="18"/>
        <v>5819.6083559424578</v>
      </c>
      <c r="H40" s="200">
        <f t="shared" si="18"/>
        <v>4804.7000949099865</v>
      </c>
      <c r="I40" s="200">
        <f t="shared" si="18"/>
        <v>3961.6922165660076</v>
      </c>
      <c r="J40" s="200">
        <f t="shared" si="18"/>
        <v>3011.0427596750887</v>
      </c>
      <c r="K40" s="200">
        <f t="shared" si="18"/>
        <v>2335.2329132553746</v>
      </c>
      <c r="L40" s="200">
        <f t="shared" si="18"/>
        <v>1838.0720991754611</v>
      </c>
      <c r="M40" s="200">
        <f t="shared" si="18"/>
        <v>1468.2911671886297</v>
      </c>
      <c r="N40" s="200">
        <f t="shared" si="18"/>
        <v>1182.808059318384</v>
      </c>
      <c r="O40" s="200">
        <f t="shared" si="18"/>
        <v>958.91663725966089</v>
      </c>
      <c r="P40" s="200">
        <f t="shared" si="18"/>
        <v>781.40788705839304</v>
      </c>
      <c r="Q40" s="200">
        <f t="shared" si="18"/>
        <v>639.19994677018951</v>
      </c>
      <c r="R40" s="200">
        <f t="shared" si="18"/>
        <v>524.42536943325842</v>
      </c>
      <c r="S40" s="200">
        <f t="shared" si="18"/>
        <v>431.16896900071481</v>
      </c>
      <c r="T40" s="200">
        <f t="shared" si="18"/>
        <v>355.06186857191875</v>
      </c>
      <c r="U40" s="200">
        <f t="shared" si="18"/>
        <v>292.91745875344014</v>
      </c>
      <c r="V40" s="200">
        <f t="shared" si="18"/>
        <v>242.36323494024333</v>
      </c>
      <c r="W40" s="200">
        <f t="shared" si="18"/>
        <v>201.47721642599694</v>
      </c>
      <c r="X40" s="200">
        <f t="shared" si="18"/>
        <v>168.38413757030148</v>
      </c>
      <c r="Y40" s="200">
        <f t="shared" si="18"/>
        <v>141.42885688793248</v>
      </c>
      <c r="Z40" s="200">
        <f t="shared" si="18"/>
        <v>119.19995906912226</v>
      </c>
      <c r="AA40" s="200">
        <f t="shared" si="18"/>
        <v>100.69156339137261</v>
      </c>
      <c r="AB40" s="200">
        <f t="shared" si="18"/>
        <v>85.156380770839746</v>
      </c>
      <c r="AC40" s="200">
        <f t="shared" si="18"/>
        <v>72.024487144826452</v>
      </c>
    </row>
    <row r="41" spans="1:29">
      <c r="A41" s="195" t="s">
        <v>343</v>
      </c>
      <c r="B41" s="198">
        <f t="shared" ref="B41:AC41" si="19">+B30/B27</f>
        <v>1.3865645253757816E-2</v>
      </c>
      <c r="C41" s="198">
        <f t="shared" si="19"/>
        <v>2.518351236313982E-4</v>
      </c>
      <c r="D41" s="198">
        <f t="shared" si="19"/>
        <v>3.7965469615400628E-2</v>
      </c>
      <c r="E41" s="198">
        <f t="shared" si="19"/>
        <v>3.0341419360010148E-2</v>
      </c>
      <c r="F41" s="198">
        <f t="shared" si="19"/>
        <v>2.4739007826139948E-2</v>
      </c>
      <c r="G41" s="198">
        <f t="shared" si="19"/>
        <v>2.0368698981194096E-2</v>
      </c>
      <c r="H41" s="198">
        <f t="shared" si="19"/>
        <v>1.6818901709784395E-2</v>
      </c>
      <c r="I41" s="198">
        <f t="shared" si="19"/>
        <v>1.3865645253757816E-2</v>
      </c>
      <c r="J41" s="198">
        <f t="shared" si="19"/>
        <v>1.0538660099180813E-2</v>
      </c>
      <c r="K41" s="198">
        <f t="shared" si="19"/>
        <v>8.1732323839215897E-3</v>
      </c>
      <c r="L41" s="198">
        <f t="shared" si="19"/>
        <v>6.4329994050770006E-3</v>
      </c>
      <c r="M41" s="198">
        <f t="shared" si="19"/>
        <v>5.1388415113988633E-3</v>
      </c>
      <c r="N41" s="198">
        <f t="shared" si="19"/>
        <v>4.1397215174733791E-3</v>
      </c>
      <c r="O41" s="198">
        <f t="shared" si="19"/>
        <v>3.3561047573827654E-3</v>
      </c>
      <c r="P41" s="198">
        <f t="shared" si="19"/>
        <v>2.7348168897258283E-3</v>
      </c>
      <c r="Q41" s="198">
        <f t="shared" si="19"/>
        <v>2.2368342355723997E-3</v>
      </c>
      <c r="R41" s="198">
        <f t="shared" si="19"/>
        <v>1.8358332425705251E-3</v>
      </c>
      <c r="S41" s="198">
        <f t="shared" si="19"/>
        <v>1.5092202403277459E-3</v>
      </c>
      <c r="T41" s="198">
        <f t="shared" si="19"/>
        <v>1.242653654969141E-3</v>
      </c>
      <c r="U41" s="198">
        <f t="shared" si="19"/>
        <v>1.0251155545863975E-3</v>
      </c>
      <c r="V41" s="198">
        <f t="shared" si="19"/>
        <v>8.4827946606980944E-4</v>
      </c>
      <c r="W41" s="198">
        <f t="shared" si="19"/>
        <v>7.053577376017234E-4</v>
      </c>
      <c r="X41" s="198">
        <f t="shared" si="19"/>
        <v>5.8937488158439689E-4</v>
      </c>
      <c r="Y41" s="198">
        <f t="shared" si="19"/>
        <v>4.9520802966234747E-4</v>
      </c>
      <c r="Z41" s="198">
        <f t="shared" si="19"/>
        <v>4.1726076261329584E-4</v>
      </c>
      <c r="AA41" s="198">
        <f t="shared" si="19"/>
        <v>3.5230145172750253E-4</v>
      </c>
      <c r="AB41" s="198">
        <f t="shared" si="19"/>
        <v>2.9793392824383846E-4</v>
      </c>
      <c r="AC41" s="198">
        <f t="shared" si="19"/>
        <v>2.518351236313982E-4</v>
      </c>
    </row>
    <row r="42" spans="1:29">
      <c r="A42" s="197" t="s">
        <v>344</v>
      </c>
      <c r="B42" s="196">
        <f>-B32/B27</f>
        <v>474.82572120377807</v>
      </c>
      <c r="C42" s="196">
        <f>-C32/C$27</f>
        <v>1097.7124339445697</v>
      </c>
      <c r="D42" s="196">
        <f t="shared" ref="D42:AC42" si="20">-D32/D27</f>
        <v>366.84029367396181</v>
      </c>
      <c r="E42" s="196">
        <f t="shared" si="20"/>
        <v>373.50762361646832</v>
      </c>
      <c r="F42" s="196">
        <f t="shared" si="20"/>
        <v>376.91006322051186</v>
      </c>
      <c r="G42" s="196">
        <f t="shared" si="20"/>
        <v>380.54042540749282</v>
      </c>
      <c r="H42" s="196">
        <f t="shared" si="20"/>
        <v>431.51714117206586</v>
      </c>
      <c r="I42" s="196">
        <f t="shared" si="20"/>
        <v>474.82572120377807</v>
      </c>
      <c r="J42" s="196">
        <f t="shared" si="20"/>
        <v>518.39500541769621</v>
      </c>
      <c r="K42" s="196">
        <f t="shared" si="20"/>
        <v>562.72684760437846</v>
      </c>
      <c r="L42" s="196">
        <f t="shared" si="20"/>
        <v>608.05723623294159</v>
      </c>
      <c r="M42" s="196">
        <f t="shared" si="20"/>
        <v>654.36683793709665</v>
      </c>
      <c r="N42" s="196">
        <f t="shared" si="20"/>
        <v>701.6975164981676</v>
      </c>
      <c r="O42" s="196">
        <f t="shared" si="20"/>
        <v>719.72099695613747</v>
      </c>
      <c r="P42" s="196">
        <f t="shared" si="20"/>
        <v>740.00717018976786</v>
      </c>
      <c r="Q42" s="196">
        <f t="shared" si="20"/>
        <v>762.12489063739429</v>
      </c>
      <c r="R42" s="196">
        <f t="shared" si="20"/>
        <v>785.74837745967625</v>
      </c>
      <c r="S42" s="196">
        <f t="shared" si="20"/>
        <v>810.62473690504896</v>
      </c>
      <c r="T42" s="196">
        <f t="shared" si="20"/>
        <v>836.55321213768525</v>
      </c>
      <c r="U42" s="196">
        <f t="shared" si="20"/>
        <v>863.37145456968733</v>
      </c>
      <c r="V42" s="196">
        <f t="shared" si="20"/>
        <v>890.94615041266604</v>
      </c>
      <c r="W42" s="196">
        <f t="shared" si="20"/>
        <v>919.16648627154791</v>
      </c>
      <c r="X42" s="196">
        <f t="shared" si="20"/>
        <v>947.9394515831541</v>
      </c>
      <c r="Y42" s="196">
        <f t="shared" si="20"/>
        <v>977.18638544869032</v>
      </c>
      <c r="Z42" s="196">
        <f t="shared" si="20"/>
        <v>1006.8403814246898</v>
      </c>
      <c r="AA42" s="196">
        <f t="shared" si="20"/>
        <v>1036.8442444192217</v>
      </c>
      <c r="AB42" s="196">
        <f t="shared" si="20"/>
        <v>1067.1489721616554</v>
      </c>
      <c r="AC42" s="196">
        <f t="shared" si="20"/>
        <v>1097.7124339445697</v>
      </c>
    </row>
    <row r="43" spans="1:29">
      <c r="A43" s="195" t="s">
        <v>345</v>
      </c>
      <c r="B43" s="194">
        <f>-B33/$B$27</f>
        <v>8.3194904531156864E-4</v>
      </c>
      <c r="C43" s="194">
        <f>-C33/C$27</f>
        <v>5.2347034097585633E-4</v>
      </c>
      <c r="D43" s="194">
        <f t="shared" ref="D43:AC43" si="21">-D33/D$27</f>
        <v>9.4876804484956287E-4</v>
      </c>
      <c r="E43" s="194">
        <f t="shared" si="21"/>
        <v>9.2938250508069783E-4</v>
      </c>
      <c r="F43" s="194">
        <f t="shared" si="21"/>
        <v>9.4074701342741209E-4</v>
      </c>
      <c r="G43" s="194">
        <f t="shared" si="21"/>
        <v>9.3542870370713854E-4</v>
      </c>
      <c r="H43" s="194">
        <f t="shared" si="21"/>
        <v>8.8509913334241489E-4</v>
      </c>
      <c r="I43" s="194">
        <f t="shared" si="21"/>
        <v>8.3194904531156864E-4</v>
      </c>
      <c r="J43" s="194">
        <f t="shared" si="21"/>
        <v>7.7440521421030849E-4</v>
      </c>
      <c r="K43" s="194">
        <f t="shared" si="21"/>
        <v>7.2688157055811136E-4</v>
      </c>
      <c r="L43" s="194">
        <f t="shared" si="21"/>
        <v>6.9000997775526651E-4</v>
      </c>
      <c r="M43" s="194">
        <f t="shared" si="21"/>
        <v>6.6837790431871404E-4</v>
      </c>
      <c r="N43" s="194">
        <f t="shared" si="21"/>
        <v>6.5798923478239328E-4</v>
      </c>
      <c r="O43" s="194">
        <f t="shared" si="21"/>
        <v>6.5826776447396767E-4</v>
      </c>
      <c r="P43" s="194">
        <f t="shared" si="21"/>
        <v>6.2848694237698866E-4</v>
      </c>
      <c r="Q43" s="194">
        <f t="shared" si="21"/>
        <v>6.1426795205303823E-4</v>
      </c>
      <c r="R43" s="194">
        <f t="shared" si="21"/>
        <v>6.2297979568893744E-4</v>
      </c>
      <c r="S43" s="194">
        <f t="shared" si="21"/>
        <v>6.2271728486745803E-4</v>
      </c>
      <c r="T43" s="194">
        <f t="shared" si="21"/>
        <v>6.0524765205096981E-4</v>
      </c>
      <c r="U43" s="194">
        <f t="shared" si="21"/>
        <v>6.0052465726982381E-4</v>
      </c>
      <c r="V43" s="194">
        <f t="shared" si="21"/>
        <v>5.8726440212911635E-4</v>
      </c>
      <c r="W43" s="194">
        <f t="shared" si="21"/>
        <v>5.8147188162430217E-4</v>
      </c>
      <c r="X43" s="194">
        <f t="shared" si="21"/>
        <v>5.8314687657482758E-4</v>
      </c>
      <c r="Y43" s="194">
        <f t="shared" si="21"/>
        <v>5.6970794733949052E-4</v>
      </c>
      <c r="Z43" s="194">
        <f t="shared" si="21"/>
        <v>5.6068052361259353E-4</v>
      </c>
      <c r="AA43" s="194">
        <f t="shared" si="21"/>
        <v>5.5504655776275776E-4</v>
      </c>
      <c r="AB43" s="194">
        <f t="shared" si="21"/>
        <v>5.4093482924388089E-4</v>
      </c>
      <c r="AC43" s="194">
        <f t="shared" si="21"/>
        <v>5.2347034097585633E-4</v>
      </c>
    </row>
    <row r="44" spans="1:29">
      <c r="A44" s="195" t="s">
        <v>346</v>
      </c>
      <c r="B44" s="194">
        <f>-B35/$B$27</f>
        <v>3.1609772913025243E-3</v>
      </c>
      <c r="C44" s="194">
        <f>-C34/C$27</f>
        <v>2.2344921577203722E-4</v>
      </c>
      <c r="D44" s="194">
        <f t="shared" ref="D44:AC44" si="22">-D34/D$27</f>
        <v>3.9940339743227676E-4</v>
      </c>
      <c r="E44" s="194">
        <f t="shared" si="22"/>
        <v>3.9295294733424438E-4</v>
      </c>
      <c r="F44" s="194">
        <f t="shared" si="22"/>
        <v>3.9849282997099701E-4</v>
      </c>
      <c r="G44" s="194">
        <f t="shared" si="22"/>
        <v>3.952340544900287E-4</v>
      </c>
      <c r="H44" s="194">
        <f t="shared" si="22"/>
        <v>3.6991054727029417E-4</v>
      </c>
      <c r="I44" s="194">
        <f t="shared" si="22"/>
        <v>3.4231097877483795E-4</v>
      </c>
      <c r="J44" s="194">
        <f t="shared" si="22"/>
        <v>3.1368806571604178E-4</v>
      </c>
      <c r="K44" s="194">
        <f t="shared" si="22"/>
        <v>2.9175382776584421E-4</v>
      </c>
      <c r="L44" s="194">
        <f t="shared" si="22"/>
        <v>2.7454835831435307E-4</v>
      </c>
      <c r="M44" s="194">
        <f t="shared" si="22"/>
        <v>2.6560698868730541E-4</v>
      </c>
      <c r="N44" s="194">
        <f t="shared" si="22"/>
        <v>2.622371956210426E-4</v>
      </c>
      <c r="O44" s="194">
        <f t="shared" si="22"/>
        <v>2.6347843477578936E-4</v>
      </c>
      <c r="P44" s="194">
        <f t="shared" si="22"/>
        <v>2.5248034162420979E-4</v>
      </c>
      <c r="Q44" s="194">
        <f t="shared" si="22"/>
        <v>2.4761503771702294E-4</v>
      </c>
      <c r="R44" s="194">
        <f t="shared" si="22"/>
        <v>2.5290429087371328E-4</v>
      </c>
      <c r="S44" s="194">
        <f t="shared" si="22"/>
        <v>2.542301506592181E-4</v>
      </c>
      <c r="T44" s="194">
        <f t="shared" si="22"/>
        <v>2.4837433683685332E-4</v>
      </c>
      <c r="U44" s="194">
        <f t="shared" si="22"/>
        <v>2.4772213289297069E-4</v>
      </c>
      <c r="V44" s="194">
        <f t="shared" si="22"/>
        <v>2.4327876239016344E-4</v>
      </c>
      <c r="W44" s="194">
        <f t="shared" si="22"/>
        <v>2.4203608741243688E-4</v>
      </c>
      <c r="X44" s="194">
        <f t="shared" si="22"/>
        <v>2.4442952990418509E-4</v>
      </c>
      <c r="Y44" s="194">
        <f t="shared" si="22"/>
        <v>2.3951937197571598E-4</v>
      </c>
      <c r="Z44" s="194">
        <f t="shared" si="22"/>
        <v>2.3694688799896077E-4</v>
      </c>
      <c r="AA44" s="194">
        <f t="shared" si="22"/>
        <v>2.350322483673806E-4</v>
      </c>
      <c r="AB44" s="194">
        <f t="shared" si="22"/>
        <v>2.3023286639064551E-4</v>
      </c>
      <c r="AC44" s="194">
        <f t="shared" si="22"/>
        <v>2.2344921577203722E-4</v>
      </c>
    </row>
    <row r="45" spans="1:29">
      <c r="A45" s="195" t="s">
        <v>347</v>
      </c>
      <c r="B45" s="194">
        <f>-B34/$B$27</f>
        <v>3.4231097877483795E-4</v>
      </c>
      <c r="C45" s="194">
        <f>-C35/C$27</f>
        <v>2.2910670803449351E-3</v>
      </c>
      <c r="D45" s="194">
        <f t="shared" ref="D45:AC45" si="23">-D35/D$27</f>
        <v>3.3638612620292088E-3</v>
      </c>
      <c r="E45" s="194">
        <f t="shared" si="23"/>
        <v>3.2601803020830835E-3</v>
      </c>
      <c r="F45" s="194">
        <f t="shared" si="23"/>
        <v>3.2926171152794681E-3</v>
      </c>
      <c r="G45" s="194">
        <f t="shared" si="23"/>
        <v>3.2922778427075211E-3</v>
      </c>
      <c r="H45" s="194">
        <f t="shared" si="23"/>
        <v>3.1856002059549404E-3</v>
      </c>
      <c r="I45" s="194">
        <f t="shared" si="23"/>
        <v>3.1609772913025243E-3</v>
      </c>
      <c r="J45" s="194">
        <f t="shared" si="23"/>
        <v>3.1187067157425834E-3</v>
      </c>
      <c r="K45" s="194">
        <f t="shared" si="23"/>
        <v>3.0726674902794167E-3</v>
      </c>
      <c r="L45" s="194">
        <f t="shared" si="23"/>
        <v>3.0081153769423857E-3</v>
      </c>
      <c r="M45" s="194">
        <f t="shared" si="23"/>
        <v>2.9485786705847009E-3</v>
      </c>
      <c r="N45" s="194">
        <f t="shared" si="23"/>
        <v>2.9260163333712343E-3</v>
      </c>
      <c r="O45" s="194">
        <f t="shared" si="23"/>
        <v>2.9297560694633179E-3</v>
      </c>
      <c r="P45" s="194">
        <f t="shared" si="23"/>
        <v>2.8194102006533408E-3</v>
      </c>
      <c r="Q45" s="194">
        <f t="shared" si="23"/>
        <v>2.7530487607308352E-3</v>
      </c>
      <c r="R45" s="194">
        <f t="shared" si="23"/>
        <v>2.7859990009048881E-3</v>
      </c>
      <c r="S45" s="194">
        <f t="shared" si="23"/>
        <v>2.7742963412233715E-3</v>
      </c>
      <c r="T45" s="194">
        <f t="shared" si="23"/>
        <v>2.6801409101668405E-3</v>
      </c>
      <c r="U45" s="194">
        <f t="shared" si="23"/>
        <v>2.6370057194146979E-3</v>
      </c>
      <c r="V45" s="194">
        <f t="shared" si="23"/>
        <v>2.5749541320266452E-3</v>
      </c>
      <c r="W45" s="194">
        <f t="shared" si="23"/>
        <v>2.536144420509485E-3</v>
      </c>
      <c r="X45" s="194">
        <f t="shared" si="23"/>
        <v>2.5313983391151936E-3</v>
      </c>
      <c r="Y45" s="194">
        <f t="shared" si="23"/>
        <v>2.4736587608238558E-3</v>
      </c>
      <c r="Z45" s="194">
        <f t="shared" si="23"/>
        <v>2.4345211035966064E-3</v>
      </c>
      <c r="AA45" s="194">
        <f t="shared" si="23"/>
        <v>2.4116916161712148E-3</v>
      </c>
      <c r="AB45" s="194">
        <f t="shared" si="23"/>
        <v>2.3562447527655465E-3</v>
      </c>
      <c r="AC45" s="194">
        <f t="shared" si="23"/>
        <v>2.2910670803449351E-3</v>
      </c>
    </row>
    <row r="46" spans="1:29">
      <c r="A46" s="195" t="s">
        <v>348</v>
      </c>
      <c r="B46" s="194">
        <f>-B36/$B$27</f>
        <v>1.4992281789093511E-2</v>
      </c>
      <c r="C46" s="194">
        <f>-C36/C$27</f>
        <v>1.0884968836380397E-2</v>
      </c>
      <c r="D46" s="194">
        <f t="shared" ref="D46:AC46" si="24">-D36/D$27</f>
        <v>1.593965143179259E-2</v>
      </c>
      <c r="E46" s="194">
        <f t="shared" si="24"/>
        <v>1.5446042270117958E-2</v>
      </c>
      <c r="F46" s="194">
        <f t="shared" si="24"/>
        <v>1.5599221152932986E-2</v>
      </c>
      <c r="G46" s="194">
        <f t="shared" si="24"/>
        <v>1.5598841908076982E-2</v>
      </c>
      <c r="H46" s="194">
        <f t="shared" si="24"/>
        <v>1.5098109365220918E-2</v>
      </c>
      <c r="I46" s="194">
        <f t="shared" si="24"/>
        <v>1.4992281789093511E-2</v>
      </c>
      <c r="J46" s="194">
        <f t="shared" si="24"/>
        <v>1.4802692359723304E-2</v>
      </c>
      <c r="K46" s="194">
        <f t="shared" si="24"/>
        <v>1.4592637302692739E-2</v>
      </c>
      <c r="L46" s="194">
        <f t="shared" si="24"/>
        <v>1.4291138493326729E-2</v>
      </c>
      <c r="M46" s="194">
        <f t="shared" si="24"/>
        <v>1.4010156665233876E-2</v>
      </c>
      <c r="N46" s="194">
        <f t="shared" si="24"/>
        <v>1.3904185676658142E-2</v>
      </c>
      <c r="O46" s="194">
        <f t="shared" si="24"/>
        <v>1.3922084633153701E-2</v>
      </c>
      <c r="P46" s="194">
        <f t="shared" si="24"/>
        <v>1.3398891133040731E-2</v>
      </c>
      <c r="Q46" s="194">
        <f t="shared" si="24"/>
        <v>1.3083378400565523E-2</v>
      </c>
      <c r="R46" s="194">
        <f t="shared" si="24"/>
        <v>1.323964400448112E-2</v>
      </c>
      <c r="S46" s="194">
        <f t="shared" si="24"/>
        <v>1.3183473516849816E-2</v>
      </c>
      <c r="T46" s="194">
        <f t="shared" si="24"/>
        <v>1.2735182306864497E-2</v>
      </c>
      <c r="U46" s="194">
        <f t="shared" si="24"/>
        <v>1.2529036681182434E-2</v>
      </c>
      <c r="V46" s="194">
        <f t="shared" si="24"/>
        <v>1.223400756524644E-2</v>
      </c>
      <c r="W46" s="194">
        <f t="shared" si="24"/>
        <v>1.2048895103857926E-2</v>
      </c>
      <c r="X46" s="194">
        <f t="shared" si="24"/>
        <v>1.2025693709996272E-2</v>
      </c>
      <c r="Y46" s="194">
        <f t="shared" si="24"/>
        <v>1.1751425077968605E-2</v>
      </c>
      <c r="Z46" s="194">
        <f t="shared" si="24"/>
        <v>1.1565495073450238E-2</v>
      </c>
      <c r="AA46" s="194">
        <f t="shared" si="24"/>
        <v>1.145712729589953E-2</v>
      </c>
      <c r="AB46" s="194">
        <f t="shared" si="24"/>
        <v>1.1194030753841922E-2</v>
      </c>
      <c r="AC46" s="194">
        <f t="shared" si="24"/>
        <v>1.0884968836380397E-2</v>
      </c>
    </row>
  </sheetData>
  <mergeCells count="1">
    <mergeCell ref="A23:F23"/>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44B92-FF68-4C68-9C14-68312F367D7F}">
  <sheetPr>
    <tabColor theme="9" tint="0.79998168889431442"/>
  </sheetPr>
  <dimension ref="A1:AC46"/>
  <sheetViews>
    <sheetView workbookViewId="0">
      <selection activeCell="B7" sqref="B7"/>
    </sheetView>
  </sheetViews>
  <sheetFormatPr defaultRowHeight="14.45"/>
  <cols>
    <col min="1" max="1" width="54.5703125" customWidth="1"/>
    <col min="2" max="2" width="15" bestFit="1" customWidth="1"/>
    <col min="3" max="3" width="16.7109375" customWidth="1"/>
    <col min="4" max="29" width="17.7109375" customWidth="1"/>
  </cols>
  <sheetData>
    <row r="1" spans="1:29" ht="21">
      <c r="A1" s="193" t="s">
        <v>418</v>
      </c>
    </row>
    <row r="2" spans="1:29">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29" ht="29.45" thickBot="1">
      <c r="A3" s="167" t="s">
        <v>419</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29" ht="15.6" thickTop="1" thickBot="1">
      <c r="A4" s="222" t="s">
        <v>333</v>
      </c>
      <c r="B4" s="171">
        <f>SUM(D4:I4)</f>
        <v>400</v>
      </c>
      <c r="C4" s="247"/>
      <c r="D4" s="246">
        <f>+'Buildings M6-9 Summary'!G20</f>
        <v>100</v>
      </c>
      <c r="E4" s="245">
        <f>+$D$4</f>
        <v>100</v>
      </c>
      <c r="F4" s="171">
        <f>+$D$4</f>
        <v>100</v>
      </c>
      <c r="G4" s="171">
        <f>+$D$4</f>
        <v>100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29" ht="15.6" thickTop="1" thickBot="1">
      <c r="A5" s="244" t="s">
        <v>334</v>
      </c>
      <c r="B5" s="240">
        <f>+D5</f>
        <v>2000</v>
      </c>
      <c r="C5" s="243"/>
      <c r="D5" s="242">
        <f>+'Buildings M6-9 Summary'!H20</f>
        <v>2000</v>
      </c>
      <c r="E5" s="241">
        <f>+$D$5</f>
        <v>2000</v>
      </c>
      <c r="F5" s="240">
        <f>+$D$5</f>
        <v>2000</v>
      </c>
      <c r="G5" s="240">
        <f>+$D$5</f>
        <v>2000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29" ht="15" thickTop="1">
      <c r="A6" s="237" t="s">
        <v>335</v>
      </c>
      <c r="B6" s="237">
        <f>SUM(D6:I6)</f>
        <v>800000</v>
      </c>
      <c r="C6" s="237"/>
      <c r="D6" s="238">
        <f t="shared" ref="D6:I6" si="0">+D5*D4</f>
        <v>200000</v>
      </c>
      <c r="E6" s="237">
        <f t="shared" si="0"/>
        <v>200000</v>
      </c>
      <c r="F6" s="237">
        <f t="shared" si="0"/>
        <v>200000</v>
      </c>
      <c r="G6" s="237">
        <f t="shared" si="0"/>
        <v>200000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29">
      <c r="A7" s="235" t="s">
        <v>336</v>
      </c>
      <c r="B7" s="235">
        <v>314207</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c r="A8" s="233" t="s">
        <v>337</v>
      </c>
      <c r="B8" s="233">
        <v>1114207</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c r="A9" s="222"/>
      <c r="B9" s="171"/>
      <c r="C9" s="231" t="s">
        <v>338</v>
      </c>
      <c r="D9" s="171">
        <f>+D4</f>
        <v>100</v>
      </c>
      <c r="E9" s="171">
        <f>+D4+E4</f>
        <v>200</v>
      </c>
      <c r="F9" s="171">
        <f>+F4+E4+D4</f>
        <v>300</v>
      </c>
      <c r="G9" s="171">
        <f>+G4+F4+E4+D4</f>
        <v>400</v>
      </c>
      <c r="H9" s="171">
        <f>++H4+G4+F4+E4+D4</f>
        <v>400</v>
      </c>
      <c r="I9" s="171">
        <f>+I4+H4+G4+F4+E4+D4</f>
        <v>400</v>
      </c>
      <c r="J9" s="171">
        <f t="shared" ref="J9:AC9" si="1">+I9</f>
        <v>400</v>
      </c>
      <c r="K9" s="171">
        <f t="shared" si="1"/>
        <v>400</v>
      </c>
      <c r="L9" s="171">
        <f t="shared" si="1"/>
        <v>400</v>
      </c>
      <c r="M9" s="171">
        <f t="shared" si="1"/>
        <v>400</v>
      </c>
      <c r="N9" s="171">
        <f t="shared" si="1"/>
        <v>400</v>
      </c>
      <c r="O9" s="171">
        <f t="shared" si="1"/>
        <v>400</v>
      </c>
      <c r="P9" s="171">
        <f t="shared" si="1"/>
        <v>400</v>
      </c>
      <c r="Q9" s="171">
        <f t="shared" si="1"/>
        <v>400</v>
      </c>
      <c r="R9" s="171">
        <f t="shared" si="1"/>
        <v>400</v>
      </c>
      <c r="S9" s="171">
        <f t="shared" si="1"/>
        <v>400</v>
      </c>
      <c r="T9" s="171">
        <f t="shared" si="1"/>
        <v>400</v>
      </c>
      <c r="U9" s="171">
        <f t="shared" si="1"/>
        <v>400</v>
      </c>
      <c r="V9" s="171">
        <f t="shared" si="1"/>
        <v>400</v>
      </c>
      <c r="W9" s="171">
        <f t="shared" si="1"/>
        <v>400</v>
      </c>
      <c r="X9" s="171">
        <f t="shared" si="1"/>
        <v>400</v>
      </c>
      <c r="Y9" s="171">
        <f t="shared" si="1"/>
        <v>400</v>
      </c>
      <c r="Z9" s="171">
        <f t="shared" si="1"/>
        <v>400</v>
      </c>
      <c r="AA9" s="171">
        <f t="shared" si="1"/>
        <v>400</v>
      </c>
      <c r="AB9" s="171">
        <f t="shared" si="1"/>
        <v>400</v>
      </c>
      <c r="AC9" s="171">
        <f t="shared" si="1"/>
        <v>400</v>
      </c>
    </row>
    <row r="10" spans="1:29">
      <c r="A10" s="229" t="s">
        <v>339</v>
      </c>
      <c r="B10" s="229">
        <f>SUM(D10:I10)</f>
        <v>4393.934566934061</v>
      </c>
      <c r="C10" s="229">
        <f>SUM(D10:AC10)</f>
        <v>17952.683486997423</v>
      </c>
      <c r="D10" s="230">
        <f t="shared" ref="D10:J10" si="2">+D9*D39</f>
        <v>362.076528716577</v>
      </c>
      <c r="E10" s="230">
        <f t="shared" si="2"/>
        <v>638.26002934879739</v>
      </c>
      <c r="F10" s="230">
        <f t="shared" si="2"/>
        <v>860.488978048636</v>
      </c>
      <c r="G10" s="230">
        <f t="shared" si="2"/>
        <v>1008.9198709261174</v>
      </c>
      <c r="H10" s="230">
        <f t="shared" si="2"/>
        <v>843.17093634951482</v>
      </c>
      <c r="I10" s="230">
        <f t="shared" si="2"/>
        <v>681.01822354441879</v>
      </c>
      <c r="J10" s="230">
        <f t="shared" si="2"/>
        <v>619.40267271940183</v>
      </c>
      <c r="K10" s="230">
        <f t="shared" ref="K10:AC10" si="3">+$I$10</f>
        <v>681.01822354441879</v>
      </c>
      <c r="L10" s="230">
        <f t="shared" si="3"/>
        <v>681.01822354441879</v>
      </c>
      <c r="M10" s="230">
        <f t="shared" si="3"/>
        <v>681.01822354441879</v>
      </c>
      <c r="N10" s="230">
        <f t="shared" si="3"/>
        <v>681.01822354441879</v>
      </c>
      <c r="O10" s="230">
        <f t="shared" si="3"/>
        <v>681.01822354441879</v>
      </c>
      <c r="P10" s="230">
        <f t="shared" si="3"/>
        <v>681.01822354441879</v>
      </c>
      <c r="Q10" s="230">
        <f t="shared" si="3"/>
        <v>681.01822354441879</v>
      </c>
      <c r="R10" s="230">
        <f t="shared" si="3"/>
        <v>681.01822354441879</v>
      </c>
      <c r="S10" s="230">
        <f t="shared" si="3"/>
        <v>681.01822354441879</v>
      </c>
      <c r="T10" s="230">
        <f t="shared" si="3"/>
        <v>681.01822354441879</v>
      </c>
      <c r="U10" s="230">
        <f t="shared" si="3"/>
        <v>681.01822354441879</v>
      </c>
      <c r="V10" s="230">
        <f t="shared" si="3"/>
        <v>681.01822354441879</v>
      </c>
      <c r="W10" s="230">
        <f t="shared" si="3"/>
        <v>681.01822354441879</v>
      </c>
      <c r="X10" s="230">
        <f t="shared" si="3"/>
        <v>681.01822354441879</v>
      </c>
      <c r="Y10" s="230">
        <f t="shared" si="3"/>
        <v>681.01822354441879</v>
      </c>
      <c r="Z10" s="230">
        <f t="shared" si="3"/>
        <v>681.01822354441879</v>
      </c>
      <c r="AA10" s="230">
        <f t="shared" si="3"/>
        <v>681.01822354441879</v>
      </c>
      <c r="AB10" s="230">
        <f t="shared" si="3"/>
        <v>681.01822354441879</v>
      </c>
      <c r="AC10" s="230">
        <f t="shared" si="3"/>
        <v>681.01822354441879</v>
      </c>
    </row>
    <row r="11" spans="1:29">
      <c r="A11" s="229" t="s">
        <v>340</v>
      </c>
      <c r="B11" s="228"/>
      <c r="C11" s="228"/>
      <c r="D11" s="227">
        <f t="shared" ref="D11:AC11" si="4">+D39</f>
        <v>3.6207652871657703</v>
      </c>
      <c r="E11" s="227">
        <f t="shared" si="4"/>
        <v>3.1913001467439872</v>
      </c>
      <c r="F11" s="227">
        <f t="shared" si="4"/>
        <v>2.8682965934954532</v>
      </c>
      <c r="G11" s="227">
        <f t="shared" si="4"/>
        <v>2.5222996773152935</v>
      </c>
      <c r="H11" s="227">
        <f t="shared" si="4"/>
        <v>2.1079273408737871</v>
      </c>
      <c r="I11" s="227">
        <f t="shared" si="4"/>
        <v>1.702545558861047</v>
      </c>
      <c r="J11" s="227">
        <f t="shared" si="4"/>
        <v>1.5485066817985047</v>
      </c>
      <c r="K11" s="227">
        <f t="shared" si="4"/>
        <v>1.4034599553522382</v>
      </c>
      <c r="L11" s="227">
        <f t="shared" si="4"/>
        <v>1.2692809539465</v>
      </c>
      <c r="M11" s="227">
        <f t="shared" si="4"/>
        <v>1.1557464570173623</v>
      </c>
      <c r="N11" s="227">
        <f t="shared" si="4"/>
        <v>1.0557327081803427</v>
      </c>
      <c r="O11" s="227">
        <f t="shared" si="4"/>
        <v>0.97888005377786047</v>
      </c>
      <c r="P11" s="227">
        <f t="shared" si="4"/>
        <v>0.8628600510871075</v>
      </c>
      <c r="Q11" s="227">
        <f t="shared" si="4"/>
        <v>0.7712333784200095</v>
      </c>
      <c r="R11" s="227">
        <f t="shared" si="4"/>
        <v>0.70578355950903682</v>
      </c>
      <c r="S11" s="227">
        <f t="shared" si="4"/>
        <v>0.6305978492861134</v>
      </c>
      <c r="T11" s="227">
        <f t="shared" si="4"/>
        <v>0.61513983889427104</v>
      </c>
      <c r="U11" s="227">
        <f t="shared" si="4"/>
        <v>0.61287904225003331</v>
      </c>
      <c r="V11" s="227">
        <f t="shared" si="4"/>
        <v>0.60026505254332574</v>
      </c>
      <c r="W11" s="227">
        <f t="shared" si="4"/>
        <v>0.59611564206104728</v>
      </c>
      <c r="X11" s="227">
        <f t="shared" si="4"/>
        <v>0.59930042374441272</v>
      </c>
      <c r="Y11" s="227">
        <f t="shared" si="4"/>
        <v>0.58606920796617634</v>
      </c>
      <c r="Z11" s="227">
        <f t="shared" si="4"/>
        <v>0.57739277255860788</v>
      </c>
      <c r="AA11" s="227">
        <f t="shared" si="4"/>
        <v>0.57194143102409012</v>
      </c>
      <c r="AB11" s="227">
        <f t="shared" si="4"/>
        <v>0.55759313285927137</v>
      </c>
      <c r="AC11" s="227">
        <f t="shared" si="4"/>
        <v>0.53939030962614654</v>
      </c>
    </row>
    <row r="12" spans="1:29">
      <c r="A12" s="225" t="s">
        <v>341</v>
      </c>
      <c r="B12" s="225">
        <f>B8/B10</f>
        <v>253.57842339865704</v>
      </c>
      <c r="C12" s="225">
        <f>+B8/C10</f>
        <v>62.063535003387429</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29">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29"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c r="A15" s="171" t="s">
        <v>343</v>
      </c>
      <c r="B15" s="222">
        <f t="shared" ref="B15:B20" si="5">SUM(D15:I15)</f>
        <v>11.341459578274483</v>
      </c>
      <c r="C15" s="222">
        <f t="shared" ref="C15:C20" si="6">SUM(D15:AC15)</f>
        <v>11.341459578274483</v>
      </c>
      <c r="D15" s="171">
        <f>+D41*D4</f>
        <v>3.7965469615400629</v>
      </c>
      <c r="E15" s="171">
        <f>+E41*E4</f>
        <v>3.0341419360010149</v>
      </c>
      <c r="F15" s="171">
        <f>+F41*F4</f>
        <v>2.4739007826139949</v>
      </c>
      <c r="G15" s="171">
        <f>+G41*G4</f>
        <v>2.0368698981194098</v>
      </c>
      <c r="H15" s="171">
        <f>+H41*H4</f>
        <v>0</v>
      </c>
      <c r="I15" s="171">
        <f t="shared" ref="I15:AC15" si="7">H15</f>
        <v>0</v>
      </c>
      <c r="J15" s="171">
        <f t="shared" si="7"/>
        <v>0</v>
      </c>
      <c r="K15" s="171">
        <f t="shared" si="7"/>
        <v>0</v>
      </c>
      <c r="L15" s="171">
        <f t="shared" si="7"/>
        <v>0</v>
      </c>
      <c r="M15" s="171">
        <f t="shared" si="7"/>
        <v>0</v>
      </c>
      <c r="N15" s="171">
        <f t="shared" si="7"/>
        <v>0</v>
      </c>
      <c r="O15" s="171">
        <f t="shared" si="7"/>
        <v>0</v>
      </c>
      <c r="P15" s="171">
        <f t="shared" si="7"/>
        <v>0</v>
      </c>
      <c r="Q15" s="171">
        <f t="shared" si="7"/>
        <v>0</v>
      </c>
      <c r="R15" s="171">
        <f t="shared" si="7"/>
        <v>0</v>
      </c>
      <c r="S15" s="171">
        <f t="shared" si="7"/>
        <v>0</v>
      </c>
      <c r="T15" s="171">
        <f t="shared" si="7"/>
        <v>0</v>
      </c>
      <c r="U15" s="171">
        <f t="shared" si="7"/>
        <v>0</v>
      </c>
      <c r="V15" s="171">
        <f t="shared" si="7"/>
        <v>0</v>
      </c>
      <c r="W15" s="171">
        <f t="shared" si="7"/>
        <v>0</v>
      </c>
      <c r="X15" s="171">
        <f t="shared" si="7"/>
        <v>0</v>
      </c>
      <c r="Y15" s="171">
        <f t="shared" si="7"/>
        <v>0</v>
      </c>
      <c r="Z15" s="171">
        <f t="shared" si="7"/>
        <v>0</v>
      </c>
      <c r="AA15" s="171">
        <f t="shared" si="7"/>
        <v>0</v>
      </c>
      <c r="AB15" s="171">
        <f t="shared" si="7"/>
        <v>0</v>
      </c>
      <c r="AC15" s="171">
        <f t="shared" si="7"/>
        <v>0</v>
      </c>
    </row>
    <row r="16" spans="1:29">
      <c r="A16" s="170" t="s">
        <v>344</v>
      </c>
      <c r="B16" s="254">
        <f t="shared" si="5"/>
        <v>739211.88817017805</v>
      </c>
      <c r="C16" s="254">
        <f t="shared" si="6"/>
        <v>7342083.4034549268</v>
      </c>
      <c r="D16" s="170">
        <f t="shared" ref="D16:AC16" si="8">+D42*D9</f>
        <v>36684.029367396179</v>
      </c>
      <c r="E16" s="170">
        <f t="shared" si="8"/>
        <v>74701.524723293667</v>
      </c>
      <c r="F16" s="170">
        <f t="shared" si="8"/>
        <v>113073.01896615356</v>
      </c>
      <c r="G16" s="170">
        <f t="shared" si="8"/>
        <v>152216.17016299712</v>
      </c>
      <c r="H16" s="170">
        <f t="shared" si="8"/>
        <v>172606.85646882636</v>
      </c>
      <c r="I16" s="170">
        <f t="shared" si="8"/>
        <v>189930.28848151123</v>
      </c>
      <c r="J16" s="170">
        <f t="shared" si="8"/>
        <v>207358.00216707849</v>
      </c>
      <c r="K16" s="170">
        <f t="shared" si="8"/>
        <v>225090.7390417514</v>
      </c>
      <c r="L16" s="170">
        <f t="shared" si="8"/>
        <v>243222.89449317663</v>
      </c>
      <c r="M16" s="170">
        <f t="shared" si="8"/>
        <v>261746.73517483866</v>
      </c>
      <c r="N16" s="170">
        <f t="shared" si="8"/>
        <v>280679.00659926701</v>
      </c>
      <c r="O16" s="170">
        <f t="shared" si="8"/>
        <v>287888.39878245501</v>
      </c>
      <c r="P16" s="170">
        <f t="shared" si="8"/>
        <v>296002.86807590717</v>
      </c>
      <c r="Q16" s="170">
        <f t="shared" si="8"/>
        <v>304849.95625495771</v>
      </c>
      <c r="R16" s="170">
        <f t="shared" si="8"/>
        <v>314299.35098387051</v>
      </c>
      <c r="S16" s="170">
        <f t="shared" si="8"/>
        <v>324249.89476201957</v>
      </c>
      <c r="T16" s="170">
        <f t="shared" si="8"/>
        <v>334621.28485507407</v>
      </c>
      <c r="U16" s="170">
        <f t="shared" si="8"/>
        <v>345348.58182787494</v>
      </c>
      <c r="V16" s="170">
        <f t="shared" si="8"/>
        <v>356378.46016506641</v>
      </c>
      <c r="W16" s="170">
        <f t="shared" si="8"/>
        <v>367666.59450861916</v>
      </c>
      <c r="X16" s="170">
        <f t="shared" si="8"/>
        <v>379175.78063326166</v>
      </c>
      <c r="Y16" s="170">
        <f t="shared" si="8"/>
        <v>390874.55417947611</v>
      </c>
      <c r="Z16" s="170">
        <f t="shared" si="8"/>
        <v>402736.15256987594</v>
      </c>
      <c r="AA16" s="170">
        <f t="shared" si="8"/>
        <v>414737.69776768866</v>
      </c>
      <c r="AB16" s="170">
        <f t="shared" si="8"/>
        <v>426859.58886466216</v>
      </c>
      <c r="AC16" s="170">
        <f t="shared" si="8"/>
        <v>439084.97357782791</v>
      </c>
    </row>
    <row r="17" spans="1:29">
      <c r="A17" s="252" t="s">
        <v>345</v>
      </c>
      <c r="B17" s="253">
        <f t="shared" si="5"/>
        <v>1.6239681624737683</v>
      </c>
      <c r="C17" s="253">
        <f t="shared" si="6"/>
        <v>6.5727198863412903</v>
      </c>
      <c r="D17" s="252">
        <f t="shared" ref="D17:AC17" si="9">+D43*D9</f>
        <v>9.4876804484956292E-2</v>
      </c>
      <c r="E17" s="252">
        <f t="shared" si="9"/>
        <v>0.18587650101613956</v>
      </c>
      <c r="F17" s="252">
        <f t="shared" si="9"/>
        <v>0.28222410402822362</v>
      </c>
      <c r="G17" s="252">
        <f t="shared" si="9"/>
        <v>0.37417148148285539</v>
      </c>
      <c r="H17" s="252">
        <f t="shared" si="9"/>
        <v>0.35403965333696596</v>
      </c>
      <c r="I17" s="252">
        <f t="shared" si="9"/>
        <v>0.33277961812462747</v>
      </c>
      <c r="J17" s="252">
        <f t="shared" si="9"/>
        <v>0.30976208568412339</v>
      </c>
      <c r="K17" s="252">
        <f t="shared" si="9"/>
        <v>0.29075262822324455</v>
      </c>
      <c r="L17" s="252">
        <f t="shared" si="9"/>
        <v>0.27600399110210661</v>
      </c>
      <c r="M17" s="252">
        <f t="shared" si="9"/>
        <v>0.26735116172748563</v>
      </c>
      <c r="N17" s="252">
        <f t="shared" si="9"/>
        <v>0.26319569391295733</v>
      </c>
      <c r="O17" s="252">
        <f t="shared" si="9"/>
        <v>0.26330710578958705</v>
      </c>
      <c r="P17" s="252">
        <f t="shared" si="9"/>
        <v>0.25139477695079548</v>
      </c>
      <c r="Q17" s="252">
        <f t="shared" si="9"/>
        <v>0.24570718082121529</v>
      </c>
      <c r="R17" s="252">
        <f t="shared" si="9"/>
        <v>0.24919191827557496</v>
      </c>
      <c r="S17" s="252">
        <f t="shared" si="9"/>
        <v>0.24908691394698321</v>
      </c>
      <c r="T17" s="252">
        <f t="shared" si="9"/>
        <v>0.24209906082038793</v>
      </c>
      <c r="U17" s="252">
        <f t="shared" si="9"/>
        <v>0.24020986290792953</v>
      </c>
      <c r="V17" s="252">
        <f t="shared" si="9"/>
        <v>0.23490576085164655</v>
      </c>
      <c r="W17" s="252">
        <f t="shared" si="9"/>
        <v>0.23258875264972087</v>
      </c>
      <c r="X17" s="252">
        <f t="shared" si="9"/>
        <v>0.23325875062993104</v>
      </c>
      <c r="Y17" s="252">
        <f t="shared" si="9"/>
        <v>0.22788317893579621</v>
      </c>
      <c r="Z17" s="252">
        <f t="shared" si="9"/>
        <v>0.22427220944503742</v>
      </c>
      <c r="AA17" s="252">
        <f t="shared" si="9"/>
        <v>0.22201862310510309</v>
      </c>
      <c r="AB17" s="252">
        <f t="shared" si="9"/>
        <v>0.21637393169755237</v>
      </c>
      <c r="AC17" s="252">
        <f t="shared" si="9"/>
        <v>0.20938813639034254</v>
      </c>
    </row>
    <row r="18" spans="1:29">
      <c r="A18" s="252" t="s">
        <v>346</v>
      </c>
      <c r="B18" s="253">
        <f t="shared" si="5"/>
        <v>0.68106101041543998</v>
      </c>
      <c r="C18" s="253">
        <f t="shared" si="6"/>
        <v>2.7088866630937964</v>
      </c>
      <c r="D18" s="252">
        <f t="shared" ref="D18:AC18" si="10">+D44*D9</f>
        <v>3.9940339743227679E-2</v>
      </c>
      <c r="E18" s="252">
        <f t="shared" si="10"/>
        <v>7.8590589466848881E-2</v>
      </c>
      <c r="F18" s="252">
        <f t="shared" si="10"/>
        <v>0.1195478489912991</v>
      </c>
      <c r="G18" s="252">
        <f t="shared" si="10"/>
        <v>0.15809362179601147</v>
      </c>
      <c r="H18" s="252">
        <f t="shared" si="10"/>
        <v>0.14796421890811767</v>
      </c>
      <c r="I18" s="252">
        <f t="shared" si="10"/>
        <v>0.13692439150993518</v>
      </c>
      <c r="J18" s="252">
        <f t="shared" si="10"/>
        <v>0.12547522628641672</v>
      </c>
      <c r="K18" s="252">
        <f t="shared" si="10"/>
        <v>0.11670153110633769</v>
      </c>
      <c r="L18" s="252">
        <f t="shared" si="10"/>
        <v>0.10981934332574123</v>
      </c>
      <c r="M18" s="252">
        <f t="shared" si="10"/>
        <v>0.10624279547492216</v>
      </c>
      <c r="N18" s="252">
        <f t="shared" si="10"/>
        <v>0.10489487824841703</v>
      </c>
      <c r="O18" s="252">
        <f t="shared" si="10"/>
        <v>0.10539137391031575</v>
      </c>
      <c r="P18" s="252">
        <f t="shared" si="10"/>
        <v>0.10099213664968391</v>
      </c>
      <c r="Q18" s="252">
        <f t="shared" si="10"/>
        <v>9.9046015086809172E-2</v>
      </c>
      <c r="R18" s="252">
        <f t="shared" si="10"/>
        <v>0.10116171634948531</v>
      </c>
      <c r="S18" s="252">
        <f t="shared" si="10"/>
        <v>0.10169206026368724</v>
      </c>
      <c r="T18" s="252">
        <f t="shared" si="10"/>
        <v>9.9349734734741332E-2</v>
      </c>
      <c r="U18" s="252">
        <f t="shared" si="10"/>
        <v>9.9088853157188281E-2</v>
      </c>
      <c r="V18" s="252">
        <f t="shared" si="10"/>
        <v>9.7311504956065373E-2</v>
      </c>
      <c r="W18" s="252">
        <f t="shared" si="10"/>
        <v>9.6814434964974758E-2</v>
      </c>
      <c r="X18" s="252">
        <f t="shared" si="10"/>
        <v>9.7771811961674032E-2</v>
      </c>
      <c r="Y18" s="252">
        <f t="shared" si="10"/>
        <v>9.580774879028639E-2</v>
      </c>
      <c r="Z18" s="252">
        <f t="shared" si="10"/>
        <v>9.4778755199584314E-2</v>
      </c>
      <c r="AA18" s="252">
        <f t="shared" si="10"/>
        <v>9.4012899346952242E-2</v>
      </c>
      <c r="AB18" s="252">
        <f t="shared" si="10"/>
        <v>9.2093146556258207E-2</v>
      </c>
      <c r="AC18" s="252">
        <f t="shared" si="10"/>
        <v>8.937968630881489E-2</v>
      </c>
    </row>
    <row r="19" spans="1:29">
      <c r="A19" s="252" t="s">
        <v>347</v>
      </c>
      <c r="B19" s="253">
        <f t="shared" si="5"/>
        <v>5.831749457189372</v>
      </c>
      <c r="C19" s="253">
        <f t="shared" si="6"/>
        <v>27.457118175121813</v>
      </c>
      <c r="D19" s="252">
        <f t="shared" ref="D19:AC19" si="11">+D45*D9</f>
        <v>0.33638612620292085</v>
      </c>
      <c r="E19" s="252">
        <f t="shared" si="11"/>
        <v>0.65203606041661666</v>
      </c>
      <c r="F19" s="252">
        <f t="shared" si="11"/>
        <v>0.98778513458384043</v>
      </c>
      <c r="G19" s="252">
        <f t="shared" si="11"/>
        <v>1.3169111370830084</v>
      </c>
      <c r="H19" s="252">
        <f t="shared" si="11"/>
        <v>1.2742400823819762</v>
      </c>
      <c r="I19" s="252">
        <f t="shared" si="11"/>
        <v>1.2643909165210097</v>
      </c>
      <c r="J19" s="252">
        <f t="shared" si="11"/>
        <v>1.2474826862970334</v>
      </c>
      <c r="K19" s="252">
        <f t="shared" si="11"/>
        <v>1.2290669961117666</v>
      </c>
      <c r="L19" s="252">
        <f t="shared" si="11"/>
        <v>1.2032461507769543</v>
      </c>
      <c r="M19" s="252">
        <f t="shared" si="11"/>
        <v>1.1794314682338805</v>
      </c>
      <c r="N19" s="252">
        <f t="shared" si="11"/>
        <v>1.1704065333484936</v>
      </c>
      <c r="O19" s="252">
        <f t="shared" si="11"/>
        <v>1.1719024277853272</v>
      </c>
      <c r="P19" s="252">
        <f t="shared" si="11"/>
        <v>1.1277640802613362</v>
      </c>
      <c r="Q19" s="252">
        <f t="shared" si="11"/>
        <v>1.1012195042923341</v>
      </c>
      <c r="R19" s="252">
        <f t="shared" si="11"/>
        <v>1.1143996003619552</v>
      </c>
      <c r="S19" s="252">
        <f t="shared" si="11"/>
        <v>1.1097185364893485</v>
      </c>
      <c r="T19" s="252">
        <f t="shared" si="11"/>
        <v>1.0720563640667362</v>
      </c>
      <c r="U19" s="252">
        <f t="shared" si="11"/>
        <v>1.0548022877658791</v>
      </c>
      <c r="V19" s="252">
        <f t="shared" si="11"/>
        <v>1.029981652810658</v>
      </c>
      <c r="W19" s="252">
        <f t="shared" si="11"/>
        <v>1.0144577682037941</v>
      </c>
      <c r="X19" s="252">
        <f t="shared" si="11"/>
        <v>1.0125593356460774</v>
      </c>
      <c r="Y19" s="252">
        <f t="shared" si="11"/>
        <v>0.98946350432954233</v>
      </c>
      <c r="Z19" s="252">
        <f t="shared" si="11"/>
        <v>0.97380844143864254</v>
      </c>
      <c r="AA19" s="252">
        <f t="shared" si="11"/>
        <v>0.96467664646848594</v>
      </c>
      <c r="AB19" s="252">
        <f t="shared" si="11"/>
        <v>0.94249790110621856</v>
      </c>
      <c r="AC19" s="252">
        <f t="shared" si="11"/>
        <v>0.91642683213797405</v>
      </c>
    </row>
    <row r="20" spans="1:29">
      <c r="A20" s="252" t="s">
        <v>348</v>
      </c>
      <c r="B20" s="253">
        <f t="shared" si="5"/>
        <v>27.638633168039309</v>
      </c>
      <c r="C20" s="253">
        <f t="shared" si="6"/>
        <v>130.38029100420488</v>
      </c>
      <c r="D20" s="252">
        <f t="shared" ref="D20:AC20" si="12">+D46*D9</f>
        <v>1.593965143179259</v>
      </c>
      <c r="E20" s="252">
        <f t="shared" si="12"/>
        <v>3.0892084540235913</v>
      </c>
      <c r="F20" s="252">
        <f t="shared" si="12"/>
        <v>4.6797663458798953</v>
      </c>
      <c r="G20" s="252">
        <f t="shared" si="12"/>
        <v>6.2395367632307925</v>
      </c>
      <c r="H20" s="252">
        <f t="shared" si="12"/>
        <v>6.039243746088367</v>
      </c>
      <c r="I20" s="252">
        <f t="shared" si="12"/>
        <v>5.9969127156374045</v>
      </c>
      <c r="J20" s="252">
        <f t="shared" si="12"/>
        <v>5.9210769438893216</v>
      </c>
      <c r="K20" s="252">
        <f t="shared" si="12"/>
        <v>5.8370549210770957</v>
      </c>
      <c r="L20" s="252">
        <f t="shared" si="12"/>
        <v>5.7164553973306917</v>
      </c>
      <c r="M20" s="252">
        <f t="shared" si="12"/>
        <v>5.60406266609355</v>
      </c>
      <c r="N20" s="252">
        <f t="shared" si="12"/>
        <v>5.5616742706632571</v>
      </c>
      <c r="O20" s="252">
        <f t="shared" si="12"/>
        <v>5.5688338532614807</v>
      </c>
      <c r="P20" s="252">
        <f t="shared" si="12"/>
        <v>5.3595564532162925</v>
      </c>
      <c r="Q20" s="252">
        <f t="shared" si="12"/>
        <v>5.2333513602262096</v>
      </c>
      <c r="R20" s="252">
        <f t="shared" si="12"/>
        <v>5.2958576017924486</v>
      </c>
      <c r="S20" s="252">
        <f t="shared" si="12"/>
        <v>5.2733894067399261</v>
      </c>
      <c r="T20" s="252">
        <f t="shared" si="12"/>
        <v>5.0940729227457986</v>
      </c>
      <c r="U20" s="252">
        <f t="shared" si="12"/>
        <v>5.0116146724729731</v>
      </c>
      <c r="V20" s="252">
        <f t="shared" si="12"/>
        <v>4.8936030260985763</v>
      </c>
      <c r="W20" s="252">
        <f t="shared" si="12"/>
        <v>4.8195580415431705</v>
      </c>
      <c r="X20" s="252">
        <f t="shared" si="12"/>
        <v>4.810277483998509</v>
      </c>
      <c r="Y20" s="252">
        <f t="shared" si="12"/>
        <v>4.7005700311874419</v>
      </c>
      <c r="Z20" s="252">
        <f t="shared" si="12"/>
        <v>4.6261980293800953</v>
      </c>
      <c r="AA20" s="252">
        <f t="shared" si="12"/>
        <v>4.5828509183598118</v>
      </c>
      <c r="AB20" s="252">
        <f t="shared" si="12"/>
        <v>4.4776123015367686</v>
      </c>
      <c r="AC20" s="252">
        <f t="shared" si="12"/>
        <v>4.353987534552159</v>
      </c>
    </row>
    <row r="21" spans="1:29">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29" ht="18.600000000000001">
      <c r="A22" s="213" t="s">
        <v>349</v>
      </c>
      <c r="B22" s="213"/>
      <c r="C22" s="213"/>
    </row>
    <row r="23" spans="1:29">
      <c r="A23" s="742" t="s">
        <v>415</v>
      </c>
      <c r="B23" s="742"/>
      <c r="C23" s="742"/>
      <c r="D23" s="742"/>
      <c r="E23" s="742"/>
      <c r="F23" s="742"/>
    </row>
    <row r="25" spans="1:29" ht="18.600000000000001">
      <c r="A25" s="213" t="s">
        <v>351</v>
      </c>
    </row>
    <row r="26" spans="1:29" ht="29.1">
      <c r="A26" s="169" t="s">
        <v>352</v>
      </c>
      <c r="B26" s="212" t="s">
        <v>331</v>
      </c>
      <c r="C26" s="212" t="s">
        <v>332</v>
      </c>
      <c r="D26" s="169">
        <v>2025</v>
      </c>
      <c r="E26" s="169">
        <v>2026</v>
      </c>
      <c r="F26" s="169">
        <v>2027</v>
      </c>
      <c r="G26" s="169">
        <v>2028</v>
      </c>
      <c r="H26" s="169">
        <v>2029</v>
      </c>
      <c r="I26" s="169">
        <v>2030</v>
      </c>
      <c r="J26" s="169">
        <v>2031</v>
      </c>
      <c r="K26" s="169">
        <v>2032</v>
      </c>
      <c r="L26" s="169">
        <v>2033</v>
      </c>
      <c r="M26" s="169">
        <v>2034</v>
      </c>
      <c r="N26" s="169">
        <v>2035</v>
      </c>
      <c r="O26" s="169">
        <v>2036</v>
      </c>
      <c r="P26" s="169">
        <v>2037</v>
      </c>
      <c r="Q26" s="169">
        <v>2038</v>
      </c>
      <c r="R26" s="169">
        <v>2039</v>
      </c>
      <c r="S26" s="169">
        <v>2040</v>
      </c>
      <c r="T26" s="169">
        <v>2041</v>
      </c>
      <c r="U26" s="169">
        <v>2042</v>
      </c>
      <c r="V26" s="169">
        <v>2043</v>
      </c>
      <c r="W26" s="169">
        <v>2044</v>
      </c>
      <c r="X26" s="169">
        <v>2045</v>
      </c>
      <c r="Y26" s="169">
        <v>2046</v>
      </c>
      <c r="Z26" s="169">
        <v>2047</v>
      </c>
      <c r="AA26" s="169">
        <v>2048</v>
      </c>
      <c r="AB26" s="169">
        <v>2049</v>
      </c>
      <c r="AC26" s="169">
        <v>2050</v>
      </c>
    </row>
    <row r="27" spans="1:29">
      <c r="A27" s="183" t="s">
        <v>353</v>
      </c>
      <c r="B27" s="183">
        <f t="shared" ref="B27:B36" si="13">+I27</f>
        <v>914706.8</v>
      </c>
      <c r="C27" s="183">
        <f t="shared" ref="C27:C36" si="14">+AC27</f>
        <v>1381856.49</v>
      </c>
      <c r="D27" s="183">
        <v>367728.89</v>
      </c>
      <c r="E27" s="183">
        <v>481552.95</v>
      </c>
      <c r="F27" s="183">
        <v>596507.35</v>
      </c>
      <c r="G27" s="183">
        <v>708979.99</v>
      </c>
      <c r="H27" s="183">
        <v>815867.78</v>
      </c>
      <c r="I27" s="183">
        <v>914706.8</v>
      </c>
      <c r="J27" s="183">
        <v>996521.37</v>
      </c>
      <c r="K27" s="183">
        <v>1064205.6399999999</v>
      </c>
      <c r="L27" s="183">
        <v>1120161.77</v>
      </c>
      <c r="M27" s="183">
        <v>1166605.3500000001</v>
      </c>
      <c r="N27" s="183">
        <v>1205153.53</v>
      </c>
      <c r="O27" s="183">
        <v>1237148.51</v>
      </c>
      <c r="P27" s="183">
        <v>1263704.3500000001</v>
      </c>
      <c r="Q27" s="183">
        <v>1285745.7</v>
      </c>
      <c r="R27" s="183">
        <v>1304040.01</v>
      </c>
      <c r="S27" s="183">
        <v>1319224.29</v>
      </c>
      <c r="T27" s="183">
        <v>1331827.25</v>
      </c>
      <c r="U27" s="183">
        <v>1342287.7</v>
      </c>
      <c r="V27" s="183">
        <v>1350969.87</v>
      </c>
      <c r="W27" s="183">
        <v>1358176.07</v>
      </c>
      <c r="X27" s="183">
        <v>1364157.22</v>
      </c>
      <c r="Y27" s="183">
        <v>1369121.58</v>
      </c>
      <c r="Z27" s="183">
        <v>1373241.99</v>
      </c>
      <c r="AA27" s="183">
        <v>1376661.94</v>
      </c>
      <c r="AB27" s="183">
        <v>1379500.49</v>
      </c>
      <c r="AC27" s="183">
        <v>1381856.49</v>
      </c>
    </row>
    <row r="28" spans="1:29">
      <c r="A28" s="171" t="s">
        <v>339</v>
      </c>
      <c r="B28" s="183">
        <f t="shared" si="13"/>
        <v>1557330</v>
      </c>
      <c r="C28" s="183">
        <f t="shared" si="14"/>
        <v>745360</v>
      </c>
      <c r="D28" s="183">
        <v>1331460</v>
      </c>
      <c r="E28" s="183">
        <v>1536780</v>
      </c>
      <c r="F28" s="183">
        <v>1710960</v>
      </c>
      <c r="G28" s="183">
        <v>1788260</v>
      </c>
      <c r="H28" s="183">
        <v>1719790</v>
      </c>
      <c r="I28" s="183">
        <v>1557330</v>
      </c>
      <c r="J28" s="183">
        <v>1543120</v>
      </c>
      <c r="K28" s="183">
        <v>1493570</v>
      </c>
      <c r="L28" s="183">
        <v>1421800</v>
      </c>
      <c r="M28" s="183">
        <v>1348300</v>
      </c>
      <c r="N28" s="183">
        <v>1272320</v>
      </c>
      <c r="O28" s="183">
        <v>1211020</v>
      </c>
      <c r="P28" s="183">
        <v>1090400</v>
      </c>
      <c r="Q28" s="183">
        <v>991610</v>
      </c>
      <c r="R28" s="183">
        <v>920370</v>
      </c>
      <c r="S28" s="183">
        <v>831900</v>
      </c>
      <c r="T28" s="183">
        <v>819260</v>
      </c>
      <c r="U28" s="183">
        <v>822660</v>
      </c>
      <c r="V28" s="183">
        <v>810940</v>
      </c>
      <c r="W28" s="183">
        <v>809630</v>
      </c>
      <c r="X28" s="183">
        <v>817540</v>
      </c>
      <c r="Y28" s="183">
        <v>802400</v>
      </c>
      <c r="Z28" s="183">
        <v>792900</v>
      </c>
      <c r="AA28" s="183">
        <v>787370</v>
      </c>
      <c r="AB28" s="183">
        <v>769200</v>
      </c>
      <c r="AC28" s="183">
        <v>745360</v>
      </c>
    </row>
    <row r="29" spans="1:29">
      <c r="A29" s="250" t="s">
        <v>354</v>
      </c>
      <c r="B29" s="250">
        <f t="shared" si="13"/>
        <v>3623786810</v>
      </c>
      <c r="C29" s="250">
        <f t="shared" si="14"/>
        <v>99527505</v>
      </c>
      <c r="D29" s="250">
        <v>3988983815</v>
      </c>
      <c r="E29" s="250">
        <v>4174593678</v>
      </c>
      <c r="F29" s="250">
        <v>4216222793</v>
      </c>
      <c r="G29" s="250">
        <v>4125985874</v>
      </c>
      <c r="H29" s="250">
        <v>3920000000</v>
      </c>
      <c r="I29" s="250">
        <v>3623786810</v>
      </c>
      <c r="J29" s="250">
        <v>3000568456</v>
      </c>
      <c r="K29" s="250">
        <v>2485168037</v>
      </c>
      <c r="L29" s="250">
        <v>2058938096</v>
      </c>
      <c r="M29" s="250">
        <v>1712916331</v>
      </c>
      <c r="N29" s="250">
        <v>1425465308</v>
      </c>
      <c r="O29" s="250">
        <v>1186322289</v>
      </c>
      <c r="P29" s="250">
        <v>987468546</v>
      </c>
      <c r="Q29" s="250">
        <v>821848583</v>
      </c>
      <c r="R29" s="250">
        <v>683871664</v>
      </c>
      <c r="S29" s="250">
        <v>568808577</v>
      </c>
      <c r="T29" s="250">
        <v>472881072</v>
      </c>
      <c r="U29" s="250">
        <v>393179502</v>
      </c>
      <c r="V29" s="250">
        <v>327425428</v>
      </c>
      <c r="W29" s="250">
        <v>273641534</v>
      </c>
      <c r="X29" s="250">
        <v>229702437</v>
      </c>
      <c r="Y29" s="250">
        <v>193633300</v>
      </c>
      <c r="Z29" s="250">
        <v>163690389</v>
      </c>
      <c r="AA29" s="250">
        <v>138618243</v>
      </c>
      <c r="AB29" s="250">
        <v>117473269</v>
      </c>
      <c r="AC29" s="250">
        <v>99527505</v>
      </c>
    </row>
    <row r="30" spans="1:29">
      <c r="A30" s="206" t="s">
        <v>355</v>
      </c>
      <c r="B30" s="206">
        <f t="shared" si="13"/>
        <v>12683</v>
      </c>
      <c r="C30" s="206">
        <f t="shared" si="14"/>
        <v>348</v>
      </c>
      <c r="D30" s="206">
        <v>13961</v>
      </c>
      <c r="E30" s="206">
        <v>14611</v>
      </c>
      <c r="F30" s="206">
        <v>14757</v>
      </c>
      <c r="G30" s="206">
        <v>14441</v>
      </c>
      <c r="H30" s="206">
        <v>13722</v>
      </c>
      <c r="I30" s="206">
        <v>12683</v>
      </c>
      <c r="J30" s="206">
        <v>10502</v>
      </c>
      <c r="K30" s="206">
        <v>8698</v>
      </c>
      <c r="L30" s="206">
        <v>7206</v>
      </c>
      <c r="M30" s="206">
        <v>5995</v>
      </c>
      <c r="N30" s="206">
        <v>4989</v>
      </c>
      <c r="O30" s="206">
        <v>4152</v>
      </c>
      <c r="P30" s="206">
        <v>3456</v>
      </c>
      <c r="Q30" s="206">
        <v>2876</v>
      </c>
      <c r="R30" s="206">
        <v>2394</v>
      </c>
      <c r="S30" s="206">
        <v>1991</v>
      </c>
      <c r="T30" s="206">
        <v>1655</v>
      </c>
      <c r="U30" s="206">
        <v>1376</v>
      </c>
      <c r="V30" s="206">
        <v>1146</v>
      </c>
      <c r="W30" s="206">
        <v>958</v>
      </c>
      <c r="X30" s="206">
        <v>804</v>
      </c>
      <c r="Y30" s="206">
        <v>678</v>
      </c>
      <c r="Z30" s="206">
        <v>573</v>
      </c>
      <c r="AA30" s="206">
        <v>485</v>
      </c>
      <c r="AB30" s="206">
        <v>411</v>
      </c>
      <c r="AC30" s="206">
        <v>348</v>
      </c>
    </row>
    <row r="31" spans="1:29">
      <c r="A31" s="209" t="s">
        <v>356</v>
      </c>
      <c r="B31" s="209">
        <f t="shared" si="13"/>
        <v>0.12740000000000001</v>
      </c>
      <c r="C31" s="209">
        <f t="shared" si="14"/>
        <v>9.1300000000000006E-2</v>
      </c>
      <c r="D31" s="209">
        <v>0.12740000000000001</v>
      </c>
      <c r="E31" s="209">
        <v>0.12740000000000001</v>
      </c>
      <c r="F31" s="209">
        <v>0.12740000000000001</v>
      </c>
      <c r="G31" s="209">
        <v>0.12740000000000001</v>
      </c>
      <c r="H31" s="209">
        <v>0.12740000000000001</v>
      </c>
      <c r="I31" s="209">
        <v>0.12740000000000001</v>
      </c>
      <c r="J31" s="209">
        <v>0.12740000000000001</v>
      </c>
      <c r="K31" s="209">
        <v>0.12740000000000001</v>
      </c>
      <c r="L31" s="209">
        <v>0.12740000000000001</v>
      </c>
      <c r="M31" s="209">
        <v>0.12740000000000001</v>
      </c>
      <c r="N31" s="209">
        <v>9.1300000000000006E-2</v>
      </c>
      <c r="O31" s="209">
        <v>9.1300000000000006E-2</v>
      </c>
      <c r="P31" s="209">
        <v>9.1300000000000006E-2</v>
      </c>
      <c r="Q31" s="209">
        <v>9.1300000000000006E-2</v>
      </c>
      <c r="R31" s="209">
        <v>9.1300000000000006E-2</v>
      </c>
      <c r="S31" s="209">
        <v>9.1300000000000006E-2</v>
      </c>
      <c r="T31" s="209">
        <v>9.1300000000000006E-2</v>
      </c>
      <c r="U31" s="209">
        <v>9.1300000000000006E-2</v>
      </c>
      <c r="V31" s="209">
        <v>9.1300000000000006E-2</v>
      </c>
      <c r="W31" s="209">
        <v>9.1300000000000006E-2</v>
      </c>
      <c r="X31" s="209">
        <v>9.1300000000000006E-2</v>
      </c>
      <c r="Y31" s="209">
        <v>9.1300000000000006E-2</v>
      </c>
      <c r="Z31" s="209">
        <v>9.1300000000000006E-2</v>
      </c>
      <c r="AA31" s="209">
        <v>9.1300000000000006E-2</v>
      </c>
      <c r="AB31" s="209">
        <v>9.1300000000000006E-2</v>
      </c>
      <c r="AC31" s="209">
        <v>9.1300000000000006E-2</v>
      </c>
    </row>
    <row r="32" spans="1:29">
      <c r="A32" s="208" t="s">
        <v>344</v>
      </c>
      <c r="B32" s="208">
        <f t="shared" si="13"/>
        <v>-434326316</v>
      </c>
      <c r="C32" s="208">
        <f t="shared" si="14"/>
        <v>-1516881051</v>
      </c>
      <c r="D32" s="208">
        <v>-134897774</v>
      </c>
      <c r="E32" s="208">
        <v>-179863698</v>
      </c>
      <c r="F32" s="208">
        <v>-224829623</v>
      </c>
      <c r="G32" s="208">
        <v>-269795547</v>
      </c>
      <c r="H32" s="208">
        <v>-352060932</v>
      </c>
      <c r="I32" s="208">
        <v>-434326316</v>
      </c>
      <c r="J32" s="208">
        <v>-516591701</v>
      </c>
      <c r="K32" s="208">
        <v>-598857085</v>
      </c>
      <c r="L32" s="208">
        <v>-681122470</v>
      </c>
      <c r="M32" s="208">
        <v>-763387854</v>
      </c>
      <c r="N32" s="208">
        <v>-845653239</v>
      </c>
      <c r="O32" s="208">
        <v>-890401759</v>
      </c>
      <c r="P32" s="208">
        <v>-935150280</v>
      </c>
      <c r="Q32" s="208">
        <v>-979898801</v>
      </c>
      <c r="R32" s="208">
        <v>-1024647322</v>
      </c>
      <c r="S32" s="208">
        <v>-1069395843</v>
      </c>
      <c r="T32" s="208">
        <v>-1114144364</v>
      </c>
      <c r="U32" s="208">
        <v>-1158892884</v>
      </c>
      <c r="V32" s="208">
        <v>-1203641405</v>
      </c>
      <c r="W32" s="208">
        <v>-1248389926</v>
      </c>
      <c r="X32" s="208">
        <v>-1293138447</v>
      </c>
      <c r="Y32" s="208">
        <v>-1337886968</v>
      </c>
      <c r="Z32" s="208">
        <v>-1382635489</v>
      </c>
      <c r="AA32" s="208">
        <v>-1427384009</v>
      </c>
      <c r="AB32" s="208">
        <v>-1472132530</v>
      </c>
      <c r="AC32" s="208">
        <v>-1516881051</v>
      </c>
    </row>
    <row r="33" spans="1:29">
      <c r="A33" s="206" t="s">
        <v>345</v>
      </c>
      <c r="B33" s="206">
        <f t="shared" si="13"/>
        <v>-760.98944900000004</v>
      </c>
      <c r="C33" s="206">
        <f t="shared" si="14"/>
        <v>-723.36088800000005</v>
      </c>
      <c r="D33" s="206">
        <v>-348.88941999999997</v>
      </c>
      <c r="E33" s="206">
        <v>-447.54688700000003</v>
      </c>
      <c r="F33" s="206">
        <v>-561.162508</v>
      </c>
      <c r="G33" s="206">
        <v>-663.20023300000003</v>
      </c>
      <c r="H33" s="206">
        <v>-722.12386500000002</v>
      </c>
      <c r="I33" s="206">
        <v>-760.98944900000004</v>
      </c>
      <c r="J33" s="206">
        <v>-771.71134500000005</v>
      </c>
      <c r="K33" s="206">
        <v>-773.551467</v>
      </c>
      <c r="L33" s="206">
        <v>-772.92279799999994</v>
      </c>
      <c r="M33" s="206">
        <v>-779.73323900000003</v>
      </c>
      <c r="N33" s="206">
        <v>-792.97804900000006</v>
      </c>
      <c r="O33" s="206">
        <v>-814.37498400000004</v>
      </c>
      <c r="P33" s="206">
        <v>-794.22168299999998</v>
      </c>
      <c r="Q33" s="206">
        <v>-789.79237799999999</v>
      </c>
      <c r="R33" s="206">
        <v>-812.390579</v>
      </c>
      <c r="S33" s="206">
        <v>-821.50376800000004</v>
      </c>
      <c r="T33" s="206">
        <v>-806.08531600000003</v>
      </c>
      <c r="U33" s="206">
        <v>-806.07686100000001</v>
      </c>
      <c r="V33" s="206">
        <v>-793.37651300000005</v>
      </c>
      <c r="W33" s="206">
        <v>-789.74119499999995</v>
      </c>
      <c r="X33" s="206">
        <v>-795.50402199999996</v>
      </c>
      <c r="Y33" s="206">
        <v>-779.99944500000004</v>
      </c>
      <c r="Z33" s="206">
        <v>-769.95003799999995</v>
      </c>
      <c r="AA33" s="206">
        <v>-764.11147100000005</v>
      </c>
      <c r="AB33" s="206">
        <v>-746.21986200000003</v>
      </c>
      <c r="AC33" s="206">
        <v>-723.36088800000005</v>
      </c>
    </row>
    <row r="34" spans="1:29">
      <c r="A34" s="206" t="s">
        <v>347</v>
      </c>
      <c r="B34" s="206">
        <f t="shared" si="13"/>
        <v>-313.11417999999998</v>
      </c>
      <c r="C34" s="206">
        <f t="shared" si="14"/>
        <v>-308.77474899999999</v>
      </c>
      <c r="D34" s="206">
        <v>-146.87216799999999</v>
      </c>
      <c r="E34" s="206">
        <v>-189.22765100000001</v>
      </c>
      <c r="F34" s="206">
        <v>-237.703902</v>
      </c>
      <c r="G34" s="206">
        <v>-280.21303599999999</v>
      </c>
      <c r="H34" s="206">
        <v>-301.79809699999998</v>
      </c>
      <c r="I34" s="206">
        <v>-313.11417999999998</v>
      </c>
      <c r="J34" s="206">
        <v>-312.59686099999999</v>
      </c>
      <c r="K34" s="206">
        <v>-310.48606899999999</v>
      </c>
      <c r="L34" s="206">
        <v>-307.53857499999998</v>
      </c>
      <c r="M34" s="206">
        <v>-309.85853400000002</v>
      </c>
      <c r="N34" s="206">
        <v>-316.03608200000002</v>
      </c>
      <c r="O34" s="206">
        <v>-325.96195299999999</v>
      </c>
      <c r="P34" s="206">
        <v>-319.06050599999998</v>
      </c>
      <c r="Q34" s="206">
        <v>-318.36997000000002</v>
      </c>
      <c r="R34" s="206">
        <v>-329.79731399999997</v>
      </c>
      <c r="S34" s="206">
        <v>-335.38659000000001</v>
      </c>
      <c r="T34" s="206">
        <v>-330.79171000000002</v>
      </c>
      <c r="U34" s="206">
        <v>-332.51437199999998</v>
      </c>
      <c r="V34" s="206">
        <v>-328.66227800000001</v>
      </c>
      <c r="W34" s="206">
        <v>-328.727622</v>
      </c>
      <c r="X34" s="206">
        <v>-333.44030800000002</v>
      </c>
      <c r="Y34" s="206">
        <v>-327.93114100000003</v>
      </c>
      <c r="Z34" s="206">
        <v>-325.38541600000002</v>
      </c>
      <c r="AA34" s="206">
        <v>-323.55995100000001</v>
      </c>
      <c r="AB34" s="206">
        <v>-317.60635200000002</v>
      </c>
      <c r="AC34" s="206">
        <v>-308.77474899999999</v>
      </c>
    </row>
    <row r="35" spans="1:29">
      <c r="A35" s="206" t="s">
        <v>346</v>
      </c>
      <c r="B35" s="206">
        <f t="shared" si="13"/>
        <v>-2891.3674230000001</v>
      </c>
      <c r="C35" s="206">
        <f t="shared" si="14"/>
        <v>-3165.9259139999999</v>
      </c>
      <c r="D35" s="206">
        <v>-1236.9889680000001</v>
      </c>
      <c r="E35" s="206">
        <v>-1569.9494420000001</v>
      </c>
      <c r="F35" s="206">
        <v>-1964.0703100000001</v>
      </c>
      <c r="G35" s="206">
        <v>-2334.1591119999998</v>
      </c>
      <c r="H35" s="206">
        <v>-2599.0285680000002</v>
      </c>
      <c r="I35" s="206">
        <v>-2891.3674230000001</v>
      </c>
      <c r="J35" s="206">
        <v>-3107.8578889999999</v>
      </c>
      <c r="K35" s="206">
        <v>-3269.950073</v>
      </c>
      <c r="L35" s="206">
        <v>-3369.5758449999998</v>
      </c>
      <c r="M35" s="206">
        <v>-3439.8276519999999</v>
      </c>
      <c r="N35" s="206">
        <v>-3526.2989130000001</v>
      </c>
      <c r="O35" s="206">
        <v>-3624.5433560000001</v>
      </c>
      <c r="P35" s="206">
        <v>-3562.9009350000001</v>
      </c>
      <c r="Q35" s="206">
        <v>-3539.7206059999999</v>
      </c>
      <c r="R35" s="206">
        <v>-3633.054165</v>
      </c>
      <c r="S35" s="206">
        <v>-3659.9191209999999</v>
      </c>
      <c r="T35" s="206">
        <v>-3569.4846980000002</v>
      </c>
      <c r="U35" s="206">
        <v>-3539.6203420000002</v>
      </c>
      <c r="V35" s="206">
        <v>-3478.6854490000001</v>
      </c>
      <c r="W35" s="206">
        <v>-3444.5306620000001</v>
      </c>
      <c r="X35" s="206">
        <v>-3453.2253209999999</v>
      </c>
      <c r="Y35" s="206">
        <v>-3386.739591</v>
      </c>
      <c r="Z35" s="206">
        <v>-3343.1866049999999</v>
      </c>
      <c r="AA35" s="206">
        <v>-3320.0840589999998</v>
      </c>
      <c r="AB35" s="206">
        <v>-3250.440791</v>
      </c>
      <c r="AC35" s="206">
        <v>-3165.9259139999999</v>
      </c>
    </row>
    <row r="36" spans="1:29">
      <c r="A36" s="206" t="s">
        <v>348</v>
      </c>
      <c r="B36" s="206">
        <f t="shared" si="13"/>
        <v>-13713.542100000001</v>
      </c>
      <c r="C36" s="206">
        <f t="shared" si="14"/>
        <v>-15041.464830000001</v>
      </c>
      <c r="D36" s="206">
        <v>-5861.4703280000003</v>
      </c>
      <c r="E36" s="206">
        <v>-7438.0872209999998</v>
      </c>
      <c r="F36" s="206">
        <v>-9305.050072</v>
      </c>
      <c r="G36" s="206">
        <v>-11059.26678</v>
      </c>
      <c r="H36" s="206">
        <v>-12318.06097</v>
      </c>
      <c r="I36" s="206">
        <v>-13713.542100000001</v>
      </c>
      <c r="J36" s="206">
        <v>-14751.199269999999</v>
      </c>
      <c r="K36" s="206">
        <v>-15529.566919999999</v>
      </c>
      <c r="L36" s="206">
        <v>-16008.386990000001</v>
      </c>
      <c r="M36" s="206">
        <v>-16344.32372</v>
      </c>
      <c r="N36" s="206">
        <v>-16756.678449999999</v>
      </c>
      <c r="O36" s="206">
        <v>-17223.686259999999</v>
      </c>
      <c r="P36" s="206">
        <v>-16932.237010000001</v>
      </c>
      <c r="Q36" s="206">
        <v>-16821.897519999999</v>
      </c>
      <c r="R36" s="206">
        <v>-17265.0255</v>
      </c>
      <c r="S36" s="206">
        <v>-17391.958490000001</v>
      </c>
      <c r="T36" s="206">
        <v>-16961.062829999999</v>
      </c>
      <c r="U36" s="206">
        <v>-16817.571830000001</v>
      </c>
      <c r="V36" s="206">
        <v>-16527.775610000001</v>
      </c>
      <c r="W36" s="206">
        <v>-16364.521000000001</v>
      </c>
      <c r="X36" s="206">
        <v>-16404.936900000001</v>
      </c>
      <c r="Y36" s="206">
        <v>-16089.12967</v>
      </c>
      <c r="Z36" s="206">
        <v>-15882.223470000001</v>
      </c>
      <c r="AA36" s="206">
        <v>-15772.59109</v>
      </c>
      <c r="AB36" s="206">
        <v>-15442.170910000001</v>
      </c>
      <c r="AC36" s="206">
        <v>-15041.464830000001</v>
      </c>
    </row>
    <row r="37" spans="1:29">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row>
    <row r="38" spans="1:29" ht="15.6">
      <c r="A38" s="205" t="s">
        <v>357</v>
      </c>
      <c r="B38" s="171"/>
      <c r="C38" s="171"/>
      <c r="D38" s="204"/>
      <c r="E38" s="203"/>
      <c r="F38" s="203"/>
      <c r="G38" s="203"/>
      <c r="H38" s="203"/>
      <c r="I38" s="203"/>
      <c r="J38" s="203"/>
      <c r="K38" s="203"/>
      <c r="L38" s="203"/>
      <c r="M38" s="165"/>
      <c r="N38" s="165"/>
      <c r="O38" s="165"/>
      <c r="P38" s="165"/>
      <c r="Q38" s="165"/>
      <c r="R38" s="165"/>
      <c r="S38" s="165"/>
      <c r="T38" s="165"/>
      <c r="U38" s="165"/>
      <c r="V38" s="165"/>
      <c r="W38" s="165"/>
      <c r="X38" s="165"/>
      <c r="Y38" s="165"/>
      <c r="Z38" s="165"/>
      <c r="AA38" s="165"/>
      <c r="AB38" s="165"/>
      <c r="AC38" s="165"/>
    </row>
    <row r="39" spans="1:29">
      <c r="A39" s="201" t="s">
        <v>339</v>
      </c>
      <c r="B39" s="202">
        <f t="shared" ref="B39:AC39" si="15">+B28/B27</f>
        <v>1.702545558861047</v>
      </c>
      <c r="C39" s="202">
        <f t="shared" si="15"/>
        <v>0.53939030962614654</v>
      </c>
      <c r="D39" s="202">
        <f t="shared" si="15"/>
        <v>3.6207652871657703</v>
      </c>
      <c r="E39" s="202">
        <f t="shared" si="15"/>
        <v>3.1913001467439872</v>
      </c>
      <c r="F39" s="202">
        <f t="shared" si="15"/>
        <v>2.8682965934954532</v>
      </c>
      <c r="G39" s="202">
        <f t="shared" si="15"/>
        <v>2.5222996773152935</v>
      </c>
      <c r="H39" s="202">
        <f t="shared" si="15"/>
        <v>2.1079273408737871</v>
      </c>
      <c r="I39" s="202">
        <f t="shared" si="15"/>
        <v>1.702545558861047</v>
      </c>
      <c r="J39" s="202">
        <f t="shared" si="15"/>
        <v>1.5485066817985047</v>
      </c>
      <c r="K39" s="202">
        <f t="shared" si="15"/>
        <v>1.4034599553522382</v>
      </c>
      <c r="L39" s="202">
        <f t="shared" si="15"/>
        <v>1.2692809539465</v>
      </c>
      <c r="M39" s="202">
        <f t="shared" si="15"/>
        <v>1.1557464570173623</v>
      </c>
      <c r="N39" s="202">
        <f t="shared" si="15"/>
        <v>1.0557327081803427</v>
      </c>
      <c r="O39" s="202">
        <f t="shared" si="15"/>
        <v>0.97888005377786047</v>
      </c>
      <c r="P39" s="202">
        <f t="shared" si="15"/>
        <v>0.8628600510871075</v>
      </c>
      <c r="Q39" s="202">
        <f t="shared" si="15"/>
        <v>0.7712333784200095</v>
      </c>
      <c r="R39" s="202">
        <f t="shared" si="15"/>
        <v>0.70578355950903682</v>
      </c>
      <c r="S39" s="202">
        <f t="shared" si="15"/>
        <v>0.6305978492861134</v>
      </c>
      <c r="T39" s="202">
        <f t="shared" si="15"/>
        <v>0.61513983889427104</v>
      </c>
      <c r="U39" s="202">
        <f t="shared" si="15"/>
        <v>0.61287904225003331</v>
      </c>
      <c r="V39" s="202">
        <f t="shared" si="15"/>
        <v>0.60026505254332574</v>
      </c>
      <c r="W39" s="202">
        <f t="shared" si="15"/>
        <v>0.59611564206104728</v>
      </c>
      <c r="X39" s="202">
        <f t="shared" si="15"/>
        <v>0.59930042374441272</v>
      </c>
      <c r="Y39" s="202">
        <f t="shared" si="15"/>
        <v>0.58606920796617634</v>
      </c>
      <c r="Z39" s="202">
        <f t="shared" si="15"/>
        <v>0.57739277255860788</v>
      </c>
      <c r="AA39" s="202">
        <f t="shared" si="15"/>
        <v>0.57194143102409012</v>
      </c>
      <c r="AB39" s="202">
        <f t="shared" si="15"/>
        <v>0.55759313285927137</v>
      </c>
      <c r="AC39" s="202">
        <f t="shared" si="15"/>
        <v>0.53939030962614654</v>
      </c>
    </row>
    <row r="40" spans="1:29">
      <c r="A40" s="201" t="s">
        <v>354</v>
      </c>
      <c r="B40" s="200">
        <f t="shared" ref="B40:AC40" si="16">+B29/B27</f>
        <v>3961.6922165660076</v>
      </c>
      <c r="C40" s="200">
        <f t="shared" si="16"/>
        <v>72.024487144826452</v>
      </c>
      <c r="D40" s="200">
        <f t="shared" si="16"/>
        <v>10847.621504527424</v>
      </c>
      <c r="E40" s="200">
        <f t="shared" si="16"/>
        <v>8669.0231634963511</v>
      </c>
      <c r="F40" s="200">
        <f t="shared" si="16"/>
        <v>7068.1824674918089</v>
      </c>
      <c r="G40" s="200">
        <f t="shared" si="16"/>
        <v>5819.6083559424578</v>
      </c>
      <c r="H40" s="200">
        <f t="shared" si="16"/>
        <v>4804.7000949099865</v>
      </c>
      <c r="I40" s="200">
        <f t="shared" si="16"/>
        <v>3961.6922165660076</v>
      </c>
      <c r="J40" s="200">
        <f t="shared" si="16"/>
        <v>3011.0427596750887</v>
      </c>
      <c r="K40" s="200">
        <f t="shared" si="16"/>
        <v>2335.2329132553746</v>
      </c>
      <c r="L40" s="200">
        <f t="shared" si="16"/>
        <v>1838.0720991754611</v>
      </c>
      <c r="M40" s="200">
        <f t="shared" si="16"/>
        <v>1468.2911671886297</v>
      </c>
      <c r="N40" s="200">
        <f t="shared" si="16"/>
        <v>1182.808059318384</v>
      </c>
      <c r="O40" s="200">
        <f t="shared" si="16"/>
        <v>958.91663725966089</v>
      </c>
      <c r="P40" s="200">
        <f t="shared" si="16"/>
        <v>781.40788705839304</v>
      </c>
      <c r="Q40" s="200">
        <f t="shared" si="16"/>
        <v>639.19994677018951</v>
      </c>
      <c r="R40" s="200">
        <f t="shared" si="16"/>
        <v>524.42536943325842</v>
      </c>
      <c r="S40" s="200">
        <f t="shared" si="16"/>
        <v>431.16896900071481</v>
      </c>
      <c r="T40" s="200">
        <f t="shared" si="16"/>
        <v>355.06186857191875</v>
      </c>
      <c r="U40" s="200">
        <f t="shared" si="16"/>
        <v>292.91745875344014</v>
      </c>
      <c r="V40" s="200">
        <f t="shared" si="16"/>
        <v>242.36323494024333</v>
      </c>
      <c r="W40" s="200">
        <f t="shared" si="16"/>
        <v>201.47721642599694</v>
      </c>
      <c r="X40" s="200">
        <f t="shared" si="16"/>
        <v>168.38413757030148</v>
      </c>
      <c r="Y40" s="200">
        <f t="shared" si="16"/>
        <v>141.42885688793248</v>
      </c>
      <c r="Z40" s="200">
        <f t="shared" si="16"/>
        <v>119.19995906912226</v>
      </c>
      <c r="AA40" s="200">
        <f t="shared" si="16"/>
        <v>100.69156339137261</v>
      </c>
      <c r="AB40" s="200">
        <f t="shared" si="16"/>
        <v>85.156380770839746</v>
      </c>
      <c r="AC40" s="200">
        <f t="shared" si="16"/>
        <v>72.024487144826452</v>
      </c>
    </row>
    <row r="41" spans="1:29">
      <c r="A41" s="195" t="s">
        <v>343</v>
      </c>
      <c r="B41" s="198">
        <f t="shared" ref="B41:AC41" si="17">+B30/B27</f>
        <v>1.3865645253757816E-2</v>
      </c>
      <c r="C41" s="198">
        <f t="shared" si="17"/>
        <v>2.518351236313982E-4</v>
      </c>
      <c r="D41" s="198">
        <f t="shared" si="17"/>
        <v>3.7965469615400628E-2</v>
      </c>
      <c r="E41" s="198">
        <f t="shared" si="17"/>
        <v>3.0341419360010148E-2</v>
      </c>
      <c r="F41" s="198">
        <f t="shared" si="17"/>
        <v>2.4739007826139948E-2</v>
      </c>
      <c r="G41" s="198">
        <f t="shared" si="17"/>
        <v>2.0368698981194096E-2</v>
      </c>
      <c r="H41" s="198">
        <f t="shared" si="17"/>
        <v>1.6818901709784395E-2</v>
      </c>
      <c r="I41" s="198">
        <f t="shared" si="17"/>
        <v>1.3865645253757816E-2</v>
      </c>
      <c r="J41" s="198">
        <f t="shared" si="17"/>
        <v>1.0538660099180813E-2</v>
      </c>
      <c r="K41" s="198">
        <f t="shared" si="17"/>
        <v>8.1732323839215897E-3</v>
      </c>
      <c r="L41" s="198">
        <f t="shared" si="17"/>
        <v>6.4329994050770006E-3</v>
      </c>
      <c r="M41" s="198">
        <f t="shared" si="17"/>
        <v>5.1388415113988633E-3</v>
      </c>
      <c r="N41" s="198">
        <f t="shared" si="17"/>
        <v>4.1397215174733791E-3</v>
      </c>
      <c r="O41" s="198">
        <f t="shared" si="17"/>
        <v>3.3561047573827654E-3</v>
      </c>
      <c r="P41" s="198">
        <f t="shared" si="17"/>
        <v>2.7348168897258283E-3</v>
      </c>
      <c r="Q41" s="198">
        <f t="shared" si="17"/>
        <v>2.2368342355723997E-3</v>
      </c>
      <c r="R41" s="198">
        <f t="shared" si="17"/>
        <v>1.8358332425705251E-3</v>
      </c>
      <c r="S41" s="198">
        <f t="shared" si="17"/>
        <v>1.5092202403277459E-3</v>
      </c>
      <c r="T41" s="198">
        <f t="shared" si="17"/>
        <v>1.242653654969141E-3</v>
      </c>
      <c r="U41" s="198">
        <f t="shared" si="17"/>
        <v>1.0251155545863975E-3</v>
      </c>
      <c r="V41" s="198">
        <f t="shared" si="17"/>
        <v>8.4827946606980944E-4</v>
      </c>
      <c r="W41" s="198">
        <f t="shared" si="17"/>
        <v>7.053577376017234E-4</v>
      </c>
      <c r="X41" s="198">
        <f t="shared" si="17"/>
        <v>5.8937488158439689E-4</v>
      </c>
      <c r="Y41" s="198">
        <f t="shared" si="17"/>
        <v>4.9520802966234747E-4</v>
      </c>
      <c r="Z41" s="198">
        <f t="shared" si="17"/>
        <v>4.1726076261329584E-4</v>
      </c>
      <c r="AA41" s="198">
        <f t="shared" si="17"/>
        <v>3.5230145172750253E-4</v>
      </c>
      <c r="AB41" s="198">
        <f t="shared" si="17"/>
        <v>2.9793392824383846E-4</v>
      </c>
      <c r="AC41" s="198">
        <f t="shared" si="17"/>
        <v>2.518351236313982E-4</v>
      </c>
    </row>
    <row r="42" spans="1:29">
      <c r="A42" s="197" t="s">
        <v>344</v>
      </c>
      <c r="B42" s="196">
        <f>-B32/B27</f>
        <v>474.82572120377807</v>
      </c>
      <c r="C42" s="196">
        <f>-C32/C$27</f>
        <v>1097.7124339445697</v>
      </c>
      <c r="D42" s="196">
        <f t="shared" ref="D42:AC42" si="18">-D32/D27</f>
        <v>366.84029367396181</v>
      </c>
      <c r="E42" s="196">
        <f t="shared" si="18"/>
        <v>373.50762361646832</v>
      </c>
      <c r="F42" s="196">
        <f t="shared" si="18"/>
        <v>376.91006322051186</v>
      </c>
      <c r="G42" s="196">
        <f t="shared" si="18"/>
        <v>380.54042540749282</v>
      </c>
      <c r="H42" s="196">
        <f t="shared" si="18"/>
        <v>431.51714117206586</v>
      </c>
      <c r="I42" s="196">
        <f t="shared" si="18"/>
        <v>474.82572120377807</v>
      </c>
      <c r="J42" s="196">
        <f t="shared" si="18"/>
        <v>518.39500541769621</v>
      </c>
      <c r="K42" s="196">
        <f t="shared" si="18"/>
        <v>562.72684760437846</v>
      </c>
      <c r="L42" s="196">
        <f t="shared" si="18"/>
        <v>608.05723623294159</v>
      </c>
      <c r="M42" s="196">
        <f t="shared" si="18"/>
        <v>654.36683793709665</v>
      </c>
      <c r="N42" s="196">
        <f t="shared" si="18"/>
        <v>701.6975164981676</v>
      </c>
      <c r="O42" s="196">
        <f t="shared" si="18"/>
        <v>719.72099695613747</v>
      </c>
      <c r="P42" s="196">
        <f t="shared" si="18"/>
        <v>740.00717018976786</v>
      </c>
      <c r="Q42" s="196">
        <f t="shared" si="18"/>
        <v>762.12489063739429</v>
      </c>
      <c r="R42" s="196">
        <f t="shared" si="18"/>
        <v>785.74837745967625</v>
      </c>
      <c r="S42" s="196">
        <f t="shared" si="18"/>
        <v>810.62473690504896</v>
      </c>
      <c r="T42" s="196">
        <f t="shared" si="18"/>
        <v>836.55321213768525</v>
      </c>
      <c r="U42" s="196">
        <f t="shared" si="18"/>
        <v>863.37145456968733</v>
      </c>
      <c r="V42" s="196">
        <f t="shared" si="18"/>
        <v>890.94615041266604</v>
      </c>
      <c r="W42" s="196">
        <f t="shared" si="18"/>
        <v>919.16648627154791</v>
      </c>
      <c r="X42" s="196">
        <f t="shared" si="18"/>
        <v>947.9394515831541</v>
      </c>
      <c r="Y42" s="196">
        <f t="shared" si="18"/>
        <v>977.18638544869032</v>
      </c>
      <c r="Z42" s="196">
        <f t="shared" si="18"/>
        <v>1006.8403814246898</v>
      </c>
      <c r="AA42" s="196">
        <f t="shared" si="18"/>
        <v>1036.8442444192217</v>
      </c>
      <c r="AB42" s="196">
        <f t="shared" si="18"/>
        <v>1067.1489721616554</v>
      </c>
      <c r="AC42" s="196">
        <f t="shared" si="18"/>
        <v>1097.7124339445697</v>
      </c>
    </row>
    <row r="43" spans="1:29">
      <c r="A43" s="195" t="s">
        <v>345</v>
      </c>
      <c r="B43" s="194">
        <f>-B33/$B$27</f>
        <v>8.3194904531156864E-4</v>
      </c>
      <c r="C43" s="194">
        <f>-C33/C$27</f>
        <v>5.2347034097585633E-4</v>
      </c>
      <c r="D43" s="194">
        <f t="shared" ref="D43:AC43" si="19">-D33/D$27</f>
        <v>9.4876804484956287E-4</v>
      </c>
      <c r="E43" s="194">
        <f t="shared" si="19"/>
        <v>9.2938250508069783E-4</v>
      </c>
      <c r="F43" s="194">
        <f t="shared" si="19"/>
        <v>9.4074701342741209E-4</v>
      </c>
      <c r="G43" s="194">
        <f t="shared" si="19"/>
        <v>9.3542870370713854E-4</v>
      </c>
      <c r="H43" s="194">
        <f t="shared" si="19"/>
        <v>8.8509913334241489E-4</v>
      </c>
      <c r="I43" s="194">
        <f t="shared" si="19"/>
        <v>8.3194904531156864E-4</v>
      </c>
      <c r="J43" s="194">
        <f t="shared" si="19"/>
        <v>7.7440521421030849E-4</v>
      </c>
      <c r="K43" s="194">
        <f t="shared" si="19"/>
        <v>7.2688157055811136E-4</v>
      </c>
      <c r="L43" s="194">
        <f t="shared" si="19"/>
        <v>6.9000997775526651E-4</v>
      </c>
      <c r="M43" s="194">
        <f t="shared" si="19"/>
        <v>6.6837790431871404E-4</v>
      </c>
      <c r="N43" s="194">
        <f t="shared" si="19"/>
        <v>6.5798923478239328E-4</v>
      </c>
      <c r="O43" s="194">
        <f t="shared" si="19"/>
        <v>6.5826776447396767E-4</v>
      </c>
      <c r="P43" s="194">
        <f t="shared" si="19"/>
        <v>6.2848694237698866E-4</v>
      </c>
      <c r="Q43" s="194">
        <f t="shared" si="19"/>
        <v>6.1426795205303823E-4</v>
      </c>
      <c r="R43" s="194">
        <f t="shared" si="19"/>
        <v>6.2297979568893744E-4</v>
      </c>
      <c r="S43" s="194">
        <f t="shared" si="19"/>
        <v>6.2271728486745803E-4</v>
      </c>
      <c r="T43" s="194">
        <f t="shared" si="19"/>
        <v>6.0524765205096981E-4</v>
      </c>
      <c r="U43" s="194">
        <f t="shared" si="19"/>
        <v>6.0052465726982381E-4</v>
      </c>
      <c r="V43" s="194">
        <f t="shared" si="19"/>
        <v>5.8726440212911635E-4</v>
      </c>
      <c r="W43" s="194">
        <f t="shared" si="19"/>
        <v>5.8147188162430217E-4</v>
      </c>
      <c r="X43" s="194">
        <f t="shared" si="19"/>
        <v>5.8314687657482758E-4</v>
      </c>
      <c r="Y43" s="194">
        <f t="shared" si="19"/>
        <v>5.6970794733949052E-4</v>
      </c>
      <c r="Z43" s="194">
        <f t="shared" si="19"/>
        <v>5.6068052361259353E-4</v>
      </c>
      <c r="AA43" s="194">
        <f t="shared" si="19"/>
        <v>5.5504655776275776E-4</v>
      </c>
      <c r="AB43" s="194">
        <f t="shared" si="19"/>
        <v>5.4093482924388089E-4</v>
      </c>
      <c r="AC43" s="194">
        <f t="shared" si="19"/>
        <v>5.2347034097585633E-4</v>
      </c>
    </row>
    <row r="44" spans="1:29">
      <c r="A44" s="195" t="s">
        <v>346</v>
      </c>
      <c r="B44" s="194">
        <f>-B35/$B$27</f>
        <v>3.1609772913025243E-3</v>
      </c>
      <c r="C44" s="194">
        <f>-C34/C$27</f>
        <v>2.2344921577203722E-4</v>
      </c>
      <c r="D44" s="194">
        <f t="shared" ref="D44:AC44" si="20">-D34/D$27</f>
        <v>3.9940339743227676E-4</v>
      </c>
      <c r="E44" s="194">
        <f t="shared" si="20"/>
        <v>3.9295294733424438E-4</v>
      </c>
      <c r="F44" s="194">
        <f t="shared" si="20"/>
        <v>3.9849282997099701E-4</v>
      </c>
      <c r="G44" s="194">
        <f t="shared" si="20"/>
        <v>3.952340544900287E-4</v>
      </c>
      <c r="H44" s="194">
        <f t="shared" si="20"/>
        <v>3.6991054727029417E-4</v>
      </c>
      <c r="I44" s="194">
        <f t="shared" si="20"/>
        <v>3.4231097877483795E-4</v>
      </c>
      <c r="J44" s="194">
        <f t="shared" si="20"/>
        <v>3.1368806571604178E-4</v>
      </c>
      <c r="K44" s="194">
        <f t="shared" si="20"/>
        <v>2.9175382776584421E-4</v>
      </c>
      <c r="L44" s="194">
        <f t="shared" si="20"/>
        <v>2.7454835831435307E-4</v>
      </c>
      <c r="M44" s="194">
        <f t="shared" si="20"/>
        <v>2.6560698868730541E-4</v>
      </c>
      <c r="N44" s="194">
        <f t="shared" si="20"/>
        <v>2.622371956210426E-4</v>
      </c>
      <c r="O44" s="194">
        <f t="shared" si="20"/>
        <v>2.6347843477578936E-4</v>
      </c>
      <c r="P44" s="194">
        <f t="shared" si="20"/>
        <v>2.5248034162420979E-4</v>
      </c>
      <c r="Q44" s="194">
        <f t="shared" si="20"/>
        <v>2.4761503771702294E-4</v>
      </c>
      <c r="R44" s="194">
        <f t="shared" si="20"/>
        <v>2.5290429087371328E-4</v>
      </c>
      <c r="S44" s="194">
        <f t="shared" si="20"/>
        <v>2.542301506592181E-4</v>
      </c>
      <c r="T44" s="194">
        <f t="shared" si="20"/>
        <v>2.4837433683685332E-4</v>
      </c>
      <c r="U44" s="194">
        <f t="shared" si="20"/>
        <v>2.4772213289297069E-4</v>
      </c>
      <c r="V44" s="194">
        <f t="shared" si="20"/>
        <v>2.4327876239016344E-4</v>
      </c>
      <c r="W44" s="194">
        <f t="shared" si="20"/>
        <v>2.4203608741243688E-4</v>
      </c>
      <c r="X44" s="194">
        <f t="shared" si="20"/>
        <v>2.4442952990418509E-4</v>
      </c>
      <c r="Y44" s="194">
        <f t="shared" si="20"/>
        <v>2.3951937197571598E-4</v>
      </c>
      <c r="Z44" s="194">
        <f t="shared" si="20"/>
        <v>2.3694688799896077E-4</v>
      </c>
      <c r="AA44" s="194">
        <f t="shared" si="20"/>
        <v>2.350322483673806E-4</v>
      </c>
      <c r="AB44" s="194">
        <f t="shared" si="20"/>
        <v>2.3023286639064551E-4</v>
      </c>
      <c r="AC44" s="194">
        <f t="shared" si="20"/>
        <v>2.2344921577203722E-4</v>
      </c>
    </row>
    <row r="45" spans="1:29">
      <c r="A45" s="195" t="s">
        <v>347</v>
      </c>
      <c r="B45" s="194">
        <f>-B34/$B$27</f>
        <v>3.4231097877483795E-4</v>
      </c>
      <c r="C45" s="194">
        <f>-C35/C$27</f>
        <v>2.2910670803449351E-3</v>
      </c>
      <c r="D45" s="194">
        <f t="shared" ref="D45:AC45" si="21">-D35/D$27</f>
        <v>3.3638612620292088E-3</v>
      </c>
      <c r="E45" s="194">
        <f t="shared" si="21"/>
        <v>3.2601803020830835E-3</v>
      </c>
      <c r="F45" s="194">
        <f t="shared" si="21"/>
        <v>3.2926171152794681E-3</v>
      </c>
      <c r="G45" s="194">
        <f t="shared" si="21"/>
        <v>3.2922778427075211E-3</v>
      </c>
      <c r="H45" s="194">
        <f t="shared" si="21"/>
        <v>3.1856002059549404E-3</v>
      </c>
      <c r="I45" s="194">
        <f t="shared" si="21"/>
        <v>3.1609772913025243E-3</v>
      </c>
      <c r="J45" s="194">
        <f t="shared" si="21"/>
        <v>3.1187067157425834E-3</v>
      </c>
      <c r="K45" s="194">
        <f t="shared" si="21"/>
        <v>3.0726674902794167E-3</v>
      </c>
      <c r="L45" s="194">
        <f t="shared" si="21"/>
        <v>3.0081153769423857E-3</v>
      </c>
      <c r="M45" s="194">
        <f t="shared" si="21"/>
        <v>2.9485786705847009E-3</v>
      </c>
      <c r="N45" s="194">
        <f t="shared" si="21"/>
        <v>2.9260163333712343E-3</v>
      </c>
      <c r="O45" s="194">
        <f t="shared" si="21"/>
        <v>2.9297560694633179E-3</v>
      </c>
      <c r="P45" s="194">
        <f t="shared" si="21"/>
        <v>2.8194102006533408E-3</v>
      </c>
      <c r="Q45" s="194">
        <f t="shared" si="21"/>
        <v>2.7530487607308352E-3</v>
      </c>
      <c r="R45" s="194">
        <f t="shared" si="21"/>
        <v>2.7859990009048881E-3</v>
      </c>
      <c r="S45" s="194">
        <f t="shared" si="21"/>
        <v>2.7742963412233715E-3</v>
      </c>
      <c r="T45" s="194">
        <f t="shared" si="21"/>
        <v>2.6801409101668405E-3</v>
      </c>
      <c r="U45" s="194">
        <f t="shared" si="21"/>
        <v>2.6370057194146979E-3</v>
      </c>
      <c r="V45" s="194">
        <f t="shared" si="21"/>
        <v>2.5749541320266452E-3</v>
      </c>
      <c r="W45" s="194">
        <f t="shared" si="21"/>
        <v>2.536144420509485E-3</v>
      </c>
      <c r="X45" s="194">
        <f t="shared" si="21"/>
        <v>2.5313983391151936E-3</v>
      </c>
      <c r="Y45" s="194">
        <f t="shared" si="21"/>
        <v>2.4736587608238558E-3</v>
      </c>
      <c r="Z45" s="194">
        <f t="shared" si="21"/>
        <v>2.4345211035966064E-3</v>
      </c>
      <c r="AA45" s="194">
        <f t="shared" si="21"/>
        <v>2.4116916161712148E-3</v>
      </c>
      <c r="AB45" s="194">
        <f t="shared" si="21"/>
        <v>2.3562447527655465E-3</v>
      </c>
      <c r="AC45" s="194">
        <f t="shared" si="21"/>
        <v>2.2910670803449351E-3</v>
      </c>
    </row>
    <row r="46" spans="1:29">
      <c r="A46" s="195" t="s">
        <v>348</v>
      </c>
      <c r="B46" s="194">
        <f>-B36/$B$27</f>
        <v>1.4992281789093511E-2</v>
      </c>
      <c r="C46" s="194">
        <f>-C36/C$27</f>
        <v>1.0884968836380397E-2</v>
      </c>
      <c r="D46" s="194">
        <f t="shared" ref="D46:AC46" si="22">-D36/D$27</f>
        <v>1.593965143179259E-2</v>
      </c>
      <c r="E46" s="194">
        <f t="shared" si="22"/>
        <v>1.5446042270117958E-2</v>
      </c>
      <c r="F46" s="194">
        <f t="shared" si="22"/>
        <v>1.5599221152932986E-2</v>
      </c>
      <c r="G46" s="194">
        <f t="shared" si="22"/>
        <v>1.5598841908076982E-2</v>
      </c>
      <c r="H46" s="194">
        <f t="shared" si="22"/>
        <v>1.5098109365220918E-2</v>
      </c>
      <c r="I46" s="194">
        <f t="shared" si="22"/>
        <v>1.4992281789093511E-2</v>
      </c>
      <c r="J46" s="194">
        <f t="shared" si="22"/>
        <v>1.4802692359723304E-2</v>
      </c>
      <c r="K46" s="194">
        <f t="shared" si="22"/>
        <v>1.4592637302692739E-2</v>
      </c>
      <c r="L46" s="194">
        <f t="shared" si="22"/>
        <v>1.4291138493326729E-2</v>
      </c>
      <c r="M46" s="194">
        <f t="shared" si="22"/>
        <v>1.4010156665233876E-2</v>
      </c>
      <c r="N46" s="194">
        <f t="shared" si="22"/>
        <v>1.3904185676658142E-2</v>
      </c>
      <c r="O46" s="194">
        <f t="shared" si="22"/>
        <v>1.3922084633153701E-2</v>
      </c>
      <c r="P46" s="194">
        <f t="shared" si="22"/>
        <v>1.3398891133040731E-2</v>
      </c>
      <c r="Q46" s="194">
        <f t="shared" si="22"/>
        <v>1.3083378400565523E-2</v>
      </c>
      <c r="R46" s="194">
        <f t="shared" si="22"/>
        <v>1.323964400448112E-2</v>
      </c>
      <c r="S46" s="194">
        <f t="shared" si="22"/>
        <v>1.3183473516849816E-2</v>
      </c>
      <c r="T46" s="194">
        <f t="shared" si="22"/>
        <v>1.2735182306864497E-2</v>
      </c>
      <c r="U46" s="194">
        <f t="shared" si="22"/>
        <v>1.2529036681182434E-2</v>
      </c>
      <c r="V46" s="194">
        <f t="shared" si="22"/>
        <v>1.223400756524644E-2</v>
      </c>
      <c r="W46" s="194">
        <f t="shared" si="22"/>
        <v>1.2048895103857926E-2</v>
      </c>
      <c r="X46" s="194">
        <f t="shared" si="22"/>
        <v>1.2025693709996272E-2</v>
      </c>
      <c r="Y46" s="194">
        <f t="shared" si="22"/>
        <v>1.1751425077968605E-2</v>
      </c>
      <c r="Z46" s="194">
        <f t="shared" si="22"/>
        <v>1.1565495073450238E-2</v>
      </c>
      <c r="AA46" s="194">
        <f t="shared" si="22"/>
        <v>1.145712729589953E-2</v>
      </c>
      <c r="AB46" s="194">
        <f t="shared" si="22"/>
        <v>1.1194030753841922E-2</v>
      </c>
      <c r="AC46" s="194">
        <f t="shared" si="22"/>
        <v>1.0884968836380397E-2</v>
      </c>
    </row>
  </sheetData>
  <mergeCells count="1">
    <mergeCell ref="A23:F2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A6D7-51DF-4F25-A6F7-0878E8F1540C}">
  <sheetPr>
    <tabColor theme="9" tint="0.79998168889431442"/>
  </sheetPr>
  <dimension ref="A1:AC46"/>
  <sheetViews>
    <sheetView workbookViewId="0">
      <selection activeCell="B8" sqref="B8"/>
    </sheetView>
  </sheetViews>
  <sheetFormatPr defaultRowHeight="14.45"/>
  <cols>
    <col min="1" max="1" width="54.5703125" customWidth="1"/>
    <col min="2" max="2" width="15" bestFit="1" customWidth="1"/>
    <col min="3" max="3" width="16.7109375" customWidth="1"/>
    <col min="4" max="29" width="17.7109375" customWidth="1"/>
  </cols>
  <sheetData>
    <row r="1" spans="1:29" ht="21">
      <c r="A1" s="193" t="s">
        <v>420</v>
      </c>
    </row>
    <row r="2" spans="1:29">
      <c r="A2" s="165"/>
      <c r="B2" s="165"/>
      <c r="C2" s="165"/>
      <c r="D2" s="165">
        <v>1</v>
      </c>
      <c r="E2" s="165">
        <v>2</v>
      </c>
      <c r="F2" s="165">
        <v>3</v>
      </c>
      <c r="G2" s="165">
        <v>4</v>
      </c>
      <c r="H2" s="165">
        <v>5</v>
      </c>
      <c r="I2" s="165">
        <v>6</v>
      </c>
      <c r="J2" s="165">
        <v>7</v>
      </c>
      <c r="K2" s="165">
        <v>8</v>
      </c>
      <c r="L2" s="165">
        <v>9</v>
      </c>
      <c r="M2" s="165">
        <v>10</v>
      </c>
      <c r="N2" s="165">
        <v>11</v>
      </c>
      <c r="O2" s="165">
        <v>12</v>
      </c>
      <c r="P2" s="165">
        <v>13</v>
      </c>
      <c r="Q2" s="165">
        <v>14</v>
      </c>
      <c r="R2" s="165">
        <v>15</v>
      </c>
      <c r="S2" s="165">
        <v>16</v>
      </c>
      <c r="T2" s="165">
        <v>17</v>
      </c>
      <c r="U2" s="165">
        <v>18</v>
      </c>
      <c r="V2" s="165">
        <v>19</v>
      </c>
      <c r="W2" s="165">
        <v>20</v>
      </c>
      <c r="X2" s="165">
        <v>21</v>
      </c>
      <c r="Y2" s="165">
        <v>22</v>
      </c>
      <c r="Z2" s="165">
        <v>23</v>
      </c>
      <c r="AA2" s="165">
        <v>24</v>
      </c>
      <c r="AB2" s="165">
        <v>25</v>
      </c>
      <c r="AC2" s="165">
        <v>26</v>
      </c>
    </row>
    <row r="3" spans="1:29" ht="29.45" thickBot="1">
      <c r="A3" s="167" t="s">
        <v>421</v>
      </c>
      <c r="B3" s="212" t="s">
        <v>331</v>
      </c>
      <c r="C3" s="212" t="s">
        <v>332</v>
      </c>
      <c r="D3" s="248">
        <v>2025</v>
      </c>
      <c r="E3" s="169">
        <v>2026</v>
      </c>
      <c r="F3" s="169">
        <v>2027</v>
      </c>
      <c r="G3" s="169">
        <v>2028</v>
      </c>
      <c r="H3" s="169">
        <v>2029</v>
      </c>
      <c r="I3" s="169">
        <v>2030</v>
      </c>
      <c r="J3" s="169">
        <v>2031</v>
      </c>
      <c r="K3" s="169">
        <v>2032</v>
      </c>
      <c r="L3" s="169">
        <v>2033</v>
      </c>
      <c r="M3" s="169">
        <v>2034</v>
      </c>
      <c r="N3" s="169">
        <v>2035</v>
      </c>
      <c r="O3" s="169">
        <v>2036</v>
      </c>
      <c r="P3" s="169">
        <v>2037</v>
      </c>
      <c r="Q3" s="169">
        <v>2038</v>
      </c>
      <c r="R3" s="169">
        <v>2039</v>
      </c>
      <c r="S3" s="169">
        <v>2040</v>
      </c>
      <c r="T3" s="169">
        <v>2041</v>
      </c>
      <c r="U3" s="169">
        <v>2042</v>
      </c>
      <c r="V3" s="169">
        <v>2043</v>
      </c>
      <c r="W3" s="169">
        <v>2044</v>
      </c>
      <c r="X3" s="169">
        <v>2045</v>
      </c>
      <c r="Y3" s="169">
        <v>2046</v>
      </c>
      <c r="Z3" s="169">
        <v>2047</v>
      </c>
      <c r="AA3" s="169">
        <v>2048</v>
      </c>
      <c r="AB3" s="169">
        <v>2049</v>
      </c>
      <c r="AC3" s="169">
        <v>2050</v>
      </c>
    </row>
    <row r="4" spans="1:29" ht="15.6" thickTop="1" thickBot="1">
      <c r="A4" s="222" t="s">
        <v>333</v>
      </c>
      <c r="B4" s="171">
        <f>SUM(D4:I4)</f>
        <v>360</v>
      </c>
      <c r="C4" s="247"/>
      <c r="D4" s="246">
        <f>+'Buildings M6-9 Summary'!G21</f>
        <v>90</v>
      </c>
      <c r="E4" s="245">
        <f>+$D$4</f>
        <v>90</v>
      </c>
      <c r="F4" s="171">
        <f>+$D$4</f>
        <v>90</v>
      </c>
      <c r="G4" s="171">
        <f>+$D$4</f>
        <v>90</v>
      </c>
      <c r="H4" s="171">
        <v>0</v>
      </c>
      <c r="I4" s="171">
        <v>0</v>
      </c>
      <c r="J4" s="171">
        <v>0</v>
      </c>
      <c r="K4" s="171">
        <v>0</v>
      </c>
      <c r="L4" s="171">
        <v>0</v>
      </c>
      <c r="M4" s="171">
        <v>0</v>
      </c>
      <c r="N4" s="171">
        <v>0</v>
      </c>
      <c r="O4" s="171">
        <v>0</v>
      </c>
      <c r="P4" s="171">
        <v>0</v>
      </c>
      <c r="Q4" s="171">
        <v>0</v>
      </c>
      <c r="R4" s="171">
        <v>0</v>
      </c>
      <c r="S4" s="171">
        <v>0</v>
      </c>
      <c r="T4" s="171">
        <v>0</v>
      </c>
      <c r="U4" s="171">
        <v>0</v>
      </c>
      <c r="V4" s="171">
        <v>0</v>
      </c>
      <c r="W4" s="171">
        <v>0</v>
      </c>
      <c r="X4" s="171">
        <v>0</v>
      </c>
      <c r="Y4" s="171">
        <v>0</v>
      </c>
      <c r="Z4" s="171">
        <v>0</v>
      </c>
      <c r="AA4" s="171">
        <v>0</v>
      </c>
      <c r="AB4" s="171">
        <v>0</v>
      </c>
      <c r="AC4" s="171">
        <v>0</v>
      </c>
    </row>
    <row r="5" spans="1:29" ht="15.6" thickTop="1" thickBot="1">
      <c r="A5" s="244" t="s">
        <v>334</v>
      </c>
      <c r="B5" s="240">
        <f>+D5</f>
        <v>5000</v>
      </c>
      <c r="C5" s="243"/>
      <c r="D5" s="242">
        <f>+'Buildings M6-9 Summary'!H21</f>
        <v>5000</v>
      </c>
      <c r="E5" s="241">
        <f>+$D$5</f>
        <v>5000</v>
      </c>
      <c r="F5" s="240">
        <f>+$D$5</f>
        <v>5000</v>
      </c>
      <c r="G5" s="240">
        <f>+$D$5</f>
        <v>5000</v>
      </c>
      <c r="H5" s="240">
        <v>0</v>
      </c>
      <c r="I5" s="240">
        <v>0</v>
      </c>
      <c r="J5" s="240">
        <v>0</v>
      </c>
      <c r="K5" s="240">
        <v>0</v>
      </c>
      <c r="L5" s="240">
        <v>0</v>
      </c>
      <c r="M5" s="240">
        <v>0</v>
      </c>
      <c r="N5" s="240">
        <v>0</v>
      </c>
      <c r="O5" s="240">
        <v>0</v>
      </c>
      <c r="P5" s="240">
        <v>0</v>
      </c>
      <c r="Q5" s="240">
        <v>0</v>
      </c>
      <c r="R5" s="240">
        <v>0</v>
      </c>
      <c r="S5" s="240">
        <v>0</v>
      </c>
      <c r="T5" s="240">
        <v>0</v>
      </c>
      <c r="U5" s="240">
        <v>0</v>
      </c>
      <c r="V5" s="240">
        <v>0</v>
      </c>
      <c r="W5" s="240">
        <v>0</v>
      </c>
      <c r="X5" s="240">
        <v>0</v>
      </c>
      <c r="Y5" s="240">
        <v>0</v>
      </c>
      <c r="Z5" s="240">
        <v>0</v>
      </c>
      <c r="AA5" s="240">
        <v>0</v>
      </c>
      <c r="AB5" s="240">
        <v>0</v>
      </c>
      <c r="AC5" s="240">
        <v>0</v>
      </c>
    </row>
    <row r="6" spans="1:29" ht="15" thickTop="1">
      <c r="A6" s="237" t="s">
        <v>335</v>
      </c>
      <c r="B6" s="237">
        <f>SUM(D6:I6)</f>
        <v>1800000</v>
      </c>
      <c r="C6" s="237"/>
      <c r="D6" s="238">
        <f t="shared" ref="D6:I6" si="0">+D5*D4</f>
        <v>450000</v>
      </c>
      <c r="E6" s="237">
        <f t="shared" si="0"/>
        <v>450000</v>
      </c>
      <c r="F6" s="237">
        <f t="shared" si="0"/>
        <v>450000</v>
      </c>
      <c r="G6" s="237">
        <f t="shared" si="0"/>
        <v>450000</v>
      </c>
      <c r="H6" s="237">
        <f t="shared" si="0"/>
        <v>0</v>
      </c>
      <c r="I6" s="237">
        <f t="shared" si="0"/>
        <v>0</v>
      </c>
      <c r="J6" s="237">
        <v>0</v>
      </c>
      <c r="K6" s="237">
        <v>0</v>
      </c>
      <c r="L6" s="237">
        <v>0</v>
      </c>
      <c r="M6" s="237">
        <v>0</v>
      </c>
      <c r="N6" s="237">
        <v>0</v>
      </c>
      <c r="O6" s="237">
        <v>0</v>
      </c>
      <c r="P6" s="237">
        <v>0</v>
      </c>
      <c r="Q6" s="237">
        <v>0</v>
      </c>
      <c r="R6" s="237">
        <v>0</v>
      </c>
      <c r="S6" s="237">
        <v>0</v>
      </c>
      <c r="T6" s="237">
        <v>0</v>
      </c>
      <c r="U6" s="237">
        <v>0</v>
      </c>
      <c r="V6" s="237">
        <v>0</v>
      </c>
      <c r="W6" s="237">
        <v>0</v>
      </c>
      <c r="X6" s="237">
        <v>0</v>
      </c>
      <c r="Y6" s="237">
        <v>0</v>
      </c>
      <c r="Z6" s="237">
        <v>0</v>
      </c>
      <c r="AA6" s="237">
        <v>0</v>
      </c>
      <c r="AB6" s="237">
        <v>0</v>
      </c>
      <c r="AC6" s="237">
        <v>0</v>
      </c>
    </row>
    <row r="7" spans="1:29">
      <c r="A7" s="235" t="s">
        <v>336</v>
      </c>
      <c r="B7" s="235">
        <v>584278</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c r="A8" s="233" t="s">
        <v>337</v>
      </c>
      <c r="B8" s="233">
        <v>2384278</v>
      </c>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row>
    <row r="9" spans="1:29">
      <c r="A9" s="222"/>
      <c r="B9" s="171"/>
      <c r="C9" s="231" t="s">
        <v>338</v>
      </c>
      <c r="D9" s="171">
        <f>+D4</f>
        <v>90</v>
      </c>
      <c r="E9" s="171">
        <f>+D4+E4</f>
        <v>180</v>
      </c>
      <c r="F9" s="171">
        <f>+F4+E4+D4</f>
        <v>270</v>
      </c>
      <c r="G9" s="171">
        <f>+G4+F4+E4+D4</f>
        <v>360</v>
      </c>
      <c r="H9" s="171">
        <f>++H4+G4+F4+E4+D4</f>
        <v>360</v>
      </c>
      <c r="I9" s="171">
        <f>+I4+H4+G4+F4+E4+D4</f>
        <v>360</v>
      </c>
      <c r="J9" s="171">
        <f t="shared" ref="J9:AC9" si="1">+I9</f>
        <v>360</v>
      </c>
      <c r="K9" s="171">
        <f t="shared" si="1"/>
        <v>360</v>
      </c>
      <c r="L9" s="171">
        <f t="shared" si="1"/>
        <v>360</v>
      </c>
      <c r="M9" s="171">
        <f t="shared" si="1"/>
        <v>360</v>
      </c>
      <c r="N9" s="171">
        <f t="shared" si="1"/>
        <v>360</v>
      </c>
      <c r="O9" s="171">
        <f t="shared" si="1"/>
        <v>360</v>
      </c>
      <c r="P9" s="171">
        <f t="shared" si="1"/>
        <v>360</v>
      </c>
      <c r="Q9" s="171">
        <f t="shared" si="1"/>
        <v>360</v>
      </c>
      <c r="R9" s="171">
        <f t="shared" si="1"/>
        <v>360</v>
      </c>
      <c r="S9" s="171">
        <f t="shared" si="1"/>
        <v>360</v>
      </c>
      <c r="T9" s="171">
        <f t="shared" si="1"/>
        <v>360</v>
      </c>
      <c r="U9" s="171">
        <f t="shared" si="1"/>
        <v>360</v>
      </c>
      <c r="V9" s="171">
        <f t="shared" si="1"/>
        <v>360</v>
      </c>
      <c r="W9" s="171">
        <f t="shared" si="1"/>
        <v>360</v>
      </c>
      <c r="X9" s="171">
        <f t="shared" si="1"/>
        <v>360</v>
      </c>
      <c r="Y9" s="171">
        <f t="shared" si="1"/>
        <v>360</v>
      </c>
      <c r="Z9" s="171">
        <f t="shared" si="1"/>
        <v>360</v>
      </c>
      <c r="AA9" s="171">
        <f t="shared" si="1"/>
        <v>360</v>
      </c>
      <c r="AB9" s="171">
        <f t="shared" si="1"/>
        <v>360</v>
      </c>
      <c r="AC9" s="171">
        <f t="shared" si="1"/>
        <v>360</v>
      </c>
    </row>
    <row r="10" spans="1:29">
      <c r="A10" s="229" t="s">
        <v>339</v>
      </c>
      <c r="B10" s="229">
        <f>SUM(D10:I10)</f>
        <v>3954.5411102406556</v>
      </c>
      <c r="C10" s="229">
        <f>SUM(D10:AC10)</f>
        <v>16157.415138297683</v>
      </c>
      <c r="D10" s="230">
        <f t="shared" ref="D10:J10" si="2">+D9*D39</f>
        <v>325.86887584491933</v>
      </c>
      <c r="E10" s="230">
        <f t="shared" si="2"/>
        <v>574.43402641391765</v>
      </c>
      <c r="F10" s="230">
        <f t="shared" si="2"/>
        <v>774.4400802437724</v>
      </c>
      <c r="G10" s="230">
        <f t="shared" si="2"/>
        <v>908.0278838335056</v>
      </c>
      <c r="H10" s="230">
        <f t="shared" si="2"/>
        <v>758.85384271456337</v>
      </c>
      <c r="I10" s="230">
        <f t="shared" si="2"/>
        <v>612.91640118997691</v>
      </c>
      <c r="J10" s="230">
        <f t="shared" si="2"/>
        <v>557.46240544746172</v>
      </c>
      <c r="K10" s="230">
        <f t="shared" ref="K10:AC10" si="3">+$I$10</f>
        <v>612.91640118997691</v>
      </c>
      <c r="L10" s="230">
        <f t="shared" si="3"/>
        <v>612.91640118997691</v>
      </c>
      <c r="M10" s="230">
        <f t="shared" si="3"/>
        <v>612.91640118997691</v>
      </c>
      <c r="N10" s="230">
        <f t="shared" si="3"/>
        <v>612.91640118997691</v>
      </c>
      <c r="O10" s="230">
        <f t="shared" si="3"/>
        <v>612.91640118997691</v>
      </c>
      <c r="P10" s="230">
        <f t="shared" si="3"/>
        <v>612.91640118997691</v>
      </c>
      <c r="Q10" s="230">
        <f t="shared" si="3"/>
        <v>612.91640118997691</v>
      </c>
      <c r="R10" s="230">
        <f t="shared" si="3"/>
        <v>612.91640118997691</v>
      </c>
      <c r="S10" s="230">
        <f t="shared" si="3"/>
        <v>612.91640118997691</v>
      </c>
      <c r="T10" s="230">
        <f t="shared" si="3"/>
        <v>612.91640118997691</v>
      </c>
      <c r="U10" s="230">
        <f t="shared" si="3"/>
        <v>612.91640118997691</v>
      </c>
      <c r="V10" s="230">
        <f t="shared" si="3"/>
        <v>612.91640118997691</v>
      </c>
      <c r="W10" s="230">
        <f t="shared" si="3"/>
        <v>612.91640118997691</v>
      </c>
      <c r="X10" s="230">
        <f t="shared" si="3"/>
        <v>612.91640118997691</v>
      </c>
      <c r="Y10" s="230">
        <f t="shared" si="3"/>
        <v>612.91640118997691</v>
      </c>
      <c r="Z10" s="230">
        <f t="shared" si="3"/>
        <v>612.91640118997691</v>
      </c>
      <c r="AA10" s="230">
        <f t="shared" si="3"/>
        <v>612.91640118997691</v>
      </c>
      <c r="AB10" s="230">
        <f t="shared" si="3"/>
        <v>612.91640118997691</v>
      </c>
      <c r="AC10" s="230">
        <f t="shared" si="3"/>
        <v>612.91640118997691</v>
      </c>
    </row>
    <row r="11" spans="1:29">
      <c r="A11" s="229" t="s">
        <v>340</v>
      </c>
      <c r="B11" s="228"/>
      <c r="C11" s="228"/>
      <c r="D11" s="227">
        <f t="shared" ref="D11:AC11" si="4">+D39</f>
        <v>3.6207652871657703</v>
      </c>
      <c r="E11" s="227">
        <f t="shared" si="4"/>
        <v>3.1913001467439872</v>
      </c>
      <c r="F11" s="227">
        <f t="shared" si="4"/>
        <v>2.8682965934954532</v>
      </c>
      <c r="G11" s="227">
        <f t="shared" si="4"/>
        <v>2.5222996773152935</v>
      </c>
      <c r="H11" s="227">
        <f t="shared" si="4"/>
        <v>2.1079273408737871</v>
      </c>
      <c r="I11" s="227">
        <f t="shared" si="4"/>
        <v>1.702545558861047</v>
      </c>
      <c r="J11" s="227">
        <f t="shared" si="4"/>
        <v>1.5485066817985047</v>
      </c>
      <c r="K11" s="227">
        <f t="shared" si="4"/>
        <v>1.4034599553522382</v>
      </c>
      <c r="L11" s="227">
        <f t="shared" si="4"/>
        <v>1.2692809539465</v>
      </c>
      <c r="M11" s="227">
        <f t="shared" si="4"/>
        <v>1.1557464570173623</v>
      </c>
      <c r="N11" s="227">
        <f t="shared" si="4"/>
        <v>1.0557327081803427</v>
      </c>
      <c r="O11" s="227">
        <f t="shared" si="4"/>
        <v>0.97888005377786047</v>
      </c>
      <c r="P11" s="227">
        <f t="shared" si="4"/>
        <v>0.8628600510871075</v>
      </c>
      <c r="Q11" s="227">
        <f t="shared" si="4"/>
        <v>0.7712333784200095</v>
      </c>
      <c r="R11" s="227">
        <f t="shared" si="4"/>
        <v>0.70578355950903682</v>
      </c>
      <c r="S11" s="227">
        <f t="shared" si="4"/>
        <v>0.6305978492861134</v>
      </c>
      <c r="T11" s="227">
        <f t="shared" si="4"/>
        <v>0.61513983889427104</v>
      </c>
      <c r="U11" s="227">
        <f t="shared" si="4"/>
        <v>0.61287904225003331</v>
      </c>
      <c r="V11" s="227">
        <f t="shared" si="4"/>
        <v>0.60026505254332574</v>
      </c>
      <c r="W11" s="227">
        <f t="shared" si="4"/>
        <v>0.59611564206104728</v>
      </c>
      <c r="X11" s="227">
        <f t="shared" si="4"/>
        <v>0.59930042374441272</v>
      </c>
      <c r="Y11" s="227">
        <f t="shared" si="4"/>
        <v>0.58606920796617634</v>
      </c>
      <c r="Z11" s="227">
        <f t="shared" si="4"/>
        <v>0.57739277255860788</v>
      </c>
      <c r="AA11" s="227">
        <f t="shared" si="4"/>
        <v>0.57194143102409012</v>
      </c>
      <c r="AB11" s="227">
        <f t="shared" si="4"/>
        <v>0.55759313285927137</v>
      </c>
      <c r="AC11" s="227">
        <f t="shared" si="4"/>
        <v>0.53939030962614654</v>
      </c>
    </row>
    <row r="12" spans="1:29">
      <c r="A12" s="225" t="s">
        <v>341</v>
      </c>
      <c r="B12" s="225">
        <f>B8/B10</f>
        <v>602.92153590860096</v>
      </c>
      <c r="C12" s="225">
        <f>+B8/C10</f>
        <v>147.56555919322645</v>
      </c>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row>
    <row r="13" spans="1:29">
      <c r="A13" s="171"/>
      <c r="B13" s="222"/>
      <c r="C13" s="222"/>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row>
    <row r="14" spans="1:29" ht="15.6">
      <c r="A14" s="255" t="s">
        <v>342</v>
      </c>
      <c r="B14" s="222"/>
      <c r="C14" s="222"/>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row>
    <row r="15" spans="1:29">
      <c r="A15" s="171" t="s">
        <v>343</v>
      </c>
      <c r="B15" s="222">
        <f t="shared" ref="B15:B20" si="5">SUM(D15:I15)</f>
        <v>10.207313620447035</v>
      </c>
      <c r="C15" s="222">
        <f t="shared" ref="C15:C20" si="6">SUM(D15:AC15)</f>
        <v>10.207313620447035</v>
      </c>
      <c r="D15" s="171">
        <f>+D41*D4</f>
        <v>3.4168922653860565</v>
      </c>
      <c r="E15" s="171">
        <f>+E41*E4</f>
        <v>2.7307277424009135</v>
      </c>
      <c r="F15" s="171">
        <f>+F41*F4</f>
        <v>2.2265107043525956</v>
      </c>
      <c r="G15" s="171">
        <f>+G41*G4</f>
        <v>1.8331829083074687</v>
      </c>
      <c r="H15" s="171">
        <f>+H41*H4</f>
        <v>0</v>
      </c>
      <c r="I15" s="171">
        <f t="shared" ref="I15:AC15" si="7">H15</f>
        <v>0</v>
      </c>
      <c r="J15" s="171">
        <f t="shared" si="7"/>
        <v>0</v>
      </c>
      <c r="K15" s="171">
        <f t="shared" si="7"/>
        <v>0</v>
      </c>
      <c r="L15" s="171">
        <f t="shared" si="7"/>
        <v>0</v>
      </c>
      <c r="M15" s="171">
        <f t="shared" si="7"/>
        <v>0</v>
      </c>
      <c r="N15" s="171">
        <f t="shared" si="7"/>
        <v>0</v>
      </c>
      <c r="O15" s="171">
        <f t="shared" si="7"/>
        <v>0</v>
      </c>
      <c r="P15" s="171">
        <f t="shared" si="7"/>
        <v>0</v>
      </c>
      <c r="Q15" s="171">
        <f t="shared" si="7"/>
        <v>0</v>
      </c>
      <c r="R15" s="171">
        <f t="shared" si="7"/>
        <v>0</v>
      </c>
      <c r="S15" s="171">
        <f t="shared" si="7"/>
        <v>0</v>
      </c>
      <c r="T15" s="171">
        <f t="shared" si="7"/>
        <v>0</v>
      </c>
      <c r="U15" s="171">
        <f t="shared" si="7"/>
        <v>0</v>
      </c>
      <c r="V15" s="171">
        <f t="shared" si="7"/>
        <v>0</v>
      </c>
      <c r="W15" s="171">
        <f t="shared" si="7"/>
        <v>0</v>
      </c>
      <c r="X15" s="171">
        <f t="shared" si="7"/>
        <v>0</v>
      </c>
      <c r="Y15" s="171">
        <f t="shared" si="7"/>
        <v>0</v>
      </c>
      <c r="Z15" s="171">
        <f t="shared" si="7"/>
        <v>0</v>
      </c>
      <c r="AA15" s="171">
        <f t="shared" si="7"/>
        <v>0</v>
      </c>
      <c r="AB15" s="171">
        <f t="shared" si="7"/>
        <v>0</v>
      </c>
      <c r="AC15" s="171">
        <f t="shared" si="7"/>
        <v>0</v>
      </c>
    </row>
    <row r="16" spans="1:29">
      <c r="A16" s="170" t="s">
        <v>344</v>
      </c>
      <c r="B16" s="254">
        <f t="shared" si="5"/>
        <v>665290.69935316022</v>
      </c>
      <c r="C16" s="254">
        <f t="shared" si="6"/>
        <v>6607875.0631094351</v>
      </c>
      <c r="D16" s="170">
        <f t="shared" ref="D16:AC16" si="8">+D42*D9</f>
        <v>33015.626430656564</v>
      </c>
      <c r="E16" s="170">
        <f t="shared" si="8"/>
        <v>67231.372250964298</v>
      </c>
      <c r="F16" s="170">
        <f t="shared" si="8"/>
        <v>101765.71706953821</v>
      </c>
      <c r="G16" s="170">
        <f t="shared" si="8"/>
        <v>136994.55314669741</v>
      </c>
      <c r="H16" s="170">
        <f t="shared" si="8"/>
        <v>155346.1708219437</v>
      </c>
      <c r="I16" s="170">
        <f t="shared" si="8"/>
        <v>170937.25963336011</v>
      </c>
      <c r="J16" s="170">
        <f t="shared" si="8"/>
        <v>186622.20195037063</v>
      </c>
      <c r="K16" s="170">
        <f t="shared" si="8"/>
        <v>202581.66513757626</v>
      </c>
      <c r="L16" s="170">
        <f t="shared" si="8"/>
        <v>218900.60504385896</v>
      </c>
      <c r="M16" s="170">
        <f t="shared" si="8"/>
        <v>235572.06165735479</v>
      </c>
      <c r="N16" s="170">
        <f t="shared" si="8"/>
        <v>252611.10593934034</v>
      </c>
      <c r="O16" s="170">
        <f t="shared" si="8"/>
        <v>259099.55890420949</v>
      </c>
      <c r="P16" s="170">
        <f t="shared" si="8"/>
        <v>266402.58126831643</v>
      </c>
      <c r="Q16" s="170">
        <f t="shared" si="8"/>
        <v>274364.96062946192</v>
      </c>
      <c r="R16" s="170">
        <f t="shared" si="8"/>
        <v>282869.41588548344</v>
      </c>
      <c r="S16" s="170">
        <f t="shared" si="8"/>
        <v>291824.90528581763</v>
      </c>
      <c r="T16" s="170">
        <f t="shared" si="8"/>
        <v>301159.15636956668</v>
      </c>
      <c r="U16" s="170">
        <f t="shared" si="8"/>
        <v>310813.72364508745</v>
      </c>
      <c r="V16" s="170">
        <f t="shared" si="8"/>
        <v>320740.61414855975</v>
      </c>
      <c r="W16" s="170">
        <f t="shared" si="8"/>
        <v>330899.93505775725</v>
      </c>
      <c r="X16" s="170">
        <f t="shared" si="8"/>
        <v>341258.20256993547</v>
      </c>
      <c r="Y16" s="170">
        <f t="shared" si="8"/>
        <v>351787.0987615285</v>
      </c>
      <c r="Z16" s="170">
        <f t="shared" si="8"/>
        <v>362462.53731288831</v>
      </c>
      <c r="AA16" s="170">
        <f t="shared" si="8"/>
        <v>373263.92799091979</v>
      </c>
      <c r="AB16" s="170">
        <f t="shared" si="8"/>
        <v>384173.62997819594</v>
      </c>
      <c r="AC16" s="170">
        <f t="shared" si="8"/>
        <v>395176.47622004512</v>
      </c>
    </row>
    <row r="17" spans="1:29">
      <c r="A17" s="252" t="s">
        <v>345</v>
      </c>
      <c r="B17" s="253">
        <f t="shared" si="5"/>
        <v>1.4615713462263915</v>
      </c>
      <c r="C17" s="253">
        <f t="shared" si="6"/>
        <v>5.9154478977071614</v>
      </c>
      <c r="D17" s="252">
        <f t="shared" ref="D17:AC17" si="9">+D43*D9</f>
        <v>8.5389124036460665E-2</v>
      </c>
      <c r="E17" s="252">
        <f t="shared" si="9"/>
        <v>0.16728885091452561</v>
      </c>
      <c r="F17" s="252">
        <f t="shared" si="9"/>
        <v>0.25400169362540126</v>
      </c>
      <c r="G17" s="252">
        <f t="shared" si="9"/>
        <v>0.33675433333456989</v>
      </c>
      <c r="H17" s="252">
        <f t="shared" si="9"/>
        <v>0.31863568800326936</v>
      </c>
      <c r="I17" s="252">
        <f t="shared" si="9"/>
        <v>0.29950165631216469</v>
      </c>
      <c r="J17" s="252">
        <f t="shared" si="9"/>
        <v>0.27878587711571107</v>
      </c>
      <c r="K17" s="252">
        <f t="shared" si="9"/>
        <v>0.26167736540092007</v>
      </c>
      <c r="L17" s="252">
        <f t="shared" si="9"/>
        <v>0.24840359199189593</v>
      </c>
      <c r="M17" s="252">
        <f t="shared" si="9"/>
        <v>0.24061604555473706</v>
      </c>
      <c r="N17" s="252">
        <f t="shared" si="9"/>
        <v>0.23687612452166157</v>
      </c>
      <c r="O17" s="252">
        <f t="shared" si="9"/>
        <v>0.23697639521062835</v>
      </c>
      <c r="P17" s="252">
        <f t="shared" si="9"/>
        <v>0.22625529925571591</v>
      </c>
      <c r="Q17" s="252">
        <f t="shared" si="9"/>
        <v>0.22113646273909376</v>
      </c>
      <c r="R17" s="252">
        <f t="shared" si="9"/>
        <v>0.22427272644801749</v>
      </c>
      <c r="S17" s="252">
        <f t="shared" si="9"/>
        <v>0.22417822255228489</v>
      </c>
      <c r="T17" s="252">
        <f t="shared" si="9"/>
        <v>0.21788915473834913</v>
      </c>
      <c r="U17" s="252">
        <f t="shared" si="9"/>
        <v>0.21618887661713657</v>
      </c>
      <c r="V17" s="252">
        <f t="shared" si="9"/>
        <v>0.21141518476648188</v>
      </c>
      <c r="W17" s="252">
        <f t="shared" si="9"/>
        <v>0.20932987738474879</v>
      </c>
      <c r="X17" s="252">
        <f t="shared" si="9"/>
        <v>0.20993287556693793</v>
      </c>
      <c r="Y17" s="252">
        <f t="shared" si="9"/>
        <v>0.20509486104221658</v>
      </c>
      <c r="Z17" s="252">
        <f t="shared" si="9"/>
        <v>0.20184498850053367</v>
      </c>
      <c r="AA17" s="252">
        <f t="shared" si="9"/>
        <v>0.19981676079459279</v>
      </c>
      <c r="AB17" s="252">
        <f t="shared" si="9"/>
        <v>0.19473653852779713</v>
      </c>
      <c r="AC17" s="252">
        <f t="shared" si="9"/>
        <v>0.18844932275130827</v>
      </c>
    </row>
    <row r="18" spans="1:29">
      <c r="A18" s="252" t="s">
        <v>346</v>
      </c>
      <c r="B18" s="253">
        <f t="shared" si="5"/>
        <v>0.61295490937389596</v>
      </c>
      <c r="C18" s="253">
        <f t="shared" si="6"/>
        <v>2.4379979967844161</v>
      </c>
      <c r="D18" s="252">
        <f t="shared" ref="D18:AC18" si="10">+D44*D9</f>
        <v>3.594630576890491E-2</v>
      </c>
      <c r="E18" s="252">
        <f t="shared" si="10"/>
        <v>7.0731530520163982E-2</v>
      </c>
      <c r="F18" s="252">
        <f t="shared" si="10"/>
        <v>0.10759306409216919</v>
      </c>
      <c r="G18" s="252">
        <f t="shared" si="10"/>
        <v>0.14228425961641034</v>
      </c>
      <c r="H18" s="252">
        <f t="shared" si="10"/>
        <v>0.13316779701730591</v>
      </c>
      <c r="I18" s="252">
        <f t="shared" si="10"/>
        <v>0.12323195235894166</v>
      </c>
      <c r="J18" s="252">
        <f t="shared" si="10"/>
        <v>0.11292770365777503</v>
      </c>
      <c r="K18" s="252">
        <f t="shared" si="10"/>
        <v>0.10503137799570392</v>
      </c>
      <c r="L18" s="252">
        <f t="shared" si="10"/>
        <v>9.8837408993167106E-2</v>
      </c>
      <c r="M18" s="252">
        <f t="shared" si="10"/>
        <v>9.5618515927429953E-2</v>
      </c>
      <c r="N18" s="252">
        <f t="shared" si="10"/>
        <v>9.4405390423575333E-2</v>
      </c>
      <c r="O18" s="252">
        <f t="shared" si="10"/>
        <v>9.4852236519284164E-2</v>
      </c>
      <c r="P18" s="252">
        <f t="shared" si="10"/>
        <v>9.0892922984715518E-2</v>
      </c>
      <c r="Q18" s="252">
        <f t="shared" si="10"/>
        <v>8.9141413578128256E-2</v>
      </c>
      <c r="R18" s="252">
        <f t="shared" si="10"/>
        <v>9.1045544714536783E-2</v>
      </c>
      <c r="S18" s="252">
        <f t="shared" si="10"/>
        <v>9.1522854237318513E-2</v>
      </c>
      <c r="T18" s="252">
        <f t="shared" si="10"/>
        <v>8.9414761261267198E-2</v>
      </c>
      <c r="U18" s="252">
        <f t="shared" si="10"/>
        <v>8.9179967841469449E-2</v>
      </c>
      <c r="V18" s="252">
        <f t="shared" si="10"/>
        <v>8.7580354460458837E-2</v>
      </c>
      <c r="W18" s="252">
        <f t="shared" si="10"/>
        <v>8.7132991468477278E-2</v>
      </c>
      <c r="X18" s="252">
        <f t="shared" si="10"/>
        <v>8.7994630765506635E-2</v>
      </c>
      <c r="Y18" s="252">
        <f t="shared" si="10"/>
        <v>8.6226973911257748E-2</v>
      </c>
      <c r="Z18" s="252">
        <f t="shared" si="10"/>
        <v>8.5300879679625879E-2</v>
      </c>
      <c r="AA18" s="252">
        <f t="shared" si="10"/>
        <v>8.4611609412257011E-2</v>
      </c>
      <c r="AB18" s="252">
        <f t="shared" si="10"/>
        <v>8.2883831900632379E-2</v>
      </c>
      <c r="AC18" s="252">
        <f t="shared" si="10"/>
        <v>8.04417176779334E-2</v>
      </c>
    </row>
    <row r="19" spans="1:29">
      <c r="A19" s="252" t="s">
        <v>347</v>
      </c>
      <c r="B19" s="253">
        <f t="shared" si="5"/>
        <v>5.2485745114704345</v>
      </c>
      <c r="C19" s="253">
        <f t="shared" si="6"/>
        <v>24.711406357609633</v>
      </c>
      <c r="D19" s="252">
        <f t="shared" ref="D19:AC19" si="11">+D45*D9</f>
        <v>0.3027475135826288</v>
      </c>
      <c r="E19" s="252">
        <f t="shared" si="11"/>
        <v>0.58683245437495501</v>
      </c>
      <c r="F19" s="252">
        <f t="shared" si="11"/>
        <v>0.88900662112545636</v>
      </c>
      <c r="G19" s="252">
        <f t="shared" si="11"/>
        <v>1.1852200233747077</v>
      </c>
      <c r="H19" s="252">
        <f t="shared" si="11"/>
        <v>1.1468160741437785</v>
      </c>
      <c r="I19" s="252">
        <f t="shared" si="11"/>
        <v>1.1379518248689087</v>
      </c>
      <c r="J19" s="252">
        <f t="shared" si="11"/>
        <v>1.12273441766733</v>
      </c>
      <c r="K19" s="252">
        <f t="shared" si="11"/>
        <v>1.1061602965005901</v>
      </c>
      <c r="L19" s="252">
        <f t="shared" si="11"/>
        <v>1.082921535699259</v>
      </c>
      <c r="M19" s="252">
        <f t="shared" si="11"/>
        <v>1.0614883214104924</v>
      </c>
      <c r="N19" s="252">
        <f t="shared" si="11"/>
        <v>1.0533658800136443</v>
      </c>
      <c r="O19" s="252">
        <f t="shared" si="11"/>
        <v>1.0547121850067944</v>
      </c>
      <c r="P19" s="252">
        <f t="shared" si="11"/>
        <v>1.0149876722352027</v>
      </c>
      <c r="Q19" s="252">
        <f t="shared" si="11"/>
        <v>0.99109755386310072</v>
      </c>
      <c r="R19" s="252">
        <f t="shared" si="11"/>
        <v>1.0029596403257597</v>
      </c>
      <c r="S19" s="252">
        <f t="shared" si="11"/>
        <v>0.99874668284041368</v>
      </c>
      <c r="T19" s="252">
        <f t="shared" si="11"/>
        <v>0.96485072766006252</v>
      </c>
      <c r="U19" s="252">
        <f t="shared" si="11"/>
        <v>0.94932205898929123</v>
      </c>
      <c r="V19" s="252">
        <f t="shared" si="11"/>
        <v>0.92698348752959225</v>
      </c>
      <c r="W19" s="252">
        <f t="shared" si="11"/>
        <v>0.9130119913834146</v>
      </c>
      <c r="X19" s="252">
        <f t="shared" si="11"/>
        <v>0.91130340208146976</v>
      </c>
      <c r="Y19" s="252">
        <f t="shared" si="11"/>
        <v>0.89051715389658814</v>
      </c>
      <c r="Z19" s="252">
        <f t="shared" si="11"/>
        <v>0.87642759729477826</v>
      </c>
      <c r="AA19" s="252">
        <f t="shared" si="11"/>
        <v>0.8682089818216373</v>
      </c>
      <c r="AB19" s="252">
        <f t="shared" si="11"/>
        <v>0.84824811099559672</v>
      </c>
      <c r="AC19" s="252">
        <f t="shared" si="11"/>
        <v>0.82478414892417662</v>
      </c>
    </row>
    <row r="20" spans="1:29">
      <c r="A20" s="252" t="s">
        <v>348</v>
      </c>
      <c r="B20" s="253">
        <f t="shared" si="5"/>
        <v>24.874769851235381</v>
      </c>
      <c r="C20" s="253">
        <f t="shared" si="6"/>
        <v>117.34226190378442</v>
      </c>
      <c r="D20" s="252">
        <f t="shared" ref="D20:AC20" si="12">+D46*D9</f>
        <v>1.4345686288613331</v>
      </c>
      <c r="E20" s="252">
        <f t="shared" si="12"/>
        <v>2.7802876086212325</v>
      </c>
      <c r="F20" s="252">
        <f t="shared" si="12"/>
        <v>4.2117897112919058</v>
      </c>
      <c r="G20" s="252">
        <f t="shared" si="12"/>
        <v>5.6155830869077139</v>
      </c>
      <c r="H20" s="252">
        <f t="shared" si="12"/>
        <v>5.4353193714795305</v>
      </c>
      <c r="I20" s="252">
        <f t="shared" si="12"/>
        <v>5.3972214440736641</v>
      </c>
      <c r="J20" s="252">
        <f t="shared" si="12"/>
        <v>5.3289692495003891</v>
      </c>
      <c r="K20" s="252">
        <f t="shared" si="12"/>
        <v>5.2533494289693863</v>
      </c>
      <c r="L20" s="252">
        <f t="shared" si="12"/>
        <v>5.1448098575976227</v>
      </c>
      <c r="M20" s="252">
        <f t="shared" si="12"/>
        <v>5.0436563994841954</v>
      </c>
      <c r="N20" s="252">
        <f t="shared" si="12"/>
        <v>5.0055068435969314</v>
      </c>
      <c r="O20" s="252">
        <f t="shared" si="12"/>
        <v>5.0119504679353319</v>
      </c>
      <c r="P20" s="252">
        <f t="shared" si="12"/>
        <v>4.8236008078946631</v>
      </c>
      <c r="Q20" s="252">
        <f t="shared" si="12"/>
        <v>4.7100162242035886</v>
      </c>
      <c r="R20" s="252">
        <f t="shared" si="12"/>
        <v>4.7662718416132037</v>
      </c>
      <c r="S20" s="252">
        <f t="shared" si="12"/>
        <v>4.7460504660659337</v>
      </c>
      <c r="T20" s="252">
        <f t="shared" si="12"/>
        <v>4.5846656304712186</v>
      </c>
      <c r="U20" s="252">
        <f t="shared" si="12"/>
        <v>4.5104532052256765</v>
      </c>
      <c r="V20" s="252">
        <f t="shared" si="12"/>
        <v>4.4042427234887187</v>
      </c>
      <c r="W20" s="252">
        <f t="shared" si="12"/>
        <v>4.3376022373888539</v>
      </c>
      <c r="X20" s="252">
        <f t="shared" si="12"/>
        <v>4.3292497355986583</v>
      </c>
      <c r="Y20" s="252">
        <f t="shared" si="12"/>
        <v>4.2305130280686978</v>
      </c>
      <c r="Z20" s="252">
        <f t="shared" si="12"/>
        <v>4.1635782264420858</v>
      </c>
      <c r="AA20" s="252">
        <f t="shared" si="12"/>
        <v>4.1245658265238303</v>
      </c>
      <c r="AB20" s="252">
        <f t="shared" si="12"/>
        <v>4.0298510713830922</v>
      </c>
      <c r="AC20" s="252">
        <f t="shared" si="12"/>
        <v>3.9185887810969429</v>
      </c>
    </row>
    <row r="21" spans="1:29">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65"/>
    </row>
    <row r="22" spans="1:29" ht="18.600000000000001">
      <c r="A22" s="213" t="s">
        <v>349</v>
      </c>
      <c r="B22" s="213"/>
      <c r="C22" s="213"/>
    </row>
    <row r="23" spans="1:29">
      <c r="A23" s="742" t="s">
        <v>415</v>
      </c>
      <c r="B23" s="742"/>
      <c r="C23" s="742"/>
      <c r="D23" s="742"/>
      <c r="E23" s="742"/>
      <c r="F23" s="742"/>
    </row>
    <row r="25" spans="1:29" ht="18.600000000000001">
      <c r="A25" s="213" t="s">
        <v>351</v>
      </c>
    </row>
    <row r="26" spans="1:29" ht="29.1">
      <c r="A26" s="169" t="s">
        <v>352</v>
      </c>
      <c r="B26" s="212" t="s">
        <v>331</v>
      </c>
      <c r="C26" s="212" t="s">
        <v>332</v>
      </c>
      <c r="D26" s="169">
        <v>2025</v>
      </c>
      <c r="E26" s="169">
        <v>2026</v>
      </c>
      <c r="F26" s="169">
        <v>2027</v>
      </c>
      <c r="G26" s="169">
        <v>2028</v>
      </c>
      <c r="H26" s="169">
        <v>2029</v>
      </c>
      <c r="I26" s="169">
        <v>2030</v>
      </c>
      <c r="J26" s="169">
        <v>2031</v>
      </c>
      <c r="K26" s="169">
        <v>2032</v>
      </c>
      <c r="L26" s="169">
        <v>2033</v>
      </c>
      <c r="M26" s="169">
        <v>2034</v>
      </c>
      <c r="N26" s="169">
        <v>2035</v>
      </c>
      <c r="O26" s="169">
        <v>2036</v>
      </c>
      <c r="P26" s="169">
        <v>2037</v>
      </c>
      <c r="Q26" s="169">
        <v>2038</v>
      </c>
      <c r="R26" s="169">
        <v>2039</v>
      </c>
      <c r="S26" s="169">
        <v>2040</v>
      </c>
      <c r="T26" s="169">
        <v>2041</v>
      </c>
      <c r="U26" s="169">
        <v>2042</v>
      </c>
      <c r="V26" s="169">
        <v>2043</v>
      </c>
      <c r="W26" s="169">
        <v>2044</v>
      </c>
      <c r="X26" s="169">
        <v>2045</v>
      </c>
      <c r="Y26" s="169">
        <v>2046</v>
      </c>
      <c r="Z26" s="169">
        <v>2047</v>
      </c>
      <c r="AA26" s="169">
        <v>2048</v>
      </c>
      <c r="AB26" s="169">
        <v>2049</v>
      </c>
      <c r="AC26" s="169">
        <v>2050</v>
      </c>
    </row>
    <row r="27" spans="1:29">
      <c r="A27" s="183" t="s">
        <v>353</v>
      </c>
      <c r="B27" s="183">
        <f t="shared" ref="B27:B36" si="13">+I27</f>
        <v>914706.8</v>
      </c>
      <c r="C27" s="183">
        <f t="shared" ref="C27:C36" si="14">+AC27</f>
        <v>1381856.49</v>
      </c>
      <c r="D27" s="183">
        <v>367728.89</v>
      </c>
      <c r="E27" s="183">
        <v>481552.95</v>
      </c>
      <c r="F27" s="183">
        <v>596507.35</v>
      </c>
      <c r="G27" s="183">
        <v>708979.99</v>
      </c>
      <c r="H27" s="183">
        <v>815867.78</v>
      </c>
      <c r="I27" s="183">
        <v>914706.8</v>
      </c>
      <c r="J27" s="183">
        <v>996521.37</v>
      </c>
      <c r="K27" s="183">
        <v>1064205.6399999999</v>
      </c>
      <c r="L27" s="183">
        <v>1120161.77</v>
      </c>
      <c r="M27" s="183">
        <v>1166605.3500000001</v>
      </c>
      <c r="N27" s="183">
        <v>1205153.53</v>
      </c>
      <c r="O27" s="183">
        <v>1237148.51</v>
      </c>
      <c r="P27" s="183">
        <v>1263704.3500000001</v>
      </c>
      <c r="Q27" s="183">
        <v>1285745.7</v>
      </c>
      <c r="R27" s="183">
        <v>1304040.01</v>
      </c>
      <c r="S27" s="183">
        <v>1319224.29</v>
      </c>
      <c r="T27" s="183">
        <v>1331827.25</v>
      </c>
      <c r="U27" s="183">
        <v>1342287.7</v>
      </c>
      <c r="V27" s="183">
        <v>1350969.87</v>
      </c>
      <c r="W27" s="183">
        <v>1358176.07</v>
      </c>
      <c r="X27" s="183">
        <v>1364157.22</v>
      </c>
      <c r="Y27" s="183">
        <v>1369121.58</v>
      </c>
      <c r="Z27" s="183">
        <v>1373241.99</v>
      </c>
      <c r="AA27" s="183">
        <v>1376661.94</v>
      </c>
      <c r="AB27" s="183">
        <v>1379500.49</v>
      </c>
      <c r="AC27" s="183">
        <v>1381856.49</v>
      </c>
    </row>
    <row r="28" spans="1:29">
      <c r="A28" s="171" t="s">
        <v>339</v>
      </c>
      <c r="B28" s="183">
        <f t="shared" si="13"/>
        <v>1557330</v>
      </c>
      <c r="C28" s="183">
        <f t="shared" si="14"/>
        <v>745360</v>
      </c>
      <c r="D28" s="183">
        <v>1331460</v>
      </c>
      <c r="E28" s="183">
        <v>1536780</v>
      </c>
      <c r="F28" s="183">
        <v>1710960</v>
      </c>
      <c r="G28" s="183">
        <v>1788260</v>
      </c>
      <c r="H28" s="183">
        <v>1719790</v>
      </c>
      <c r="I28" s="183">
        <v>1557330</v>
      </c>
      <c r="J28" s="183">
        <v>1543120</v>
      </c>
      <c r="K28" s="183">
        <v>1493570</v>
      </c>
      <c r="L28" s="183">
        <v>1421800</v>
      </c>
      <c r="M28" s="183">
        <v>1348300</v>
      </c>
      <c r="N28" s="183">
        <v>1272320</v>
      </c>
      <c r="O28" s="183">
        <v>1211020</v>
      </c>
      <c r="P28" s="183">
        <v>1090400</v>
      </c>
      <c r="Q28" s="183">
        <v>991610</v>
      </c>
      <c r="R28" s="183">
        <v>920370</v>
      </c>
      <c r="S28" s="183">
        <v>831900</v>
      </c>
      <c r="T28" s="183">
        <v>819260</v>
      </c>
      <c r="U28" s="183">
        <v>822660</v>
      </c>
      <c r="V28" s="183">
        <v>810940</v>
      </c>
      <c r="W28" s="183">
        <v>809630</v>
      </c>
      <c r="X28" s="183">
        <v>817540</v>
      </c>
      <c r="Y28" s="183">
        <v>802400</v>
      </c>
      <c r="Z28" s="183">
        <v>792900</v>
      </c>
      <c r="AA28" s="183">
        <v>787370</v>
      </c>
      <c r="AB28" s="183">
        <v>769200</v>
      </c>
      <c r="AC28" s="183">
        <v>745360</v>
      </c>
    </row>
    <row r="29" spans="1:29">
      <c r="A29" s="250" t="s">
        <v>354</v>
      </c>
      <c r="B29" s="250">
        <f t="shared" si="13"/>
        <v>3623786810</v>
      </c>
      <c r="C29" s="250">
        <f t="shared" si="14"/>
        <v>99527505</v>
      </c>
      <c r="D29" s="250">
        <v>3988983815</v>
      </c>
      <c r="E29" s="250">
        <v>4174593678</v>
      </c>
      <c r="F29" s="250">
        <v>4216222793</v>
      </c>
      <c r="G29" s="250">
        <v>4125985874</v>
      </c>
      <c r="H29" s="250">
        <v>3920000000</v>
      </c>
      <c r="I29" s="250">
        <v>3623786810</v>
      </c>
      <c r="J29" s="250">
        <v>3000568456</v>
      </c>
      <c r="K29" s="250">
        <v>2485168037</v>
      </c>
      <c r="L29" s="250">
        <v>2058938096</v>
      </c>
      <c r="M29" s="250">
        <v>1712916331</v>
      </c>
      <c r="N29" s="250">
        <v>1425465308</v>
      </c>
      <c r="O29" s="250">
        <v>1186322289</v>
      </c>
      <c r="P29" s="250">
        <v>987468546</v>
      </c>
      <c r="Q29" s="250">
        <v>821848583</v>
      </c>
      <c r="R29" s="250">
        <v>683871664</v>
      </c>
      <c r="S29" s="250">
        <v>568808577</v>
      </c>
      <c r="T29" s="250">
        <v>472881072</v>
      </c>
      <c r="U29" s="250">
        <v>393179502</v>
      </c>
      <c r="V29" s="250">
        <v>327425428</v>
      </c>
      <c r="W29" s="250">
        <v>273641534</v>
      </c>
      <c r="X29" s="250">
        <v>229702437</v>
      </c>
      <c r="Y29" s="250">
        <v>193633300</v>
      </c>
      <c r="Z29" s="250">
        <v>163690389</v>
      </c>
      <c r="AA29" s="250">
        <v>138618243</v>
      </c>
      <c r="AB29" s="250">
        <v>117473269</v>
      </c>
      <c r="AC29" s="250">
        <v>99527505</v>
      </c>
    </row>
    <row r="30" spans="1:29">
      <c r="A30" s="206" t="s">
        <v>355</v>
      </c>
      <c r="B30" s="206">
        <f t="shared" si="13"/>
        <v>12683</v>
      </c>
      <c r="C30" s="206">
        <f t="shared" si="14"/>
        <v>348</v>
      </c>
      <c r="D30" s="206">
        <v>13961</v>
      </c>
      <c r="E30" s="206">
        <v>14611</v>
      </c>
      <c r="F30" s="206">
        <v>14757</v>
      </c>
      <c r="G30" s="206">
        <v>14441</v>
      </c>
      <c r="H30" s="206">
        <v>13722</v>
      </c>
      <c r="I30" s="206">
        <v>12683</v>
      </c>
      <c r="J30" s="206">
        <v>10502</v>
      </c>
      <c r="K30" s="206">
        <v>8698</v>
      </c>
      <c r="L30" s="206">
        <v>7206</v>
      </c>
      <c r="M30" s="206">
        <v>5995</v>
      </c>
      <c r="N30" s="206">
        <v>4989</v>
      </c>
      <c r="O30" s="206">
        <v>4152</v>
      </c>
      <c r="P30" s="206">
        <v>3456</v>
      </c>
      <c r="Q30" s="206">
        <v>2876</v>
      </c>
      <c r="R30" s="206">
        <v>2394</v>
      </c>
      <c r="S30" s="206">
        <v>1991</v>
      </c>
      <c r="T30" s="206">
        <v>1655</v>
      </c>
      <c r="U30" s="206">
        <v>1376</v>
      </c>
      <c r="V30" s="206">
        <v>1146</v>
      </c>
      <c r="W30" s="206">
        <v>958</v>
      </c>
      <c r="X30" s="206">
        <v>804</v>
      </c>
      <c r="Y30" s="206">
        <v>678</v>
      </c>
      <c r="Z30" s="206">
        <v>573</v>
      </c>
      <c r="AA30" s="206">
        <v>485</v>
      </c>
      <c r="AB30" s="206">
        <v>411</v>
      </c>
      <c r="AC30" s="206">
        <v>348</v>
      </c>
    </row>
    <row r="31" spans="1:29">
      <c r="A31" s="209" t="s">
        <v>356</v>
      </c>
      <c r="B31" s="209">
        <f t="shared" si="13"/>
        <v>0.12740000000000001</v>
      </c>
      <c r="C31" s="209">
        <f t="shared" si="14"/>
        <v>9.1300000000000006E-2</v>
      </c>
      <c r="D31" s="209">
        <v>0.12740000000000001</v>
      </c>
      <c r="E31" s="209">
        <v>0.12740000000000001</v>
      </c>
      <c r="F31" s="209">
        <v>0.12740000000000001</v>
      </c>
      <c r="G31" s="209">
        <v>0.12740000000000001</v>
      </c>
      <c r="H31" s="209">
        <v>0.12740000000000001</v>
      </c>
      <c r="I31" s="209">
        <v>0.12740000000000001</v>
      </c>
      <c r="J31" s="209">
        <v>0.12740000000000001</v>
      </c>
      <c r="K31" s="209">
        <v>0.12740000000000001</v>
      </c>
      <c r="L31" s="209">
        <v>0.12740000000000001</v>
      </c>
      <c r="M31" s="209">
        <v>0.12740000000000001</v>
      </c>
      <c r="N31" s="209">
        <v>9.1300000000000006E-2</v>
      </c>
      <c r="O31" s="209">
        <v>9.1300000000000006E-2</v>
      </c>
      <c r="P31" s="209">
        <v>9.1300000000000006E-2</v>
      </c>
      <c r="Q31" s="209">
        <v>9.1300000000000006E-2</v>
      </c>
      <c r="R31" s="209">
        <v>9.1300000000000006E-2</v>
      </c>
      <c r="S31" s="209">
        <v>9.1300000000000006E-2</v>
      </c>
      <c r="T31" s="209">
        <v>9.1300000000000006E-2</v>
      </c>
      <c r="U31" s="209">
        <v>9.1300000000000006E-2</v>
      </c>
      <c r="V31" s="209">
        <v>9.1300000000000006E-2</v>
      </c>
      <c r="W31" s="209">
        <v>9.1300000000000006E-2</v>
      </c>
      <c r="X31" s="209">
        <v>9.1300000000000006E-2</v>
      </c>
      <c r="Y31" s="209">
        <v>9.1300000000000006E-2</v>
      </c>
      <c r="Z31" s="209">
        <v>9.1300000000000006E-2</v>
      </c>
      <c r="AA31" s="209">
        <v>9.1300000000000006E-2</v>
      </c>
      <c r="AB31" s="209">
        <v>9.1300000000000006E-2</v>
      </c>
      <c r="AC31" s="209">
        <v>9.1300000000000006E-2</v>
      </c>
    </row>
    <row r="32" spans="1:29">
      <c r="A32" s="208" t="s">
        <v>344</v>
      </c>
      <c r="B32" s="208">
        <f t="shared" si="13"/>
        <v>-434326316</v>
      </c>
      <c r="C32" s="208">
        <f t="shared" si="14"/>
        <v>-1516881051</v>
      </c>
      <c r="D32" s="208">
        <v>-134897774</v>
      </c>
      <c r="E32" s="208">
        <v>-179863698</v>
      </c>
      <c r="F32" s="208">
        <v>-224829623</v>
      </c>
      <c r="G32" s="208">
        <v>-269795547</v>
      </c>
      <c r="H32" s="208">
        <v>-352060932</v>
      </c>
      <c r="I32" s="208">
        <v>-434326316</v>
      </c>
      <c r="J32" s="208">
        <v>-516591701</v>
      </c>
      <c r="K32" s="208">
        <v>-598857085</v>
      </c>
      <c r="L32" s="208">
        <v>-681122470</v>
      </c>
      <c r="M32" s="208">
        <v>-763387854</v>
      </c>
      <c r="N32" s="208">
        <v>-845653239</v>
      </c>
      <c r="O32" s="208">
        <v>-890401759</v>
      </c>
      <c r="P32" s="208">
        <v>-935150280</v>
      </c>
      <c r="Q32" s="208">
        <v>-979898801</v>
      </c>
      <c r="R32" s="208">
        <v>-1024647322</v>
      </c>
      <c r="S32" s="208">
        <v>-1069395843</v>
      </c>
      <c r="T32" s="208">
        <v>-1114144364</v>
      </c>
      <c r="U32" s="208">
        <v>-1158892884</v>
      </c>
      <c r="V32" s="208">
        <v>-1203641405</v>
      </c>
      <c r="W32" s="208">
        <v>-1248389926</v>
      </c>
      <c r="X32" s="208">
        <v>-1293138447</v>
      </c>
      <c r="Y32" s="208">
        <v>-1337886968</v>
      </c>
      <c r="Z32" s="208">
        <v>-1382635489</v>
      </c>
      <c r="AA32" s="208">
        <v>-1427384009</v>
      </c>
      <c r="AB32" s="208">
        <v>-1472132530</v>
      </c>
      <c r="AC32" s="208">
        <v>-1516881051</v>
      </c>
    </row>
    <row r="33" spans="1:29">
      <c r="A33" s="206" t="s">
        <v>345</v>
      </c>
      <c r="B33" s="206">
        <f t="shared" si="13"/>
        <v>-760.98944900000004</v>
      </c>
      <c r="C33" s="206">
        <f t="shared" si="14"/>
        <v>-723.36088800000005</v>
      </c>
      <c r="D33" s="206">
        <v>-348.88941999999997</v>
      </c>
      <c r="E33" s="206">
        <v>-447.54688700000003</v>
      </c>
      <c r="F33" s="206">
        <v>-561.162508</v>
      </c>
      <c r="G33" s="206">
        <v>-663.20023300000003</v>
      </c>
      <c r="H33" s="206">
        <v>-722.12386500000002</v>
      </c>
      <c r="I33" s="206">
        <v>-760.98944900000004</v>
      </c>
      <c r="J33" s="206">
        <v>-771.71134500000005</v>
      </c>
      <c r="K33" s="206">
        <v>-773.551467</v>
      </c>
      <c r="L33" s="206">
        <v>-772.92279799999994</v>
      </c>
      <c r="M33" s="206">
        <v>-779.73323900000003</v>
      </c>
      <c r="N33" s="206">
        <v>-792.97804900000006</v>
      </c>
      <c r="O33" s="206">
        <v>-814.37498400000004</v>
      </c>
      <c r="P33" s="206">
        <v>-794.22168299999998</v>
      </c>
      <c r="Q33" s="206">
        <v>-789.79237799999999</v>
      </c>
      <c r="R33" s="206">
        <v>-812.390579</v>
      </c>
      <c r="S33" s="206">
        <v>-821.50376800000004</v>
      </c>
      <c r="T33" s="206">
        <v>-806.08531600000003</v>
      </c>
      <c r="U33" s="206">
        <v>-806.07686100000001</v>
      </c>
      <c r="V33" s="206">
        <v>-793.37651300000005</v>
      </c>
      <c r="W33" s="206">
        <v>-789.74119499999995</v>
      </c>
      <c r="X33" s="206">
        <v>-795.50402199999996</v>
      </c>
      <c r="Y33" s="206">
        <v>-779.99944500000004</v>
      </c>
      <c r="Z33" s="206">
        <v>-769.95003799999995</v>
      </c>
      <c r="AA33" s="206">
        <v>-764.11147100000005</v>
      </c>
      <c r="AB33" s="206">
        <v>-746.21986200000003</v>
      </c>
      <c r="AC33" s="206">
        <v>-723.36088800000005</v>
      </c>
    </row>
    <row r="34" spans="1:29">
      <c r="A34" s="206" t="s">
        <v>347</v>
      </c>
      <c r="B34" s="206">
        <f t="shared" si="13"/>
        <v>-313.11417999999998</v>
      </c>
      <c r="C34" s="206">
        <f t="shared" si="14"/>
        <v>-308.77474899999999</v>
      </c>
      <c r="D34" s="206">
        <v>-146.87216799999999</v>
      </c>
      <c r="E34" s="206">
        <v>-189.22765100000001</v>
      </c>
      <c r="F34" s="206">
        <v>-237.703902</v>
      </c>
      <c r="G34" s="206">
        <v>-280.21303599999999</v>
      </c>
      <c r="H34" s="206">
        <v>-301.79809699999998</v>
      </c>
      <c r="I34" s="206">
        <v>-313.11417999999998</v>
      </c>
      <c r="J34" s="206">
        <v>-312.59686099999999</v>
      </c>
      <c r="K34" s="206">
        <v>-310.48606899999999</v>
      </c>
      <c r="L34" s="206">
        <v>-307.53857499999998</v>
      </c>
      <c r="M34" s="206">
        <v>-309.85853400000002</v>
      </c>
      <c r="N34" s="206">
        <v>-316.03608200000002</v>
      </c>
      <c r="O34" s="206">
        <v>-325.96195299999999</v>
      </c>
      <c r="P34" s="206">
        <v>-319.06050599999998</v>
      </c>
      <c r="Q34" s="206">
        <v>-318.36997000000002</v>
      </c>
      <c r="R34" s="206">
        <v>-329.79731399999997</v>
      </c>
      <c r="S34" s="206">
        <v>-335.38659000000001</v>
      </c>
      <c r="T34" s="206">
        <v>-330.79171000000002</v>
      </c>
      <c r="U34" s="206">
        <v>-332.51437199999998</v>
      </c>
      <c r="V34" s="206">
        <v>-328.66227800000001</v>
      </c>
      <c r="W34" s="206">
        <v>-328.727622</v>
      </c>
      <c r="X34" s="206">
        <v>-333.44030800000002</v>
      </c>
      <c r="Y34" s="206">
        <v>-327.93114100000003</v>
      </c>
      <c r="Z34" s="206">
        <v>-325.38541600000002</v>
      </c>
      <c r="AA34" s="206">
        <v>-323.55995100000001</v>
      </c>
      <c r="AB34" s="206">
        <v>-317.60635200000002</v>
      </c>
      <c r="AC34" s="206">
        <v>-308.77474899999999</v>
      </c>
    </row>
    <row r="35" spans="1:29">
      <c r="A35" s="206" t="s">
        <v>346</v>
      </c>
      <c r="B35" s="206">
        <f t="shared" si="13"/>
        <v>-2891.3674230000001</v>
      </c>
      <c r="C35" s="206">
        <f t="shared" si="14"/>
        <v>-3165.9259139999999</v>
      </c>
      <c r="D35" s="206">
        <v>-1236.9889680000001</v>
      </c>
      <c r="E35" s="206">
        <v>-1569.9494420000001</v>
      </c>
      <c r="F35" s="206">
        <v>-1964.0703100000001</v>
      </c>
      <c r="G35" s="206">
        <v>-2334.1591119999998</v>
      </c>
      <c r="H35" s="206">
        <v>-2599.0285680000002</v>
      </c>
      <c r="I35" s="206">
        <v>-2891.3674230000001</v>
      </c>
      <c r="J35" s="206">
        <v>-3107.8578889999999</v>
      </c>
      <c r="K35" s="206">
        <v>-3269.950073</v>
      </c>
      <c r="L35" s="206">
        <v>-3369.5758449999998</v>
      </c>
      <c r="M35" s="206">
        <v>-3439.8276519999999</v>
      </c>
      <c r="N35" s="206">
        <v>-3526.2989130000001</v>
      </c>
      <c r="O35" s="206">
        <v>-3624.5433560000001</v>
      </c>
      <c r="P35" s="206">
        <v>-3562.9009350000001</v>
      </c>
      <c r="Q35" s="206">
        <v>-3539.7206059999999</v>
      </c>
      <c r="R35" s="206">
        <v>-3633.054165</v>
      </c>
      <c r="S35" s="206">
        <v>-3659.9191209999999</v>
      </c>
      <c r="T35" s="206">
        <v>-3569.4846980000002</v>
      </c>
      <c r="U35" s="206">
        <v>-3539.6203420000002</v>
      </c>
      <c r="V35" s="206">
        <v>-3478.6854490000001</v>
      </c>
      <c r="W35" s="206">
        <v>-3444.5306620000001</v>
      </c>
      <c r="X35" s="206">
        <v>-3453.2253209999999</v>
      </c>
      <c r="Y35" s="206">
        <v>-3386.739591</v>
      </c>
      <c r="Z35" s="206">
        <v>-3343.1866049999999</v>
      </c>
      <c r="AA35" s="206">
        <v>-3320.0840589999998</v>
      </c>
      <c r="AB35" s="206">
        <v>-3250.440791</v>
      </c>
      <c r="AC35" s="206">
        <v>-3165.9259139999999</v>
      </c>
    </row>
    <row r="36" spans="1:29">
      <c r="A36" s="206" t="s">
        <v>348</v>
      </c>
      <c r="B36" s="206">
        <f t="shared" si="13"/>
        <v>-13713.542100000001</v>
      </c>
      <c r="C36" s="206">
        <f t="shared" si="14"/>
        <v>-15041.464830000001</v>
      </c>
      <c r="D36" s="206">
        <v>-5861.4703280000003</v>
      </c>
      <c r="E36" s="206">
        <v>-7438.0872209999998</v>
      </c>
      <c r="F36" s="206">
        <v>-9305.050072</v>
      </c>
      <c r="G36" s="206">
        <v>-11059.26678</v>
      </c>
      <c r="H36" s="206">
        <v>-12318.06097</v>
      </c>
      <c r="I36" s="206">
        <v>-13713.542100000001</v>
      </c>
      <c r="J36" s="206">
        <v>-14751.199269999999</v>
      </c>
      <c r="K36" s="206">
        <v>-15529.566919999999</v>
      </c>
      <c r="L36" s="206">
        <v>-16008.386990000001</v>
      </c>
      <c r="M36" s="206">
        <v>-16344.32372</v>
      </c>
      <c r="N36" s="206">
        <v>-16756.678449999999</v>
      </c>
      <c r="O36" s="206">
        <v>-17223.686259999999</v>
      </c>
      <c r="P36" s="206">
        <v>-16932.237010000001</v>
      </c>
      <c r="Q36" s="206">
        <v>-16821.897519999999</v>
      </c>
      <c r="R36" s="206">
        <v>-17265.0255</v>
      </c>
      <c r="S36" s="206">
        <v>-17391.958490000001</v>
      </c>
      <c r="T36" s="206">
        <v>-16961.062829999999</v>
      </c>
      <c r="U36" s="206">
        <v>-16817.571830000001</v>
      </c>
      <c r="V36" s="206">
        <v>-16527.775610000001</v>
      </c>
      <c r="W36" s="206">
        <v>-16364.521000000001</v>
      </c>
      <c r="X36" s="206">
        <v>-16404.936900000001</v>
      </c>
      <c r="Y36" s="206">
        <v>-16089.12967</v>
      </c>
      <c r="Z36" s="206">
        <v>-15882.223470000001</v>
      </c>
      <c r="AA36" s="206">
        <v>-15772.59109</v>
      </c>
      <c r="AB36" s="206">
        <v>-15442.170910000001</v>
      </c>
      <c r="AC36" s="206">
        <v>-15041.464830000001</v>
      </c>
    </row>
    <row r="37" spans="1:29">
      <c r="A37" s="165"/>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row>
    <row r="38" spans="1:29" ht="15.6">
      <c r="A38" s="205" t="s">
        <v>357</v>
      </c>
      <c r="B38" s="171"/>
      <c r="C38" s="171"/>
      <c r="D38" s="204"/>
      <c r="E38" s="203"/>
      <c r="F38" s="203"/>
      <c r="G38" s="203"/>
      <c r="H38" s="203"/>
      <c r="I38" s="203"/>
      <c r="J38" s="203"/>
      <c r="K38" s="203"/>
      <c r="L38" s="203"/>
      <c r="M38" s="165"/>
      <c r="N38" s="165"/>
      <c r="O38" s="165"/>
      <c r="P38" s="165"/>
      <c r="Q38" s="165"/>
      <c r="R38" s="165"/>
      <c r="S38" s="165"/>
      <c r="T38" s="165"/>
      <c r="U38" s="165"/>
      <c r="V38" s="165"/>
      <c r="W38" s="165"/>
      <c r="X38" s="165"/>
      <c r="Y38" s="165"/>
      <c r="Z38" s="165"/>
      <c r="AA38" s="165"/>
      <c r="AB38" s="165"/>
      <c r="AC38" s="165"/>
    </row>
    <row r="39" spans="1:29">
      <c r="A39" s="201" t="s">
        <v>339</v>
      </c>
      <c r="B39" s="202">
        <f t="shared" ref="B39:AC39" si="15">+B28/B27</f>
        <v>1.702545558861047</v>
      </c>
      <c r="C39" s="202">
        <f t="shared" si="15"/>
        <v>0.53939030962614654</v>
      </c>
      <c r="D39" s="202">
        <f t="shared" si="15"/>
        <v>3.6207652871657703</v>
      </c>
      <c r="E39" s="202">
        <f t="shared" si="15"/>
        <v>3.1913001467439872</v>
      </c>
      <c r="F39" s="202">
        <f t="shared" si="15"/>
        <v>2.8682965934954532</v>
      </c>
      <c r="G39" s="202">
        <f t="shared" si="15"/>
        <v>2.5222996773152935</v>
      </c>
      <c r="H39" s="202">
        <f t="shared" si="15"/>
        <v>2.1079273408737871</v>
      </c>
      <c r="I39" s="202">
        <f t="shared" si="15"/>
        <v>1.702545558861047</v>
      </c>
      <c r="J39" s="202">
        <f t="shared" si="15"/>
        <v>1.5485066817985047</v>
      </c>
      <c r="K39" s="202">
        <f t="shared" si="15"/>
        <v>1.4034599553522382</v>
      </c>
      <c r="L39" s="202">
        <f t="shared" si="15"/>
        <v>1.2692809539465</v>
      </c>
      <c r="M39" s="202">
        <f t="shared" si="15"/>
        <v>1.1557464570173623</v>
      </c>
      <c r="N39" s="202">
        <f t="shared" si="15"/>
        <v>1.0557327081803427</v>
      </c>
      <c r="O39" s="202">
        <f t="shared" si="15"/>
        <v>0.97888005377786047</v>
      </c>
      <c r="P39" s="202">
        <f t="shared" si="15"/>
        <v>0.8628600510871075</v>
      </c>
      <c r="Q39" s="202">
        <f t="shared" si="15"/>
        <v>0.7712333784200095</v>
      </c>
      <c r="R39" s="202">
        <f t="shared" si="15"/>
        <v>0.70578355950903682</v>
      </c>
      <c r="S39" s="202">
        <f t="shared" si="15"/>
        <v>0.6305978492861134</v>
      </c>
      <c r="T39" s="202">
        <f t="shared" si="15"/>
        <v>0.61513983889427104</v>
      </c>
      <c r="U39" s="202">
        <f t="shared" si="15"/>
        <v>0.61287904225003331</v>
      </c>
      <c r="V39" s="202">
        <f t="shared" si="15"/>
        <v>0.60026505254332574</v>
      </c>
      <c r="W39" s="202">
        <f t="shared" si="15"/>
        <v>0.59611564206104728</v>
      </c>
      <c r="X39" s="202">
        <f t="shared" si="15"/>
        <v>0.59930042374441272</v>
      </c>
      <c r="Y39" s="202">
        <f t="shared" si="15"/>
        <v>0.58606920796617634</v>
      </c>
      <c r="Z39" s="202">
        <f t="shared" si="15"/>
        <v>0.57739277255860788</v>
      </c>
      <c r="AA39" s="202">
        <f t="shared" si="15"/>
        <v>0.57194143102409012</v>
      </c>
      <c r="AB39" s="202">
        <f t="shared" si="15"/>
        <v>0.55759313285927137</v>
      </c>
      <c r="AC39" s="202">
        <f t="shared" si="15"/>
        <v>0.53939030962614654</v>
      </c>
    </row>
    <row r="40" spans="1:29">
      <c r="A40" s="201" t="s">
        <v>354</v>
      </c>
      <c r="B40" s="200">
        <f t="shared" ref="B40:AC40" si="16">+B29/B27</f>
        <v>3961.6922165660076</v>
      </c>
      <c r="C40" s="200">
        <f t="shared" si="16"/>
        <v>72.024487144826452</v>
      </c>
      <c r="D40" s="200">
        <f t="shared" si="16"/>
        <v>10847.621504527424</v>
      </c>
      <c r="E40" s="200">
        <f t="shared" si="16"/>
        <v>8669.0231634963511</v>
      </c>
      <c r="F40" s="200">
        <f t="shared" si="16"/>
        <v>7068.1824674918089</v>
      </c>
      <c r="G40" s="200">
        <f t="shared" si="16"/>
        <v>5819.6083559424578</v>
      </c>
      <c r="H40" s="200">
        <f t="shared" si="16"/>
        <v>4804.7000949099865</v>
      </c>
      <c r="I40" s="200">
        <f t="shared" si="16"/>
        <v>3961.6922165660076</v>
      </c>
      <c r="J40" s="200">
        <f t="shared" si="16"/>
        <v>3011.0427596750887</v>
      </c>
      <c r="K40" s="200">
        <f t="shared" si="16"/>
        <v>2335.2329132553746</v>
      </c>
      <c r="L40" s="200">
        <f t="shared" si="16"/>
        <v>1838.0720991754611</v>
      </c>
      <c r="M40" s="200">
        <f t="shared" si="16"/>
        <v>1468.2911671886297</v>
      </c>
      <c r="N40" s="200">
        <f t="shared" si="16"/>
        <v>1182.808059318384</v>
      </c>
      <c r="O40" s="200">
        <f t="shared" si="16"/>
        <v>958.91663725966089</v>
      </c>
      <c r="P40" s="200">
        <f t="shared" si="16"/>
        <v>781.40788705839304</v>
      </c>
      <c r="Q40" s="200">
        <f t="shared" si="16"/>
        <v>639.19994677018951</v>
      </c>
      <c r="R40" s="200">
        <f t="shared" si="16"/>
        <v>524.42536943325842</v>
      </c>
      <c r="S40" s="200">
        <f t="shared" si="16"/>
        <v>431.16896900071481</v>
      </c>
      <c r="T40" s="200">
        <f t="shared" si="16"/>
        <v>355.06186857191875</v>
      </c>
      <c r="U40" s="200">
        <f t="shared" si="16"/>
        <v>292.91745875344014</v>
      </c>
      <c r="V40" s="200">
        <f t="shared" si="16"/>
        <v>242.36323494024333</v>
      </c>
      <c r="W40" s="200">
        <f t="shared" si="16"/>
        <v>201.47721642599694</v>
      </c>
      <c r="X40" s="200">
        <f t="shared" si="16"/>
        <v>168.38413757030148</v>
      </c>
      <c r="Y40" s="200">
        <f t="shared" si="16"/>
        <v>141.42885688793248</v>
      </c>
      <c r="Z40" s="200">
        <f t="shared" si="16"/>
        <v>119.19995906912226</v>
      </c>
      <c r="AA40" s="200">
        <f t="shared" si="16"/>
        <v>100.69156339137261</v>
      </c>
      <c r="AB40" s="200">
        <f t="shared" si="16"/>
        <v>85.156380770839746</v>
      </c>
      <c r="AC40" s="200">
        <f t="shared" si="16"/>
        <v>72.024487144826452</v>
      </c>
    </row>
    <row r="41" spans="1:29">
      <c r="A41" s="195" t="s">
        <v>343</v>
      </c>
      <c r="B41" s="198">
        <f t="shared" ref="B41:AC41" si="17">+B30/B27</f>
        <v>1.3865645253757816E-2</v>
      </c>
      <c r="C41" s="198">
        <f t="shared" si="17"/>
        <v>2.518351236313982E-4</v>
      </c>
      <c r="D41" s="198">
        <f t="shared" si="17"/>
        <v>3.7965469615400628E-2</v>
      </c>
      <c r="E41" s="198">
        <f t="shared" si="17"/>
        <v>3.0341419360010148E-2</v>
      </c>
      <c r="F41" s="198">
        <f t="shared" si="17"/>
        <v>2.4739007826139948E-2</v>
      </c>
      <c r="G41" s="198">
        <f t="shared" si="17"/>
        <v>2.0368698981194096E-2</v>
      </c>
      <c r="H41" s="198">
        <f t="shared" si="17"/>
        <v>1.6818901709784395E-2</v>
      </c>
      <c r="I41" s="198">
        <f t="shared" si="17"/>
        <v>1.3865645253757816E-2</v>
      </c>
      <c r="J41" s="198">
        <f t="shared" si="17"/>
        <v>1.0538660099180813E-2</v>
      </c>
      <c r="K41" s="198">
        <f t="shared" si="17"/>
        <v>8.1732323839215897E-3</v>
      </c>
      <c r="L41" s="198">
        <f t="shared" si="17"/>
        <v>6.4329994050770006E-3</v>
      </c>
      <c r="M41" s="198">
        <f t="shared" si="17"/>
        <v>5.1388415113988633E-3</v>
      </c>
      <c r="N41" s="198">
        <f t="shared" si="17"/>
        <v>4.1397215174733791E-3</v>
      </c>
      <c r="O41" s="198">
        <f t="shared" si="17"/>
        <v>3.3561047573827654E-3</v>
      </c>
      <c r="P41" s="198">
        <f t="shared" si="17"/>
        <v>2.7348168897258283E-3</v>
      </c>
      <c r="Q41" s="198">
        <f t="shared" si="17"/>
        <v>2.2368342355723997E-3</v>
      </c>
      <c r="R41" s="198">
        <f t="shared" si="17"/>
        <v>1.8358332425705251E-3</v>
      </c>
      <c r="S41" s="198">
        <f t="shared" si="17"/>
        <v>1.5092202403277459E-3</v>
      </c>
      <c r="T41" s="198">
        <f t="shared" si="17"/>
        <v>1.242653654969141E-3</v>
      </c>
      <c r="U41" s="198">
        <f t="shared" si="17"/>
        <v>1.0251155545863975E-3</v>
      </c>
      <c r="V41" s="198">
        <f t="shared" si="17"/>
        <v>8.4827946606980944E-4</v>
      </c>
      <c r="W41" s="198">
        <f t="shared" si="17"/>
        <v>7.053577376017234E-4</v>
      </c>
      <c r="X41" s="198">
        <f t="shared" si="17"/>
        <v>5.8937488158439689E-4</v>
      </c>
      <c r="Y41" s="198">
        <f t="shared" si="17"/>
        <v>4.9520802966234747E-4</v>
      </c>
      <c r="Z41" s="198">
        <f t="shared" si="17"/>
        <v>4.1726076261329584E-4</v>
      </c>
      <c r="AA41" s="198">
        <f t="shared" si="17"/>
        <v>3.5230145172750253E-4</v>
      </c>
      <c r="AB41" s="198">
        <f t="shared" si="17"/>
        <v>2.9793392824383846E-4</v>
      </c>
      <c r="AC41" s="198">
        <f t="shared" si="17"/>
        <v>2.518351236313982E-4</v>
      </c>
    </row>
    <row r="42" spans="1:29">
      <c r="A42" s="197" t="s">
        <v>344</v>
      </c>
      <c r="B42" s="196">
        <f>-B32/B27</f>
        <v>474.82572120377807</v>
      </c>
      <c r="C42" s="196">
        <f>-C32/C$27</f>
        <v>1097.7124339445697</v>
      </c>
      <c r="D42" s="196">
        <f t="shared" ref="D42:AC42" si="18">-D32/D27</f>
        <v>366.84029367396181</v>
      </c>
      <c r="E42" s="196">
        <f t="shared" si="18"/>
        <v>373.50762361646832</v>
      </c>
      <c r="F42" s="196">
        <f t="shared" si="18"/>
        <v>376.91006322051186</v>
      </c>
      <c r="G42" s="196">
        <f t="shared" si="18"/>
        <v>380.54042540749282</v>
      </c>
      <c r="H42" s="196">
        <f t="shared" si="18"/>
        <v>431.51714117206586</v>
      </c>
      <c r="I42" s="196">
        <f t="shared" si="18"/>
        <v>474.82572120377807</v>
      </c>
      <c r="J42" s="196">
        <f t="shared" si="18"/>
        <v>518.39500541769621</v>
      </c>
      <c r="K42" s="196">
        <f t="shared" si="18"/>
        <v>562.72684760437846</v>
      </c>
      <c r="L42" s="196">
        <f t="shared" si="18"/>
        <v>608.05723623294159</v>
      </c>
      <c r="M42" s="196">
        <f t="shared" si="18"/>
        <v>654.36683793709665</v>
      </c>
      <c r="N42" s="196">
        <f t="shared" si="18"/>
        <v>701.6975164981676</v>
      </c>
      <c r="O42" s="196">
        <f t="shared" si="18"/>
        <v>719.72099695613747</v>
      </c>
      <c r="P42" s="196">
        <f t="shared" si="18"/>
        <v>740.00717018976786</v>
      </c>
      <c r="Q42" s="196">
        <f t="shared" si="18"/>
        <v>762.12489063739429</v>
      </c>
      <c r="R42" s="196">
        <f t="shared" si="18"/>
        <v>785.74837745967625</v>
      </c>
      <c r="S42" s="196">
        <f t="shared" si="18"/>
        <v>810.62473690504896</v>
      </c>
      <c r="T42" s="196">
        <f t="shared" si="18"/>
        <v>836.55321213768525</v>
      </c>
      <c r="U42" s="196">
        <f t="shared" si="18"/>
        <v>863.37145456968733</v>
      </c>
      <c r="V42" s="196">
        <f t="shared" si="18"/>
        <v>890.94615041266604</v>
      </c>
      <c r="W42" s="196">
        <f t="shared" si="18"/>
        <v>919.16648627154791</v>
      </c>
      <c r="X42" s="196">
        <f t="shared" si="18"/>
        <v>947.9394515831541</v>
      </c>
      <c r="Y42" s="196">
        <f t="shared" si="18"/>
        <v>977.18638544869032</v>
      </c>
      <c r="Z42" s="196">
        <f t="shared" si="18"/>
        <v>1006.8403814246898</v>
      </c>
      <c r="AA42" s="196">
        <f t="shared" si="18"/>
        <v>1036.8442444192217</v>
      </c>
      <c r="AB42" s="196">
        <f t="shared" si="18"/>
        <v>1067.1489721616554</v>
      </c>
      <c r="AC42" s="196">
        <f t="shared" si="18"/>
        <v>1097.7124339445697</v>
      </c>
    </row>
    <row r="43" spans="1:29">
      <c r="A43" s="195" t="s">
        <v>345</v>
      </c>
      <c r="B43" s="194">
        <f>-B33/$B$27</f>
        <v>8.3194904531156864E-4</v>
      </c>
      <c r="C43" s="194">
        <f>-C33/C$27</f>
        <v>5.2347034097585633E-4</v>
      </c>
      <c r="D43" s="194">
        <f t="shared" ref="D43:AC43" si="19">-D33/D$27</f>
        <v>9.4876804484956287E-4</v>
      </c>
      <c r="E43" s="194">
        <f t="shared" si="19"/>
        <v>9.2938250508069783E-4</v>
      </c>
      <c r="F43" s="194">
        <f t="shared" si="19"/>
        <v>9.4074701342741209E-4</v>
      </c>
      <c r="G43" s="194">
        <f t="shared" si="19"/>
        <v>9.3542870370713854E-4</v>
      </c>
      <c r="H43" s="194">
        <f t="shared" si="19"/>
        <v>8.8509913334241489E-4</v>
      </c>
      <c r="I43" s="194">
        <f t="shared" si="19"/>
        <v>8.3194904531156864E-4</v>
      </c>
      <c r="J43" s="194">
        <f t="shared" si="19"/>
        <v>7.7440521421030849E-4</v>
      </c>
      <c r="K43" s="194">
        <f t="shared" si="19"/>
        <v>7.2688157055811136E-4</v>
      </c>
      <c r="L43" s="194">
        <f t="shared" si="19"/>
        <v>6.9000997775526651E-4</v>
      </c>
      <c r="M43" s="194">
        <f t="shared" si="19"/>
        <v>6.6837790431871404E-4</v>
      </c>
      <c r="N43" s="194">
        <f t="shared" si="19"/>
        <v>6.5798923478239328E-4</v>
      </c>
      <c r="O43" s="194">
        <f t="shared" si="19"/>
        <v>6.5826776447396767E-4</v>
      </c>
      <c r="P43" s="194">
        <f t="shared" si="19"/>
        <v>6.2848694237698866E-4</v>
      </c>
      <c r="Q43" s="194">
        <f t="shared" si="19"/>
        <v>6.1426795205303823E-4</v>
      </c>
      <c r="R43" s="194">
        <f t="shared" si="19"/>
        <v>6.2297979568893744E-4</v>
      </c>
      <c r="S43" s="194">
        <f t="shared" si="19"/>
        <v>6.2271728486745803E-4</v>
      </c>
      <c r="T43" s="194">
        <f t="shared" si="19"/>
        <v>6.0524765205096981E-4</v>
      </c>
      <c r="U43" s="194">
        <f t="shared" si="19"/>
        <v>6.0052465726982381E-4</v>
      </c>
      <c r="V43" s="194">
        <f t="shared" si="19"/>
        <v>5.8726440212911635E-4</v>
      </c>
      <c r="W43" s="194">
        <f t="shared" si="19"/>
        <v>5.8147188162430217E-4</v>
      </c>
      <c r="X43" s="194">
        <f t="shared" si="19"/>
        <v>5.8314687657482758E-4</v>
      </c>
      <c r="Y43" s="194">
        <f t="shared" si="19"/>
        <v>5.6970794733949052E-4</v>
      </c>
      <c r="Z43" s="194">
        <f t="shared" si="19"/>
        <v>5.6068052361259353E-4</v>
      </c>
      <c r="AA43" s="194">
        <f t="shared" si="19"/>
        <v>5.5504655776275776E-4</v>
      </c>
      <c r="AB43" s="194">
        <f t="shared" si="19"/>
        <v>5.4093482924388089E-4</v>
      </c>
      <c r="AC43" s="194">
        <f t="shared" si="19"/>
        <v>5.2347034097585633E-4</v>
      </c>
    </row>
    <row r="44" spans="1:29">
      <c r="A44" s="195" t="s">
        <v>346</v>
      </c>
      <c r="B44" s="194">
        <f>-B35/$B$27</f>
        <v>3.1609772913025243E-3</v>
      </c>
      <c r="C44" s="194">
        <f>-C34/C$27</f>
        <v>2.2344921577203722E-4</v>
      </c>
      <c r="D44" s="194">
        <f t="shared" ref="D44:AC44" si="20">-D34/D$27</f>
        <v>3.9940339743227676E-4</v>
      </c>
      <c r="E44" s="194">
        <f t="shared" si="20"/>
        <v>3.9295294733424438E-4</v>
      </c>
      <c r="F44" s="194">
        <f t="shared" si="20"/>
        <v>3.9849282997099701E-4</v>
      </c>
      <c r="G44" s="194">
        <f t="shared" si="20"/>
        <v>3.952340544900287E-4</v>
      </c>
      <c r="H44" s="194">
        <f t="shared" si="20"/>
        <v>3.6991054727029417E-4</v>
      </c>
      <c r="I44" s="194">
        <f t="shared" si="20"/>
        <v>3.4231097877483795E-4</v>
      </c>
      <c r="J44" s="194">
        <f t="shared" si="20"/>
        <v>3.1368806571604178E-4</v>
      </c>
      <c r="K44" s="194">
        <f t="shared" si="20"/>
        <v>2.9175382776584421E-4</v>
      </c>
      <c r="L44" s="194">
        <f t="shared" si="20"/>
        <v>2.7454835831435307E-4</v>
      </c>
      <c r="M44" s="194">
        <f t="shared" si="20"/>
        <v>2.6560698868730541E-4</v>
      </c>
      <c r="N44" s="194">
        <f t="shared" si="20"/>
        <v>2.622371956210426E-4</v>
      </c>
      <c r="O44" s="194">
        <f t="shared" si="20"/>
        <v>2.6347843477578936E-4</v>
      </c>
      <c r="P44" s="194">
        <f t="shared" si="20"/>
        <v>2.5248034162420979E-4</v>
      </c>
      <c r="Q44" s="194">
        <f t="shared" si="20"/>
        <v>2.4761503771702294E-4</v>
      </c>
      <c r="R44" s="194">
        <f t="shared" si="20"/>
        <v>2.5290429087371328E-4</v>
      </c>
      <c r="S44" s="194">
        <f t="shared" si="20"/>
        <v>2.542301506592181E-4</v>
      </c>
      <c r="T44" s="194">
        <f t="shared" si="20"/>
        <v>2.4837433683685332E-4</v>
      </c>
      <c r="U44" s="194">
        <f t="shared" si="20"/>
        <v>2.4772213289297069E-4</v>
      </c>
      <c r="V44" s="194">
        <f t="shared" si="20"/>
        <v>2.4327876239016344E-4</v>
      </c>
      <c r="W44" s="194">
        <f t="shared" si="20"/>
        <v>2.4203608741243688E-4</v>
      </c>
      <c r="X44" s="194">
        <f t="shared" si="20"/>
        <v>2.4442952990418509E-4</v>
      </c>
      <c r="Y44" s="194">
        <f t="shared" si="20"/>
        <v>2.3951937197571598E-4</v>
      </c>
      <c r="Z44" s="194">
        <f t="shared" si="20"/>
        <v>2.3694688799896077E-4</v>
      </c>
      <c r="AA44" s="194">
        <f t="shared" si="20"/>
        <v>2.350322483673806E-4</v>
      </c>
      <c r="AB44" s="194">
        <f t="shared" si="20"/>
        <v>2.3023286639064551E-4</v>
      </c>
      <c r="AC44" s="194">
        <f t="shared" si="20"/>
        <v>2.2344921577203722E-4</v>
      </c>
    </row>
    <row r="45" spans="1:29">
      <c r="A45" s="195" t="s">
        <v>347</v>
      </c>
      <c r="B45" s="194">
        <f>-B34/$B$27</f>
        <v>3.4231097877483795E-4</v>
      </c>
      <c r="C45" s="194">
        <f>-C35/C$27</f>
        <v>2.2910670803449351E-3</v>
      </c>
      <c r="D45" s="194">
        <f t="shared" ref="D45:AC45" si="21">-D35/D$27</f>
        <v>3.3638612620292088E-3</v>
      </c>
      <c r="E45" s="194">
        <f t="shared" si="21"/>
        <v>3.2601803020830835E-3</v>
      </c>
      <c r="F45" s="194">
        <f t="shared" si="21"/>
        <v>3.2926171152794681E-3</v>
      </c>
      <c r="G45" s="194">
        <f t="shared" si="21"/>
        <v>3.2922778427075211E-3</v>
      </c>
      <c r="H45" s="194">
        <f t="shared" si="21"/>
        <v>3.1856002059549404E-3</v>
      </c>
      <c r="I45" s="194">
        <f t="shared" si="21"/>
        <v>3.1609772913025243E-3</v>
      </c>
      <c r="J45" s="194">
        <f t="shared" si="21"/>
        <v>3.1187067157425834E-3</v>
      </c>
      <c r="K45" s="194">
        <f t="shared" si="21"/>
        <v>3.0726674902794167E-3</v>
      </c>
      <c r="L45" s="194">
        <f t="shared" si="21"/>
        <v>3.0081153769423857E-3</v>
      </c>
      <c r="M45" s="194">
        <f t="shared" si="21"/>
        <v>2.9485786705847009E-3</v>
      </c>
      <c r="N45" s="194">
        <f t="shared" si="21"/>
        <v>2.9260163333712343E-3</v>
      </c>
      <c r="O45" s="194">
        <f t="shared" si="21"/>
        <v>2.9297560694633179E-3</v>
      </c>
      <c r="P45" s="194">
        <f t="shared" si="21"/>
        <v>2.8194102006533408E-3</v>
      </c>
      <c r="Q45" s="194">
        <f t="shared" si="21"/>
        <v>2.7530487607308352E-3</v>
      </c>
      <c r="R45" s="194">
        <f t="shared" si="21"/>
        <v>2.7859990009048881E-3</v>
      </c>
      <c r="S45" s="194">
        <f t="shared" si="21"/>
        <v>2.7742963412233715E-3</v>
      </c>
      <c r="T45" s="194">
        <f t="shared" si="21"/>
        <v>2.6801409101668405E-3</v>
      </c>
      <c r="U45" s="194">
        <f t="shared" si="21"/>
        <v>2.6370057194146979E-3</v>
      </c>
      <c r="V45" s="194">
        <f t="shared" si="21"/>
        <v>2.5749541320266452E-3</v>
      </c>
      <c r="W45" s="194">
        <f t="shared" si="21"/>
        <v>2.536144420509485E-3</v>
      </c>
      <c r="X45" s="194">
        <f t="shared" si="21"/>
        <v>2.5313983391151936E-3</v>
      </c>
      <c r="Y45" s="194">
        <f t="shared" si="21"/>
        <v>2.4736587608238558E-3</v>
      </c>
      <c r="Z45" s="194">
        <f t="shared" si="21"/>
        <v>2.4345211035966064E-3</v>
      </c>
      <c r="AA45" s="194">
        <f t="shared" si="21"/>
        <v>2.4116916161712148E-3</v>
      </c>
      <c r="AB45" s="194">
        <f t="shared" si="21"/>
        <v>2.3562447527655465E-3</v>
      </c>
      <c r="AC45" s="194">
        <f t="shared" si="21"/>
        <v>2.2910670803449351E-3</v>
      </c>
    </row>
    <row r="46" spans="1:29">
      <c r="A46" s="195" t="s">
        <v>348</v>
      </c>
      <c r="B46" s="194">
        <f>-B36/$B$27</f>
        <v>1.4992281789093511E-2</v>
      </c>
      <c r="C46" s="194">
        <f>-C36/C$27</f>
        <v>1.0884968836380397E-2</v>
      </c>
      <c r="D46" s="194">
        <f t="shared" ref="D46:AC46" si="22">-D36/D$27</f>
        <v>1.593965143179259E-2</v>
      </c>
      <c r="E46" s="194">
        <f t="shared" si="22"/>
        <v>1.5446042270117958E-2</v>
      </c>
      <c r="F46" s="194">
        <f t="shared" si="22"/>
        <v>1.5599221152932986E-2</v>
      </c>
      <c r="G46" s="194">
        <f t="shared" si="22"/>
        <v>1.5598841908076982E-2</v>
      </c>
      <c r="H46" s="194">
        <f t="shared" si="22"/>
        <v>1.5098109365220918E-2</v>
      </c>
      <c r="I46" s="194">
        <f t="shared" si="22"/>
        <v>1.4992281789093511E-2</v>
      </c>
      <c r="J46" s="194">
        <f t="shared" si="22"/>
        <v>1.4802692359723304E-2</v>
      </c>
      <c r="K46" s="194">
        <f t="shared" si="22"/>
        <v>1.4592637302692739E-2</v>
      </c>
      <c r="L46" s="194">
        <f t="shared" si="22"/>
        <v>1.4291138493326729E-2</v>
      </c>
      <c r="M46" s="194">
        <f t="shared" si="22"/>
        <v>1.4010156665233876E-2</v>
      </c>
      <c r="N46" s="194">
        <f t="shared" si="22"/>
        <v>1.3904185676658142E-2</v>
      </c>
      <c r="O46" s="194">
        <f t="shared" si="22"/>
        <v>1.3922084633153701E-2</v>
      </c>
      <c r="P46" s="194">
        <f t="shared" si="22"/>
        <v>1.3398891133040731E-2</v>
      </c>
      <c r="Q46" s="194">
        <f t="shared" si="22"/>
        <v>1.3083378400565523E-2</v>
      </c>
      <c r="R46" s="194">
        <f t="shared" si="22"/>
        <v>1.323964400448112E-2</v>
      </c>
      <c r="S46" s="194">
        <f t="shared" si="22"/>
        <v>1.3183473516849816E-2</v>
      </c>
      <c r="T46" s="194">
        <f t="shared" si="22"/>
        <v>1.2735182306864497E-2</v>
      </c>
      <c r="U46" s="194">
        <f t="shared" si="22"/>
        <v>1.2529036681182434E-2</v>
      </c>
      <c r="V46" s="194">
        <f t="shared" si="22"/>
        <v>1.223400756524644E-2</v>
      </c>
      <c r="W46" s="194">
        <f t="shared" si="22"/>
        <v>1.2048895103857926E-2</v>
      </c>
      <c r="X46" s="194">
        <f t="shared" si="22"/>
        <v>1.2025693709996272E-2</v>
      </c>
      <c r="Y46" s="194">
        <f t="shared" si="22"/>
        <v>1.1751425077968605E-2</v>
      </c>
      <c r="Z46" s="194">
        <f t="shared" si="22"/>
        <v>1.1565495073450238E-2</v>
      </c>
      <c r="AA46" s="194">
        <f t="shared" si="22"/>
        <v>1.145712729589953E-2</v>
      </c>
      <c r="AB46" s="194">
        <f t="shared" si="22"/>
        <v>1.1194030753841922E-2</v>
      </c>
      <c r="AC46" s="194">
        <f t="shared" si="22"/>
        <v>1.0884968836380397E-2</v>
      </c>
    </row>
  </sheetData>
  <mergeCells count="1">
    <mergeCell ref="A23:F2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D19B0-3AA1-45C9-9C0D-52EFDE1AC8FB}">
  <sheetPr>
    <tabColor theme="7" tint="0.79998168889431442"/>
  </sheetPr>
  <dimension ref="A1:J14"/>
  <sheetViews>
    <sheetView zoomScale="120" zoomScaleNormal="120" workbookViewId="0">
      <selection activeCell="A13" sqref="A13"/>
    </sheetView>
  </sheetViews>
  <sheetFormatPr defaultRowHeight="14.45"/>
  <cols>
    <col min="1" max="1" width="44" customWidth="1"/>
    <col min="2" max="2" width="17.7109375" customWidth="1"/>
    <col min="3" max="3" width="18.28515625" customWidth="1"/>
    <col min="4" max="4" width="16.28515625" style="2" customWidth="1"/>
    <col min="5" max="5" width="14.28515625" style="2" customWidth="1"/>
    <col min="6" max="6" width="14.42578125" style="2" customWidth="1"/>
    <col min="7" max="7" width="11.5703125" style="3" bestFit="1" customWidth="1"/>
    <col min="8" max="8" width="13" style="3" customWidth="1"/>
    <col min="9" max="9" width="25.42578125" customWidth="1"/>
    <col min="10" max="10" width="15.7109375" bestFit="1" customWidth="1"/>
  </cols>
  <sheetData>
    <row r="1" spans="1:10">
      <c r="A1" s="17" t="s">
        <v>422</v>
      </c>
      <c r="B1" s="375"/>
      <c r="C1" s="375"/>
      <c r="D1" s="375"/>
      <c r="E1" s="375"/>
      <c r="F1" s="375"/>
      <c r="G1" s="375"/>
      <c r="H1" s="375"/>
      <c r="I1" s="375"/>
      <c r="J1" s="375"/>
    </row>
    <row r="2" spans="1:10">
      <c r="A2" s="375" t="s">
        <v>423</v>
      </c>
      <c r="B2" s="375"/>
      <c r="C2" s="375"/>
      <c r="D2" s="375"/>
      <c r="E2" s="375"/>
      <c r="F2" s="375"/>
      <c r="G2" s="375"/>
      <c r="H2" s="375"/>
      <c r="I2" s="375"/>
      <c r="J2" s="375"/>
    </row>
    <row r="3" spans="1:10">
      <c r="A3" s="375"/>
      <c r="B3" s="375"/>
      <c r="C3" s="375"/>
      <c r="D3" s="375"/>
      <c r="E3" s="375"/>
      <c r="F3" s="375"/>
      <c r="G3" s="375"/>
      <c r="H3" s="375"/>
      <c r="I3" s="375"/>
      <c r="J3" s="375"/>
    </row>
    <row r="4" spans="1:10">
      <c r="A4" s="375" t="s">
        <v>424</v>
      </c>
      <c r="B4" s="375"/>
      <c r="C4" s="375"/>
      <c r="D4" s="375"/>
      <c r="E4" s="375"/>
      <c r="F4" s="375"/>
      <c r="G4" s="375"/>
      <c r="H4" s="375"/>
      <c r="I4" s="375"/>
      <c r="J4" s="375"/>
    </row>
    <row r="5" spans="1:10">
      <c r="A5" s="375"/>
      <c r="B5" s="375"/>
      <c r="C5" s="375"/>
      <c r="D5" s="375"/>
      <c r="E5" s="375"/>
      <c r="F5" s="375"/>
      <c r="G5" s="375"/>
      <c r="H5" s="375"/>
      <c r="I5" s="375"/>
      <c r="J5" s="375"/>
    </row>
    <row r="6" spans="1:10" s="4" customFormat="1" ht="57.95">
      <c r="A6" s="379" t="s">
        <v>425</v>
      </c>
      <c r="B6" s="379" t="s">
        <v>3</v>
      </c>
      <c r="C6" s="379" t="s">
        <v>4</v>
      </c>
      <c r="D6" s="379" t="s">
        <v>5</v>
      </c>
      <c r="E6" s="379" t="s">
        <v>6</v>
      </c>
      <c r="F6" s="379" t="s">
        <v>7</v>
      </c>
      <c r="G6" s="380" t="s">
        <v>426</v>
      </c>
      <c r="H6" s="379" t="s">
        <v>427</v>
      </c>
      <c r="I6" s="379" t="s">
        <v>428</v>
      </c>
      <c r="J6" s="379" t="s">
        <v>429</v>
      </c>
    </row>
    <row r="7" spans="1:10">
      <c r="A7" s="381" t="s">
        <v>430</v>
      </c>
      <c r="B7" s="382">
        <v>27666</v>
      </c>
      <c r="C7" s="382">
        <v>108015</v>
      </c>
      <c r="D7" s="378">
        <v>10033891</v>
      </c>
      <c r="E7" s="378">
        <v>363</v>
      </c>
      <c r="F7" s="378">
        <v>93</v>
      </c>
      <c r="G7" s="377">
        <v>210</v>
      </c>
      <c r="H7" s="381">
        <v>210</v>
      </c>
      <c r="I7" s="381" t="s">
        <v>431</v>
      </c>
      <c r="J7" s="378">
        <v>47780</v>
      </c>
    </row>
    <row r="8" spans="1:10">
      <c r="A8" s="381" t="s">
        <v>432</v>
      </c>
      <c r="B8" s="382">
        <v>43195</v>
      </c>
      <c r="C8" s="382">
        <v>235472</v>
      </c>
      <c r="D8" s="378">
        <v>15441392</v>
      </c>
      <c r="E8" s="378">
        <v>357</v>
      </c>
      <c r="F8" s="378">
        <v>66</v>
      </c>
      <c r="G8" s="377">
        <v>730</v>
      </c>
      <c r="H8" s="381">
        <v>730</v>
      </c>
      <c r="I8" s="381" t="s">
        <v>431</v>
      </c>
      <c r="J8" s="378">
        <v>21153</v>
      </c>
    </row>
    <row r="9" spans="1:10">
      <c r="A9" s="381" t="s">
        <v>433</v>
      </c>
      <c r="B9" s="382">
        <v>241500</v>
      </c>
      <c r="C9" s="382">
        <v>1419561</v>
      </c>
      <c r="D9" s="378">
        <v>28758205</v>
      </c>
      <c r="E9" s="378">
        <v>119</v>
      </c>
      <c r="F9" s="378">
        <v>20</v>
      </c>
      <c r="G9" s="383">
        <v>263000</v>
      </c>
      <c r="H9" s="382">
        <v>1000000</v>
      </c>
      <c r="I9" s="381" t="s">
        <v>434</v>
      </c>
      <c r="J9" s="378">
        <v>109</v>
      </c>
    </row>
    <row r="10" spans="1:10">
      <c r="A10" s="381" t="s">
        <v>435</v>
      </c>
      <c r="B10" s="382">
        <v>275222</v>
      </c>
      <c r="C10" s="382">
        <v>1100693</v>
      </c>
      <c r="D10" s="378">
        <v>6501503</v>
      </c>
      <c r="E10" s="378">
        <v>24</v>
      </c>
      <c r="F10" s="378">
        <v>6</v>
      </c>
      <c r="G10" s="377">
        <v>1</v>
      </c>
      <c r="H10" s="381">
        <v>1</v>
      </c>
      <c r="I10" s="381" t="s">
        <v>436</v>
      </c>
      <c r="J10" s="378">
        <v>6501504</v>
      </c>
    </row>
    <row r="11" spans="1:10">
      <c r="A11" s="375"/>
      <c r="B11" s="375"/>
      <c r="C11" s="375"/>
      <c r="D11" s="375"/>
      <c r="E11" s="375"/>
      <c r="F11" s="375"/>
      <c r="G11" s="375"/>
      <c r="H11" s="375"/>
      <c r="I11" s="375"/>
      <c r="J11" s="375"/>
    </row>
    <row r="12" spans="1:10">
      <c r="A12" s="375"/>
      <c r="B12" s="375"/>
      <c r="C12" s="375" t="s">
        <v>253</v>
      </c>
      <c r="D12" s="384">
        <v>60734991</v>
      </c>
      <c r="E12" s="375"/>
      <c r="F12" s="375"/>
      <c r="G12" s="375"/>
      <c r="H12" s="375"/>
      <c r="I12" s="375"/>
      <c r="J12" s="375"/>
    </row>
    <row r="13" spans="1:10">
      <c r="A13" s="375"/>
      <c r="B13" s="375"/>
      <c r="C13" s="375"/>
      <c r="D13" s="375"/>
      <c r="E13" s="375"/>
      <c r="F13" s="375"/>
      <c r="G13" s="375"/>
      <c r="H13" s="375"/>
      <c r="I13" s="375"/>
      <c r="J13" s="375"/>
    </row>
    <row r="14" spans="1:10">
      <c r="A14" s="375" t="s">
        <v>437</v>
      </c>
      <c r="B14" s="385">
        <v>70862</v>
      </c>
      <c r="C14" s="385">
        <v>343487</v>
      </c>
      <c r="D14" s="385">
        <v>25475283</v>
      </c>
      <c r="E14" s="378">
        <v>360</v>
      </c>
      <c r="F14" s="378">
        <v>74</v>
      </c>
      <c r="G14" s="375">
        <v>940</v>
      </c>
      <c r="H14" s="375"/>
      <c r="I14" s="375"/>
      <c r="J14" s="375"/>
    </row>
  </sheetData>
  <pageMargins left="0.7" right="0.7" top="0.75" bottom="0.75" header="0.3" footer="0.3"/>
  <pageSetup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3FF7E-D9B2-4763-BBBA-4928FBB38CF3}">
  <sheetPr>
    <tabColor theme="7" tint="0.79998168889431442"/>
  </sheetPr>
  <dimension ref="A1:AP58"/>
  <sheetViews>
    <sheetView topLeftCell="A6" workbookViewId="0">
      <selection activeCell="B14" sqref="B14"/>
    </sheetView>
  </sheetViews>
  <sheetFormatPr defaultRowHeight="14.45"/>
  <cols>
    <col min="1" max="1" width="21.5703125" style="1" customWidth="1"/>
    <col min="2" max="2" width="42.5703125" style="1" customWidth="1"/>
    <col min="3" max="3" width="11.5703125" customWidth="1"/>
    <col min="4" max="6" width="11.5703125" style="12" customWidth="1"/>
    <col min="7" max="7" width="11.5703125" customWidth="1"/>
    <col min="8" max="11" width="11.5703125" style="12" customWidth="1"/>
    <col min="12" max="34" width="11.5703125" customWidth="1"/>
    <col min="35" max="35" width="11.7109375" customWidth="1"/>
    <col min="36" max="36" width="11.28515625" customWidth="1"/>
    <col min="39" max="39" width="10.7109375" customWidth="1"/>
  </cols>
  <sheetData>
    <row r="1" spans="1:39">
      <c r="A1" s="6" t="s">
        <v>438</v>
      </c>
    </row>
    <row r="2" spans="1:39" ht="116.1">
      <c r="A2" s="1" t="s">
        <v>439</v>
      </c>
      <c r="B2" s="1" t="s">
        <v>440</v>
      </c>
    </row>
    <row r="3" spans="1:39" ht="57.95">
      <c r="A3" s="1" t="s">
        <v>441</v>
      </c>
      <c r="B3" s="1" t="s">
        <v>442</v>
      </c>
      <c r="K3" s="1"/>
      <c r="L3">
        <v>2025</v>
      </c>
      <c r="M3">
        <v>2026</v>
      </c>
      <c r="N3">
        <v>2027</v>
      </c>
      <c r="O3">
        <v>2028</v>
      </c>
      <c r="P3">
        <v>2029</v>
      </c>
      <c r="Q3">
        <v>2030</v>
      </c>
      <c r="R3">
        <v>2031</v>
      </c>
      <c r="S3">
        <v>2032</v>
      </c>
      <c r="T3">
        <v>2033</v>
      </c>
      <c r="U3">
        <v>2034</v>
      </c>
      <c r="V3">
        <v>2035</v>
      </c>
      <c r="W3">
        <v>2036</v>
      </c>
      <c r="X3">
        <v>2037</v>
      </c>
      <c r="Y3">
        <v>2038</v>
      </c>
      <c r="Z3">
        <v>2039</v>
      </c>
      <c r="AA3">
        <v>2040</v>
      </c>
      <c r="AB3">
        <v>2041</v>
      </c>
      <c r="AC3">
        <v>2042</v>
      </c>
      <c r="AD3">
        <v>2043</v>
      </c>
      <c r="AE3">
        <v>2044</v>
      </c>
      <c r="AF3">
        <v>2045</v>
      </c>
      <c r="AG3">
        <v>2046</v>
      </c>
      <c r="AH3">
        <v>2047</v>
      </c>
      <c r="AI3">
        <v>2048</v>
      </c>
      <c r="AJ3">
        <v>2049</v>
      </c>
      <c r="AK3">
        <v>2050</v>
      </c>
    </row>
    <row r="4" spans="1:39" ht="57.95">
      <c r="A4" s="1" t="s">
        <v>443</v>
      </c>
      <c r="B4" s="1" t="s">
        <v>444</v>
      </c>
      <c r="K4" s="1" t="s">
        <v>445</v>
      </c>
      <c r="M4" s="604">
        <v>10884.3</v>
      </c>
      <c r="N4" s="604">
        <v>4277.7</v>
      </c>
      <c r="O4" s="604">
        <v>4223.1000000000004</v>
      </c>
      <c r="P4" s="604">
        <v>4168.5</v>
      </c>
      <c r="Q4" s="604">
        <v>4111.8</v>
      </c>
      <c r="R4" s="604">
        <v>4099.2</v>
      </c>
      <c r="S4" s="604">
        <v>4088.7</v>
      </c>
      <c r="T4" s="604">
        <v>4076.1</v>
      </c>
      <c r="U4" s="604">
        <v>4063.5</v>
      </c>
      <c r="V4" s="604">
        <v>4050.9</v>
      </c>
      <c r="W4" s="604">
        <v>4038.3</v>
      </c>
      <c r="X4" s="604">
        <v>4025.7</v>
      </c>
      <c r="Y4" s="604">
        <v>4015.2</v>
      </c>
      <c r="Z4" s="604">
        <v>4002.6</v>
      </c>
      <c r="AA4" s="604">
        <v>3990</v>
      </c>
      <c r="AB4" s="604">
        <v>3990</v>
      </c>
      <c r="AC4" s="604">
        <v>3990</v>
      </c>
      <c r="AD4" s="604">
        <v>3990</v>
      </c>
      <c r="AE4" s="604">
        <v>3990</v>
      </c>
      <c r="AF4" s="604">
        <v>3990</v>
      </c>
      <c r="AG4" s="604">
        <v>3990</v>
      </c>
      <c r="AH4" s="604">
        <v>3990</v>
      </c>
      <c r="AI4" s="604">
        <v>3990</v>
      </c>
      <c r="AJ4" s="604">
        <v>3990</v>
      </c>
      <c r="AK4" s="604">
        <v>3990</v>
      </c>
      <c r="AM4" s="590">
        <f>SUM(M4:AK4)</f>
        <v>108015.59999999999</v>
      </c>
    </row>
    <row r="5" spans="1:39" ht="72.599999999999994">
      <c r="A5" s="1" t="s">
        <v>446</v>
      </c>
      <c r="B5" s="1" t="s">
        <v>447</v>
      </c>
      <c r="K5" s="1"/>
    </row>
    <row r="6" spans="1:39" ht="57.95">
      <c r="A6" s="1" t="s">
        <v>448</v>
      </c>
      <c r="B6" s="1" t="s">
        <v>449</v>
      </c>
    </row>
    <row r="7" spans="1:39" ht="57.95">
      <c r="A7" s="1" t="s">
        <v>450</v>
      </c>
      <c r="B7" s="1" t="s">
        <v>451</v>
      </c>
    </row>
    <row r="8" spans="1:39" ht="57.95">
      <c r="A8" s="1" t="s">
        <v>452</v>
      </c>
      <c r="B8" s="1" t="s">
        <v>453</v>
      </c>
    </row>
    <row r="9" spans="1:39" ht="29.1">
      <c r="A9" s="1" t="s">
        <v>454</v>
      </c>
      <c r="B9" s="11">
        <v>27667</v>
      </c>
    </row>
    <row r="10" spans="1:39" ht="29.1">
      <c r="A10" s="1" t="s">
        <v>455</v>
      </c>
      <c r="B10" s="11">
        <v>108015</v>
      </c>
    </row>
    <row r="11" spans="1:39">
      <c r="A11" s="1" t="s">
        <v>456</v>
      </c>
      <c r="B11" s="1" t="s">
        <v>431</v>
      </c>
    </row>
    <row r="12" spans="1:39">
      <c r="A12" s="1" t="s">
        <v>427</v>
      </c>
      <c r="B12" s="1">
        <v>210</v>
      </c>
    </row>
    <row r="13" spans="1:39" ht="30.75">
      <c r="A13" s="1" t="s">
        <v>457</v>
      </c>
      <c r="B13" s="18">
        <v>9922500</v>
      </c>
      <c r="F13" s="12">
        <f>B13+166257.5</f>
        <v>10088757.5</v>
      </c>
    </row>
    <row r="14" spans="1:39">
      <c r="A14" s="1" t="s">
        <v>458</v>
      </c>
      <c r="B14" s="9">
        <v>47780</v>
      </c>
      <c r="F14" s="12">
        <f>F13/210</f>
        <v>48041.702380952382</v>
      </c>
    </row>
    <row r="16" spans="1:39">
      <c r="A16" s="1" t="s">
        <v>459</v>
      </c>
      <c r="B16" s="374">
        <v>362.68</v>
      </c>
      <c r="C16" t="s">
        <v>460</v>
      </c>
      <c r="F16" s="12">
        <f>F13/B9</f>
        <v>364.64949217479307</v>
      </c>
      <c r="G16" t="s">
        <v>461</v>
      </c>
    </row>
    <row r="17" spans="1:42" ht="15">
      <c r="A17" s="1" t="s">
        <v>462</v>
      </c>
      <c r="B17" s="374">
        <v>92.89</v>
      </c>
      <c r="C17" t="s">
        <v>460</v>
      </c>
      <c r="F17" s="12">
        <f>F13/B10</f>
        <v>93.40144887284174</v>
      </c>
      <c r="G17" s="683" t="s">
        <v>461</v>
      </c>
    </row>
    <row r="18" spans="1:42">
      <c r="C18" t="s">
        <v>463</v>
      </c>
      <c r="AM18" s="35"/>
      <c r="AP18" s="34"/>
    </row>
    <row r="19" spans="1:42" s="1" customFormat="1" ht="72.599999999999994">
      <c r="A19" s="1" t="s">
        <v>464</v>
      </c>
      <c r="C19" s="1" t="s">
        <v>465</v>
      </c>
      <c r="D19" s="10" t="s">
        <v>466</v>
      </c>
      <c r="E19" s="10" t="s">
        <v>467</v>
      </c>
      <c r="F19" s="10" t="s">
        <v>468</v>
      </c>
      <c r="G19" s="1" t="s">
        <v>469</v>
      </c>
      <c r="H19" s="10" t="s">
        <v>470</v>
      </c>
      <c r="I19" s="10" t="s">
        <v>471</v>
      </c>
      <c r="J19" s="10" t="s">
        <v>472</v>
      </c>
      <c r="K19" s="10" t="s">
        <v>473</v>
      </c>
      <c r="N19" s="1" t="s">
        <v>474</v>
      </c>
      <c r="O19" s="1" t="s">
        <v>475</v>
      </c>
      <c r="P19" s="1" t="s">
        <v>476</v>
      </c>
      <c r="Q19" s="1" t="s">
        <v>477</v>
      </c>
      <c r="R19" s="1" t="s">
        <v>478</v>
      </c>
      <c r="S19" s="1" t="s">
        <v>479</v>
      </c>
      <c r="T19" s="1" t="s">
        <v>480</v>
      </c>
      <c r="U19" s="1" t="s">
        <v>481</v>
      </c>
      <c r="V19" s="1" t="s">
        <v>482</v>
      </c>
      <c r="W19" s="1" t="s">
        <v>483</v>
      </c>
      <c r="X19" s="1" t="s">
        <v>484</v>
      </c>
      <c r="Z19" s="1" t="s">
        <v>474</v>
      </c>
      <c r="AA19" s="1" t="s">
        <v>475</v>
      </c>
      <c r="AB19" s="1" t="s">
        <v>476</v>
      </c>
      <c r="AC19" s="1" t="s">
        <v>477</v>
      </c>
      <c r="AD19" s="1" t="s">
        <v>478</v>
      </c>
      <c r="AE19" s="1" t="s">
        <v>479</v>
      </c>
      <c r="AF19" s="1" t="s">
        <v>480</v>
      </c>
      <c r="AG19" s="1" t="s">
        <v>481</v>
      </c>
      <c r="AH19" s="1" t="s">
        <v>482</v>
      </c>
      <c r="AI19" s="1" t="s">
        <v>483</v>
      </c>
      <c r="AJ19" s="1" t="s">
        <v>485</v>
      </c>
      <c r="AL19" t="s">
        <v>465</v>
      </c>
      <c r="AM19" s="36" t="s">
        <v>486</v>
      </c>
      <c r="AP19"/>
    </row>
    <row r="20" spans="1:42">
      <c r="A20" s="1">
        <v>2.57</v>
      </c>
      <c r="B20" s="1" t="s">
        <v>487</v>
      </c>
      <c r="C20">
        <v>2025</v>
      </c>
      <c r="AL20">
        <v>2025</v>
      </c>
      <c r="AM20" s="35">
        <v>0.78</v>
      </c>
      <c r="AP20" s="34"/>
    </row>
    <row r="21" spans="1:42">
      <c r="A21" s="18">
        <v>142800</v>
      </c>
      <c r="B21" s="1" t="s">
        <v>488</v>
      </c>
      <c r="C21">
        <v>2026</v>
      </c>
      <c r="D21" s="12">
        <v>108.81</v>
      </c>
      <c r="E21" s="12">
        <v>56.98</v>
      </c>
      <c r="F21" s="12">
        <v>51.83</v>
      </c>
      <c r="G21" s="5">
        <f>F21*210</f>
        <v>10884.3</v>
      </c>
      <c r="H21" s="12">
        <v>42.3</v>
      </c>
      <c r="I21" s="12">
        <v>66.510000000000005</v>
      </c>
      <c r="J21" s="12">
        <v>11.1</v>
      </c>
      <c r="K21" s="12">
        <v>45.88</v>
      </c>
      <c r="N21">
        <v>2.57</v>
      </c>
      <c r="O21" s="2">
        <v>100403</v>
      </c>
      <c r="P21" s="3">
        <v>3551</v>
      </c>
      <c r="Q21">
        <v>2.2999999999999998</v>
      </c>
      <c r="R21">
        <v>7.4</v>
      </c>
      <c r="S21" s="19">
        <v>0.94391000000000003</v>
      </c>
      <c r="T21" s="19">
        <v>3.5503399999999998</v>
      </c>
      <c r="U21" s="37">
        <v>70.67</v>
      </c>
      <c r="V21" s="37">
        <v>-2.4700000000000002</v>
      </c>
      <c r="W21" s="37">
        <v>-1.69</v>
      </c>
      <c r="X21" s="37">
        <v>66.510000000000005</v>
      </c>
      <c r="Z21">
        <v>2.57</v>
      </c>
      <c r="AA21" s="2">
        <v>60593</v>
      </c>
      <c r="AB21" s="3">
        <v>4890</v>
      </c>
      <c r="AC21">
        <v>1</v>
      </c>
      <c r="AD21">
        <v>4.2</v>
      </c>
      <c r="AE21" s="19">
        <v>0.94391000000000003</v>
      </c>
      <c r="AF21" s="19">
        <v>3.68926</v>
      </c>
      <c r="AG21" s="37">
        <v>48</v>
      </c>
      <c r="AH21" s="37">
        <v>-1.67</v>
      </c>
      <c r="AI21" s="37">
        <v>-0.44</v>
      </c>
      <c r="AJ21" s="37">
        <v>45.88</v>
      </c>
      <c r="AL21">
        <v>2026</v>
      </c>
      <c r="AM21" s="35">
        <v>0.67</v>
      </c>
    </row>
    <row r="22" spans="1:42" ht="29.1">
      <c r="A22" s="18">
        <v>86180</v>
      </c>
      <c r="B22" s="1" t="s">
        <v>489</v>
      </c>
      <c r="C22">
        <v>2027</v>
      </c>
      <c r="D22" s="12">
        <v>65.7</v>
      </c>
      <c r="E22" s="12">
        <v>45.32</v>
      </c>
      <c r="F22" s="12">
        <v>20.37</v>
      </c>
      <c r="G22" s="5">
        <f>F22*210</f>
        <v>4277.7</v>
      </c>
      <c r="H22" s="12" t="s">
        <v>490</v>
      </c>
      <c r="I22" s="12">
        <v>65.7</v>
      </c>
      <c r="J22" s="12" t="s">
        <v>490</v>
      </c>
      <c r="K22" s="12">
        <v>45.32</v>
      </c>
      <c r="N22">
        <v>2.57</v>
      </c>
      <c r="O22" s="2">
        <v>100403</v>
      </c>
      <c r="P22" s="3">
        <v>3551</v>
      </c>
      <c r="Q22">
        <v>2.2999999999999998</v>
      </c>
      <c r="R22">
        <v>7.4</v>
      </c>
      <c r="S22" s="19">
        <v>0.94391000000000003</v>
      </c>
      <c r="T22" s="19">
        <v>3.5503399999999998</v>
      </c>
      <c r="U22" s="37">
        <v>70.67</v>
      </c>
      <c r="V22" s="37">
        <v>-3.28</v>
      </c>
      <c r="W22" s="37">
        <v>-1.69</v>
      </c>
      <c r="X22" s="37">
        <v>65.7</v>
      </c>
      <c r="Z22">
        <v>2.57</v>
      </c>
      <c r="AA22" s="2">
        <v>60593</v>
      </c>
      <c r="AB22" s="3">
        <v>4890</v>
      </c>
      <c r="AC22">
        <v>1</v>
      </c>
      <c r="AD22">
        <v>4.2</v>
      </c>
      <c r="AE22" s="19">
        <v>0.94391000000000003</v>
      </c>
      <c r="AF22" s="19">
        <v>3.68926</v>
      </c>
      <c r="AG22" s="37">
        <v>48</v>
      </c>
      <c r="AH22" s="37">
        <v>-2.23</v>
      </c>
      <c r="AI22" s="37">
        <v>-0.44</v>
      </c>
      <c r="AJ22" s="37">
        <v>45.32</v>
      </c>
      <c r="AL22">
        <v>2027</v>
      </c>
      <c r="AM22" s="35">
        <v>0.56999999999999995</v>
      </c>
      <c r="AP22" s="34"/>
    </row>
    <row r="23" spans="1:42" ht="29.1">
      <c r="A23" s="11">
        <v>3551</v>
      </c>
      <c r="B23" s="1" t="s">
        <v>491</v>
      </c>
      <c r="C23">
        <v>2028</v>
      </c>
      <c r="D23" s="12">
        <v>64.87</v>
      </c>
      <c r="E23" s="12">
        <v>44.76</v>
      </c>
      <c r="F23" s="12">
        <v>20.11</v>
      </c>
      <c r="G23" s="5">
        <f t="shared" ref="G23:G45" si="0">F23*210</f>
        <v>4223.0999999999995</v>
      </c>
      <c r="H23" s="12" t="s">
        <v>490</v>
      </c>
      <c r="I23" s="12">
        <v>64.87</v>
      </c>
      <c r="J23" s="12" t="s">
        <v>490</v>
      </c>
      <c r="K23" s="12">
        <v>44.76</v>
      </c>
      <c r="N23">
        <v>2.57</v>
      </c>
      <c r="O23" s="2">
        <v>100403</v>
      </c>
      <c r="P23" s="3">
        <v>3551</v>
      </c>
      <c r="Q23">
        <v>2.2999999999999998</v>
      </c>
      <c r="R23">
        <v>7.4</v>
      </c>
      <c r="S23" s="19">
        <v>0.94391000000000003</v>
      </c>
      <c r="T23" s="19">
        <v>3.5503399999999998</v>
      </c>
      <c r="U23" s="37">
        <v>70.67</v>
      </c>
      <c r="V23" s="37">
        <v>-4.1100000000000003</v>
      </c>
      <c r="W23" s="37">
        <v>-1.69</v>
      </c>
      <c r="X23" s="37">
        <v>64.87</v>
      </c>
      <c r="Z23">
        <v>2.57</v>
      </c>
      <c r="AA23" s="2">
        <v>60593</v>
      </c>
      <c r="AB23" s="3">
        <v>4890</v>
      </c>
      <c r="AC23">
        <v>1</v>
      </c>
      <c r="AD23">
        <v>4.2</v>
      </c>
      <c r="AE23" s="19">
        <v>0.94391000000000003</v>
      </c>
      <c r="AF23" s="19">
        <v>3.68926</v>
      </c>
      <c r="AG23" s="37">
        <v>48</v>
      </c>
      <c r="AH23" s="37">
        <v>-2.79</v>
      </c>
      <c r="AI23" s="37">
        <v>-0.44</v>
      </c>
      <c r="AJ23" s="37">
        <v>44.76</v>
      </c>
      <c r="AL23">
        <v>2028</v>
      </c>
      <c r="AM23" s="35">
        <v>0.46</v>
      </c>
    </row>
    <row r="24" spans="1:42" ht="29.1">
      <c r="A24" s="11">
        <v>4890</v>
      </c>
      <c r="B24" s="1" t="s">
        <v>492</v>
      </c>
      <c r="C24">
        <v>2029</v>
      </c>
      <c r="D24" s="12">
        <v>64.06</v>
      </c>
      <c r="E24" s="12">
        <v>44.21</v>
      </c>
      <c r="F24" s="12">
        <v>19.850000000000001</v>
      </c>
      <c r="G24" s="5">
        <f t="shared" si="0"/>
        <v>4168.5</v>
      </c>
      <c r="H24" s="12" t="s">
        <v>490</v>
      </c>
      <c r="I24" s="12">
        <v>64.06</v>
      </c>
      <c r="J24" s="12" t="s">
        <v>490</v>
      </c>
      <c r="K24" s="12">
        <v>44.21</v>
      </c>
      <c r="N24">
        <v>2.57</v>
      </c>
      <c r="O24" s="2">
        <v>100403</v>
      </c>
      <c r="P24" s="3">
        <v>3551</v>
      </c>
      <c r="Q24">
        <v>2.2999999999999998</v>
      </c>
      <c r="R24">
        <v>7.4</v>
      </c>
      <c r="S24" s="19">
        <v>0.94391000000000003</v>
      </c>
      <c r="T24" s="19">
        <v>3.5503399999999998</v>
      </c>
      <c r="U24" s="37">
        <v>70.67</v>
      </c>
      <c r="V24" s="37">
        <v>-4.92</v>
      </c>
      <c r="W24" s="37">
        <v>-1.69</v>
      </c>
      <c r="X24" s="37">
        <v>64.06</v>
      </c>
      <c r="Z24">
        <v>2.57</v>
      </c>
      <c r="AA24" s="2">
        <v>60593</v>
      </c>
      <c r="AB24" s="3">
        <v>4890</v>
      </c>
      <c r="AC24">
        <v>1</v>
      </c>
      <c r="AD24">
        <v>4.2</v>
      </c>
      <c r="AE24" s="19">
        <v>0.94391000000000003</v>
      </c>
      <c r="AF24" s="19">
        <v>3.68926</v>
      </c>
      <c r="AG24" s="37">
        <v>48</v>
      </c>
      <c r="AH24" s="37">
        <v>-3.34</v>
      </c>
      <c r="AI24" s="37">
        <v>-0.44</v>
      </c>
      <c r="AJ24" s="37">
        <v>44.21</v>
      </c>
      <c r="AL24">
        <v>2029</v>
      </c>
      <c r="AM24" s="35">
        <v>0.35</v>
      </c>
      <c r="AP24" s="34"/>
    </row>
    <row r="25" spans="1:42">
      <c r="A25" s="1">
        <v>2.2999999999999998</v>
      </c>
      <c r="B25" s="1" t="s">
        <v>493</v>
      </c>
      <c r="C25">
        <v>2030</v>
      </c>
      <c r="D25" s="12">
        <v>63.23</v>
      </c>
      <c r="E25" s="12">
        <v>43.65</v>
      </c>
      <c r="F25" s="12">
        <v>19.579999999999998</v>
      </c>
      <c r="G25" s="5">
        <f t="shared" si="0"/>
        <v>4111.7999999999993</v>
      </c>
      <c r="H25" s="12" t="s">
        <v>490</v>
      </c>
      <c r="I25" s="12">
        <v>63.23</v>
      </c>
      <c r="J25" s="12" t="s">
        <v>490</v>
      </c>
      <c r="K25" s="12">
        <v>43.65</v>
      </c>
      <c r="N25">
        <v>2.57</v>
      </c>
      <c r="O25" s="2">
        <v>100403</v>
      </c>
      <c r="P25" s="3">
        <v>3551</v>
      </c>
      <c r="Q25">
        <v>2.2999999999999998</v>
      </c>
      <c r="R25">
        <v>7.4</v>
      </c>
      <c r="S25" s="19">
        <v>0.94391000000000003</v>
      </c>
      <c r="T25" s="19">
        <v>3.5503399999999998</v>
      </c>
      <c r="U25" s="37">
        <v>70.67</v>
      </c>
      <c r="V25" s="37">
        <v>-5.75</v>
      </c>
      <c r="W25" s="37">
        <v>-1.69</v>
      </c>
      <c r="X25" s="37">
        <v>63.23</v>
      </c>
      <c r="Z25">
        <v>2.57</v>
      </c>
      <c r="AA25" s="2">
        <v>60593</v>
      </c>
      <c r="AB25" s="3">
        <v>4890</v>
      </c>
      <c r="AC25">
        <v>1</v>
      </c>
      <c r="AD25">
        <v>4.2</v>
      </c>
      <c r="AE25" s="19">
        <v>0.94391000000000003</v>
      </c>
      <c r="AF25" s="19">
        <v>3.68926</v>
      </c>
      <c r="AG25" s="37">
        <v>48</v>
      </c>
      <c r="AH25" s="37">
        <v>-3.9</v>
      </c>
      <c r="AI25" s="37">
        <v>-0.44</v>
      </c>
      <c r="AJ25" s="37">
        <v>43.65</v>
      </c>
      <c r="AL25">
        <v>2030</v>
      </c>
      <c r="AM25" s="35">
        <v>0.24</v>
      </c>
    </row>
    <row r="26" spans="1:42">
      <c r="A26" s="1">
        <v>1</v>
      </c>
      <c r="B26" s="1" t="s">
        <v>494</v>
      </c>
      <c r="C26">
        <v>2031</v>
      </c>
      <c r="D26" s="12">
        <v>63.05</v>
      </c>
      <c r="E26" s="12">
        <v>43.53</v>
      </c>
      <c r="F26" s="12">
        <v>19.52</v>
      </c>
      <c r="G26" s="5">
        <f t="shared" si="0"/>
        <v>4099.2</v>
      </c>
      <c r="H26" s="12" t="s">
        <v>490</v>
      </c>
      <c r="I26" s="12">
        <v>63.05</v>
      </c>
      <c r="J26" s="12" t="s">
        <v>490</v>
      </c>
      <c r="K26" s="12">
        <v>43.53</v>
      </c>
      <c r="N26">
        <v>2.57</v>
      </c>
      <c r="O26" s="2">
        <v>100403</v>
      </c>
      <c r="P26" s="3">
        <v>3551</v>
      </c>
      <c r="Q26">
        <v>2.2999999999999998</v>
      </c>
      <c r="R26">
        <v>7.4</v>
      </c>
      <c r="S26" s="19">
        <v>0.94391000000000003</v>
      </c>
      <c r="T26" s="19">
        <v>3.5503399999999998</v>
      </c>
      <c r="U26" s="37">
        <v>70.67</v>
      </c>
      <c r="V26" s="37">
        <v>-5.93</v>
      </c>
      <c r="W26" s="37">
        <v>-1.69</v>
      </c>
      <c r="X26" s="37">
        <v>63.05</v>
      </c>
      <c r="Z26">
        <v>2.57</v>
      </c>
      <c r="AA26" s="2">
        <v>60593</v>
      </c>
      <c r="AB26" s="3">
        <v>4890</v>
      </c>
      <c r="AC26">
        <v>1</v>
      </c>
      <c r="AD26">
        <v>4.2</v>
      </c>
      <c r="AE26" s="19">
        <v>0.94391000000000003</v>
      </c>
      <c r="AF26" s="19">
        <v>3.68926</v>
      </c>
      <c r="AG26" s="37">
        <v>48</v>
      </c>
      <c r="AH26" s="37">
        <v>-4.03</v>
      </c>
      <c r="AI26" s="37">
        <v>-0.44</v>
      </c>
      <c r="AJ26" s="37">
        <v>43.53</v>
      </c>
      <c r="AL26">
        <v>2031</v>
      </c>
      <c r="AM26" s="35">
        <v>0.22</v>
      </c>
      <c r="AP26" s="34"/>
    </row>
    <row r="27" spans="1:42">
      <c r="A27" s="1">
        <v>7.4</v>
      </c>
      <c r="B27" s="1" t="s">
        <v>495</v>
      </c>
      <c r="C27">
        <v>2032</v>
      </c>
      <c r="D27" s="12">
        <v>62.87</v>
      </c>
      <c r="E27" s="12">
        <v>43.4</v>
      </c>
      <c r="F27" s="12">
        <v>19.47</v>
      </c>
      <c r="G27" s="5">
        <f t="shared" si="0"/>
        <v>4088.7</v>
      </c>
      <c r="H27" s="12" t="s">
        <v>490</v>
      </c>
      <c r="I27" s="12">
        <v>62.87</v>
      </c>
      <c r="J27" s="12" t="s">
        <v>490</v>
      </c>
      <c r="K27" s="12">
        <v>43.4</v>
      </c>
      <c r="N27">
        <v>2.57</v>
      </c>
      <c r="O27" s="2">
        <v>100403</v>
      </c>
      <c r="P27" s="3">
        <v>3551</v>
      </c>
      <c r="Q27">
        <v>2.2999999999999998</v>
      </c>
      <c r="R27">
        <v>7.4</v>
      </c>
      <c r="S27" s="19">
        <v>0.94391000000000003</v>
      </c>
      <c r="T27" s="19">
        <v>3.5503399999999998</v>
      </c>
      <c r="U27" s="37">
        <v>70.67</v>
      </c>
      <c r="V27" s="37">
        <v>-6.11</v>
      </c>
      <c r="W27" s="37">
        <v>-1.69</v>
      </c>
      <c r="X27" s="37">
        <v>62.87</v>
      </c>
      <c r="Z27">
        <v>2.57</v>
      </c>
      <c r="AA27" s="2">
        <v>60593</v>
      </c>
      <c r="AB27" s="3">
        <v>4890</v>
      </c>
      <c r="AC27">
        <v>1</v>
      </c>
      <c r="AD27">
        <v>4.2</v>
      </c>
      <c r="AE27" s="19">
        <v>0.94391000000000003</v>
      </c>
      <c r="AF27" s="19">
        <v>3.68926</v>
      </c>
      <c r="AG27" s="37">
        <v>48</v>
      </c>
      <c r="AH27" s="37">
        <v>-4.1500000000000004</v>
      </c>
      <c r="AI27" s="37">
        <v>-0.44</v>
      </c>
      <c r="AJ27" s="37">
        <v>43.4</v>
      </c>
      <c r="AL27">
        <v>2032</v>
      </c>
      <c r="AM27" s="35">
        <v>0.19</v>
      </c>
    </row>
    <row r="28" spans="1:42">
      <c r="A28" s="1">
        <v>4.2</v>
      </c>
      <c r="B28" s="1" t="s">
        <v>496</v>
      </c>
      <c r="C28">
        <v>2033</v>
      </c>
      <c r="D28" s="12">
        <v>62.69</v>
      </c>
      <c r="E28" s="12">
        <v>43.28</v>
      </c>
      <c r="F28" s="12">
        <v>19.41</v>
      </c>
      <c r="G28" s="5">
        <f t="shared" si="0"/>
        <v>4076.1</v>
      </c>
      <c r="H28" s="12" t="s">
        <v>490</v>
      </c>
      <c r="I28" s="12">
        <v>62.69</v>
      </c>
      <c r="J28" s="12" t="s">
        <v>490</v>
      </c>
      <c r="K28" s="12">
        <v>43.28</v>
      </c>
      <c r="N28">
        <v>2.57</v>
      </c>
      <c r="O28" s="2">
        <v>100403</v>
      </c>
      <c r="P28" s="3">
        <v>3551</v>
      </c>
      <c r="Q28">
        <v>2.2999999999999998</v>
      </c>
      <c r="R28">
        <v>7.4</v>
      </c>
      <c r="S28" s="19">
        <v>0.94391000000000003</v>
      </c>
      <c r="T28" s="19">
        <v>3.5503399999999998</v>
      </c>
      <c r="U28" s="37">
        <v>70.67</v>
      </c>
      <c r="V28" s="37">
        <v>-6.29</v>
      </c>
      <c r="W28" s="37">
        <v>-1.69</v>
      </c>
      <c r="X28" s="37">
        <v>62.69</v>
      </c>
      <c r="Z28">
        <v>2.57</v>
      </c>
      <c r="AA28" s="2">
        <v>60593</v>
      </c>
      <c r="AB28" s="3">
        <v>4890</v>
      </c>
      <c r="AC28">
        <v>1</v>
      </c>
      <c r="AD28">
        <v>4.2</v>
      </c>
      <c r="AE28" s="19">
        <v>0.94391000000000003</v>
      </c>
      <c r="AF28" s="19">
        <v>3.68926</v>
      </c>
      <c r="AG28" s="37">
        <v>48</v>
      </c>
      <c r="AH28" s="37">
        <v>-4.2699999999999996</v>
      </c>
      <c r="AI28" s="37">
        <v>-0.44</v>
      </c>
      <c r="AJ28" s="37">
        <v>43.28</v>
      </c>
      <c r="AL28">
        <v>2033</v>
      </c>
      <c r="AM28" s="35">
        <v>0.17</v>
      </c>
      <c r="AP28" s="34"/>
    </row>
    <row r="29" spans="1:42" ht="29.1">
      <c r="A29" s="1">
        <v>0.70309999999999995</v>
      </c>
      <c r="B29" s="1" t="s">
        <v>497</v>
      </c>
      <c r="C29">
        <v>2034</v>
      </c>
      <c r="D29" s="12">
        <v>62.51</v>
      </c>
      <c r="E29" s="12">
        <v>43.16</v>
      </c>
      <c r="F29" s="12">
        <v>19.350000000000001</v>
      </c>
      <c r="G29" s="5">
        <f t="shared" si="0"/>
        <v>4063.5000000000005</v>
      </c>
      <c r="H29" s="12" t="s">
        <v>490</v>
      </c>
      <c r="I29" s="12">
        <v>62.51</v>
      </c>
      <c r="J29" s="12" t="s">
        <v>490</v>
      </c>
      <c r="K29" s="12">
        <v>43.16</v>
      </c>
      <c r="N29">
        <v>2.57</v>
      </c>
      <c r="O29" s="2">
        <v>100403</v>
      </c>
      <c r="P29" s="3">
        <v>3551</v>
      </c>
      <c r="Q29">
        <v>2.2999999999999998</v>
      </c>
      <c r="R29">
        <v>7.4</v>
      </c>
      <c r="S29" s="19">
        <v>0.94391000000000003</v>
      </c>
      <c r="T29" s="19">
        <v>3.5503399999999998</v>
      </c>
      <c r="U29" s="37">
        <v>70.67</v>
      </c>
      <c r="V29" s="37">
        <v>-6.47</v>
      </c>
      <c r="W29" s="37">
        <v>-1.69</v>
      </c>
      <c r="X29" s="37">
        <v>62.51</v>
      </c>
      <c r="Z29">
        <v>2.57</v>
      </c>
      <c r="AA29" s="2">
        <v>60593</v>
      </c>
      <c r="AB29" s="3">
        <v>4890</v>
      </c>
      <c r="AC29">
        <v>1</v>
      </c>
      <c r="AD29">
        <v>4.2</v>
      </c>
      <c r="AE29" s="19">
        <v>0.94391000000000003</v>
      </c>
      <c r="AF29" s="19">
        <v>3.68926</v>
      </c>
      <c r="AG29" s="37">
        <v>48</v>
      </c>
      <c r="AH29" s="37">
        <v>-4.4000000000000004</v>
      </c>
      <c r="AI29" s="37">
        <v>-0.44</v>
      </c>
      <c r="AJ29" s="37">
        <v>43.16</v>
      </c>
      <c r="AL29">
        <v>2034</v>
      </c>
      <c r="AM29" s="35">
        <v>0.14000000000000001</v>
      </c>
    </row>
    <row r="30" spans="1:42">
      <c r="A30" s="18">
        <v>100403</v>
      </c>
      <c r="B30" s="1" t="s">
        <v>498</v>
      </c>
      <c r="C30">
        <v>2035</v>
      </c>
      <c r="D30" s="12">
        <v>62.32</v>
      </c>
      <c r="E30" s="12">
        <v>43.03</v>
      </c>
      <c r="F30" s="12">
        <v>19.29</v>
      </c>
      <c r="G30" s="5">
        <f t="shared" si="0"/>
        <v>4050.8999999999996</v>
      </c>
      <c r="H30" s="12" t="s">
        <v>490</v>
      </c>
      <c r="I30" s="12">
        <v>62.32</v>
      </c>
      <c r="J30" s="12" t="s">
        <v>490</v>
      </c>
      <c r="K30" s="12">
        <v>43.03</v>
      </c>
      <c r="N30">
        <v>2.57</v>
      </c>
      <c r="O30" s="2">
        <v>100403</v>
      </c>
      <c r="P30" s="3">
        <v>3551</v>
      </c>
      <c r="Q30">
        <v>2.2999999999999998</v>
      </c>
      <c r="R30">
        <v>7.4</v>
      </c>
      <c r="S30" s="19">
        <v>0.94391000000000003</v>
      </c>
      <c r="T30" s="19">
        <v>3.5503399999999998</v>
      </c>
      <c r="U30" s="37">
        <v>70.67</v>
      </c>
      <c r="V30" s="37">
        <v>-6.65</v>
      </c>
      <c r="W30" s="37">
        <v>-1.69</v>
      </c>
      <c r="X30" s="37">
        <v>62.32</v>
      </c>
      <c r="Z30">
        <v>2.57</v>
      </c>
      <c r="AA30" s="2">
        <v>60593</v>
      </c>
      <c r="AB30" s="3">
        <v>4890</v>
      </c>
      <c r="AC30">
        <v>1</v>
      </c>
      <c r="AD30">
        <v>4.2</v>
      </c>
      <c r="AE30" s="19">
        <v>0.94391000000000003</v>
      </c>
      <c r="AF30" s="19">
        <v>3.68926</v>
      </c>
      <c r="AG30" s="37">
        <v>48</v>
      </c>
      <c r="AH30" s="37">
        <v>-4.5199999999999996</v>
      </c>
      <c r="AI30" s="37">
        <v>-0.44</v>
      </c>
      <c r="AJ30" s="37">
        <v>43.03</v>
      </c>
      <c r="AL30">
        <v>2035</v>
      </c>
      <c r="AM30" s="35">
        <v>0.12</v>
      </c>
      <c r="AP30" s="34"/>
    </row>
    <row r="31" spans="1:42" ht="29.1">
      <c r="A31" s="18">
        <v>60593</v>
      </c>
      <c r="B31" s="1" t="s">
        <v>499</v>
      </c>
      <c r="C31">
        <v>2036</v>
      </c>
      <c r="D31" s="12">
        <v>62.14</v>
      </c>
      <c r="E31" s="12">
        <v>42.91</v>
      </c>
      <c r="F31" s="12">
        <v>19.23</v>
      </c>
      <c r="G31" s="5">
        <f t="shared" si="0"/>
        <v>4038.3</v>
      </c>
      <c r="H31" s="12" t="s">
        <v>490</v>
      </c>
      <c r="I31" s="12">
        <v>62.14</v>
      </c>
      <c r="J31" s="12" t="s">
        <v>490</v>
      </c>
      <c r="K31" s="12">
        <v>42.91</v>
      </c>
      <c r="N31">
        <v>2.57</v>
      </c>
      <c r="O31" s="2">
        <v>100403</v>
      </c>
      <c r="P31" s="3">
        <v>3551</v>
      </c>
      <c r="Q31">
        <v>2.2999999999999998</v>
      </c>
      <c r="R31">
        <v>7.4</v>
      </c>
      <c r="S31" s="19">
        <v>0.94391000000000003</v>
      </c>
      <c r="T31" s="19">
        <v>3.5503399999999998</v>
      </c>
      <c r="U31" s="37">
        <v>70.67</v>
      </c>
      <c r="V31" s="37">
        <v>-6.84</v>
      </c>
      <c r="W31" s="37">
        <v>-1.69</v>
      </c>
      <c r="X31" s="37">
        <v>62.14</v>
      </c>
      <c r="Z31">
        <v>2.57</v>
      </c>
      <c r="AA31" s="2">
        <v>60593</v>
      </c>
      <c r="AB31" s="3">
        <v>4890</v>
      </c>
      <c r="AC31">
        <v>1</v>
      </c>
      <c r="AD31">
        <v>4.2</v>
      </c>
      <c r="AE31" s="19">
        <v>0.94391000000000003</v>
      </c>
      <c r="AF31" s="19">
        <v>3.68926</v>
      </c>
      <c r="AG31" s="37">
        <v>48</v>
      </c>
      <c r="AH31" s="37">
        <v>-4.6399999999999997</v>
      </c>
      <c r="AI31" s="37">
        <v>-0.44</v>
      </c>
      <c r="AJ31" s="37">
        <v>42.91</v>
      </c>
      <c r="AL31">
        <v>2036</v>
      </c>
      <c r="AM31" s="35">
        <v>0.1</v>
      </c>
    </row>
    <row r="32" spans="1:42" ht="29.1">
      <c r="A32" s="1">
        <v>0.107</v>
      </c>
      <c r="B32" s="1" t="s">
        <v>500</v>
      </c>
      <c r="C32">
        <v>2037</v>
      </c>
      <c r="D32" s="12">
        <v>61.96</v>
      </c>
      <c r="E32" s="12">
        <v>42.79</v>
      </c>
      <c r="F32" s="12">
        <v>19.170000000000002</v>
      </c>
      <c r="G32" s="5">
        <f t="shared" si="0"/>
        <v>4025.7000000000003</v>
      </c>
      <c r="H32" s="12" t="s">
        <v>490</v>
      </c>
      <c r="I32" s="12">
        <v>61.96</v>
      </c>
      <c r="J32" s="12" t="s">
        <v>490</v>
      </c>
      <c r="K32" s="12">
        <v>42.79</v>
      </c>
      <c r="N32">
        <v>2.57</v>
      </c>
      <c r="O32" s="2">
        <v>100403</v>
      </c>
      <c r="P32" s="3">
        <v>3551</v>
      </c>
      <c r="Q32">
        <v>2.2999999999999998</v>
      </c>
      <c r="R32">
        <v>7.4</v>
      </c>
      <c r="S32" s="19">
        <v>0.94391000000000003</v>
      </c>
      <c r="T32" s="19">
        <v>3.5503399999999998</v>
      </c>
      <c r="U32" s="37">
        <v>70.67</v>
      </c>
      <c r="V32" s="37">
        <v>-7.02</v>
      </c>
      <c r="W32" s="37">
        <v>-1.69</v>
      </c>
      <c r="X32" s="37">
        <v>61.96</v>
      </c>
      <c r="Z32">
        <v>2.57</v>
      </c>
      <c r="AA32" s="2">
        <v>60593</v>
      </c>
      <c r="AB32" s="3">
        <v>4890</v>
      </c>
      <c r="AC32">
        <v>1</v>
      </c>
      <c r="AD32">
        <v>4.2</v>
      </c>
      <c r="AE32" s="19">
        <v>0.94391000000000003</v>
      </c>
      <c r="AF32" s="19">
        <v>3.68926</v>
      </c>
      <c r="AG32" s="37">
        <v>48</v>
      </c>
      <c r="AH32" s="37">
        <v>-4.7699999999999996</v>
      </c>
      <c r="AI32" s="37">
        <v>-0.44</v>
      </c>
      <c r="AJ32" s="37">
        <v>42.79</v>
      </c>
      <c r="AL32">
        <v>2037</v>
      </c>
      <c r="AM32" s="35">
        <v>7.0000000000000007E-2</v>
      </c>
      <c r="AP32" s="34"/>
    </row>
    <row r="33" spans="1:42" ht="29.1">
      <c r="A33" s="1">
        <v>42.3</v>
      </c>
      <c r="B33" s="1" t="s">
        <v>501</v>
      </c>
      <c r="C33">
        <v>2038</v>
      </c>
      <c r="D33" s="12">
        <v>61.78</v>
      </c>
      <c r="E33" s="12">
        <v>42.66</v>
      </c>
      <c r="F33" s="12">
        <v>19.12</v>
      </c>
      <c r="G33" s="5">
        <f t="shared" si="0"/>
        <v>4015.2000000000003</v>
      </c>
      <c r="H33" s="12" t="s">
        <v>490</v>
      </c>
      <c r="I33" s="12">
        <v>61.78</v>
      </c>
      <c r="J33" s="12" t="s">
        <v>490</v>
      </c>
      <c r="K33" s="12">
        <v>42.66</v>
      </c>
      <c r="N33">
        <v>2.57</v>
      </c>
      <c r="O33" s="2">
        <v>100403</v>
      </c>
      <c r="P33" s="3">
        <v>3551</v>
      </c>
      <c r="Q33">
        <v>2.2999999999999998</v>
      </c>
      <c r="R33">
        <v>7.4</v>
      </c>
      <c r="S33" s="19">
        <v>0.94391000000000003</v>
      </c>
      <c r="T33" s="19">
        <v>3.5503399999999998</v>
      </c>
      <c r="U33" s="37">
        <v>70.67</v>
      </c>
      <c r="V33" s="37">
        <v>-7.2</v>
      </c>
      <c r="W33" s="37">
        <v>-1.69</v>
      </c>
      <c r="X33" s="37">
        <v>61.78</v>
      </c>
      <c r="Z33">
        <v>2.57</v>
      </c>
      <c r="AA33" s="2">
        <v>60593</v>
      </c>
      <c r="AB33" s="3">
        <v>4890</v>
      </c>
      <c r="AC33">
        <v>1</v>
      </c>
      <c r="AD33">
        <v>4.2</v>
      </c>
      <c r="AE33" s="19">
        <v>0.94391000000000003</v>
      </c>
      <c r="AF33" s="19">
        <v>3.68926</v>
      </c>
      <c r="AG33" s="37">
        <v>48</v>
      </c>
      <c r="AH33" s="37">
        <v>-4.8899999999999997</v>
      </c>
      <c r="AI33" s="37">
        <v>-0.44</v>
      </c>
      <c r="AJ33" s="37">
        <v>42.66</v>
      </c>
      <c r="AL33">
        <v>2038</v>
      </c>
      <c r="AM33" s="35">
        <v>0.05</v>
      </c>
    </row>
    <row r="34" spans="1:42" ht="29.1">
      <c r="A34" s="1">
        <v>11.1</v>
      </c>
      <c r="B34" s="1" t="s">
        <v>502</v>
      </c>
      <c r="C34">
        <v>2039</v>
      </c>
      <c r="D34" s="12">
        <v>61.6</v>
      </c>
      <c r="E34" s="12">
        <v>42.54</v>
      </c>
      <c r="F34" s="12">
        <v>19.059999999999999</v>
      </c>
      <c r="G34" s="5">
        <f t="shared" si="0"/>
        <v>4002.6</v>
      </c>
      <c r="H34" s="12" t="s">
        <v>490</v>
      </c>
      <c r="I34" s="12">
        <v>61.6</v>
      </c>
      <c r="J34" s="12" t="s">
        <v>490</v>
      </c>
      <c r="K34" s="12">
        <v>42.54</v>
      </c>
      <c r="N34">
        <v>2.57</v>
      </c>
      <c r="O34" s="2">
        <v>100403</v>
      </c>
      <c r="P34" s="3">
        <v>3551</v>
      </c>
      <c r="Q34">
        <v>2.2999999999999998</v>
      </c>
      <c r="R34">
        <v>7.4</v>
      </c>
      <c r="S34" s="19">
        <v>0.94391000000000003</v>
      </c>
      <c r="T34" s="19">
        <v>3.5503399999999998</v>
      </c>
      <c r="U34" s="37">
        <v>70.67</v>
      </c>
      <c r="V34" s="37">
        <v>-7.38</v>
      </c>
      <c r="W34" s="37">
        <v>-1.69</v>
      </c>
      <c r="X34" s="37">
        <v>61.6</v>
      </c>
      <c r="Z34">
        <v>2.57</v>
      </c>
      <c r="AA34" s="2">
        <v>60593</v>
      </c>
      <c r="AB34" s="3">
        <v>4890</v>
      </c>
      <c r="AC34">
        <v>1</v>
      </c>
      <c r="AD34">
        <v>4.2</v>
      </c>
      <c r="AE34" s="19">
        <v>0.94391000000000003</v>
      </c>
      <c r="AF34" s="19">
        <v>3.68926</v>
      </c>
      <c r="AG34" s="37">
        <v>48</v>
      </c>
      <c r="AH34" s="37">
        <v>-5.01</v>
      </c>
      <c r="AI34" s="37">
        <v>-0.44</v>
      </c>
      <c r="AJ34" s="37">
        <v>42.54</v>
      </c>
      <c r="AL34">
        <v>2039</v>
      </c>
      <c r="AM34" s="35">
        <v>0.02</v>
      </c>
      <c r="AP34" s="34"/>
    </row>
    <row r="35" spans="1:42">
      <c r="B35" s="1" t="s">
        <v>503</v>
      </c>
      <c r="C35">
        <v>2040</v>
      </c>
      <c r="D35" s="12">
        <v>61.42</v>
      </c>
      <c r="E35" s="12">
        <v>42.42</v>
      </c>
      <c r="F35" s="12">
        <v>19</v>
      </c>
      <c r="G35" s="5">
        <f t="shared" si="0"/>
        <v>3990</v>
      </c>
      <c r="H35" s="12" t="s">
        <v>490</v>
      </c>
      <c r="I35" s="12">
        <v>61.42</v>
      </c>
      <c r="J35" s="12" t="s">
        <v>490</v>
      </c>
      <c r="K35" s="12">
        <v>42.42</v>
      </c>
      <c r="N35">
        <v>2.57</v>
      </c>
      <c r="O35" s="2">
        <v>100403</v>
      </c>
      <c r="P35" s="3">
        <v>3551</v>
      </c>
      <c r="Q35">
        <v>2.2999999999999998</v>
      </c>
      <c r="R35">
        <v>7.4</v>
      </c>
      <c r="S35" s="19">
        <v>0.94391000000000003</v>
      </c>
      <c r="T35" s="19">
        <v>3.5503399999999998</v>
      </c>
      <c r="U35" s="37">
        <v>70.67</v>
      </c>
      <c r="V35" s="37">
        <v>-7.56</v>
      </c>
      <c r="W35" s="37">
        <v>-1.69</v>
      </c>
      <c r="X35" s="37">
        <v>61.42</v>
      </c>
      <c r="Z35">
        <v>2.57</v>
      </c>
      <c r="AA35" s="2">
        <v>60593</v>
      </c>
      <c r="AB35" s="3">
        <v>4890</v>
      </c>
      <c r="AC35">
        <v>1</v>
      </c>
      <c r="AD35">
        <v>4.2</v>
      </c>
      <c r="AE35" s="19">
        <v>0.94391000000000003</v>
      </c>
      <c r="AF35" s="19">
        <v>3.68926</v>
      </c>
      <c r="AG35" s="37">
        <v>48</v>
      </c>
      <c r="AH35" s="37">
        <v>-5.14</v>
      </c>
      <c r="AI35" s="37">
        <v>-0.44</v>
      </c>
      <c r="AJ35" s="37">
        <v>42.42</v>
      </c>
      <c r="AL35">
        <v>2040</v>
      </c>
      <c r="AM35" s="35">
        <v>0</v>
      </c>
    </row>
    <row r="36" spans="1:42">
      <c r="C36">
        <v>2041</v>
      </c>
      <c r="D36" s="12">
        <v>61.42</v>
      </c>
      <c r="E36" s="12">
        <v>42.42</v>
      </c>
      <c r="F36" s="12">
        <v>19</v>
      </c>
      <c r="G36" s="5">
        <f t="shared" si="0"/>
        <v>3990</v>
      </c>
      <c r="H36" s="12" t="s">
        <v>490</v>
      </c>
      <c r="I36" s="12">
        <v>61.42</v>
      </c>
      <c r="J36" s="12" t="s">
        <v>490</v>
      </c>
      <c r="K36" s="12">
        <v>42.42</v>
      </c>
      <c r="N36">
        <v>2.57</v>
      </c>
      <c r="O36" s="2">
        <v>100403</v>
      </c>
      <c r="P36" s="3">
        <v>3551</v>
      </c>
      <c r="Q36">
        <v>2.2999999999999998</v>
      </c>
      <c r="R36">
        <v>7.4</v>
      </c>
      <c r="S36" s="19">
        <v>0.94391000000000003</v>
      </c>
      <c r="T36" s="19">
        <v>3.5503399999999998</v>
      </c>
      <c r="U36" s="37">
        <v>70.67</v>
      </c>
      <c r="V36" s="37">
        <v>-7.56</v>
      </c>
      <c r="W36" s="37">
        <v>-1.69</v>
      </c>
      <c r="X36" s="37">
        <v>61.42</v>
      </c>
      <c r="Z36">
        <v>2.57</v>
      </c>
      <c r="AA36" s="2">
        <v>60593</v>
      </c>
      <c r="AB36" s="3">
        <v>4890</v>
      </c>
      <c r="AC36">
        <v>1</v>
      </c>
      <c r="AD36">
        <v>4.2</v>
      </c>
      <c r="AE36" s="19">
        <v>0.94391000000000003</v>
      </c>
      <c r="AF36" s="19">
        <v>3.68926</v>
      </c>
      <c r="AG36" s="37">
        <v>48</v>
      </c>
      <c r="AH36" s="37">
        <v>-5.14</v>
      </c>
      <c r="AI36" s="37">
        <v>-0.44</v>
      </c>
      <c r="AJ36" s="37">
        <v>42.42</v>
      </c>
      <c r="AL36">
        <v>2041</v>
      </c>
      <c r="AM36" s="35">
        <v>0</v>
      </c>
      <c r="AP36" s="34"/>
    </row>
    <row r="37" spans="1:42">
      <c r="C37">
        <v>2042</v>
      </c>
      <c r="D37" s="12">
        <v>61.42</v>
      </c>
      <c r="E37" s="12">
        <v>42.42</v>
      </c>
      <c r="F37" s="12">
        <v>19</v>
      </c>
      <c r="G37" s="5">
        <f t="shared" si="0"/>
        <v>3990</v>
      </c>
      <c r="H37" s="12" t="s">
        <v>490</v>
      </c>
      <c r="I37" s="12">
        <v>61.42</v>
      </c>
      <c r="J37" s="12" t="s">
        <v>490</v>
      </c>
      <c r="K37" s="12">
        <v>42.42</v>
      </c>
      <c r="N37">
        <v>2.57</v>
      </c>
      <c r="O37" s="2">
        <v>100403</v>
      </c>
      <c r="P37" s="3">
        <v>3551</v>
      </c>
      <c r="Q37">
        <v>2.2999999999999998</v>
      </c>
      <c r="R37">
        <v>7.4</v>
      </c>
      <c r="S37" s="19">
        <v>0.94391000000000003</v>
      </c>
      <c r="T37" s="19">
        <v>3.5503399999999998</v>
      </c>
      <c r="U37" s="37">
        <v>70.67</v>
      </c>
      <c r="V37" s="37">
        <v>-7.56</v>
      </c>
      <c r="W37" s="37">
        <v>-1.69</v>
      </c>
      <c r="X37" s="37">
        <v>61.42</v>
      </c>
      <c r="Z37">
        <v>2.57</v>
      </c>
      <c r="AA37" s="2">
        <v>60593</v>
      </c>
      <c r="AB37" s="3">
        <v>4890</v>
      </c>
      <c r="AC37">
        <v>1</v>
      </c>
      <c r="AD37">
        <v>4.2</v>
      </c>
      <c r="AE37" s="19">
        <v>0.94391000000000003</v>
      </c>
      <c r="AF37" s="19">
        <v>3.68926</v>
      </c>
      <c r="AG37" s="37">
        <v>48</v>
      </c>
      <c r="AH37" s="37">
        <v>-5.14</v>
      </c>
      <c r="AI37" s="37">
        <v>-0.44</v>
      </c>
      <c r="AJ37" s="37">
        <v>42.42</v>
      </c>
    </row>
    <row r="38" spans="1:42">
      <c r="C38">
        <v>2043</v>
      </c>
      <c r="D38" s="12">
        <v>61.42</v>
      </c>
      <c r="E38" s="12">
        <v>42.42</v>
      </c>
      <c r="F38" s="12">
        <v>19</v>
      </c>
      <c r="G38" s="5">
        <f t="shared" si="0"/>
        <v>3990</v>
      </c>
      <c r="H38" s="12" t="s">
        <v>490</v>
      </c>
      <c r="I38" s="12">
        <v>61.42</v>
      </c>
      <c r="J38" s="12" t="s">
        <v>490</v>
      </c>
      <c r="K38" s="12">
        <v>42.42</v>
      </c>
      <c r="N38">
        <v>2.57</v>
      </c>
      <c r="O38" s="2">
        <v>100403</v>
      </c>
      <c r="P38" s="3">
        <v>3551</v>
      </c>
      <c r="Q38">
        <v>2.2999999999999998</v>
      </c>
      <c r="R38">
        <v>7.4</v>
      </c>
      <c r="S38" s="19">
        <v>0.94391000000000003</v>
      </c>
      <c r="T38" s="19">
        <v>3.5503399999999998</v>
      </c>
      <c r="U38" s="37">
        <v>70.67</v>
      </c>
      <c r="V38" s="37">
        <v>-7.56</v>
      </c>
      <c r="W38" s="37">
        <v>-1.69</v>
      </c>
      <c r="X38" s="37">
        <v>61.42</v>
      </c>
      <c r="Z38">
        <v>2.57</v>
      </c>
      <c r="AA38" s="2">
        <v>60593</v>
      </c>
      <c r="AB38" s="3">
        <v>4890</v>
      </c>
      <c r="AC38">
        <v>1</v>
      </c>
      <c r="AD38">
        <v>4.2</v>
      </c>
      <c r="AE38" s="19">
        <v>0.94391000000000003</v>
      </c>
      <c r="AF38" s="19">
        <v>3.68926</v>
      </c>
      <c r="AG38" s="37">
        <v>48</v>
      </c>
      <c r="AH38" s="37">
        <v>-5.14</v>
      </c>
      <c r="AI38" s="37">
        <v>-0.44</v>
      </c>
      <c r="AJ38" s="37">
        <v>42.42</v>
      </c>
      <c r="AP38" s="34"/>
    </row>
    <row r="39" spans="1:42">
      <c r="C39">
        <v>2044</v>
      </c>
      <c r="D39" s="12">
        <v>61.42</v>
      </c>
      <c r="E39" s="12">
        <v>42.42</v>
      </c>
      <c r="F39" s="12">
        <v>19</v>
      </c>
      <c r="G39" s="5">
        <f t="shared" si="0"/>
        <v>3990</v>
      </c>
      <c r="H39" s="12" t="s">
        <v>490</v>
      </c>
      <c r="I39" s="12">
        <v>61.42</v>
      </c>
      <c r="J39" s="12" t="s">
        <v>490</v>
      </c>
      <c r="K39" s="12">
        <v>42.42</v>
      </c>
      <c r="N39">
        <v>2.57</v>
      </c>
      <c r="O39" s="2">
        <v>100403</v>
      </c>
      <c r="P39" s="3">
        <v>3551</v>
      </c>
      <c r="Q39">
        <v>2.2999999999999998</v>
      </c>
      <c r="R39">
        <v>7.4</v>
      </c>
      <c r="S39" s="19">
        <v>0.94391000000000003</v>
      </c>
      <c r="T39" s="19">
        <v>3.5503399999999998</v>
      </c>
      <c r="U39" s="37">
        <v>70.67</v>
      </c>
      <c r="V39" s="37">
        <v>-7.56</v>
      </c>
      <c r="W39" s="37">
        <v>-1.69</v>
      </c>
      <c r="X39" s="37">
        <v>61.42</v>
      </c>
      <c r="Z39">
        <v>2.57</v>
      </c>
      <c r="AA39" s="2">
        <v>60593</v>
      </c>
      <c r="AB39" s="3">
        <v>4890</v>
      </c>
      <c r="AC39">
        <v>1</v>
      </c>
      <c r="AD39">
        <v>4.2</v>
      </c>
      <c r="AE39" s="19">
        <v>0.94391000000000003</v>
      </c>
      <c r="AF39" s="19">
        <v>3.68926</v>
      </c>
      <c r="AG39" s="37">
        <v>48</v>
      </c>
      <c r="AH39" s="37">
        <v>-5.14</v>
      </c>
      <c r="AI39" s="37">
        <v>-0.44</v>
      </c>
      <c r="AJ39" s="37">
        <v>42.42</v>
      </c>
    </row>
    <row r="40" spans="1:42">
      <c r="C40">
        <v>2045</v>
      </c>
      <c r="D40" s="12">
        <v>61.42</v>
      </c>
      <c r="E40" s="12">
        <v>42.42</v>
      </c>
      <c r="F40" s="12">
        <v>19</v>
      </c>
      <c r="G40" s="5">
        <f t="shared" si="0"/>
        <v>3990</v>
      </c>
      <c r="H40" s="12" t="s">
        <v>490</v>
      </c>
      <c r="I40" s="12">
        <v>61.42</v>
      </c>
      <c r="J40" s="12" t="s">
        <v>490</v>
      </c>
      <c r="K40" s="12">
        <v>42.42</v>
      </c>
      <c r="N40">
        <v>2.57</v>
      </c>
      <c r="O40" s="2">
        <v>100403</v>
      </c>
      <c r="P40" s="3">
        <v>3551</v>
      </c>
      <c r="Q40">
        <v>2.2999999999999998</v>
      </c>
      <c r="R40">
        <v>7.4</v>
      </c>
      <c r="S40" s="19">
        <v>0.94391000000000003</v>
      </c>
      <c r="T40" s="19">
        <v>3.5503399999999998</v>
      </c>
      <c r="U40" s="37">
        <v>70.67</v>
      </c>
      <c r="V40" s="37">
        <v>-7.56</v>
      </c>
      <c r="W40" s="37">
        <v>-1.69</v>
      </c>
      <c r="X40" s="37">
        <v>61.42</v>
      </c>
      <c r="Z40">
        <v>2.57</v>
      </c>
      <c r="AA40" s="2">
        <v>60593</v>
      </c>
      <c r="AB40" s="3">
        <v>4890</v>
      </c>
      <c r="AC40">
        <v>1</v>
      </c>
      <c r="AD40">
        <v>4.2</v>
      </c>
      <c r="AE40" s="19">
        <v>0.94391000000000003</v>
      </c>
      <c r="AF40" s="19">
        <v>3.68926</v>
      </c>
      <c r="AG40" s="37">
        <v>48</v>
      </c>
      <c r="AH40" s="37">
        <v>-5.14</v>
      </c>
      <c r="AI40" s="37">
        <v>-0.44</v>
      </c>
      <c r="AJ40" s="37">
        <v>42.42</v>
      </c>
      <c r="AP40" s="34"/>
    </row>
    <row r="41" spans="1:42">
      <c r="C41">
        <v>2046</v>
      </c>
      <c r="D41" s="12">
        <v>61.42</v>
      </c>
      <c r="E41" s="12">
        <v>42.42</v>
      </c>
      <c r="F41" s="12">
        <v>19</v>
      </c>
      <c r="G41" s="5">
        <f t="shared" si="0"/>
        <v>3990</v>
      </c>
      <c r="H41" s="12" t="s">
        <v>490</v>
      </c>
      <c r="I41" s="12">
        <v>61.42</v>
      </c>
      <c r="J41" s="12" t="s">
        <v>490</v>
      </c>
      <c r="K41" s="12">
        <v>42.42</v>
      </c>
      <c r="N41">
        <v>2.57</v>
      </c>
      <c r="O41" s="2">
        <v>100403</v>
      </c>
      <c r="P41" s="3">
        <v>3551</v>
      </c>
      <c r="Q41">
        <v>2.2999999999999998</v>
      </c>
      <c r="R41">
        <v>7.4</v>
      </c>
      <c r="S41" s="19">
        <v>0.94391000000000003</v>
      </c>
      <c r="T41" s="19">
        <v>3.5503399999999998</v>
      </c>
      <c r="U41" s="37">
        <v>70.67</v>
      </c>
      <c r="V41" s="37">
        <v>-7.56</v>
      </c>
      <c r="W41" s="37">
        <v>-1.69</v>
      </c>
      <c r="X41" s="37">
        <v>61.42</v>
      </c>
      <c r="Z41">
        <v>2.57</v>
      </c>
      <c r="AA41" s="2">
        <v>60593</v>
      </c>
      <c r="AB41" s="3">
        <v>4890</v>
      </c>
      <c r="AC41">
        <v>1</v>
      </c>
      <c r="AD41">
        <v>4.2</v>
      </c>
      <c r="AE41" s="19">
        <v>0.94391000000000003</v>
      </c>
      <c r="AF41" s="19">
        <v>3.68926</v>
      </c>
      <c r="AG41" s="37">
        <v>48</v>
      </c>
      <c r="AH41" s="37">
        <v>-5.14</v>
      </c>
      <c r="AI41" s="37">
        <v>-0.44</v>
      </c>
      <c r="AJ41" s="37">
        <v>42.42</v>
      </c>
    </row>
    <row r="42" spans="1:42">
      <c r="C42">
        <v>2047</v>
      </c>
      <c r="D42" s="12">
        <v>61.42</v>
      </c>
      <c r="E42" s="12">
        <v>42.42</v>
      </c>
      <c r="F42" s="12">
        <v>19</v>
      </c>
      <c r="G42" s="5">
        <f t="shared" si="0"/>
        <v>3990</v>
      </c>
      <c r="H42" s="12" t="s">
        <v>490</v>
      </c>
      <c r="I42" s="12">
        <v>61.42</v>
      </c>
      <c r="J42" s="12" t="s">
        <v>490</v>
      </c>
      <c r="K42" s="12">
        <v>42.42</v>
      </c>
      <c r="N42">
        <v>2.57</v>
      </c>
      <c r="O42" s="2">
        <v>100403</v>
      </c>
      <c r="P42" s="3">
        <v>3551</v>
      </c>
      <c r="Q42">
        <v>2.2999999999999998</v>
      </c>
      <c r="R42">
        <v>7.4</v>
      </c>
      <c r="S42" s="19">
        <v>0.94391000000000003</v>
      </c>
      <c r="T42" s="19">
        <v>3.5503399999999998</v>
      </c>
      <c r="U42" s="37">
        <v>70.67</v>
      </c>
      <c r="V42" s="37">
        <v>-7.56</v>
      </c>
      <c r="W42" s="37">
        <v>-1.69</v>
      </c>
      <c r="X42" s="37">
        <v>61.42</v>
      </c>
      <c r="Z42">
        <v>2.57</v>
      </c>
      <c r="AA42" s="2">
        <v>60593</v>
      </c>
      <c r="AB42" s="3">
        <v>4890</v>
      </c>
      <c r="AC42">
        <v>1</v>
      </c>
      <c r="AD42">
        <v>4.2</v>
      </c>
      <c r="AE42" s="19">
        <v>0.94391000000000003</v>
      </c>
      <c r="AF42" s="19">
        <v>3.68926</v>
      </c>
      <c r="AG42" s="37">
        <v>48</v>
      </c>
      <c r="AH42" s="37">
        <v>-5.14</v>
      </c>
      <c r="AI42" s="37">
        <v>-0.44</v>
      </c>
      <c r="AJ42" s="37">
        <v>42.42</v>
      </c>
      <c r="AP42" s="34"/>
    </row>
    <row r="43" spans="1:42">
      <c r="C43">
        <v>2048</v>
      </c>
      <c r="D43" s="12">
        <v>61.42</v>
      </c>
      <c r="E43" s="12">
        <v>42.42</v>
      </c>
      <c r="F43" s="12">
        <v>19</v>
      </c>
      <c r="G43" s="5">
        <f t="shared" si="0"/>
        <v>3990</v>
      </c>
      <c r="H43" s="12" t="s">
        <v>490</v>
      </c>
      <c r="I43" s="12">
        <v>61.42</v>
      </c>
      <c r="J43" s="12" t="s">
        <v>490</v>
      </c>
      <c r="K43" s="12">
        <v>42.42</v>
      </c>
      <c r="N43">
        <v>2.57</v>
      </c>
      <c r="O43" s="2">
        <v>100403</v>
      </c>
      <c r="P43" s="3">
        <v>3551</v>
      </c>
      <c r="Q43">
        <v>2.2999999999999998</v>
      </c>
      <c r="R43">
        <v>7.4</v>
      </c>
      <c r="S43" s="19">
        <v>0.94391000000000003</v>
      </c>
      <c r="T43" s="19">
        <v>3.5503399999999998</v>
      </c>
      <c r="U43" s="37">
        <v>70.67</v>
      </c>
      <c r="V43" s="37">
        <v>-7.56</v>
      </c>
      <c r="W43" s="37">
        <v>-1.69</v>
      </c>
      <c r="X43" s="37">
        <v>61.42</v>
      </c>
      <c r="Z43">
        <v>2.57</v>
      </c>
      <c r="AA43" s="2">
        <v>60593</v>
      </c>
      <c r="AB43" s="3">
        <v>4890</v>
      </c>
      <c r="AC43">
        <v>1</v>
      </c>
      <c r="AD43">
        <v>4.2</v>
      </c>
      <c r="AE43" s="19">
        <v>0.94391000000000003</v>
      </c>
      <c r="AF43" s="19">
        <v>3.68926</v>
      </c>
      <c r="AG43" s="37">
        <v>48</v>
      </c>
      <c r="AH43" s="37">
        <v>-5.14</v>
      </c>
      <c r="AI43" s="37">
        <v>-0.44</v>
      </c>
      <c r="AJ43" s="37">
        <v>42.42</v>
      </c>
    </row>
    <row r="44" spans="1:42">
      <c r="C44">
        <v>2049</v>
      </c>
      <c r="D44" s="12">
        <v>61.42</v>
      </c>
      <c r="E44" s="12">
        <v>42.42</v>
      </c>
      <c r="F44" s="12">
        <v>19</v>
      </c>
      <c r="G44" s="5">
        <f t="shared" si="0"/>
        <v>3990</v>
      </c>
      <c r="H44" s="12" t="s">
        <v>490</v>
      </c>
      <c r="I44" s="12">
        <v>61.42</v>
      </c>
      <c r="J44" s="12" t="s">
        <v>490</v>
      </c>
      <c r="K44" s="12">
        <v>42.42</v>
      </c>
      <c r="N44">
        <v>2.57</v>
      </c>
      <c r="O44" s="2">
        <v>100403</v>
      </c>
      <c r="P44" s="3">
        <v>3551</v>
      </c>
      <c r="Q44">
        <v>2.2999999999999998</v>
      </c>
      <c r="R44">
        <v>7.4</v>
      </c>
      <c r="S44" s="19">
        <v>0.94391000000000003</v>
      </c>
      <c r="T44" s="19">
        <v>3.5503399999999998</v>
      </c>
      <c r="U44" s="37">
        <v>70.67</v>
      </c>
      <c r="V44" s="37">
        <v>-7.56</v>
      </c>
      <c r="W44" s="37">
        <v>-1.69</v>
      </c>
      <c r="X44" s="37">
        <v>61.42</v>
      </c>
      <c r="Z44">
        <v>2.57</v>
      </c>
      <c r="AA44" s="2">
        <v>60593</v>
      </c>
      <c r="AB44" s="3">
        <v>4890</v>
      </c>
      <c r="AC44">
        <v>1</v>
      </c>
      <c r="AD44">
        <v>4.2</v>
      </c>
      <c r="AE44" s="19">
        <v>0.94391000000000003</v>
      </c>
      <c r="AF44" s="19">
        <v>3.68926</v>
      </c>
      <c r="AG44" s="37">
        <v>48</v>
      </c>
      <c r="AH44" s="37">
        <v>-5.14</v>
      </c>
      <c r="AI44" s="37">
        <v>-0.44</v>
      </c>
      <c r="AJ44" s="37">
        <v>42.42</v>
      </c>
      <c r="AP44" s="34"/>
    </row>
    <row r="45" spans="1:42">
      <c r="C45">
        <v>2050</v>
      </c>
      <c r="D45" s="12">
        <v>61.42</v>
      </c>
      <c r="E45" s="12">
        <v>42.42</v>
      </c>
      <c r="F45" s="12">
        <v>19</v>
      </c>
      <c r="G45" s="5">
        <f t="shared" si="0"/>
        <v>3990</v>
      </c>
      <c r="H45" s="12" t="s">
        <v>490</v>
      </c>
      <c r="I45" s="12">
        <v>61.42</v>
      </c>
      <c r="J45" s="12" t="s">
        <v>490</v>
      </c>
      <c r="K45" s="12">
        <v>42.42</v>
      </c>
      <c r="N45">
        <v>2.57</v>
      </c>
      <c r="O45" s="2">
        <v>100403</v>
      </c>
      <c r="P45" s="3">
        <v>3551</v>
      </c>
      <c r="Q45">
        <v>2.2999999999999998</v>
      </c>
      <c r="R45">
        <v>7.4</v>
      </c>
      <c r="S45" s="19">
        <v>0.94391000000000003</v>
      </c>
      <c r="T45" s="19">
        <v>3.5503399999999998</v>
      </c>
      <c r="U45" s="37">
        <v>70.67</v>
      </c>
      <c r="V45" s="37">
        <v>-7.56</v>
      </c>
      <c r="W45" s="37">
        <v>-1.69</v>
      </c>
      <c r="X45" s="37">
        <v>61.42</v>
      </c>
      <c r="Z45">
        <v>2.57</v>
      </c>
      <c r="AA45" s="2">
        <v>60593</v>
      </c>
      <c r="AB45" s="3">
        <v>4890</v>
      </c>
      <c r="AC45">
        <v>1</v>
      </c>
      <c r="AD45">
        <v>4.2</v>
      </c>
      <c r="AE45" s="19">
        <v>0.94391000000000003</v>
      </c>
      <c r="AF45" s="19">
        <v>3.68926</v>
      </c>
      <c r="AG45" s="37">
        <v>48</v>
      </c>
      <c r="AH45" s="37">
        <v>-5.14</v>
      </c>
      <c r="AI45" s="37">
        <v>-0.44</v>
      </c>
      <c r="AJ45" s="37">
        <v>42.42</v>
      </c>
    </row>
    <row r="46" spans="1:42">
      <c r="O46" s="2"/>
      <c r="P46" s="3"/>
      <c r="S46" s="19"/>
      <c r="T46" s="19"/>
      <c r="U46" s="37"/>
      <c r="V46" s="37"/>
      <c r="W46" s="37">
        <v>-42.3</v>
      </c>
      <c r="X46" s="37"/>
      <c r="AA46" s="2"/>
      <c r="AB46" s="3"/>
      <c r="AE46" s="19"/>
      <c r="AF46" s="19"/>
      <c r="AG46" s="37"/>
      <c r="AH46" s="37"/>
      <c r="AI46" s="5">
        <v>-11.1</v>
      </c>
      <c r="AP46" s="34"/>
    </row>
    <row r="47" spans="1:42">
      <c r="G47" s="5">
        <f>SUM(G21:G45)</f>
        <v>108015.59999999999</v>
      </c>
      <c r="O47" s="2"/>
      <c r="P47" s="3"/>
      <c r="S47" s="19"/>
      <c r="T47" s="19"/>
      <c r="U47" s="37"/>
      <c r="V47" s="37"/>
      <c r="W47" s="37"/>
      <c r="X47" s="37"/>
      <c r="AA47" s="2"/>
      <c r="AB47" s="3"/>
      <c r="AE47" s="19"/>
      <c r="AF47" s="19"/>
      <c r="AG47" s="37"/>
      <c r="AH47" s="37"/>
    </row>
    <row r="48" spans="1:42">
      <c r="O48" s="2"/>
      <c r="P48" s="3"/>
      <c r="S48" s="19"/>
      <c r="T48" s="19"/>
      <c r="U48" s="37"/>
      <c r="V48" s="37"/>
      <c r="W48" s="37"/>
      <c r="X48" s="37"/>
      <c r="AA48" s="2"/>
      <c r="AB48" s="3"/>
      <c r="AE48" s="19"/>
      <c r="AF48" s="19"/>
      <c r="AG48" s="37"/>
      <c r="AH48" s="37"/>
      <c r="AP48" s="34"/>
    </row>
    <row r="49" spans="7:42">
      <c r="G49" s="5"/>
      <c r="O49" s="2"/>
      <c r="P49" s="3"/>
      <c r="S49" s="19"/>
      <c r="T49" s="19"/>
      <c r="U49" s="37"/>
      <c r="V49" s="37"/>
      <c r="W49" s="37"/>
      <c r="X49" s="37"/>
      <c r="AA49" s="2"/>
      <c r="AB49" s="3"/>
      <c r="AE49" s="19"/>
      <c r="AF49" s="19"/>
      <c r="AG49" s="37"/>
      <c r="AH49" s="37"/>
    </row>
    <row r="50" spans="7:42">
      <c r="O50" s="2"/>
      <c r="P50" s="3"/>
      <c r="S50" s="19"/>
      <c r="T50" s="19"/>
      <c r="U50" s="37"/>
      <c r="V50" s="37"/>
      <c r="W50" s="37"/>
      <c r="X50" s="37"/>
      <c r="AA50" s="2"/>
      <c r="AB50" s="3"/>
      <c r="AE50" s="19"/>
      <c r="AF50" s="19"/>
      <c r="AG50" s="37"/>
      <c r="AH50" s="37"/>
      <c r="AP50" s="34"/>
    </row>
    <row r="51" spans="7:42">
      <c r="O51" s="2"/>
      <c r="P51" s="3"/>
      <c r="S51" s="19"/>
      <c r="T51" s="19"/>
      <c r="U51" s="37"/>
      <c r="V51" s="37"/>
      <c r="W51" s="37"/>
      <c r="X51" s="37"/>
      <c r="AA51" s="2"/>
      <c r="AB51" s="3"/>
      <c r="AE51" s="19"/>
      <c r="AF51" s="19"/>
      <c r="AG51" s="37"/>
      <c r="AH51" s="37"/>
    </row>
    <row r="52" spans="7:42">
      <c r="O52" s="2"/>
      <c r="P52" s="3"/>
      <c r="S52" s="19"/>
      <c r="T52" s="19"/>
      <c r="U52" s="37"/>
      <c r="V52" s="37"/>
      <c r="W52" s="37"/>
      <c r="X52" s="37"/>
      <c r="AA52" s="2"/>
      <c r="AB52" s="3"/>
      <c r="AE52" s="19"/>
      <c r="AF52" s="19"/>
      <c r="AG52" s="37"/>
      <c r="AH52" s="37"/>
      <c r="AP52" s="34"/>
    </row>
    <row r="53" spans="7:42">
      <c r="O53" s="2"/>
      <c r="P53" s="3"/>
      <c r="S53" s="19"/>
      <c r="T53" s="19"/>
      <c r="U53" s="37"/>
      <c r="V53" s="37"/>
      <c r="W53" s="37"/>
      <c r="X53" s="37"/>
      <c r="AA53" s="2"/>
      <c r="AB53" s="3"/>
      <c r="AE53" s="19"/>
      <c r="AF53" s="19"/>
      <c r="AG53" s="37"/>
      <c r="AH53" s="37"/>
    </row>
    <row r="54" spans="7:42">
      <c r="O54" s="2"/>
      <c r="P54" s="3"/>
      <c r="S54" s="19"/>
      <c r="T54" s="19"/>
      <c r="U54" s="37"/>
      <c r="V54" s="37"/>
      <c r="W54" s="37"/>
      <c r="X54" s="37"/>
      <c r="AA54" s="2"/>
      <c r="AB54" s="3"/>
      <c r="AE54" s="19"/>
      <c r="AF54" s="19"/>
      <c r="AG54" s="37"/>
      <c r="AH54" s="37"/>
      <c r="AP54" s="34"/>
    </row>
    <row r="55" spans="7:42">
      <c r="O55" s="2"/>
      <c r="P55" s="3"/>
      <c r="S55" s="19"/>
      <c r="T55" s="19"/>
      <c r="U55" s="37"/>
      <c r="V55" s="37"/>
      <c r="W55" s="37"/>
      <c r="X55" s="37"/>
      <c r="AA55" s="2"/>
      <c r="AB55" s="3"/>
      <c r="AE55" s="19"/>
      <c r="AF55" s="19"/>
      <c r="AG55" s="37"/>
      <c r="AH55" s="37"/>
    </row>
    <row r="56" spans="7:42">
      <c r="O56" s="2"/>
      <c r="P56" s="3"/>
      <c r="S56" s="19"/>
      <c r="T56" s="19"/>
      <c r="U56" s="37"/>
      <c r="V56" s="37"/>
      <c r="W56" s="37"/>
      <c r="X56" s="37"/>
      <c r="AA56" s="2"/>
      <c r="AB56" s="3"/>
      <c r="AE56" s="19"/>
      <c r="AF56" s="19"/>
      <c r="AG56" s="37"/>
      <c r="AH56" s="37"/>
      <c r="AP56" s="34"/>
    </row>
    <row r="57" spans="7:42">
      <c r="O57" s="2"/>
      <c r="P57" s="3"/>
      <c r="S57" s="19"/>
      <c r="T57" s="19"/>
      <c r="U57" s="37"/>
      <c r="V57" s="37"/>
      <c r="W57" s="37"/>
      <c r="X57" s="37"/>
      <c r="AA57" s="2"/>
      <c r="AB57" s="3"/>
      <c r="AE57" s="19"/>
      <c r="AF57" s="19"/>
      <c r="AG57" s="37"/>
      <c r="AH57" s="37"/>
    </row>
    <row r="58" spans="7:42">
      <c r="O58" s="2"/>
      <c r="P58" s="3"/>
      <c r="S58" s="19"/>
      <c r="T58" s="19"/>
      <c r="U58" s="37"/>
      <c r="V58" s="37"/>
      <c r="W58" s="37"/>
      <c r="X58" s="37"/>
      <c r="AA58" s="2"/>
      <c r="AB58" s="3"/>
      <c r="AE58" s="19"/>
      <c r="AF58" s="19"/>
      <c r="AG58" s="37"/>
      <c r="AH58" s="37"/>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B6E6E-A445-41FB-8CAF-3135C8E69898}">
  <sheetPr>
    <tabColor theme="7" tint="0.79998168889431442"/>
  </sheetPr>
  <dimension ref="A1:AM59"/>
  <sheetViews>
    <sheetView topLeftCell="A6" workbookViewId="0">
      <selection activeCell="G13" sqref="G13"/>
    </sheetView>
  </sheetViews>
  <sheetFormatPr defaultRowHeight="14.45"/>
  <cols>
    <col min="1" max="1" width="32" customWidth="1"/>
    <col min="2" max="2" width="66.7109375" customWidth="1"/>
    <col min="3" max="25" width="11.140625" customWidth="1"/>
    <col min="26" max="36" width="10.5703125" customWidth="1"/>
  </cols>
  <sheetData>
    <row r="1" spans="1:37">
      <c r="A1" s="6" t="s">
        <v>504</v>
      </c>
      <c r="D1" s="12"/>
      <c r="F1" s="12"/>
    </row>
    <row r="2" spans="1:37" ht="116.1">
      <c r="A2" s="1" t="s">
        <v>439</v>
      </c>
      <c r="B2" s="1" t="s">
        <v>505</v>
      </c>
      <c r="D2" s="12"/>
      <c r="F2" s="12"/>
    </row>
    <row r="3" spans="1:37" ht="57.95">
      <c r="A3" s="1" t="s">
        <v>441</v>
      </c>
      <c r="B3" s="1" t="s">
        <v>506</v>
      </c>
      <c r="D3" s="12"/>
      <c r="F3" s="12"/>
    </row>
    <row r="4" spans="1:37" ht="29.1">
      <c r="A4" s="1" t="s">
        <v>443</v>
      </c>
      <c r="B4" s="1" t="s">
        <v>507</v>
      </c>
      <c r="D4" s="12"/>
      <c r="F4" s="12"/>
    </row>
    <row r="5" spans="1:37" ht="15" customHeight="1">
      <c r="A5" s="1" t="s">
        <v>446</v>
      </c>
      <c r="B5" s="1" t="s">
        <v>508</v>
      </c>
      <c r="D5" s="12"/>
      <c r="F5" s="12"/>
      <c r="H5" s="4"/>
      <c r="I5" s="4"/>
      <c r="J5">
        <v>2025</v>
      </c>
      <c r="K5">
        <v>2026</v>
      </c>
      <c r="L5">
        <v>2027</v>
      </c>
      <c r="M5">
        <v>2028</v>
      </c>
      <c r="N5">
        <v>2029</v>
      </c>
      <c r="O5">
        <v>2030</v>
      </c>
      <c r="P5">
        <v>2031</v>
      </c>
      <c r="Q5">
        <v>2032</v>
      </c>
      <c r="R5">
        <v>2033</v>
      </c>
      <c r="S5">
        <v>2034</v>
      </c>
      <c r="T5">
        <v>2035</v>
      </c>
      <c r="U5">
        <v>2036</v>
      </c>
      <c r="V5">
        <v>2037</v>
      </c>
      <c r="W5">
        <v>2038</v>
      </c>
      <c r="X5">
        <v>2039</v>
      </c>
      <c r="Y5">
        <v>2040</v>
      </c>
      <c r="Z5">
        <v>2041</v>
      </c>
      <c r="AA5">
        <v>2042</v>
      </c>
      <c r="AB5">
        <v>2043</v>
      </c>
      <c r="AC5">
        <v>2044</v>
      </c>
      <c r="AD5">
        <v>2045</v>
      </c>
      <c r="AE5">
        <v>2046</v>
      </c>
      <c r="AF5">
        <v>2047</v>
      </c>
      <c r="AG5">
        <v>2048</v>
      </c>
      <c r="AH5">
        <v>2049</v>
      </c>
      <c r="AI5">
        <v>2050</v>
      </c>
    </row>
    <row r="6" spans="1:37" ht="72.599999999999994">
      <c r="A6" s="1" t="s">
        <v>448</v>
      </c>
      <c r="B6" s="1" t="s">
        <v>509</v>
      </c>
      <c r="D6" s="12"/>
      <c r="F6" s="12"/>
      <c r="H6" s="685"/>
      <c r="I6" s="579" t="s">
        <v>455</v>
      </c>
      <c r="J6" s="685" t="s">
        <v>510</v>
      </c>
      <c r="K6" s="685" t="s">
        <v>490</v>
      </c>
      <c r="L6" t="s">
        <v>490</v>
      </c>
      <c r="M6" s="164">
        <v>23387</v>
      </c>
      <c r="N6" s="164">
        <v>9970</v>
      </c>
      <c r="O6" s="164">
        <v>9838</v>
      </c>
      <c r="P6" s="164">
        <v>9810</v>
      </c>
      <c r="Q6" s="164">
        <v>9781</v>
      </c>
      <c r="R6" s="164">
        <v>9752</v>
      </c>
      <c r="S6" s="164">
        <v>9723</v>
      </c>
      <c r="T6" s="164">
        <v>9694</v>
      </c>
      <c r="U6" s="164">
        <v>9665</v>
      </c>
      <c r="V6" s="164">
        <v>9636</v>
      </c>
      <c r="W6" s="164">
        <v>9607</v>
      </c>
      <c r="X6" s="164">
        <v>9578</v>
      </c>
      <c r="Y6" s="164">
        <v>9549</v>
      </c>
      <c r="Z6" s="164">
        <v>9549</v>
      </c>
      <c r="AA6" s="164">
        <v>9549</v>
      </c>
      <c r="AB6" s="164">
        <v>9549</v>
      </c>
      <c r="AC6" s="164">
        <v>9549</v>
      </c>
      <c r="AD6" s="164">
        <v>9549</v>
      </c>
      <c r="AE6" s="164">
        <v>9549</v>
      </c>
      <c r="AF6" s="164">
        <v>9549</v>
      </c>
      <c r="AG6" s="164">
        <v>9549</v>
      </c>
      <c r="AH6" s="164">
        <v>9549</v>
      </c>
      <c r="AI6" s="164">
        <v>9549</v>
      </c>
      <c r="AK6">
        <f>SUM(J6:AI6)</f>
        <v>235480</v>
      </c>
    </row>
    <row r="7" spans="1:37" ht="43.5">
      <c r="A7" s="1" t="s">
        <v>450</v>
      </c>
      <c r="B7" s="1" t="s">
        <v>451</v>
      </c>
      <c r="D7" s="12"/>
      <c r="F7" s="12"/>
    </row>
    <row r="8" spans="1:37" ht="43.5">
      <c r="A8" s="1" t="s">
        <v>452</v>
      </c>
      <c r="B8" s="1" t="s">
        <v>453</v>
      </c>
      <c r="D8" s="12"/>
      <c r="F8" s="12"/>
    </row>
    <row r="9" spans="1:37" ht="29.1">
      <c r="A9" s="1" t="s">
        <v>454</v>
      </c>
      <c r="B9" s="11">
        <f>SUM(F20:F25)*housingUnitsCreatedSH</f>
        <v>43195.243021227157</v>
      </c>
      <c r="D9" s="12"/>
      <c r="F9" s="3"/>
      <c r="H9" s="3"/>
      <c r="I9" s="3"/>
      <c r="J9" s="3"/>
      <c r="K9" s="3"/>
    </row>
    <row r="10" spans="1:37" ht="29.1">
      <c r="A10" s="1" t="s">
        <v>455</v>
      </c>
      <c r="B10" s="11">
        <f>SUM(F23:F45)*housingUnitsCreatedSH</f>
        <v>235472.21656196029</v>
      </c>
      <c r="D10" s="12"/>
      <c r="F10" s="3"/>
    </row>
    <row r="11" spans="1:37">
      <c r="A11" s="1" t="s">
        <v>456</v>
      </c>
      <c r="B11" s="1" t="s">
        <v>431</v>
      </c>
      <c r="D11" s="12"/>
      <c r="F11" s="12"/>
    </row>
    <row r="12" spans="1:37">
      <c r="A12" s="1" t="s">
        <v>427</v>
      </c>
      <c r="B12" s="11">
        <v>730</v>
      </c>
      <c r="D12" s="12"/>
      <c r="F12" s="12"/>
    </row>
    <row r="13" spans="1:37" ht="15">
      <c r="A13" s="1" t="s">
        <v>457</v>
      </c>
      <c r="B13" s="9">
        <v>15330000</v>
      </c>
      <c r="D13" s="12"/>
      <c r="F13" s="12">
        <f>B13+166257.5</f>
        <v>15496257.5</v>
      </c>
    </row>
    <row r="14" spans="1:37">
      <c r="A14" s="1" t="s">
        <v>458</v>
      </c>
      <c r="B14" s="593">
        <f>B13/housingUnitsCreatedSH</f>
        <v>21000</v>
      </c>
      <c r="D14" s="12"/>
      <c r="F14" s="12">
        <f>F13/730</f>
        <v>21227.75</v>
      </c>
      <c r="L14" s="17"/>
      <c r="M14" s="17"/>
      <c r="N14" s="17"/>
      <c r="O14" s="17"/>
      <c r="P14" s="17"/>
      <c r="Q14" s="17"/>
      <c r="R14" s="17"/>
      <c r="S14" s="17"/>
      <c r="T14" s="17"/>
      <c r="U14" s="17"/>
      <c r="V14" s="17"/>
      <c r="W14" s="17"/>
      <c r="X14" s="17"/>
      <c r="Y14" s="17"/>
    </row>
    <row r="15" spans="1:37">
      <c r="A15" s="1"/>
      <c r="B15" s="1"/>
      <c r="D15" s="12"/>
      <c r="F15" s="12"/>
      <c r="S15" s="594"/>
      <c r="T15" s="594"/>
      <c r="U15" s="12"/>
      <c r="V15" s="12"/>
      <c r="W15" s="12"/>
      <c r="X15" s="12"/>
      <c r="Y15" s="3"/>
    </row>
    <row r="16" spans="1:37" ht="15">
      <c r="A16" s="1" t="s">
        <v>459</v>
      </c>
      <c r="B16" s="593">
        <f>B13/B9</f>
        <v>354.9001910341488</v>
      </c>
      <c r="C16" t="s">
        <v>460</v>
      </c>
      <c r="D16" s="12"/>
      <c r="F16" s="12">
        <f>F13/B9</f>
        <v>358.7491681059596</v>
      </c>
      <c r="G16" s="683" t="s">
        <v>461</v>
      </c>
      <c r="S16" s="594"/>
      <c r="T16" s="594"/>
      <c r="U16" s="12"/>
      <c r="V16" s="12"/>
      <c r="W16" s="12"/>
      <c r="X16" s="12"/>
      <c r="Y16" s="3"/>
    </row>
    <row r="17" spans="1:39" ht="15">
      <c r="A17" s="1" t="s">
        <v>462</v>
      </c>
      <c r="B17" s="593">
        <f>B13/B10</f>
        <v>65.10322204388892</v>
      </c>
      <c r="C17" t="s">
        <v>460</v>
      </c>
      <c r="D17" s="12"/>
      <c r="F17" s="12">
        <f>F13/B10</f>
        <v>65.809281987722059</v>
      </c>
      <c r="G17" s="683" t="s">
        <v>461</v>
      </c>
    </row>
    <row r="18" spans="1:39">
      <c r="C18" t="s">
        <v>463</v>
      </c>
      <c r="D18" s="12"/>
      <c r="F18" s="12"/>
    </row>
    <row r="19" spans="1:39" s="1" customFormat="1" ht="72.599999999999994">
      <c r="A19" s="1" t="s">
        <v>464</v>
      </c>
      <c r="C19" s="1" t="s">
        <v>465</v>
      </c>
      <c r="D19" s="10" t="s">
        <v>466</v>
      </c>
      <c r="E19" s="1" t="s">
        <v>467</v>
      </c>
      <c r="F19" s="10" t="s">
        <v>468</v>
      </c>
      <c r="G19" s="10" t="s">
        <v>511</v>
      </c>
      <c r="H19" s="1" t="s">
        <v>470</v>
      </c>
      <c r="I19" s="1" t="s">
        <v>471</v>
      </c>
      <c r="J19" s="1" t="s">
        <v>472</v>
      </c>
      <c r="K19" s="1" t="s">
        <v>473</v>
      </c>
      <c r="N19" s="595" t="s">
        <v>474</v>
      </c>
      <c r="O19" s="595" t="s">
        <v>475</v>
      </c>
      <c r="P19" s="595" t="s">
        <v>476</v>
      </c>
      <c r="Q19" s="595" t="s">
        <v>477</v>
      </c>
      <c r="R19" s="595" t="s">
        <v>478</v>
      </c>
      <c r="S19" s="39" t="s">
        <v>479</v>
      </c>
      <c r="T19" s="39" t="s">
        <v>480</v>
      </c>
      <c r="U19" s="1" t="s">
        <v>481</v>
      </c>
      <c r="V19" s="1" t="s">
        <v>482</v>
      </c>
      <c r="W19" s="1" t="s">
        <v>483</v>
      </c>
      <c r="X19" s="1" t="s">
        <v>484</v>
      </c>
      <c r="Z19" s="595" t="s">
        <v>474</v>
      </c>
      <c r="AA19" s="595" t="s">
        <v>475</v>
      </c>
      <c r="AB19" s="595" t="s">
        <v>476</v>
      </c>
      <c r="AC19" s="595" t="s">
        <v>477</v>
      </c>
      <c r="AD19" s="595" t="s">
        <v>478</v>
      </c>
      <c r="AE19" s="39" t="s">
        <v>479</v>
      </c>
      <c r="AF19" s="39" t="s">
        <v>480</v>
      </c>
      <c r="AG19" s="1" t="s">
        <v>481</v>
      </c>
      <c r="AH19" s="1" t="s">
        <v>482</v>
      </c>
      <c r="AI19" s="1" t="s">
        <v>483</v>
      </c>
      <c r="AJ19" s="1" t="s">
        <v>485</v>
      </c>
      <c r="AL19" t="s">
        <v>465</v>
      </c>
      <c r="AM19" s="36" t="s">
        <v>486</v>
      </c>
    </row>
    <row r="20" spans="1:39">
      <c r="A20" s="596">
        <v>2.57</v>
      </c>
      <c r="B20" t="s">
        <v>487</v>
      </c>
      <c r="C20">
        <v>2025</v>
      </c>
      <c r="D20" s="3"/>
      <c r="E20" s="5"/>
      <c r="F20" s="3"/>
      <c r="G20" s="13">
        <f>F20*730</f>
        <v>0</v>
      </c>
      <c r="AL20">
        <v>2025</v>
      </c>
      <c r="AM20" s="35">
        <v>0.78300000000000003</v>
      </c>
    </row>
    <row r="21" spans="1:39">
      <c r="A21" s="597">
        <v>142800</v>
      </c>
      <c r="B21" t="s">
        <v>488</v>
      </c>
      <c r="C21">
        <v>2026</v>
      </c>
      <c r="D21" s="3"/>
      <c r="E21" s="5"/>
      <c r="F21" s="3"/>
      <c r="G21" s="13">
        <f t="shared" ref="G21:G45" si="0">F21*730</f>
        <v>0</v>
      </c>
      <c r="AL21">
        <v>2026</v>
      </c>
      <c r="AM21" s="35">
        <v>0.67400000000000004</v>
      </c>
    </row>
    <row r="22" spans="1:39">
      <c r="A22" s="597">
        <v>114250</v>
      </c>
      <c r="B22" t="s">
        <v>489</v>
      </c>
      <c r="C22">
        <v>2027</v>
      </c>
      <c r="D22" s="3"/>
      <c r="E22" s="5"/>
      <c r="F22" s="3"/>
      <c r="G22" s="13">
        <f t="shared" si="0"/>
        <v>0</v>
      </c>
      <c r="AL22">
        <v>2027</v>
      </c>
      <c r="AM22" s="35">
        <v>0.56599999999999995</v>
      </c>
    </row>
    <row r="23" spans="1:39">
      <c r="A23" s="596">
        <v>3550.9</v>
      </c>
      <c r="B23" t="s">
        <v>491</v>
      </c>
      <c r="C23">
        <v>2028</v>
      </c>
      <c r="D23" s="3">
        <f t="shared" ref="D23:D45" si="1">H23+I23</f>
        <v>107.17325608953436</v>
      </c>
      <c r="E23" s="5">
        <f t="shared" ref="E23:E45" si="2">J23+K23</f>
        <v>75.13682746882273</v>
      </c>
      <c r="F23" s="3">
        <f t="shared" ref="F23:F45" si="3">D23-E23</f>
        <v>32.036428620711632</v>
      </c>
      <c r="G23" s="13">
        <f t="shared" si="0"/>
        <v>23386.59289311949</v>
      </c>
      <c r="H23">
        <f>embCshBAU</f>
        <v>42.3</v>
      </c>
      <c r="I23" s="5">
        <f t="shared" ref="I23:I45" si="4">X23</f>
        <v>64.873256089534365</v>
      </c>
      <c r="J23">
        <f>embCshALT</f>
        <v>24.1</v>
      </c>
      <c r="K23" s="5">
        <f t="shared" ref="K23:K45" si="5">AJ23</f>
        <v>51.036827468822736</v>
      </c>
      <c r="N23" s="598">
        <f t="shared" ref="N23:N45" si="6">personsPHHsmallHousing</f>
        <v>2.57</v>
      </c>
      <c r="O23" s="599">
        <f t="shared" ref="O23:O45" si="7">incomeSHbau</f>
        <v>100402.68</v>
      </c>
      <c r="P23" s="598">
        <f t="shared" ref="P23:P45" si="8">initPopDenSHbau</f>
        <v>3550.9</v>
      </c>
      <c r="Q23" s="598">
        <f t="shared" ref="Q23:Q45" si="9">vphSHbau</f>
        <v>2.2999999999999998</v>
      </c>
      <c r="R23" s="598">
        <f t="shared" ref="R23:R45" si="10">roomsPHshBAU</f>
        <v>7.4</v>
      </c>
      <c r="S23" s="594">
        <f t="shared" ref="S23:S45" si="11">LN(N23)</f>
        <v>0.94390589890712839</v>
      </c>
      <c r="T23" s="594">
        <f t="shared" ref="T23:T45" si="12">LOG10(P23)</f>
        <v>3.5503384419271544</v>
      </c>
      <c r="U23" s="12">
        <f t="shared" ref="U23:U45" si="13">-0.1516496079+0.0003653669*O23+4.3135776353*Q23+0.7414882282*R23+23.8572089137*S23+-1.0669509329*T23</f>
        <v>70.671331097638245</v>
      </c>
      <c r="V23" s="12">
        <f t="shared" ref="V23:V45" si="14">-U23*electricalProportionOfCBI*(1-$AM23)</f>
        <v>-4.106075008103879</v>
      </c>
      <c r="W23" s="12">
        <f t="shared" ref="W23:W45" si="15">-embCshBAU/25</f>
        <v>-1.6919999999999999</v>
      </c>
      <c r="X23" s="12">
        <f t="shared" ref="X23:X45" si="16">SUM(U23:W23)</f>
        <v>64.873256089534365</v>
      </c>
      <c r="Z23" s="598">
        <f t="shared" ref="Z23:Z45" si="17">personsPHHsmallHousing</f>
        <v>2.57</v>
      </c>
      <c r="AA23" s="599">
        <f t="shared" ref="AA23:AA45" si="18">incomeSHalt</f>
        <v>80329.174999999988</v>
      </c>
      <c r="AB23" s="600">
        <f t="shared" ref="AB23:AB45" si="19">initPopDenSHalt</f>
        <v>4889.5</v>
      </c>
      <c r="AC23" s="598">
        <f t="shared" ref="AC23:AC45" si="20">vphhSHalt</f>
        <v>1</v>
      </c>
      <c r="AD23" s="598">
        <f t="shared" ref="AD23:AD45" si="21">roomsPHshAlt</f>
        <v>4.2</v>
      </c>
      <c r="AE23" s="594">
        <f t="shared" ref="AE23:AE45" si="22">LN(Z23)</f>
        <v>0.94390589890712839</v>
      </c>
      <c r="AF23" s="594">
        <f t="shared" ref="AF23:AF45" si="23">LOG10(AB23)</f>
        <v>3.6892644504644574</v>
      </c>
      <c r="AG23" s="12">
        <f t="shared" ref="AG23:AG45" si="24">-0.1516496079+0.0003653669*AA23+4.3135776353*AC23+0.7414882282*AD23+23.8572089137*AE23+-1.0669509329*AF23</f>
        <v>55.208496313110786</v>
      </c>
      <c r="AH23" s="12">
        <f t="shared" ref="AH23:AH45" si="25">-AG23*electricalProportionOfCBI*(1-$AM23)</f>
        <v>-3.2076688442880492</v>
      </c>
      <c r="AI23" s="12">
        <f t="shared" ref="AI23:AI45" si="26">-embCshALT/25</f>
        <v>-0.96400000000000008</v>
      </c>
      <c r="AJ23" s="12">
        <f t="shared" ref="AJ23:AJ45" si="27">SUM(AG23:AI23)</f>
        <v>51.036827468822736</v>
      </c>
      <c r="AL23">
        <v>2028</v>
      </c>
      <c r="AM23" s="35">
        <v>0.45700000000000002</v>
      </c>
    </row>
    <row r="24" spans="1:39">
      <c r="A24" s="596">
        <v>4889.5</v>
      </c>
      <c r="B24" t="s">
        <v>492</v>
      </c>
      <c r="C24">
        <v>2029</v>
      </c>
      <c r="D24" s="3">
        <f t="shared" si="1"/>
        <v>64.056578187370064</v>
      </c>
      <c r="E24" s="5">
        <f t="shared" si="2"/>
        <v>50.39883808542843</v>
      </c>
      <c r="F24" s="3">
        <f t="shared" si="3"/>
        <v>13.657740101941634</v>
      </c>
      <c r="G24" s="13">
        <f t="shared" si="0"/>
        <v>9970.1502744173922</v>
      </c>
      <c r="I24" s="5">
        <f t="shared" si="4"/>
        <v>64.056578187370064</v>
      </c>
      <c r="K24" s="5">
        <f t="shared" si="5"/>
        <v>50.39883808542843</v>
      </c>
      <c r="N24" s="598">
        <f t="shared" si="6"/>
        <v>2.57</v>
      </c>
      <c r="O24" s="599">
        <f t="shared" si="7"/>
        <v>100402.68</v>
      </c>
      <c r="P24" s="598">
        <f t="shared" si="8"/>
        <v>3550.9</v>
      </c>
      <c r="Q24" s="598">
        <f t="shared" si="9"/>
        <v>2.2999999999999998</v>
      </c>
      <c r="R24" s="598">
        <f t="shared" si="10"/>
        <v>7.4</v>
      </c>
      <c r="S24" s="594">
        <f t="shared" si="11"/>
        <v>0.94390589890712839</v>
      </c>
      <c r="T24" s="594">
        <f t="shared" si="12"/>
        <v>3.5503384419271544</v>
      </c>
      <c r="U24" s="12">
        <f t="shared" si="13"/>
        <v>70.671331097638245</v>
      </c>
      <c r="V24" s="12">
        <f t="shared" si="14"/>
        <v>-4.9227529102681871</v>
      </c>
      <c r="W24" s="12">
        <f t="shared" si="15"/>
        <v>-1.6919999999999999</v>
      </c>
      <c r="X24" s="12">
        <f t="shared" si="16"/>
        <v>64.056578187370064</v>
      </c>
      <c r="Z24" s="598">
        <f t="shared" si="17"/>
        <v>2.57</v>
      </c>
      <c r="AA24" s="599">
        <f t="shared" si="18"/>
        <v>80329.174999999988</v>
      </c>
      <c r="AB24" s="600">
        <f t="shared" si="19"/>
        <v>4889.5</v>
      </c>
      <c r="AC24" s="598">
        <f t="shared" si="20"/>
        <v>1</v>
      </c>
      <c r="AD24" s="598">
        <f t="shared" si="21"/>
        <v>4.2</v>
      </c>
      <c r="AE24" s="594">
        <f t="shared" si="22"/>
        <v>0.94390589890712839</v>
      </c>
      <c r="AF24" s="594">
        <f t="shared" si="23"/>
        <v>3.6892644504644574</v>
      </c>
      <c r="AG24" s="12">
        <f t="shared" si="24"/>
        <v>55.208496313110786</v>
      </c>
      <c r="AH24" s="12">
        <f t="shared" si="25"/>
        <v>-3.8456582276823581</v>
      </c>
      <c r="AI24" s="12">
        <f t="shared" si="26"/>
        <v>-0.96400000000000008</v>
      </c>
      <c r="AJ24" s="12">
        <f t="shared" si="27"/>
        <v>50.39883808542843</v>
      </c>
      <c r="AL24">
        <v>2029</v>
      </c>
      <c r="AM24" s="35">
        <v>0.34899999999999998</v>
      </c>
    </row>
    <row r="25" spans="1:39">
      <c r="A25" s="596">
        <v>2.2999999999999998</v>
      </c>
      <c r="B25" t="s">
        <v>493</v>
      </c>
      <c r="C25">
        <v>2030</v>
      </c>
      <c r="D25" s="3">
        <f t="shared" si="1"/>
        <v>63.232338452778301</v>
      </c>
      <c r="E25" s="5">
        <f t="shared" si="2"/>
        <v>49.754941392928615</v>
      </c>
      <c r="F25" s="3">
        <f t="shared" si="3"/>
        <v>13.477397059849686</v>
      </c>
      <c r="G25" s="13">
        <f t="shared" si="0"/>
        <v>9838.4998536902713</v>
      </c>
      <c r="I25" s="5">
        <f t="shared" si="4"/>
        <v>63.232338452778301</v>
      </c>
      <c r="K25" s="5">
        <f t="shared" si="5"/>
        <v>49.754941392928615</v>
      </c>
      <c r="N25" s="598">
        <f t="shared" si="6"/>
        <v>2.57</v>
      </c>
      <c r="O25" s="599">
        <f t="shared" si="7"/>
        <v>100402.68</v>
      </c>
      <c r="P25" s="598">
        <f t="shared" si="8"/>
        <v>3550.9</v>
      </c>
      <c r="Q25" s="598">
        <f t="shared" si="9"/>
        <v>2.2999999999999998</v>
      </c>
      <c r="R25" s="598">
        <f t="shared" si="10"/>
        <v>7.4</v>
      </c>
      <c r="S25" s="594">
        <f t="shared" si="11"/>
        <v>0.94390589890712839</v>
      </c>
      <c r="T25" s="594">
        <f t="shared" si="12"/>
        <v>3.5503384419271544</v>
      </c>
      <c r="U25" s="12">
        <f t="shared" si="13"/>
        <v>70.671331097638245</v>
      </c>
      <c r="V25" s="12">
        <f t="shared" si="14"/>
        <v>-5.746992644859942</v>
      </c>
      <c r="W25" s="12">
        <f t="shared" si="15"/>
        <v>-1.6919999999999999</v>
      </c>
      <c r="X25" s="12">
        <f t="shared" si="16"/>
        <v>63.232338452778301</v>
      </c>
      <c r="Z25" s="598">
        <f t="shared" si="17"/>
        <v>2.57</v>
      </c>
      <c r="AA25" s="599">
        <f t="shared" si="18"/>
        <v>80329.174999999988</v>
      </c>
      <c r="AB25" s="600">
        <f t="shared" si="19"/>
        <v>4889.5</v>
      </c>
      <c r="AC25" s="598">
        <f t="shared" si="20"/>
        <v>1</v>
      </c>
      <c r="AD25" s="598">
        <f t="shared" si="21"/>
        <v>4.2</v>
      </c>
      <c r="AE25" s="594">
        <f t="shared" si="22"/>
        <v>0.94390589890712839</v>
      </c>
      <c r="AF25" s="594">
        <f t="shared" si="23"/>
        <v>3.6892644504644574</v>
      </c>
      <c r="AG25" s="12">
        <f t="shared" si="24"/>
        <v>55.208496313110786</v>
      </c>
      <c r="AH25" s="12">
        <f t="shared" si="25"/>
        <v>-4.4895549201821696</v>
      </c>
      <c r="AI25" s="12">
        <f t="shared" si="26"/>
        <v>-0.96400000000000008</v>
      </c>
      <c r="AJ25" s="12">
        <f t="shared" si="27"/>
        <v>49.754941392928615</v>
      </c>
      <c r="AL25">
        <v>2030</v>
      </c>
      <c r="AM25" s="35">
        <v>0.24</v>
      </c>
    </row>
    <row r="26" spans="1:39">
      <c r="A26" s="596">
        <v>1</v>
      </c>
      <c r="B26" t="s">
        <v>494</v>
      </c>
      <c r="C26">
        <v>2031</v>
      </c>
      <c r="D26" s="3">
        <f t="shared" si="1"/>
        <v>63.050854474519561</v>
      </c>
      <c r="E26" s="5">
        <f t="shared" si="2"/>
        <v>49.613165974396551</v>
      </c>
      <c r="F26" s="3">
        <f t="shared" si="3"/>
        <v>13.437688500123009</v>
      </c>
      <c r="G26" s="13">
        <f t="shared" si="0"/>
        <v>9809.5126050897961</v>
      </c>
      <c r="I26" s="5">
        <f t="shared" si="4"/>
        <v>63.050854474519561</v>
      </c>
      <c r="K26" s="5">
        <f t="shared" si="5"/>
        <v>49.613165974396551</v>
      </c>
      <c r="N26" s="598">
        <f t="shared" si="6"/>
        <v>2.57</v>
      </c>
      <c r="O26" s="599">
        <f t="shared" si="7"/>
        <v>100402.68</v>
      </c>
      <c r="P26" s="598">
        <f t="shared" si="8"/>
        <v>3550.9</v>
      </c>
      <c r="Q26" s="598">
        <f t="shared" si="9"/>
        <v>2.2999999999999998</v>
      </c>
      <c r="R26" s="598">
        <f t="shared" si="10"/>
        <v>7.4</v>
      </c>
      <c r="S26" s="594">
        <f t="shared" si="11"/>
        <v>0.94390589890712839</v>
      </c>
      <c r="T26" s="594">
        <f t="shared" si="12"/>
        <v>3.5503384419271544</v>
      </c>
      <c r="U26" s="12">
        <f t="shared" si="13"/>
        <v>70.671331097638245</v>
      </c>
      <c r="V26" s="12">
        <f t="shared" si="14"/>
        <v>-5.9284766231186765</v>
      </c>
      <c r="W26" s="12">
        <f t="shared" si="15"/>
        <v>-1.6919999999999999</v>
      </c>
      <c r="X26" s="12">
        <f t="shared" si="16"/>
        <v>63.050854474519561</v>
      </c>
      <c r="Z26" s="598">
        <f t="shared" si="17"/>
        <v>2.57</v>
      </c>
      <c r="AA26" s="599">
        <f t="shared" si="18"/>
        <v>80329.174999999988</v>
      </c>
      <c r="AB26" s="600">
        <f t="shared" si="19"/>
        <v>4889.5</v>
      </c>
      <c r="AC26" s="598">
        <f t="shared" si="20"/>
        <v>1</v>
      </c>
      <c r="AD26" s="598">
        <f t="shared" si="21"/>
        <v>4.2</v>
      </c>
      <c r="AE26" s="594">
        <f t="shared" si="22"/>
        <v>0.94390589890712839</v>
      </c>
      <c r="AF26" s="594">
        <f t="shared" si="23"/>
        <v>3.6892644504644574</v>
      </c>
      <c r="AG26" s="12">
        <f t="shared" si="24"/>
        <v>55.208496313110786</v>
      </c>
      <c r="AH26" s="12">
        <f t="shared" si="25"/>
        <v>-4.6313303387142382</v>
      </c>
      <c r="AI26" s="12">
        <f t="shared" si="26"/>
        <v>-0.96400000000000008</v>
      </c>
      <c r="AJ26" s="12">
        <f t="shared" si="27"/>
        <v>49.613165974396551</v>
      </c>
      <c r="AL26">
        <v>2031</v>
      </c>
      <c r="AM26" s="35">
        <v>0.216</v>
      </c>
    </row>
    <row r="27" spans="1:39">
      <c r="A27" s="596">
        <v>7.4</v>
      </c>
      <c r="B27" t="s">
        <v>495</v>
      </c>
      <c r="C27">
        <v>2032</v>
      </c>
      <c r="D27" s="3">
        <f t="shared" si="1"/>
        <v>62.869370496260835</v>
      </c>
      <c r="E27" s="5">
        <f t="shared" si="2"/>
        <v>49.471390555864481</v>
      </c>
      <c r="F27" s="3">
        <f t="shared" si="3"/>
        <v>13.397979940396354</v>
      </c>
      <c r="G27" s="13">
        <f t="shared" si="0"/>
        <v>9780.5253564893392</v>
      </c>
      <c r="I27" s="5">
        <f t="shared" si="4"/>
        <v>62.869370496260835</v>
      </c>
      <c r="K27" s="5">
        <f t="shared" si="5"/>
        <v>49.471390555864481</v>
      </c>
      <c r="N27" s="598">
        <f t="shared" si="6"/>
        <v>2.57</v>
      </c>
      <c r="O27" s="599">
        <f t="shared" si="7"/>
        <v>100402.68</v>
      </c>
      <c r="P27" s="598">
        <f t="shared" si="8"/>
        <v>3550.9</v>
      </c>
      <c r="Q27" s="598">
        <f t="shared" si="9"/>
        <v>2.2999999999999998</v>
      </c>
      <c r="R27" s="598">
        <f t="shared" si="10"/>
        <v>7.4</v>
      </c>
      <c r="S27" s="594">
        <f t="shared" si="11"/>
        <v>0.94390589890712839</v>
      </c>
      <c r="T27" s="594">
        <f t="shared" si="12"/>
        <v>3.5503384419271544</v>
      </c>
      <c r="U27" s="12">
        <f t="shared" si="13"/>
        <v>70.671331097638245</v>
      </c>
      <c r="V27" s="12">
        <f t="shared" si="14"/>
        <v>-6.1099606013774119</v>
      </c>
      <c r="W27" s="12">
        <f t="shared" si="15"/>
        <v>-1.6919999999999999</v>
      </c>
      <c r="X27" s="12">
        <f t="shared" si="16"/>
        <v>62.869370496260835</v>
      </c>
      <c r="Z27" s="598">
        <f t="shared" si="17"/>
        <v>2.57</v>
      </c>
      <c r="AA27" s="599">
        <f t="shared" si="18"/>
        <v>80329.174999999988</v>
      </c>
      <c r="AB27" s="600">
        <f t="shared" si="19"/>
        <v>4889.5</v>
      </c>
      <c r="AC27" s="598">
        <f t="shared" si="20"/>
        <v>1</v>
      </c>
      <c r="AD27" s="598">
        <f t="shared" si="21"/>
        <v>4.2</v>
      </c>
      <c r="AE27" s="594">
        <f t="shared" si="22"/>
        <v>0.94390589890712839</v>
      </c>
      <c r="AF27" s="594">
        <f t="shared" si="23"/>
        <v>3.6892644504644574</v>
      </c>
      <c r="AG27" s="12">
        <f t="shared" si="24"/>
        <v>55.208496313110786</v>
      </c>
      <c r="AH27" s="12">
        <f t="shared" si="25"/>
        <v>-4.7731057572463067</v>
      </c>
      <c r="AI27" s="12">
        <f t="shared" si="26"/>
        <v>-0.96400000000000008</v>
      </c>
      <c r="AJ27" s="12">
        <f t="shared" si="27"/>
        <v>49.471390555864481</v>
      </c>
      <c r="AL27">
        <v>2032</v>
      </c>
      <c r="AM27" s="35">
        <v>0.192</v>
      </c>
    </row>
    <row r="28" spans="1:39">
      <c r="A28" s="601">
        <v>4.2</v>
      </c>
      <c r="B28" t="s">
        <v>496</v>
      </c>
      <c r="C28">
        <v>2033</v>
      </c>
      <c r="D28" s="3">
        <f t="shared" si="1"/>
        <v>62.687886518002095</v>
      </c>
      <c r="E28" s="5">
        <f t="shared" si="2"/>
        <v>49.329615137332411</v>
      </c>
      <c r="F28" s="3">
        <f t="shared" si="3"/>
        <v>13.358271380669684</v>
      </c>
      <c r="G28" s="13">
        <f t="shared" si="0"/>
        <v>9751.5381078888695</v>
      </c>
      <c r="I28" s="5">
        <f t="shared" si="4"/>
        <v>62.687886518002095</v>
      </c>
      <c r="K28" s="5">
        <f t="shared" si="5"/>
        <v>49.329615137332411</v>
      </c>
      <c r="N28" s="598">
        <f t="shared" si="6"/>
        <v>2.57</v>
      </c>
      <c r="O28" s="599">
        <f t="shared" si="7"/>
        <v>100402.68</v>
      </c>
      <c r="P28" s="598">
        <f t="shared" si="8"/>
        <v>3550.9</v>
      </c>
      <c r="Q28" s="598">
        <f t="shared" si="9"/>
        <v>2.2999999999999998</v>
      </c>
      <c r="R28" s="598">
        <f t="shared" si="10"/>
        <v>7.4</v>
      </c>
      <c r="S28" s="594">
        <f t="shared" si="11"/>
        <v>0.94390589890712839</v>
      </c>
      <c r="T28" s="594">
        <f t="shared" si="12"/>
        <v>3.5503384419271544</v>
      </c>
      <c r="U28" s="12">
        <f t="shared" si="13"/>
        <v>70.671331097638245</v>
      </c>
      <c r="V28" s="12">
        <f t="shared" si="14"/>
        <v>-6.2914445796361465</v>
      </c>
      <c r="W28" s="12">
        <f t="shared" si="15"/>
        <v>-1.6919999999999999</v>
      </c>
      <c r="X28" s="12">
        <f t="shared" si="16"/>
        <v>62.687886518002095</v>
      </c>
      <c r="Z28" s="598">
        <f t="shared" si="17"/>
        <v>2.57</v>
      </c>
      <c r="AA28" s="599">
        <f t="shared" si="18"/>
        <v>80329.174999999988</v>
      </c>
      <c r="AB28" s="600">
        <f t="shared" si="19"/>
        <v>4889.5</v>
      </c>
      <c r="AC28" s="598">
        <f t="shared" si="20"/>
        <v>1</v>
      </c>
      <c r="AD28" s="598">
        <f t="shared" si="21"/>
        <v>4.2</v>
      </c>
      <c r="AE28" s="594">
        <f t="shared" si="22"/>
        <v>0.94390589890712839</v>
      </c>
      <c r="AF28" s="594">
        <f t="shared" si="23"/>
        <v>3.6892644504644574</v>
      </c>
      <c r="AG28" s="12">
        <f t="shared" si="24"/>
        <v>55.208496313110786</v>
      </c>
      <c r="AH28" s="12">
        <f t="shared" si="25"/>
        <v>-4.9148811757783744</v>
      </c>
      <c r="AI28" s="12">
        <f t="shared" si="26"/>
        <v>-0.96400000000000008</v>
      </c>
      <c r="AJ28" s="12">
        <f t="shared" si="27"/>
        <v>49.329615137332411</v>
      </c>
      <c r="AL28">
        <v>2033</v>
      </c>
      <c r="AM28" s="35">
        <v>0.16800000000000001</v>
      </c>
    </row>
    <row r="29" spans="1:39">
      <c r="A29" s="601">
        <v>0.70309999999999995</v>
      </c>
      <c r="B29" t="s">
        <v>497</v>
      </c>
      <c r="C29">
        <v>2034</v>
      </c>
      <c r="D29" s="3">
        <f t="shared" si="1"/>
        <v>62.50640253974337</v>
      </c>
      <c r="E29" s="5">
        <f t="shared" si="2"/>
        <v>49.187839718800348</v>
      </c>
      <c r="F29" s="3">
        <f t="shared" si="3"/>
        <v>13.318562820943022</v>
      </c>
      <c r="G29" s="13">
        <f t="shared" si="0"/>
        <v>9722.5508592884053</v>
      </c>
      <c r="I29" s="5">
        <f t="shared" si="4"/>
        <v>62.50640253974337</v>
      </c>
      <c r="K29" s="5">
        <f t="shared" si="5"/>
        <v>49.187839718800348</v>
      </c>
      <c r="N29" s="598">
        <f t="shared" si="6"/>
        <v>2.57</v>
      </c>
      <c r="O29" s="599">
        <f t="shared" si="7"/>
        <v>100402.68</v>
      </c>
      <c r="P29" s="598">
        <f t="shared" si="8"/>
        <v>3550.9</v>
      </c>
      <c r="Q29" s="598">
        <f t="shared" si="9"/>
        <v>2.2999999999999998</v>
      </c>
      <c r="R29" s="598">
        <f t="shared" si="10"/>
        <v>7.4</v>
      </c>
      <c r="S29" s="594">
        <f t="shared" si="11"/>
        <v>0.94390589890712839</v>
      </c>
      <c r="T29" s="594">
        <f t="shared" si="12"/>
        <v>3.5503384419271544</v>
      </c>
      <c r="U29" s="12">
        <f t="shared" si="13"/>
        <v>70.671331097638245</v>
      </c>
      <c r="V29" s="12">
        <f t="shared" si="14"/>
        <v>-6.4729285578948819</v>
      </c>
      <c r="W29" s="12">
        <f t="shared" si="15"/>
        <v>-1.6919999999999999</v>
      </c>
      <c r="X29" s="12">
        <f t="shared" si="16"/>
        <v>62.50640253974337</v>
      </c>
      <c r="Z29" s="598">
        <f t="shared" si="17"/>
        <v>2.57</v>
      </c>
      <c r="AA29" s="599">
        <f t="shared" si="18"/>
        <v>80329.174999999988</v>
      </c>
      <c r="AB29" s="600">
        <f t="shared" si="19"/>
        <v>4889.5</v>
      </c>
      <c r="AC29" s="598">
        <f t="shared" si="20"/>
        <v>1</v>
      </c>
      <c r="AD29" s="598">
        <f t="shared" si="21"/>
        <v>4.2</v>
      </c>
      <c r="AE29" s="594">
        <f t="shared" si="22"/>
        <v>0.94390589890712839</v>
      </c>
      <c r="AF29" s="594">
        <f t="shared" si="23"/>
        <v>3.6892644504644574</v>
      </c>
      <c r="AG29" s="12">
        <f t="shared" si="24"/>
        <v>55.208496313110786</v>
      </c>
      <c r="AH29" s="12">
        <f t="shared" si="25"/>
        <v>-5.0566565943104429</v>
      </c>
      <c r="AI29" s="12">
        <f t="shared" si="26"/>
        <v>-0.96400000000000008</v>
      </c>
      <c r="AJ29" s="12">
        <f t="shared" si="27"/>
        <v>49.187839718800348</v>
      </c>
      <c r="AL29">
        <v>2034</v>
      </c>
      <c r="AM29" s="35">
        <v>0.14399999999999999</v>
      </c>
    </row>
    <row r="30" spans="1:39">
      <c r="A30" s="602">
        <f>A21*A$29</f>
        <v>100402.68</v>
      </c>
      <c r="B30" t="s">
        <v>498</v>
      </c>
      <c r="C30">
        <v>2035</v>
      </c>
      <c r="D30" s="3">
        <f t="shared" si="1"/>
        <v>62.32491856148463</v>
      </c>
      <c r="E30" s="5">
        <f t="shared" si="2"/>
        <v>49.046064300268277</v>
      </c>
      <c r="F30" s="3">
        <f t="shared" si="3"/>
        <v>13.278854261216352</v>
      </c>
      <c r="G30" s="13">
        <f t="shared" si="0"/>
        <v>9693.5636106879374</v>
      </c>
      <c r="I30" s="5">
        <f t="shared" si="4"/>
        <v>62.32491856148463</v>
      </c>
      <c r="K30" s="5">
        <f t="shared" si="5"/>
        <v>49.046064300268277</v>
      </c>
      <c r="N30" s="598">
        <f t="shared" si="6"/>
        <v>2.57</v>
      </c>
      <c r="O30" s="599">
        <f t="shared" si="7"/>
        <v>100402.68</v>
      </c>
      <c r="P30" s="598">
        <f t="shared" si="8"/>
        <v>3550.9</v>
      </c>
      <c r="Q30" s="598">
        <f t="shared" si="9"/>
        <v>2.2999999999999998</v>
      </c>
      <c r="R30" s="598">
        <f t="shared" si="10"/>
        <v>7.4</v>
      </c>
      <c r="S30" s="594">
        <f t="shared" si="11"/>
        <v>0.94390589890712839</v>
      </c>
      <c r="T30" s="594">
        <f t="shared" si="12"/>
        <v>3.5503384419271544</v>
      </c>
      <c r="U30" s="12">
        <f t="shared" si="13"/>
        <v>70.671331097638245</v>
      </c>
      <c r="V30" s="12">
        <f t="shared" si="14"/>
        <v>-6.6544125361536164</v>
      </c>
      <c r="W30" s="12">
        <f t="shared" si="15"/>
        <v>-1.6919999999999999</v>
      </c>
      <c r="X30" s="12">
        <f t="shared" si="16"/>
        <v>62.32491856148463</v>
      </c>
      <c r="Z30" s="598">
        <f t="shared" si="17"/>
        <v>2.57</v>
      </c>
      <c r="AA30" s="599">
        <f t="shared" si="18"/>
        <v>80329.174999999988</v>
      </c>
      <c r="AB30" s="600">
        <f t="shared" si="19"/>
        <v>4889.5</v>
      </c>
      <c r="AC30" s="598">
        <f t="shared" si="20"/>
        <v>1</v>
      </c>
      <c r="AD30" s="598">
        <f t="shared" si="21"/>
        <v>4.2</v>
      </c>
      <c r="AE30" s="594">
        <f t="shared" si="22"/>
        <v>0.94390589890712839</v>
      </c>
      <c r="AF30" s="594">
        <f t="shared" si="23"/>
        <v>3.6892644504644574</v>
      </c>
      <c r="AG30" s="12">
        <f t="shared" si="24"/>
        <v>55.208496313110786</v>
      </c>
      <c r="AH30" s="12">
        <f t="shared" si="25"/>
        <v>-5.1984320128425114</v>
      </c>
      <c r="AI30" s="12">
        <f t="shared" si="26"/>
        <v>-0.96400000000000008</v>
      </c>
      <c r="AJ30" s="12">
        <f t="shared" si="27"/>
        <v>49.046064300268277</v>
      </c>
      <c r="AL30">
        <v>2035</v>
      </c>
      <c r="AM30" s="35">
        <v>0.12</v>
      </c>
    </row>
    <row r="31" spans="1:39">
      <c r="A31" s="602">
        <f>A22*A$29</f>
        <v>80329.174999999988</v>
      </c>
      <c r="B31" t="s">
        <v>499</v>
      </c>
      <c r="C31">
        <v>2036</v>
      </c>
      <c r="D31" s="3">
        <f t="shared" si="1"/>
        <v>62.14343458322589</v>
      </c>
      <c r="E31" s="5">
        <f t="shared" si="2"/>
        <v>48.904288881736207</v>
      </c>
      <c r="F31" s="3">
        <f t="shared" si="3"/>
        <v>13.239145701489683</v>
      </c>
      <c r="G31" s="13">
        <f t="shared" si="0"/>
        <v>9664.5763620874677</v>
      </c>
      <c r="I31" s="5">
        <f t="shared" si="4"/>
        <v>62.14343458322589</v>
      </c>
      <c r="K31" s="5">
        <f t="shared" si="5"/>
        <v>48.904288881736207</v>
      </c>
      <c r="N31" s="598">
        <f t="shared" si="6"/>
        <v>2.57</v>
      </c>
      <c r="O31" s="599">
        <f t="shared" si="7"/>
        <v>100402.68</v>
      </c>
      <c r="P31" s="598">
        <f t="shared" si="8"/>
        <v>3550.9</v>
      </c>
      <c r="Q31" s="598">
        <f t="shared" si="9"/>
        <v>2.2999999999999998</v>
      </c>
      <c r="R31" s="598">
        <f t="shared" si="10"/>
        <v>7.4</v>
      </c>
      <c r="S31" s="594">
        <f t="shared" si="11"/>
        <v>0.94390589890712839</v>
      </c>
      <c r="T31" s="594">
        <f t="shared" si="12"/>
        <v>3.5503384419271544</v>
      </c>
      <c r="U31" s="12">
        <f t="shared" si="13"/>
        <v>70.671331097638245</v>
      </c>
      <c r="V31" s="12">
        <f t="shared" si="14"/>
        <v>-6.8358965144123518</v>
      </c>
      <c r="W31" s="12">
        <f t="shared" si="15"/>
        <v>-1.6919999999999999</v>
      </c>
      <c r="X31" s="12">
        <f t="shared" si="16"/>
        <v>62.14343458322589</v>
      </c>
      <c r="Z31" s="598">
        <f t="shared" si="17"/>
        <v>2.57</v>
      </c>
      <c r="AA31" s="599">
        <f t="shared" si="18"/>
        <v>80329.174999999988</v>
      </c>
      <c r="AB31" s="600">
        <f t="shared" si="19"/>
        <v>4889.5</v>
      </c>
      <c r="AC31" s="598">
        <f t="shared" si="20"/>
        <v>1</v>
      </c>
      <c r="AD31" s="598">
        <f t="shared" si="21"/>
        <v>4.2</v>
      </c>
      <c r="AE31" s="594">
        <f t="shared" si="22"/>
        <v>0.94390589890712839</v>
      </c>
      <c r="AF31" s="594">
        <f t="shared" si="23"/>
        <v>3.6892644504644574</v>
      </c>
      <c r="AG31" s="12">
        <f t="shared" si="24"/>
        <v>55.208496313110786</v>
      </c>
      <c r="AH31" s="12">
        <f t="shared" si="25"/>
        <v>-5.34020743137458</v>
      </c>
      <c r="AI31" s="12">
        <f t="shared" si="26"/>
        <v>-0.96400000000000008</v>
      </c>
      <c r="AJ31" s="12">
        <f t="shared" si="27"/>
        <v>48.904288881736207</v>
      </c>
      <c r="AL31">
        <v>2036</v>
      </c>
      <c r="AM31" s="35">
        <v>9.6000000000000002E-2</v>
      </c>
    </row>
    <row r="32" spans="1:39" ht="29.1">
      <c r="A32" s="603">
        <v>42.3</v>
      </c>
      <c r="B32" s="1" t="s">
        <v>501</v>
      </c>
      <c r="C32">
        <v>2037</v>
      </c>
      <c r="D32" s="3">
        <f t="shared" si="1"/>
        <v>61.961950604967157</v>
      </c>
      <c r="E32" s="5">
        <f t="shared" si="2"/>
        <v>48.762513463204137</v>
      </c>
      <c r="F32" s="3">
        <f t="shared" si="3"/>
        <v>13.199437141763021</v>
      </c>
      <c r="G32" s="13">
        <f t="shared" si="0"/>
        <v>9635.5891134870053</v>
      </c>
      <c r="I32" s="5">
        <f t="shared" si="4"/>
        <v>61.961950604967157</v>
      </c>
      <c r="K32" s="5">
        <f t="shared" si="5"/>
        <v>48.762513463204137</v>
      </c>
      <c r="N32" s="598">
        <f t="shared" si="6"/>
        <v>2.57</v>
      </c>
      <c r="O32" s="599">
        <f t="shared" si="7"/>
        <v>100402.68</v>
      </c>
      <c r="P32" s="598">
        <f t="shared" si="8"/>
        <v>3550.9</v>
      </c>
      <c r="Q32" s="598">
        <f t="shared" si="9"/>
        <v>2.2999999999999998</v>
      </c>
      <c r="R32" s="598">
        <f t="shared" si="10"/>
        <v>7.4</v>
      </c>
      <c r="S32" s="594">
        <f t="shared" si="11"/>
        <v>0.94390589890712839</v>
      </c>
      <c r="T32" s="594">
        <f t="shared" si="12"/>
        <v>3.5503384419271544</v>
      </c>
      <c r="U32" s="12">
        <f t="shared" si="13"/>
        <v>70.671331097638245</v>
      </c>
      <c r="V32" s="12">
        <f t="shared" si="14"/>
        <v>-7.0173804926710872</v>
      </c>
      <c r="W32" s="12">
        <f t="shared" si="15"/>
        <v>-1.6919999999999999</v>
      </c>
      <c r="X32" s="12">
        <f t="shared" si="16"/>
        <v>61.961950604967157</v>
      </c>
      <c r="Z32" s="598">
        <f t="shared" si="17"/>
        <v>2.57</v>
      </c>
      <c r="AA32" s="599">
        <f t="shared" si="18"/>
        <v>80329.174999999988</v>
      </c>
      <c r="AB32" s="600">
        <f t="shared" si="19"/>
        <v>4889.5</v>
      </c>
      <c r="AC32" s="598">
        <f t="shared" si="20"/>
        <v>1</v>
      </c>
      <c r="AD32" s="598">
        <f t="shared" si="21"/>
        <v>4.2</v>
      </c>
      <c r="AE32" s="594">
        <f t="shared" si="22"/>
        <v>0.94390589890712839</v>
      </c>
      <c r="AF32" s="594">
        <f t="shared" si="23"/>
        <v>3.6892644504644574</v>
      </c>
      <c r="AG32" s="12">
        <f t="shared" si="24"/>
        <v>55.208496313110786</v>
      </c>
      <c r="AH32" s="12">
        <f t="shared" si="25"/>
        <v>-5.4819828499066485</v>
      </c>
      <c r="AI32" s="12">
        <f t="shared" si="26"/>
        <v>-0.96400000000000008</v>
      </c>
      <c r="AJ32" s="12">
        <f t="shared" si="27"/>
        <v>48.762513463204137</v>
      </c>
      <c r="AL32">
        <v>2037</v>
      </c>
      <c r="AM32" s="35">
        <v>7.1999999999999995E-2</v>
      </c>
    </row>
    <row r="33" spans="1:39" ht="29.1">
      <c r="A33" s="603">
        <v>24.1</v>
      </c>
      <c r="B33" s="1" t="s">
        <v>502</v>
      </c>
      <c r="C33">
        <v>2038</v>
      </c>
      <c r="D33" s="3">
        <f t="shared" si="1"/>
        <v>61.780466626708424</v>
      </c>
      <c r="E33" s="5">
        <f t="shared" si="2"/>
        <v>48.620738044672066</v>
      </c>
      <c r="F33" s="3">
        <f t="shared" si="3"/>
        <v>13.159728582036358</v>
      </c>
      <c r="G33" s="13">
        <f t="shared" si="0"/>
        <v>9606.6018648865411</v>
      </c>
      <c r="I33" s="5">
        <f t="shared" si="4"/>
        <v>61.780466626708424</v>
      </c>
      <c r="K33" s="5">
        <f t="shared" si="5"/>
        <v>48.620738044672066</v>
      </c>
      <c r="N33" s="598">
        <f t="shared" si="6"/>
        <v>2.57</v>
      </c>
      <c r="O33" s="599">
        <f t="shared" si="7"/>
        <v>100402.68</v>
      </c>
      <c r="P33" s="598">
        <f t="shared" si="8"/>
        <v>3550.9</v>
      </c>
      <c r="Q33" s="598">
        <f t="shared" si="9"/>
        <v>2.2999999999999998</v>
      </c>
      <c r="R33" s="598">
        <f t="shared" si="10"/>
        <v>7.4</v>
      </c>
      <c r="S33" s="594">
        <f t="shared" si="11"/>
        <v>0.94390589890712839</v>
      </c>
      <c r="T33" s="594">
        <f t="shared" si="12"/>
        <v>3.5503384419271544</v>
      </c>
      <c r="U33" s="12">
        <f t="shared" si="13"/>
        <v>70.671331097638245</v>
      </c>
      <c r="V33" s="12">
        <f t="shared" si="14"/>
        <v>-7.1988644709298217</v>
      </c>
      <c r="W33" s="12">
        <f t="shared" si="15"/>
        <v>-1.6919999999999999</v>
      </c>
      <c r="X33" s="12">
        <f t="shared" si="16"/>
        <v>61.780466626708424</v>
      </c>
      <c r="Z33" s="598">
        <f t="shared" si="17"/>
        <v>2.57</v>
      </c>
      <c r="AA33" s="599">
        <f t="shared" si="18"/>
        <v>80329.174999999988</v>
      </c>
      <c r="AB33" s="600">
        <f t="shared" si="19"/>
        <v>4889.5</v>
      </c>
      <c r="AC33" s="598">
        <f t="shared" si="20"/>
        <v>1</v>
      </c>
      <c r="AD33" s="598">
        <f t="shared" si="21"/>
        <v>4.2</v>
      </c>
      <c r="AE33" s="594">
        <f t="shared" si="22"/>
        <v>0.94390589890712839</v>
      </c>
      <c r="AF33" s="594">
        <f t="shared" si="23"/>
        <v>3.6892644504644574</v>
      </c>
      <c r="AG33" s="12">
        <f t="shared" si="24"/>
        <v>55.208496313110786</v>
      </c>
      <c r="AH33" s="12">
        <f t="shared" si="25"/>
        <v>-5.6237582684387171</v>
      </c>
      <c r="AI33" s="12">
        <f t="shared" si="26"/>
        <v>-0.96400000000000008</v>
      </c>
      <c r="AJ33" s="12">
        <f t="shared" si="27"/>
        <v>48.620738044672066</v>
      </c>
      <c r="AL33">
        <v>2038</v>
      </c>
      <c r="AM33" s="35">
        <v>4.8000000000000001E-2</v>
      </c>
    </row>
    <row r="34" spans="1:39">
      <c r="C34">
        <v>2039</v>
      </c>
      <c r="D34" s="3">
        <f t="shared" si="1"/>
        <v>61.598982648449685</v>
      </c>
      <c r="E34" s="5">
        <f t="shared" si="2"/>
        <v>48.478962626140003</v>
      </c>
      <c r="F34" s="3">
        <f t="shared" si="3"/>
        <v>13.120020022309681</v>
      </c>
      <c r="G34" s="13">
        <f t="shared" si="0"/>
        <v>9577.6146162860678</v>
      </c>
      <c r="I34" s="5">
        <f t="shared" si="4"/>
        <v>61.598982648449685</v>
      </c>
      <c r="K34" s="5">
        <f t="shared" si="5"/>
        <v>48.478962626140003</v>
      </c>
      <c r="N34" s="598">
        <f t="shared" si="6"/>
        <v>2.57</v>
      </c>
      <c r="O34" s="599">
        <f t="shared" si="7"/>
        <v>100402.68</v>
      </c>
      <c r="P34" s="598">
        <f t="shared" si="8"/>
        <v>3550.9</v>
      </c>
      <c r="Q34" s="598">
        <f t="shared" si="9"/>
        <v>2.2999999999999998</v>
      </c>
      <c r="R34" s="598">
        <f t="shared" si="10"/>
        <v>7.4</v>
      </c>
      <c r="S34" s="594">
        <f t="shared" si="11"/>
        <v>0.94390589890712839</v>
      </c>
      <c r="T34" s="594">
        <f t="shared" si="12"/>
        <v>3.5503384419271544</v>
      </c>
      <c r="U34" s="12">
        <f t="shared" si="13"/>
        <v>70.671331097638245</v>
      </c>
      <c r="V34" s="12">
        <f t="shared" si="14"/>
        <v>-7.3803484491885563</v>
      </c>
      <c r="W34" s="12">
        <f t="shared" si="15"/>
        <v>-1.6919999999999999</v>
      </c>
      <c r="X34" s="12">
        <f t="shared" si="16"/>
        <v>61.598982648449685</v>
      </c>
      <c r="Z34" s="598">
        <f t="shared" si="17"/>
        <v>2.57</v>
      </c>
      <c r="AA34" s="599">
        <f t="shared" si="18"/>
        <v>80329.174999999988</v>
      </c>
      <c r="AB34" s="600">
        <f t="shared" si="19"/>
        <v>4889.5</v>
      </c>
      <c r="AC34" s="598">
        <f t="shared" si="20"/>
        <v>1</v>
      </c>
      <c r="AD34" s="598">
        <f t="shared" si="21"/>
        <v>4.2</v>
      </c>
      <c r="AE34" s="594">
        <f t="shared" si="22"/>
        <v>0.94390589890712839</v>
      </c>
      <c r="AF34" s="594">
        <f t="shared" si="23"/>
        <v>3.6892644504644574</v>
      </c>
      <c r="AG34" s="12">
        <f t="shared" si="24"/>
        <v>55.208496313110786</v>
      </c>
      <c r="AH34" s="12">
        <f t="shared" si="25"/>
        <v>-5.7655336869707856</v>
      </c>
      <c r="AI34" s="12">
        <f t="shared" si="26"/>
        <v>-0.96400000000000008</v>
      </c>
      <c r="AJ34" s="12">
        <f t="shared" si="27"/>
        <v>48.478962626140003</v>
      </c>
      <c r="AL34">
        <v>2039</v>
      </c>
      <c r="AM34" s="35">
        <v>2.4E-2</v>
      </c>
    </row>
    <row r="35" spans="1:39">
      <c r="C35">
        <v>2040</v>
      </c>
      <c r="D35" s="3">
        <f t="shared" si="1"/>
        <v>61.417498670190952</v>
      </c>
      <c r="E35" s="5">
        <f t="shared" si="2"/>
        <v>48.337187207607933</v>
      </c>
      <c r="F35" s="3">
        <f t="shared" si="3"/>
        <v>13.080311462583019</v>
      </c>
      <c r="G35" s="13">
        <f t="shared" si="0"/>
        <v>9548.6273676856035</v>
      </c>
      <c r="I35" s="5">
        <f t="shared" si="4"/>
        <v>61.417498670190952</v>
      </c>
      <c r="K35" s="5">
        <f t="shared" si="5"/>
        <v>48.337187207607933</v>
      </c>
      <c r="N35" s="598">
        <f t="shared" si="6"/>
        <v>2.57</v>
      </c>
      <c r="O35" s="599">
        <f t="shared" si="7"/>
        <v>100402.68</v>
      </c>
      <c r="P35" s="598">
        <f t="shared" si="8"/>
        <v>3550.9</v>
      </c>
      <c r="Q35" s="598">
        <f t="shared" si="9"/>
        <v>2.2999999999999998</v>
      </c>
      <c r="R35" s="598">
        <f t="shared" si="10"/>
        <v>7.4</v>
      </c>
      <c r="S35" s="594">
        <f t="shared" si="11"/>
        <v>0.94390589890712839</v>
      </c>
      <c r="T35" s="594">
        <f t="shared" si="12"/>
        <v>3.5503384419271544</v>
      </c>
      <c r="U35" s="12">
        <f t="shared" si="13"/>
        <v>70.671331097638245</v>
      </c>
      <c r="V35" s="12">
        <f t="shared" si="14"/>
        <v>-7.5618324274472917</v>
      </c>
      <c r="W35" s="12">
        <f t="shared" si="15"/>
        <v>-1.6919999999999999</v>
      </c>
      <c r="X35" s="12">
        <f t="shared" si="16"/>
        <v>61.417498670190952</v>
      </c>
      <c r="Z35" s="598">
        <f t="shared" si="17"/>
        <v>2.57</v>
      </c>
      <c r="AA35" s="599">
        <f t="shared" si="18"/>
        <v>80329.174999999988</v>
      </c>
      <c r="AB35" s="600">
        <f t="shared" si="19"/>
        <v>4889.5</v>
      </c>
      <c r="AC35" s="598">
        <f t="shared" si="20"/>
        <v>1</v>
      </c>
      <c r="AD35" s="598">
        <f t="shared" si="21"/>
        <v>4.2</v>
      </c>
      <c r="AE35" s="594">
        <f t="shared" si="22"/>
        <v>0.94390589890712839</v>
      </c>
      <c r="AF35" s="594">
        <f t="shared" si="23"/>
        <v>3.6892644504644574</v>
      </c>
      <c r="AG35" s="12">
        <f t="shared" si="24"/>
        <v>55.208496313110786</v>
      </c>
      <c r="AH35" s="12">
        <f t="shared" si="25"/>
        <v>-5.9073091055028542</v>
      </c>
      <c r="AI35" s="12">
        <f t="shared" si="26"/>
        <v>-0.96400000000000008</v>
      </c>
      <c r="AJ35" s="12">
        <f t="shared" si="27"/>
        <v>48.337187207607933</v>
      </c>
      <c r="AL35">
        <v>2040</v>
      </c>
      <c r="AM35" s="35">
        <v>0</v>
      </c>
    </row>
    <row r="36" spans="1:39">
      <c r="C36">
        <v>2041</v>
      </c>
      <c r="D36" s="3">
        <f t="shared" si="1"/>
        <v>61.417498670190952</v>
      </c>
      <c r="E36" s="5">
        <f t="shared" si="2"/>
        <v>48.337187207607933</v>
      </c>
      <c r="F36" s="3">
        <f t="shared" si="3"/>
        <v>13.080311462583019</v>
      </c>
      <c r="G36" s="13">
        <f t="shared" si="0"/>
        <v>9548.6273676856035</v>
      </c>
      <c r="I36" s="5">
        <f t="shared" si="4"/>
        <v>61.417498670190952</v>
      </c>
      <c r="K36" s="5">
        <f t="shared" si="5"/>
        <v>48.337187207607933</v>
      </c>
      <c r="N36" s="598">
        <f t="shared" si="6"/>
        <v>2.57</v>
      </c>
      <c r="O36" s="599">
        <f t="shared" si="7"/>
        <v>100402.68</v>
      </c>
      <c r="P36" s="598">
        <f t="shared" si="8"/>
        <v>3550.9</v>
      </c>
      <c r="Q36" s="598">
        <f t="shared" si="9"/>
        <v>2.2999999999999998</v>
      </c>
      <c r="R36" s="598">
        <f t="shared" si="10"/>
        <v>7.4</v>
      </c>
      <c r="S36" s="594">
        <f t="shared" si="11"/>
        <v>0.94390589890712839</v>
      </c>
      <c r="T36" s="594">
        <f t="shared" si="12"/>
        <v>3.5503384419271544</v>
      </c>
      <c r="U36" s="12">
        <f t="shared" si="13"/>
        <v>70.671331097638245</v>
      </c>
      <c r="V36" s="12">
        <f t="shared" si="14"/>
        <v>-7.5618324274472917</v>
      </c>
      <c r="W36" s="12">
        <f t="shared" si="15"/>
        <v>-1.6919999999999999</v>
      </c>
      <c r="X36" s="12">
        <f t="shared" si="16"/>
        <v>61.417498670190952</v>
      </c>
      <c r="Z36" s="598">
        <f t="shared" si="17"/>
        <v>2.57</v>
      </c>
      <c r="AA36" s="599">
        <f t="shared" si="18"/>
        <v>80329.174999999988</v>
      </c>
      <c r="AB36" s="600">
        <f t="shared" si="19"/>
        <v>4889.5</v>
      </c>
      <c r="AC36" s="598">
        <f t="shared" si="20"/>
        <v>1</v>
      </c>
      <c r="AD36" s="598">
        <f t="shared" si="21"/>
        <v>4.2</v>
      </c>
      <c r="AE36" s="594">
        <f t="shared" si="22"/>
        <v>0.94390589890712839</v>
      </c>
      <c r="AF36" s="594">
        <f t="shared" si="23"/>
        <v>3.6892644504644574</v>
      </c>
      <c r="AG36" s="12">
        <f t="shared" si="24"/>
        <v>55.208496313110786</v>
      </c>
      <c r="AH36" s="12">
        <f t="shared" si="25"/>
        <v>-5.9073091055028542</v>
      </c>
      <c r="AI36" s="12">
        <f t="shared" si="26"/>
        <v>-0.96400000000000008</v>
      </c>
      <c r="AJ36" s="12">
        <f t="shared" si="27"/>
        <v>48.337187207607933</v>
      </c>
      <c r="AL36">
        <v>2041</v>
      </c>
      <c r="AM36" s="35">
        <v>0</v>
      </c>
    </row>
    <row r="37" spans="1:39">
      <c r="C37">
        <v>2042</v>
      </c>
      <c r="D37" s="3">
        <f t="shared" si="1"/>
        <v>61.417498670190952</v>
      </c>
      <c r="E37" s="5">
        <f t="shared" si="2"/>
        <v>48.337187207607933</v>
      </c>
      <c r="F37" s="3">
        <f t="shared" si="3"/>
        <v>13.080311462583019</v>
      </c>
      <c r="G37" s="13">
        <f t="shared" si="0"/>
        <v>9548.6273676856035</v>
      </c>
      <c r="I37" s="5">
        <f t="shared" si="4"/>
        <v>61.417498670190952</v>
      </c>
      <c r="K37" s="5">
        <f t="shared" si="5"/>
        <v>48.337187207607933</v>
      </c>
      <c r="N37" s="598">
        <f t="shared" si="6"/>
        <v>2.57</v>
      </c>
      <c r="O37" s="599">
        <f t="shared" si="7"/>
        <v>100402.68</v>
      </c>
      <c r="P37" s="598">
        <f t="shared" si="8"/>
        <v>3550.9</v>
      </c>
      <c r="Q37" s="598">
        <f t="shared" si="9"/>
        <v>2.2999999999999998</v>
      </c>
      <c r="R37" s="598">
        <f t="shared" si="10"/>
        <v>7.4</v>
      </c>
      <c r="S37" s="594">
        <f t="shared" si="11"/>
        <v>0.94390589890712839</v>
      </c>
      <c r="T37" s="594">
        <f t="shared" si="12"/>
        <v>3.5503384419271544</v>
      </c>
      <c r="U37" s="12">
        <f t="shared" si="13"/>
        <v>70.671331097638245</v>
      </c>
      <c r="V37" s="12">
        <f t="shared" si="14"/>
        <v>-7.5618324274472917</v>
      </c>
      <c r="W37" s="12">
        <f t="shared" si="15"/>
        <v>-1.6919999999999999</v>
      </c>
      <c r="X37" s="12">
        <f t="shared" si="16"/>
        <v>61.417498670190952</v>
      </c>
      <c r="Z37" s="598">
        <f t="shared" si="17"/>
        <v>2.57</v>
      </c>
      <c r="AA37" s="599">
        <f t="shared" si="18"/>
        <v>80329.174999999988</v>
      </c>
      <c r="AB37" s="600">
        <f t="shared" si="19"/>
        <v>4889.5</v>
      </c>
      <c r="AC37" s="598">
        <f t="shared" si="20"/>
        <v>1</v>
      </c>
      <c r="AD37" s="598">
        <f t="shared" si="21"/>
        <v>4.2</v>
      </c>
      <c r="AE37" s="594">
        <f t="shared" si="22"/>
        <v>0.94390589890712839</v>
      </c>
      <c r="AF37" s="594">
        <f t="shared" si="23"/>
        <v>3.6892644504644574</v>
      </c>
      <c r="AG37" s="12">
        <f t="shared" si="24"/>
        <v>55.208496313110786</v>
      </c>
      <c r="AH37" s="12">
        <f t="shared" si="25"/>
        <v>-5.9073091055028542</v>
      </c>
      <c r="AI37" s="12">
        <f t="shared" si="26"/>
        <v>-0.96400000000000008</v>
      </c>
      <c r="AJ37" s="12">
        <f t="shared" si="27"/>
        <v>48.337187207607933</v>
      </c>
    </row>
    <row r="38" spans="1:39">
      <c r="C38">
        <v>2043</v>
      </c>
      <c r="D38" s="3">
        <f t="shared" si="1"/>
        <v>61.417498670190952</v>
      </c>
      <c r="E38" s="5">
        <f t="shared" si="2"/>
        <v>48.337187207607933</v>
      </c>
      <c r="F38" s="3">
        <f t="shared" si="3"/>
        <v>13.080311462583019</v>
      </c>
      <c r="G38" s="13">
        <f t="shared" si="0"/>
        <v>9548.6273676856035</v>
      </c>
      <c r="I38" s="5">
        <f t="shared" si="4"/>
        <v>61.417498670190952</v>
      </c>
      <c r="K38" s="5">
        <f t="shared" si="5"/>
        <v>48.337187207607933</v>
      </c>
      <c r="N38" s="598">
        <f t="shared" si="6"/>
        <v>2.57</v>
      </c>
      <c r="O38" s="599">
        <f t="shared" si="7"/>
        <v>100402.68</v>
      </c>
      <c r="P38" s="598">
        <f t="shared" si="8"/>
        <v>3550.9</v>
      </c>
      <c r="Q38" s="598">
        <f t="shared" si="9"/>
        <v>2.2999999999999998</v>
      </c>
      <c r="R38" s="598">
        <f t="shared" si="10"/>
        <v>7.4</v>
      </c>
      <c r="S38" s="594">
        <f t="shared" si="11"/>
        <v>0.94390589890712839</v>
      </c>
      <c r="T38" s="594">
        <f t="shared" si="12"/>
        <v>3.5503384419271544</v>
      </c>
      <c r="U38" s="12">
        <f t="shared" si="13"/>
        <v>70.671331097638245</v>
      </c>
      <c r="V38" s="12">
        <f t="shared" si="14"/>
        <v>-7.5618324274472917</v>
      </c>
      <c r="W38" s="12">
        <f t="shared" si="15"/>
        <v>-1.6919999999999999</v>
      </c>
      <c r="X38" s="12">
        <f t="shared" si="16"/>
        <v>61.417498670190952</v>
      </c>
      <c r="Z38" s="598">
        <f t="shared" si="17"/>
        <v>2.57</v>
      </c>
      <c r="AA38" s="599">
        <f t="shared" si="18"/>
        <v>80329.174999999988</v>
      </c>
      <c r="AB38" s="600">
        <f t="shared" si="19"/>
        <v>4889.5</v>
      </c>
      <c r="AC38" s="598">
        <f t="shared" si="20"/>
        <v>1</v>
      </c>
      <c r="AD38" s="598">
        <f t="shared" si="21"/>
        <v>4.2</v>
      </c>
      <c r="AE38" s="594">
        <f t="shared" si="22"/>
        <v>0.94390589890712839</v>
      </c>
      <c r="AF38" s="594">
        <f t="shared" si="23"/>
        <v>3.6892644504644574</v>
      </c>
      <c r="AG38" s="12">
        <f t="shared" si="24"/>
        <v>55.208496313110786</v>
      </c>
      <c r="AH38" s="12">
        <f t="shared" si="25"/>
        <v>-5.9073091055028542</v>
      </c>
      <c r="AI38" s="12">
        <f t="shared" si="26"/>
        <v>-0.96400000000000008</v>
      </c>
      <c r="AJ38" s="12">
        <f t="shared" si="27"/>
        <v>48.337187207607933</v>
      </c>
    </row>
    <row r="39" spans="1:39">
      <c r="C39">
        <v>2044</v>
      </c>
      <c r="D39" s="3">
        <f t="shared" si="1"/>
        <v>61.417498670190952</v>
      </c>
      <c r="E39" s="5">
        <f t="shared" si="2"/>
        <v>48.337187207607933</v>
      </c>
      <c r="F39" s="3">
        <f t="shared" si="3"/>
        <v>13.080311462583019</v>
      </c>
      <c r="G39" s="13">
        <f t="shared" si="0"/>
        <v>9548.6273676856035</v>
      </c>
      <c r="I39" s="5">
        <f t="shared" si="4"/>
        <v>61.417498670190952</v>
      </c>
      <c r="K39" s="5">
        <f t="shared" si="5"/>
        <v>48.337187207607933</v>
      </c>
      <c r="N39" s="598">
        <f t="shared" si="6"/>
        <v>2.57</v>
      </c>
      <c r="O39" s="599">
        <f t="shared" si="7"/>
        <v>100402.68</v>
      </c>
      <c r="P39" s="598">
        <f t="shared" si="8"/>
        <v>3550.9</v>
      </c>
      <c r="Q39" s="598">
        <f t="shared" si="9"/>
        <v>2.2999999999999998</v>
      </c>
      <c r="R39" s="598">
        <f t="shared" si="10"/>
        <v>7.4</v>
      </c>
      <c r="S39" s="594">
        <f t="shared" si="11"/>
        <v>0.94390589890712839</v>
      </c>
      <c r="T39" s="594">
        <f t="shared" si="12"/>
        <v>3.5503384419271544</v>
      </c>
      <c r="U39" s="12">
        <f t="shared" si="13"/>
        <v>70.671331097638245</v>
      </c>
      <c r="V39" s="12">
        <f t="shared" si="14"/>
        <v>-7.5618324274472917</v>
      </c>
      <c r="W39" s="12">
        <f t="shared" si="15"/>
        <v>-1.6919999999999999</v>
      </c>
      <c r="X39" s="12">
        <f t="shared" si="16"/>
        <v>61.417498670190952</v>
      </c>
      <c r="Z39" s="598">
        <f t="shared" si="17"/>
        <v>2.57</v>
      </c>
      <c r="AA39" s="599">
        <f t="shared" si="18"/>
        <v>80329.174999999988</v>
      </c>
      <c r="AB39" s="600">
        <f t="shared" si="19"/>
        <v>4889.5</v>
      </c>
      <c r="AC39" s="598">
        <f t="shared" si="20"/>
        <v>1</v>
      </c>
      <c r="AD39" s="598">
        <f t="shared" si="21"/>
        <v>4.2</v>
      </c>
      <c r="AE39" s="594">
        <f t="shared" si="22"/>
        <v>0.94390589890712839</v>
      </c>
      <c r="AF39" s="594">
        <f t="shared" si="23"/>
        <v>3.6892644504644574</v>
      </c>
      <c r="AG39" s="12">
        <f t="shared" si="24"/>
        <v>55.208496313110786</v>
      </c>
      <c r="AH39" s="12">
        <f t="shared" si="25"/>
        <v>-5.9073091055028542</v>
      </c>
      <c r="AI39" s="12">
        <f t="shared" si="26"/>
        <v>-0.96400000000000008</v>
      </c>
      <c r="AJ39" s="12">
        <f t="shared" si="27"/>
        <v>48.337187207607933</v>
      </c>
    </row>
    <row r="40" spans="1:39">
      <c r="C40">
        <v>2045</v>
      </c>
      <c r="D40" s="3">
        <f t="shared" si="1"/>
        <v>61.417498670190952</v>
      </c>
      <c r="E40" s="5">
        <f t="shared" si="2"/>
        <v>48.337187207607933</v>
      </c>
      <c r="F40" s="3">
        <f t="shared" si="3"/>
        <v>13.080311462583019</v>
      </c>
      <c r="G40" s="13">
        <f t="shared" si="0"/>
        <v>9548.6273676856035</v>
      </c>
      <c r="I40" s="5">
        <f t="shared" si="4"/>
        <v>61.417498670190952</v>
      </c>
      <c r="K40" s="5">
        <f t="shared" si="5"/>
        <v>48.337187207607933</v>
      </c>
      <c r="N40" s="598">
        <f t="shared" si="6"/>
        <v>2.57</v>
      </c>
      <c r="O40" s="599">
        <f t="shared" si="7"/>
        <v>100402.68</v>
      </c>
      <c r="P40" s="598">
        <f t="shared" si="8"/>
        <v>3550.9</v>
      </c>
      <c r="Q40" s="598">
        <f t="shared" si="9"/>
        <v>2.2999999999999998</v>
      </c>
      <c r="R40" s="598">
        <f t="shared" si="10"/>
        <v>7.4</v>
      </c>
      <c r="S40" s="594">
        <f t="shared" si="11"/>
        <v>0.94390589890712839</v>
      </c>
      <c r="T40" s="594">
        <f t="shared" si="12"/>
        <v>3.5503384419271544</v>
      </c>
      <c r="U40" s="12">
        <f t="shared" si="13"/>
        <v>70.671331097638245</v>
      </c>
      <c r="V40" s="12">
        <f t="shared" si="14"/>
        <v>-7.5618324274472917</v>
      </c>
      <c r="W40" s="12">
        <f t="shared" si="15"/>
        <v>-1.6919999999999999</v>
      </c>
      <c r="X40" s="12">
        <f t="shared" si="16"/>
        <v>61.417498670190952</v>
      </c>
      <c r="Z40" s="598">
        <f t="shared" si="17"/>
        <v>2.57</v>
      </c>
      <c r="AA40" s="599">
        <f t="shared" si="18"/>
        <v>80329.174999999988</v>
      </c>
      <c r="AB40" s="600">
        <f t="shared" si="19"/>
        <v>4889.5</v>
      </c>
      <c r="AC40" s="598">
        <f t="shared" si="20"/>
        <v>1</v>
      </c>
      <c r="AD40" s="598">
        <f t="shared" si="21"/>
        <v>4.2</v>
      </c>
      <c r="AE40" s="594">
        <f t="shared" si="22"/>
        <v>0.94390589890712839</v>
      </c>
      <c r="AF40" s="594">
        <f t="shared" si="23"/>
        <v>3.6892644504644574</v>
      </c>
      <c r="AG40" s="12">
        <f t="shared" si="24"/>
        <v>55.208496313110786</v>
      </c>
      <c r="AH40" s="12">
        <f t="shared" si="25"/>
        <v>-5.9073091055028542</v>
      </c>
      <c r="AI40" s="12">
        <f t="shared" si="26"/>
        <v>-0.96400000000000008</v>
      </c>
      <c r="AJ40" s="12">
        <f t="shared" si="27"/>
        <v>48.337187207607933</v>
      </c>
    </row>
    <row r="41" spans="1:39">
      <c r="C41">
        <v>2046</v>
      </c>
      <c r="D41" s="3">
        <f t="shared" si="1"/>
        <v>61.417498670190952</v>
      </c>
      <c r="E41" s="5">
        <f t="shared" si="2"/>
        <v>48.337187207607933</v>
      </c>
      <c r="F41" s="3">
        <f t="shared" si="3"/>
        <v>13.080311462583019</v>
      </c>
      <c r="G41" s="13">
        <f t="shared" si="0"/>
        <v>9548.6273676856035</v>
      </c>
      <c r="I41" s="5">
        <f t="shared" si="4"/>
        <v>61.417498670190952</v>
      </c>
      <c r="K41" s="5">
        <f t="shared" si="5"/>
        <v>48.337187207607933</v>
      </c>
      <c r="N41" s="598">
        <f t="shared" si="6"/>
        <v>2.57</v>
      </c>
      <c r="O41" s="599">
        <f t="shared" si="7"/>
        <v>100402.68</v>
      </c>
      <c r="P41" s="598">
        <f t="shared" si="8"/>
        <v>3550.9</v>
      </c>
      <c r="Q41" s="598">
        <f t="shared" si="9"/>
        <v>2.2999999999999998</v>
      </c>
      <c r="R41" s="598">
        <f t="shared" si="10"/>
        <v>7.4</v>
      </c>
      <c r="S41" s="594">
        <f t="shared" si="11"/>
        <v>0.94390589890712839</v>
      </c>
      <c r="T41" s="594">
        <f t="shared" si="12"/>
        <v>3.5503384419271544</v>
      </c>
      <c r="U41" s="12">
        <f t="shared" si="13"/>
        <v>70.671331097638245</v>
      </c>
      <c r="V41" s="12">
        <f t="shared" si="14"/>
        <v>-7.5618324274472917</v>
      </c>
      <c r="W41" s="12">
        <f t="shared" si="15"/>
        <v>-1.6919999999999999</v>
      </c>
      <c r="X41" s="12">
        <f t="shared" si="16"/>
        <v>61.417498670190952</v>
      </c>
      <c r="Z41" s="598">
        <f t="shared" si="17"/>
        <v>2.57</v>
      </c>
      <c r="AA41" s="599">
        <f t="shared" si="18"/>
        <v>80329.174999999988</v>
      </c>
      <c r="AB41" s="600">
        <f t="shared" si="19"/>
        <v>4889.5</v>
      </c>
      <c r="AC41" s="598">
        <f t="shared" si="20"/>
        <v>1</v>
      </c>
      <c r="AD41" s="598">
        <f t="shared" si="21"/>
        <v>4.2</v>
      </c>
      <c r="AE41" s="594">
        <f t="shared" si="22"/>
        <v>0.94390589890712839</v>
      </c>
      <c r="AF41" s="594">
        <f t="shared" si="23"/>
        <v>3.6892644504644574</v>
      </c>
      <c r="AG41" s="12">
        <f t="shared" si="24"/>
        <v>55.208496313110786</v>
      </c>
      <c r="AH41" s="12">
        <f t="shared" si="25"/>
        <v>-5.9073091055028542</v>
      </c>
      <c r="AI41" s="12">
        <f t="shared" si="26"/>
        <v>-0.96400000000000008</v>
      </c>
      <c r="AJ41" s="12">
        <f t="shared" si="27"/>
        <v>48.337187207607933</v>
      </c>
    </row>
    <row r="42" spans="1:39">
      <c r="C42">
        <v>2047</v>
      </c>
      <c r="D42" s="3">
        <f t="shared" si="1"/>
        <v>61.417498670190952</v>
      </c>
      <c r="E42" s="5">
        <f t="shared" si="2"/>
        <v>48.337187207607933</v>
      </c>
      <c r="F42" s="3">
        <f t="shared" si="3"/>
        <v>13.080311462583019</v>
      </c>
      <c r="G42" s="13">
        <f t="shared" si="0"/>
        <v>9548.6273676856035</v>
      </c>
      <c r="I42" s="5">
        <f t="shared" si="4"/>
        <v>61.417498670190952</v>
      </c>
      <c r="K42" s="5">
        <f t="shared" si="5"/>
        <v>48.337187207607933</v>
      </c>
      <c r="N42" s="598">
        <f t="shared" si="6"/>
        <v>2.57</v>
      </c>
      <c r="O42" s="599">
        <f t="shared" si="7"/>
        <v>100402.68</v>
      </c>
      <c r="P42" s="598">
        <f t="shared" si="8"/>
        <v>3550.9</v>
      </c>
      <c r="Q42" s="598">
        <f t="shared" si="9"/>
        <v>2.2999999999999998</v>
      </c>
      <c r="R42" s="598">
        <f t="shared" si="10"/>
        <v>7.4</v>
      </c>
      <c r="S42" s="594">
        <f t="shared" si="11"/>
        <v>0.94390589890712839</v>
      </c>
      <c r="T42" s="594">
        <f t="shared" si="12"/>
        <v>3.5503384419271544</v>
      </c>
      <c r="U42" s="12">
        <f t="shared" si="13"/>
        <v>70.671331097638245</v>
      </c>
      <c r="V42" s="12">
        <f t="shared" si="14"/>
        <v>-7.5618324274472917</v>
      </c>
      <c r="W42" s="12">
        <f t="shared" si="15"/>
        <v>-1.6919999999999999</v>
      </c>
      <c r="X42" s="12">
        <f t="shared" si="16"/>
        <v>61.417498670190952</v>
      </c>
      <c r="Z42" s="598">
        <f t="shared" si="17"/>
        <v>2.57</v>
      </c>
      <c r="AA42" s="599">
        <f t="shared" si="18"/>
        <v>80329.174999999988</v>
      </c>
      <c r="AB42" s="600">
        <f t="shared" si="19"/>
        <v>4889.5</v>
      </c>
      <c r="AC42" s="598">
        <f t="shared" si="20"/>
        <v>1</v>
      </c>
      <c r="AD42" s="598">
        <f t="shared" si="21"/>
        <v>4.2</v>
      </c>
      <c r="AE42" s="594">
        <f t="shared" si="22"/>
        <v>0.94390589890712839</v>
      </c>
      <c r="AF42" s="594">
        <f t="shared" si="23"/>
        <v>3.6892644504644574</v>
      </c>
      <c r="AG42" s="12">
        <f t="shared" si="24"/>
        <v>55.208496313110786</v>
      </c>
      <c r="AH42" s="12">
        <f t="shared" si="25"/>
        <v>-5.9073091055028542</v>
      </c>
      <c r="AI42" s="12">
        <f t="shared" si="26"/>
        <v>-0.96400000000000008</v>
      </c>
      <c r="AJ42" s="12">
        <f t="shared" si="27"/>
        <v>48.337187207607933</v>
      </c>
    </row>
    <row r="43" spans="1:39">
      <c r="C43">
        <v>2048</v>
      </c>
      <c r="D43" s="3">
        <f t="shared" si="1"/>
        <v>61.417498670190952</v>
      </c>
      <c r="E43" s="5">
        <f t="shared" si="2"/>
        <v>48.337187207607933</v>
      </c>
      <c r="F43" s="3">
        <f t="shared" si="3"/>
        <v>13.080311462583019</v>
      </c>
      <c r="G43" s="13">
        <f t="shared" si="0"/>
        <v>9548.6273676856035</v>
      </c>
      <c r="I43" s="5">
        <f t="shared" si="4"/>
        <v>61.417498670190952</v>
      </c>
      <c r="K43" s="5">
        <f t="shared" si="5"/>
        <v>48.337187207607933</v>
      </c>
      <c r="N43" s="598">
        <f t="shared" si="6"/>
        <v>2.57</v>
      </c>
      <c r="O43" s="599">
        <f t="shared" si="7"/>
        <v>100402.68</v>
      </c>
      <c r="P43" s="598">
        <f t="shared" si="8"/>
        <v>3550.9</v>
      </c>
      <c r="Q43" s="598">
        <f t="shared" si="9"/>
        <v>2.2999999999999998</v>
      </c>
      <c r="R43" s="598">
        <f t="shared" si="10"/>
        <v>7.4</v>
      </c>
      <c r="S43" s="594">
        <f t="shared" si="11"/>
        <v>0.94390589890712839</v>
      </c>
      <c r="T43" s="594">
        <f t="shared" si="12"/>
        <v>3.5503384419271544</v>
      </c>
      <c r="U43" s="12">
        <f t="shared" si="13"/>
        <v>70.671331097638245</v>
      </c>
      <c r="V43" s="12">
        <f t="shared" si="14"/>
        <v>-7.5618324274472917</v>
      </c>
      <c r="W43" s="12">
        <f t="shared" si="15"/>
        <v>-1.6919999999999999</v>
      </c>
      <c r="X43" s="12">
        <f t="shared" si="16"/>
        <v>61.417498670190952</v>
      </c>
      <c r="Z43" s="598">
        <f t="shared" si="17"/>
        <v>2.57</v>
      </c>
      <c r="AA43" s="599">
        <f t="shared" si="18"/>
        <v>80329.174999999988</v>
      </c>
      <c r="AB43" s="600">
        <f t="shared" si="19"/>
        <v>4889.5</v>
      </c>
      <c r="AC43" s="598">
        <f t="shared" si="20"/>
        <v>1</v>
      </c>
      <c r="AD43" s="598">
        <f t="shared" si="21"/>
        <v>4.2</v>
      </c>
      <c r="AE43" s="594">
        <f t="shared" si="22"/>
        <v>0.94390589890712839</v>
      </c>
      <c r="AF43" s="594">
        <f t="shared" si="23"/>
        <v>3.6892644504644574</v>
      </c>
      <c r="AG43" s="12">
        <f t="shared" si="24"/>
        <v>55.208496313110786</v>
      </c>
      <c r="AH43" s="12">
        <f t="shared" si="25"/>
        <v>-5.9073091055028542</v>
      </c>
      <c r="AI43" s="12">
        <f t="shared" si="26"/>
        <v>-0.96400000000000008</v>
      </c>
      <c r="AJ43" s="12">
        <f t="shared" si="27"/>
        <v>48.337187207607933</v>
      </c>
    </row>
    <row r="44" spans="1:39">
      <c r="C44">
        <v>2049</v>
      </c>
      <c r="D44" s="3">
        <f t="shared" si="1"/>
        <v>61.417498670190952</v>
      </c>
      <c r="E44" s="5">
        <f t="shared" si="2"/>
        <v>48.337187207607933</v>
      </c>
      <c r="F44" s="3">
        <f t="shared" si="3"/>
        <v>13.080311462583019</v>
      </c>
      <c r="G44" s="13">
        <f t="shared" si="0"/>
        <v>9548.6273676856035</v>
      </c>
      <c r="I44" s="5">
        <f t="shared" si="4"/>
        <v>61.417498670190952</v>
      </c>
      <c r="K44" s="5">
        <f t="shared" si="5"/>
        <v>48.337187207607933</v>
      </c>
      <c r="N44" s="598">
        <f t="shared" si="6"/>
        <v>2.57</v>
      </c>
      <c r="O44" s="599">
        <f t="shared" si="7"/>
        <v>100402.68</v>
      </c>
      <c r="P44" s="598">
        <f t="shared" si="8"/>
        <v>3550.9</v>
      </c>
      <c r="Q44" s="598">
        <f t="shared" si="9"/>
        <v>2.2999999999999998</v>
      </c>
      <c r="R44" s="598">
        <f t="shared" si="10"/>
        <v>7.4</v>
      </c>
      <c r="S44" s="594">
        <f t="shared" si="11"/>
        <v>0.94390589890712839</v>
      </c>
      <c r="T44" s="594">
        <f t="shared" si="12"/>
        <v>3.5503384419271544</v>
      </c>
      <c r="U44" s="12">
        <f t="shared" si="13"/>
        <v>70.671331097638245</v>
      </c>
      <c r="V44" s="12">
        <f t="shared" si="14"/>
        <v>-7.5618324274472917</v>
      </c>
      <c r="W44" s="12">
        <f t="shared" si="15"/>
        <v>-1.6919999999999999</v>
      </c>
      <c r="X44" s="12">
        <f t="shared" si="16"/>
        <v>61.417498670190952</v>
      </c>
      <c r="Z44" s="598">
        <f t="shared" si="17"/>
        <v>2.57</v>
      </c>
      <c r="AA44" s="599">
        <f t="shared" si="18"/>
        <v>80329.174999999988</v>
      </c>
      <c r="AB44" s="600">
        <f t="shared" si="19"/>
        <v>4889.5</v>
      </c>
      <c r="AC44" s="598">
        <f t="shared" si="20"/>
        <v>1</v>
      </c>
      <c r="AD44" s="598">
        <f t="shared" si="21"/>
        <v>4.2</v>
      </c>
      <c r="AE44" s="594">
        <f t="shared" si="22"/>
        <v>0.94390589890712839</v>
      </c>
      <c r="AF44" s="594">
        <f t="shared" si="23"/>
        <v>3.6892644504644574</v>
      </c>
      <c r="AG44" s="12">
        <f t="shared" si="24"/>
        <v>55.208496313110786</v>
      </c>
      <c r="AH44" s="12">
        <f t="shared" si="25"/>
        <v>-5.9073091055028542</v>
      </c>
      <c r="AI44" s="12">
        <f t="shared" si="26"/>
        <v>-0.96400000000000008</v>
      </c>
      <c r="AJ44" s="12">
        <f t="shared" si="27"/>
        <v>48.337187207607933</v>
      </c>
    </row>
    <row r="45" spans="1:39">
      <c r="C45">
        <v>2050</v>
      </c>
      <c r="D45" s="3">
        <f t="shared" si="1"/>
        <v>61.417498670190952</v>
      </c>
      <c r="E45" s="5">
        <f t="shared" si="2"/>
        <v>48.337187207607933</v>
      </c>
      <c r="F45" s="3">
        <f t="shared" si="3"/>
        <v>13.080311462583019</v>
      </c>
      <c r="G45" s="13">
        <f t="shared" si="0"/>
        <v>9548.6273676856035</v>
      </c>
      <c r="I45" s="5">
        <f t="shared" si="4"/>
        <v>61.417498670190952</v>
      </c>
      <c r="K45" s="5">
        <f t="shared" si="5"/>
        <v>48.337187207607933</v>
      </c>
      <c r="N45" s="598">
        <f t="shared" si="6"/>
        <v>2.57</v>
      </c>
      <c r="O45" s="599">
        <f t="shared" si="7"/>
        <v>100402.68</v>
      </c>
      <c r="P45" s="598">
        <f t="shared" si="8"/>
        <v>3550.9</v>
      </c>
      <c r="Q45" s="598">
        <f t="shared" si="9"/>
        <v>2.2999999999999998</v>
      </c>
      <c r="R45" s="598">
        <f t="shared" si="10"/>
        <v>7.4</v>
      </c>
      <c r="S45" s="594">
        <f t="shared" si="11"/>
        <v>0.94390589890712839</v>
      </c>
      <c r="T45" s="594">
        <f t="shared" si="12"/>
        <v>3.5503384419271544</v>
      </c>
      <c r="U45" s="12">
        <f t="shared" si="13"/>
        <v>70.671331097638245</v>
      </c>
      <c r="V45" s="12">
        <f t="shared" si="14"/>
        <v>-7.5618324274472917</v>
      </c>
      <c r="W45" s="12">
        <f t="shared" si="15"/>
        <v>-1.6919999999999999</v>
      </c>
      <c r="X45" s="12">
        <f t="shared" si="16"/>
        <v>61.417498670190952</v>
      </c>
      <c r="Z45" s="598">
        <f t="shared" si="17"/>
        <v>2.57</v>
      </c>
      <c r="AA45" s="599">
        <f t="shared" si="18"/>
        <v>80329.174999999988</v>
      </c>
      <c r="AB45" s="600">
        <f t="shared" si="19"/>
        <v>4889.5</v>
      </c>
      <c r="AC45" s="598">
        <f t="shared" si="20"/>
        <v>1</v>
      </c>
      <c r="AD45" s="598">
        <f t="shared" si="21"/>
        <v>4.2</v>
      </c>
      <c r="AE45" s="594">
        <f t="shared" si="22"/>
        <v>0.94390589890712839</v>
      </c>
      <c r="AF45" s="594">
        <f t="shared" si="23"/>
        <v>3.6892644504644574</v>
      </c>
      <c r="AG45" s="12">
        <f t="shared" si="24"/>
        <v>55.208496313110786</v>
      </c>
      <c r="AH45" s="12">
        <f t="shared" si="25"/>
        <v>-5.9073091055028542</v>
      </c>
      <c r="AI45" s="12">
        <f t="shared" si="26"/>
        <v>-0.96400000000000008</v>
      </c>
      <c r="AJ45" s="12">
        <f t="shared" si="27"/>
        <v>48.337187207607933</v>
      </c>
    </row>
    <row r="46" spans="1:39">
      <c r="D46" s="3"/>
      <c r="E46" s="5"/>
      <c r="F46" s="3"/>
      <c r="I46" s="5"/>
      <c r="K46" s="5"/>
      <c r="N46" s="598"/>
      <c r="O46" s="599"/>
      <c r="P46" s="598"/>
      <c r="Q46" s="598"/>
      <c r="R46" s="598"/>
      <c r="S46" s="594"/>
      <c r="T46" s="594"/>
      <c r="U46" s="12"/>
      <c r="V46" s="12"/>
      <c r="W46" s="12"/>
      <c r="X46" s="12"/>
      <c r="Z46" s="598"/>
      <c r="AA46" s="599"/>
      <c r="AB46" s="600"/>
      <c r="AC46" s="598"/>
      <c r="AD46" s="598"/>
      <c r="AE46" s="594"/>
      <c r="AF46" s="594"/>
      <c r="AG46" s="12"/>
    </row>
    <row r="47" spans="1:39">
      <c r="D47" s="3"/>
      <c r="E47" s="5"/>
      <c r="F47" s="3"/>
      <c r="G47" s="13">
        <f>SUM(G20:G46)</f>
        <v>235472.21656196026</v>
      </c>
      <c r="I47" s="5"/>
      <c r="K47" s="5"/>
      <c r="N47" s="598"/>
      <c r="O47" s="599"/>
      <c r="P47" s="598"/>
      <c r="Q47" s="598"/>
      <c r="R47" s="598"/>
      <c r="S47" s="594"/>
      <c r="T47" s="594"/>
      <c r="U47" s="12"/>
      <c r="V47" s="12"/>
      <c r="W47" s="12"/>
      <c r="X47" s="12"/>
      <c r="Z47" s="598"/>
      <c r="AA47" s="599"/>
      <c r="AB47" s="600"/>
      <c r="AC47" s="598"/>
      <c r="AD47" s="598"/>
      <c r="AE47" s="594"/>
      <c r="AF47" s="594"/>
      <c r="AG47" s="12"/>
    </row>
    <row r="48" spans="1:39">
      <c r="D48" s="3"/>
      <c r="E48" s="5"/>
      <c r="F48" s="3"/>
      <c r="I48" s="5"/>
      <c r="K48" s="5"/>
      <c r="N48" s="598"/>
      <c r="O48" s="599"/>
      <c r="P48" s="598"/>
      <c r="Q48" s="598"/>
      <c r="R48" s="598"/>
      <c r="S48" s="594"/>
      <c r="T48" s="594"/>
      <c r="U48" s="12"/>
      <c r="V48" s="12"/>
      <c r="W48" s="12"/>
      <c r="X48" s="12"/>
      <c r="Z48" s="598"/>
      <c r="AA48" s="599"/>
      <c r="AB48" s="600"/>
      <c r="AC48" s="598"/>
      <c r="AD48" s="598"/>
      <c r="AE48" s="594"/>
      <c r="AF48" s="594"/>
      <c r="AG48" s="12"/>
    </row>
    <row r="49" spans="4:33">
      <c r="D49" s="3"/>
      <c r="E49" s="5"/>
      <c r="F49" s="3"/>
      <c r="I49" s="5"/>
      <c r="K49" s="5"/>
      <c r="N49" s="598"/>
      <c r="O49" s="599"/>
      <c r="P49" s="598"/>
      <c r="Q49" s="598"/>
      <c r="R49" s="598"/>
      <c r="S49" s="594"/>
      <c r="T49" s="594"/>
      <c r="U49" s="12"/>
      <c r="V49" s="12"/>
      <c r="W49" s="12"/>
      <c r="X49" s="12"/>
      <c r="Z49" s="598"/>
      <c r="AA49" s="599"/>
      <c r="AB49" s="600"/>
      <c r="AC49" s="598"/>
      <c r="AD49" s="598"/>
      <c r="AE49" s="594"/>
      <c r="AF49" s="594"/>
      <c r="AG49" s="12"/>
    </row>
    <row r="50" spans="4:33">
      <c r="D50" s="3"/>
      <c r="E50" s="5"/>
      <c r="F50" s="3"/>
      <c r="I50" s="5"/>
      <c r="K50" s="5"/>
      <c r="N50" s="598"/>
      <c r="O50" s="599"/>
      <c r="P50" s="598"/>
      <c r="Q50" s="598"/>
      <c r="R50" s="598"/>
      <c r="S50" s="594"/>
      <c r="T50" s="594"/>
      <c r="U50" s="12"/>
      <c r="V50" s="12"/>
      <c r="W50" s="12"/>
      <c r="X50" s="12"/>
      <c r="Z50" s="598"/>
      <c r="AA50" s="599"/>
      <c r="AB50" s="600"/>
      <c r="AC50" s="598"/>
      <c r="AD50" s="598"/>
      <c r="AE50" s="594"/>
      <c r="AF50" s="594"/>
      <c r="AG50" s="12"/>
    </row>
    <row r="51" spans="4:33">
      <c r="D51" s="3"/>
      <c r="E51" s="5"/>
      <c r="F51" s="3"/>
      <c r="I51" s="5"/>
      <c r="K51" s="5"/>
      <c r="N51" s="598"/>
      <c r="O51" s="599"/>
      <c r="P51" s="598"/>
      <c r="Q51" s="598"/>
      <c r="R51" s="598"/>
      <c r="S51" s="594"/>
      <c r="T51" s="594"/>
      <c r="U51" s="12"/>
      <c r="V51" s="12"/>
      <c r="W51" s="12"/>
      <c r="X51" s="12"/>
      <c r="Z51" s="598"/>
      <c r="AA51" s="599"/>
      <c r="AB51" s="600"/>
      <c r="AC51" s="598"/>
      <c r="AD51" s="598"/>
      <c r="AE51" s="594"/>
      <c r="AF51" s="594"/>
      <c r="AG51" s="12"/>
    </row>
    <row r="52" spans="4:33">
      <c r="D52" s="3"/>
      <c r="E52" s="5"/>
      <c r="F52" s="3"/>
      <c r="I52" s="5"/>
      <c r="K52" s="5"/>
      <c r="N52" s="598"/>
      <c r="O52" s="599"/>
      <c r="P52" s="598"/>
      <c r="Q52" s="598"/>
      <c r="R52" s="598"/>
      <c r="S52" s="594"/>
      <c r="T52" s="594"/>
      <c r="U52" s="12"/>
      <c r="V52" s="12"/>
      <c r="W52" s="12"/>
      <c r="X52" s="12"/>
      <c r="Z52" s="598"/>
      <c r="AA52" s="599"/>
      <c r="AB52" s="600"/>
      <c r="AC52" s="598"/>
      <c r="AD52" s="598"/>
      <c r="AE52" s="594"/>
      <c r="AF52" s="594"/>
      <c r="AG52" s="12"/>
    </row>
    <row r="53" spans="4:33">
      <c r="D53" s="3"/>
      <c r="E53" s="5"/>
      <c r="F53" s="3"/>
      <c r="I53" s="5"/>
      <c r="K53" s="5"/>
      <c r="N53" s="598"/>
      <c r="O53" s="599"/>
      <c r="P53" s="598"/>
      <c r="Q53" s="598"/>
      <c r="R53" s="598"/>
      <c r="S53" s="594"/>
      <c r="T53" s="594"/>
      <c r="U53" s="12"/>
      <c r="V53" s="12"/>
      <c r="W53" s="12"/>
      <c r="X53" s="12"/>
      <c r="Z53" s="598"/>
      <c r="AA53" s="599"/>
      <c r="AB53" s="600"/>
      <c r="AC53" s="598"/>
      <c r="AD53" s="598"/>
      <c r="AE53" s="594"/>
      <c r="AF53" s="594"/>
      <c r="AG53" s="12"/>
    </row>
    <row r="54" spans="4:33">
      <c r="D54" s="3"/>
      <c r="E54" s="5"/>
      <c r="F54" s="3"/>
      <c r="I54" s="5"/>
      <c r="K54" s="5"/>
      <c r="N54" s="598"/>
      <c r="O54" s="599"/>
      <c r="P54" s="598"/>
      <c r="Q54" s="598"/>
      <c r="R54" s="598"/>
      <c r="S54" s="594"/>
      <c r="T54" s="594"/>
      <c r="U54" s="12"/>
      <c r="V54" s="12"/>
      <c r="W54" s="12"/>
      <c r="X54" s="12"/>
      <c r="Z54" s="598"/>
      <c r="AA54" s="599"/>
      <c r="AB54" s="600"/>
      <c r="AC54" s="598"/>
      <c r="AD54" s="598"/>
      <c r="AE54" s="594"/>
      <c r="AF54" s="594"/>
      <c r="AG54" s="12"/>
    </row>
    <row r="55" spans="4:33">
      <c r="D55" s="3"/>
      <c r="E55" s="5"/>
      <c r="F55" s="3"/>
      <c r="I55" s="5"/>
      <c r="K55" s="5"/>
      <c r="N55" s="598"/>
      <c r="O55" s="599"/>
      <c r="P55" s="598"/>
      <c r="Q55" s="598"/>
      <c r="R55" s="598"/>
      <c r="S55" s="594"/>
      <c r="T55" s="594"/>
      <c r="U55" s="12"/>
      <c r="V55" s="12"/>
      <c r="W55" s="12"/>
      <c r="X55" s="12"/>
      <c r="Z55" s="598"/>
      <c r="AA55" s="599"/>
      <c r="AB55" s="600"/>
      <c r="AC55" s="598"/>
      <c r="AD55" s="598"/>
      <c r="AE55" s="594"/>
      <c r="AF55" s="594"/>
      <c r="AG55" s="12"/>
    </row>
    <row r="56" spans="4:33">
      <c r="D56" s="3"/>
      <c r="E56" s="5"/>
      <c r="F56" s="3"/>
      <c r="I56" s="5"/>
      <c r="K56" s="5"/>
      <c r="N56" s="598"/>
      <c r="O56" s="599"/>
      <c r="P56" s="598"/>
      <c r="Q56" s="598"/>
      <c r="R56" s="598"/>
      <c r="S56" s="594"/>
      <c r="T56" s="594"/>
      <c r="U56" s="12"/>
      <c r="V56" s="12"/>
      <c r="W56" s="12"/>
      <c r="X56" s="12"/>
      <c r="Z56" s="598"/>
      <c r="AA56" s="599"/>
      <c r="AB56" s="600"/>
      <c r="AC56" s="598"/>
      <c r="AD56" s="598"/>
      <c r="AE56" s="594"/>
      <c r="AF56" s="594"/>
      <c r="AG56" s="12"/>
    </row>
    <row r="57" spans="4:33">
      <c r="D57" s="3"/>
      <c r="E57" s="5"/>
      <c r="F57" s="3"/>
      <c r="I57" s="5"/>
      <c r="K57" s="5"/>
      <c r="N57" s="598"/>
      <c r="O57" s="599"/>
      <c r="P57" s="598"/>
      <c r="Q57" s="598"/>
      <c r="R57" s="598"/>
      <c r="S57" s="594"/>
      <c r="T57" s="594"/>
      <c r="U57" s="12"/>
      <c r="V57" s="12"/>
      <c r="W57" s="12"/>
      <c r="X57" s="12"/>
      <c r="Z57" s="598"/>
      <c r="AA57" s="599"/>
      <c r="AB57" s="600"/>
      <c r="AC57" s="598"/>
      <c r="AD57" s="598"/>
      <c r="AE57" s="594"/>
      <c r="AF57" s="594"/>
      <c r="AG57" s="12"/>
    </row>
    <row r="58" spans="4:33">
      <c r="D58" s="3"/>
      <c r="E58" s="5"/>
      <c r="F58" s="3"/>
      <c r="I58" s="5"/>
      <c r="K58" s="5"/>
      <c r="N58" s="598"/>
      <c r="O58" s="599"/>
      <c r="P58" s="598"/>
      <c r="Q58" s="598"/>
      <c r="R58" s="598"/>
      <c r="S58" s="594"/>
      <c r="T58" s="594"/>
      <c r="U58" s="12"/>
      <c r="V58" s="12"/>
      <c r="W58" s="12"/>
      <c r="X58" s="12"/>
      <c r="Z58" s="598"/>
      <c r="AA58" s="599"/>
      <c r="AB58" s="600"/>
      <c r="AC58" s="598"/>
      <c r="AD58" s="598"/>
      <c r="AE58" s="594"/>
      <c r="AF58" s="594"/>
      <c r="AG58" s="12"/>
    </row>
    <row r="59" spans="4:33">
      <c r="D59" s="3"/>
      <c r="E59" s="5"/>
      <c r="F59" s="3"/>
      <c r="I59" s="5"/>
      <c r="K59" s="5"/>
      <c r="N59" s="598"/>
      <c r="O59" s="599"/>
      <c r="P59" s="598"/>
      <c r="Q59" s="598"/>
      <c r="R59" s="598"/>
      <c r="S59" s="594"/>
      <c r="T59" s="594"/>
      <c r="U59" s="12"/>
      <c r="V59" s="12"/>
      <c r="W59" s="12"/>
      <c r="X59" s="12"/>
      <c r="Z59" s="598"/>
      <c r="AA59" s="599"/>
      <c r="AB59" s="600"/>
      <c r="AC59" s="598"/>
      <c r="AD59" s="598"/>
      <c r="AE59" s="594"/>
      <c r="AF59" s="594"/>
      <c r="AG59" s="12"/>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27BF3-758F-4612-A7AD-2C91BC5EEBF7}">
  <sheetPr>
    <tabColor theme="7" tint="0.79998168889431442"/>
  </sheetPr>
  <dimension ref="A1:AV47"/>
  <sheetViews>
    <sheetView topLeftCell="A6" workbookViewId="0">
      <selection activeCell="F13" sqref="F13"/>
    </sheetView>
  </sheetViews>
  <sheetFormatPr defaultRowHeight="14.45"/>
  <cols>
    <col min="1" max="1" width="23.42578125" customWidth="1"/>
    <col min="2" max="2" width="52" customWidth="1"/>
    <col min="4" max="4" width="12.28515625" style="15" customWidth="1"/>
    <col min="5" max="5" width="12.28515625" customWidth="1"/>
    <col min="6" max="6" width="15.28515625" style="12" customWidth="1"/>
    <col min="7" max="7" width="11.28515625" customWidth="1"/>
    <col min="8" max="8" width="11.28515625" style="3" customWidth="1"/>
    <col min="9" max="9" width="11.28515625" style="12" customWidth="1"/>
    <col min="10" max="11" width="11.28515625" customWidth="1"/>
    <col min="12" max="12" width="11.28515625" style="3" customWidth="1"/>
    <col min="13" max="14" width="13.28515625" style="3" bestFit="1" customWidth="1"/>
    <col min="15" max="15" width="15.7109375" style="3" customWidth="1"/>
    <col min="16" max="16" width="11.5703125" style="3" bestFit="1" customWidth="1"/>
    <col min="19" max="19" width="15.5703125" bestFit="1" customWidth="1"/>
    <col min="20" max="20" width="10.85546875" bestFit="1" customWidth="1"/>
    <col min="21" max="21" width="9.85546875" bestFit="1" customWidth="1"/>
    <col min="22" max="22" width="11.85546875" bestFit="1" customWidth="1"/>
    <col min="23" max="47" width="9.85546875" bestFit="1" customWidth="1"/>
    <col min="48" max="48" width="12.5703125" bestFit="1" customWidth="1"/>
  </cols>
  <sheetData>
    <row r="1" spans="1:22">
      <c r="A1" s="6" t="s">
        <v>512</v>
      </c>
      <c r="U1" s="7"/>
      <c r="V1" s="8"/>
    </row>
    <row r="2" spans="1:22" ht="57.95">
      <c r="A2" s="1" t="s">
        <v>439</v>
      </c>
      <c r="B2" s="1" t="s">
        <v>513</v>
      </c>
    </row>
    <row r="3" spans="1:22" ht="29.1">
      <c r="A3" s="1" t="s">
        <v>441</v>
      </c>
      <c r="B3" s="1" t="s">
        <v>514</v>
      </c>
    </row>
    <row r="4" spans="1:22" ht="29.1">
      <c r="A4" s="1" t="s">
        <v>443</v>
      </c>
      <c r="B4" s="1" t="s">
        <v>515</v>
      </c>
    </row>
    <row r="5" spans="1:22" ht="72.599999999999994">
      <c r="A5" s="1" t="s">
        <v>446</v>
      </c>
      <c r="B5" s="1" t="s">
        <v>516</v>
      </c>
      <c r="S5" s="7" t="s">
        <v>517</v>
      </c>
      <c r="U5" s="7"/>
      <c r="V5" s="8"/>
    </row>
    <row r="6" spans="1:22" ht="29.1">
      <c r="A6" s="1" t="s">
        <v>448</v>
      </c>
      <c r="B6" s="1" t="s">
        <v>518</v>
      </c>
      <c r="U6" s="7"/>
      <c r="V6" s="8"/>
    </row>
    <row r="7" spans="1:22" ht="29.1">
      <c r="A7" s="1" t="s">
        <v>450</v>
      </c>
      <c r="B7" s="1" t="s">
        <v>519</v>
      </c>
      <c r="U7" s="7"/>
      <c r="V7" s="8"/>
    </row>
    <row r="8" spans="1:22" ht="29.1">
      <c r="A8" s="1" t="s">
        <v>452</v>
      </c>
      <c r="B8" s="1" t="s">
        <v>520</v>
      </c>
      <c r="U8" s="7"/>
      <c r="V8" s="8"/>
    </row>
    <row r="9" spans="1:22" ht="29.1">
      <c r="A9" s="1" t="s">
        <v>454</v>
      </c>
      <c r="B9" s="11">
        <v>918250</v>
      </c>
      <c r="U9" s="7"/>
      <c r="V9" s="8"/>
    </row>
    <row r="10" spans="1:22" ht="29.1">
      <c r="A10" s="1" t="s">
        <v>455</v>
      </c>
      <c r="B10" s="11">
        <v>5397570</v>
      </c>
      <c r="U10" s="7"/>
      <c r="V10" s="8"/>
    </row>
    <row r="11" spans="1:22">
      <c r="A11" s="1" t="s">
        <v>456</v>
      </c>
      <c r="B11" s="1" t="s">
        <v>521</v>
      </c>
      <c r="U11" s="7"/>
      <c r="V11" s="8"/>
    </row>
    <row r="12" spans="1:22" ht="15">
      <c r="A12" s="1" t="s">
        <v>427</v>
      </c>
      <c r="B12" s="587">
        <v>1000000</v>
      </c>
      <c r="C12" s="583" t="s">
        <v>522</v>
      </c>
      <c r="D12" s="584"/>
      <c r="E12" s="583"/>
      <c r="F12" s="585"/>
      <c r="G12" s="583"/>
      <c r="H12" s="586"/>
      <c r="I12" s="585"/>
      <c r="J12" s="583"/>
      <c r="K12" s="583"/>
      <c r="L12" s="586"/>
      <c r="M12" s="586"/>
      <c r="N12" s="586"/>
      <c r="O12" s="586"/>
      <c r="U12" s="7"/>
      <c r="V12" s="8"/>
    </row>
    <row r="13" spans="1:22" ht="30.75">
      <c r="A13" s="1" t="s">
        <v>457</v>
      </c>
      <c r="B13" s="9">
        <v>109346786</v>
      </c>
      <c r="E13" t="s">
        <v>523</v>
      </c>
      <c r="F13" s="684">
        <v>28867937</v>
      </c>
      <c r="U13" s="7"/>
      <c r="V13" s="8"/>
    </row>
    <row r="14" spans="1:22" ht="15">
      <c r="A14" s="1" t="s">
        <v>458</v>
      </c>
      <c r="B14" s="376">
        <v>109.35</v>
      </c>
      <c r="U14" s="7"/>
      <c r="V14" s="8"/>
    </row>
    <row r="15" spans="1:22">
      <c r="A15" s="1"/>
      <c r="B15" s="1"/>
      <c r="S15" s="7"/>
      <c r="T15" s="8"/>
      <c r="V15" s="8"/>
    </row>
    <row r="16" spans="1:22">
      <c r="A16" s="1" t="s">
        <v>459</v>
      </c>
      <c r="B16" s="376">
        <v>119.08</v>
      </c>
      <c r="S16" s="7"/>
      <c r="T16" s="8"/>
      <c r="V16" s="8"/>
    </row>
    <row r="17" spans="1:48">
      <c r="A17" s="1" t="s">
        <v>462</v>
      </c>
      <c r="B17" s="376">
        <v>20.260000000000002</v>
      </c>
      <c r="S17" s="7"/>
      <c r="T17" s="8"/>
      <c r="V17" s="8"/>
    </row>
    <row r="18" spans="1:48">
      <c r="S18" s="7"/>
      <c r="T18" s="8"/>
      <c r="V18" s="8"/>
    </row>
    <row r="19" spans="1:48" ht="57.95">
      <c r="A19" t="s">
        <v>464</v>
      </c>
      <c r="C19" t="s">
        <v>465</v>
      </c>
      <c r="D19" s="10" t="s">
        <v>466</v>
      </c>
      <c r="E19" s="1" t="s">
        <v>467</v>
      </c>
      <c r="F19" s="10" t="s">
        <v>468</v>
      </c>
      <c r="H19" s="11" t="s">
        <v>524</v>
      </c>
      <c r="I19" s="10" t="s">
        <v>525</v>
      </c>
      <c r="J19" s="1" t="s">
        <v>526</v>
      </c>
      <c r="K19" s="1" t="s">
        <v>527</v>
      </c>
      <c r="L19" s="11" t="s">
        <v>528</v>
      </c>
      <c r="M19" s="3" t="s">
        <v>529</v>
      </c>
      <c r="N19" s="3" t="s">
        <v>530</v>
      </c>
      <c r="O19" s="3" t="s">
        <v>531</v>
      </c>
      <c r="P19" s="3" t="s">
        <v>532</v>
      </c>
      <c r="S19" s="7" t="s">
        <v>517</v>
      </c>
      <c r="T19" s="8"/>
      <c r="V19" s="8"/>
    </row>
    <row r="20" spans="1:48">
      <c r="A20" s="12">
        <v>79.099999999999994</v>
      </c>
      <c r="B20" t="s">
        <v>533</v>
      </c>
      <c r="C20">
        <v>2025</v>
      </c>
      <c r="D20" s="16">
        <v>29924</v>
      </c>
      <c r="E20" s="5">
        <v>9518.35</v>
      </c>
      <c r="F20" s="3">
        <v>20406</v>
      </c>
      <c r="G20" s="5"/>
      <c r="H20" s="3">
        <v>40000</v>
      </c>
      <c r="I20" s="3">
        <v>60000</v>
      </c>
      <c r="J20" s="13">
        <v>40000</v>
      </c>
      <c r="K20" s="13"/>
      <c r="L20" s="3">
        <v>60000</v>
      </c>
      <c r="M20" s="3">
        <v>100000</v>
      </c>
      <c r="N20" s="3">
        <v>100000</v>
      </c>
      <c r="O20" s="3">
        <v>40000</v>
      </c>
      <c r="P20" s="3">
        <v>40000</v>
      </c>
      <c r="S20" s="7">
        <f>F20*0.263</f>
        <v>5366.7780000000002</v>
      </c>
      <c r="T20" s="8"/>
      <c r="V20" s="8"/>
    </row>
    <row r="21" spans="1:48">
      <c r="A21" s="12">
        <v>95.18</v>
      </c>
      <c r="B21" t="s">
        <v>534</v>
      </c>
      <c r="C21">
        <v>2026</v>
      </c>
      <c r="D21" s="16">
        <v>104735</v>
      </c>
      <c r="E21" s="5">
        <v>33314.22</v>
      </c>
      <c r="F21" s="3">
        <v>71421</v>
      </c>
      <c r="G21" s="5"/>
      <c r="H21" s="3">
        <v>140000</v>
      </c>
      <c r="I21" s="3">
        <v>210000</v>
      </c>
      <c r="J21" s="13">
        <v>140000</v>
      </c>
      <c r="K21" s="13"/>
      <c r="L21" s="3">
        <v>210000</v>
      </c>
      <c r="M21" s="3">
        <v>350000</v>
      </c>
      <c r="N21" s="3">
        <v>350000</v>
      </c>
      <c r="O21" s="3">
        <v>140000</v>
      </c>
      <c r="P21" s="3">
        <v>140000</v>
      </c>
      <c r="S21" s="7">
        <f>F21*0.263</f>
        <v>18783.723000000002</v>
      </c>
      <c r="T21" s="8"/>
      <c r="V21" s="588">
        <v>2025</v>
      </c>
      <c r="W21" s="588">
        <v>2026</v>
      </c>
      <c r="X21" s="588">
        <v>2027</v>
      </c>
      <c r="Y21" s="588">
        <v>2028</v>
      </c>
      <c r="Z21" s="588">
        <v>2029</v>
      </c>
      <c r="AA21" s="588">
        <v>2030</v>
      </c>
      <c r="AB21" s="588">
        <v>2031</v>
      </c>
      <c r="AC21" s="588">
        <v>2032</v>
      </c>
      <c r="AD21" s="588">
        <v>2033</v>
      </c>
      <c r="AE21" s="588">
        <v>2034</v>
      </c>
      <c r="AF21" s="588">
        <v>2035</v>
      </c>
      <c r="AG21" s="588">
        <v>2036</v>
      </c>
      <c r="AH21" s="588">
        <v>2037</v>
      </c>
      <c r="AI21" s="588">
        <v>2038</v>
      </c>
      <c r="AJ21" s="588">
        <v>2039</v>
      </c>
      <c r="AK21" s="588">
        <v>2040</v>
      </c>
      <c r="AL21" s="588">
        <v>2041</v>
      </c>
      <c r="AM21" s="588">
        <v>2042</v>
      </c>
      <c r="AN21" s="588">
        <v>2043</v>
      </c>
      <c r="AO21" s="588">
        <v>2044</v>
      </c>
      <c r="AP21" s="588">
        <v>2045</v>
      </c>
      <c r="AQ21" s="588">
        <v>2046</v>
      </c>
      <c r="AR21" s="588">
        <v>2047</v>
      </c>
      <c r="AS21" s="588">
        <v>2048</v>
      </c>
      <c r="AT21" s="588">
        <v>2049</v>
      </c>
      <c r="AU21" s="588">
        <v>2050</v>
      </c>
    </row>
    <row r="22" spans="1:48">
      <c r="A22" s="12">
        <v>399.38</v>
      </c>
      <c r="B22" t="s">
        <v>535</v>
      </c>
      <c r="C22">
        <v>2027</v>
      </c>
      <c r="D22" s="16">
        <v>221153</v>
      </c>
      <c r="E22" s="5">
        <v>66628.429999999993</v>
      </c>
      <c r="F22" s="3">
        <v>154525</v>
      </c>
      <c r="G22" s="5"/>
      <c r="H22" s="3">
        <v>350000</v>
      </c>
      <c r="I22" s="3">
        <v>350000</v>
      </c>
      <c r="J22" s="13">
        <v>350000</v>
      </c>
      <c r="K22" s="13"/>
      <c r="L22" s="3">
        <v>350000</v>
      </c>
      <c r="M22" s="3">
        <v>700000</v>
      </c>
      <c r="N22" s="3">
        <v>700000</v>
      </c>
      <c r="O22" s="3">
        <v>350000</v>
      </c>
      <c r="P22" s="3">
        <v>350000</v>
      </c>
      <c r="S22" s="7">
        <f t="shared" ref="S22:S45" si="0">F22*0.263</f>
        <v>40640.075000000004</v>
      </c>
      <c r="T22" s="8"/>
      <c r="V22" s="589">
        <v>5366.78</v>
      </c>
      <c r="W22" s="589">
        <v>18783.72</v>
      </c>
      <c r="X22" s="589">
        <v>40640.080000000002</v>
      </c>
      <c r="Y22" s="589">
        <v>58903.06</v>
      </c>
      <c r="Z22" s="589">
        <v>58903.06</v>
      </c>
      <c r="AA22" s="589">
        <v>58903.06</v>
      </c>
      <c r="AB22" s="589">
        <v>58903.06</v>
      </c>
      <c r="AC22" s="589">
        <v>58903.06</v>
      </c>
      <c r="AD22" s="589">
        <v>58903.06</v>
      </c>
      <c r="AE22" s="589">
        <v>58903.06</v>
      </c>
      <c r="AF22" s="589">
        <v>58903.06</v>
      </c>
      <c r="AG22" s="589">
        <v>58903.06</v>
      </c>
      <c r="AH22" s="589">
        <v>58903.06</v>
      </c>
      <c r="AI22" s="589">
        <v>58903.06</v>
      </c>
      <c r="AJ22" s="589">
        <v>58903.06</v>
      </c>
      <c r="AK22" s="589">
        <v>58903.06</v>
      </c>
      <c r="AL22" s="589">
        <v>58903.06</v>
      </c>
      <c r="AM22" s="589">
        <v>58903.06</v>
      </c>
      <c r="AN22" s="589">
        <v>58903.06</v>
      </c>
      <c r="AO22" s="589">
        <v>58903.06</v>
      </c>
      <c r="AP22" s="589">
        <v>58903.06</v>
      </c>
      <c r="AQ22" s="589">
        <v>58903.06</v>
      </c>
      <c r="AR22" s="589">
        <v>58903.06</v>
      </c>
      <c r="AS22" s="589">
        <v>58903.06</v>
      </c>
      <c r="AT22" s="589">
        <v>58903.06</v>
      </c>
      <c r="AU22" s="589">
        <v>58903.06</v>
      </c>
      <c r="AV22" s="590">
        <f>SUM(V22:AU22)</f>
        <v>1419560.9600000009</v>
      </c>
    </row>
    <row r="23" spans="1:48">
      <c r="A23" s="12">
        <v>79.099999999999994</v>
      </c>
      <c r="B23" t="s">
        <v>536</v>
      </c>
      <c r="C23">
        <v>2028</v>
      </c>
      <c r="D23" s="16">
        <v>315933</v>
      </c>
      <c r="E23" s="5">
        <v>91966.97</v>
      </c>
      <c r="F23" s="3">
        <v>223966</v>
      </c>
      <c r="G23" s="5"/>
      <c r="H23" s="3">
        <v>500000</v>
      </c>
      <c r="I23" s="3">
        <v>500000</v>
      </c>
      <c r="J23" s="13">
        <v>300000</v>
      </c>
      <c r="K23" s="13">
        <v>200000</v>
      </c>
      <c r="L23" s="3">
        <v>500000</v>
      </c>
      <c r="M23" s="3">
        <v>1000000</v>
      </c>
      <c r="N23" s="3">
        <v>1000000</v>
      </c>
      <c r="O23" s="3">
        <v>500000</v>
      </c>
      <c r="P23" s="3">
        <v>500000</v>
      </c>
      <c r="S23" s="7">
        <f t="shared" si="0"/>
        <v>58903.058000000005</v>
      </c>
      <c r="T23" s="8"/>
      <c r="V23" s="8"/>
    </row>
    <row r="24" spans="1:48">
      <c r="A24" s="12">
        <v>95.18</v>
      </c>
      <c r="B24" t="s">
        <v>537</v>
      </c>
      <c r="C24">
        <v>2029</v>
      </c>
      <c r="D24" s="16">
        <v>315933</v>
      </c>
      <c r="E24" s="5">
        <v>91966.97</v>
      </c>
      <c r="F24" s="3">
        <v>223966</v>
      </c>
      <c r="G24" s="5"/>
      <c r="H24" s="3">
        <v>500000</v>
      </c>
      <c r="I24" s="3">
        <v>500000</v>
      </c>
      <c r="J24" s="13">
        <v>300000</v>
      </c>
      <c r="K24" s="13">
        <v>200000</v>
      </c>
      <c r="L24" s="3">
        <v>500000</v>
      </c>
      <c r="M24" s="3">
        <v>1000000</v>
      </c>
      <c r="N24" s="3">
        <v>1000000</v>
      </c>
      <c r="O24" s="3">
        <v>500000</v>
      </c>
      <c r="P24" s="3">
        <v>500000</v>
      </c>
      <c r="S24" s="7">
        <f t="shared" si="0"/>
        <v>58903.058000000005</v>
      </c>
      <c r="T24" s="8"/>
      <c r="V24" s="8"/>
    </row>
    <row r="25" spans="1:48">
      <c r="A25" s="12">
        <v>232.48</v>
      </c>
      <c r="B25" t="s">
        <v>538</v>
      </c>
      <c r="C25">
        <v>2030</v>
      </c>
      <c r="D25" s="16">
        <v>315933</v>
      </c>
      <c r="E25" s="5">
        <v>91966.97</v>
      </c>
      <c r="F25" s="3">
        <v>223966</v>
      </c>
      <c r="G25" s="5"/>
      <c r="H25" s="3">
        <v>500000</v>
      </c>
      <c r="I25" s="3">
        <v>500000</v>
      </c>
      <c r="J25" s="13">
        <v>300000</v>
      </c>
      <c r="K25" s="13">
        <v>200000</v>
      </c>
      <c r="L25" s="3">
        <v>500000</v>
      </c>
      <c r="M25" s="3">
        <v>1000000</v>
      </c>
      <c r="N25" s="3">
        <v>1000000</v>
      </c>
      <c r="O25" s="3">
        <v>500000</v>
      </c>
      <c r="P25" s="3">
        <v>500000</v>
      </c>
      <c r="S25" s="7">
        <f t="shared" si="0"/>
        <v>58903.058000000005</v>
      </c>
      <c r="T25" s="8"/>
      <c r="V25" s="8"/>
    </row>
    <row r="26" spans="1:48">
      <c r="A26" s="373">
        <v>2.75E-2</v>
      </c>
      <c r="B26" t="s">
        <v>539</v>
      </c>
      <c r="C26">
        <v>2031</v>
      </c>
      <c r="D26" s="16">
        <v>315933</v>
      </c>
      <c r="E26" s="5">
        <v>91966.97</v>
      </c>
      <c r="F26" s="3">
        <v>223966</v>
      </c>
      <c r="G26" s="5"/>
      <c r="H26" s="3">
        <v>500000</v>
      </c>
      <c r="I26" s="3">
        <v>500000</v>
      </c>
      <c r="J26" s="13">
        <v>300000</v>
      </c>
      <c r="K26" s="13">
        <v>200000</v>
      </c>
      <c r="L26" s="3">
        <v>500000</v>
      </c>
      <c r="M26" s="3">
        <v>1000000</v>
      </c>
      <c r="N26" s="3">
        <v>1000000</v>
      </c>
      <c r="O26" s="3">
        <v>500000</v>
      </c>
      <c r="P26" s="3">
        <v>500000</v>
      </c>
      <c r="S26" s="7">
        <f t="shared" si="0"/>
        <v>58903.058000000005</v>
      </c>
      <c r="T26" s="8"/>
      <c r="V26" s="8"/>
    </row>
    <row r="27" spans="1:48">
      <c r="C27">
        <v>2032</v>
      </c>
      <c r="D27" s="16">
        <v>315933</v>
      </c>
      <c r="E27" s="5">
        <v>91966.97</v>
      </c>
      <c r="F27" s="3">
        <v>223966</v>
      </c>
      <c r="H27" s="3">
        <v>500000</v>
      </c>
      <c r="I27" s="3">
        <v>500000</v>
      </c>
      <c r="J27" s="13">
        <v>300000</v>
      </c>
      <c r="K27" s="13">
        <v>200000</v>
      </c>
      <c r="L27" s="3">
        <v>500000</v>
      </c>
      <c r="M27" s="3">
        <v>1000000</v>
      </c>
      <c r="N27" s="3">
        <v>1000000</v>
      </c>
      <c r="O27" s="3">
        <v>500000</v>
      </c>
      <c r="P27" s="3">
        <v>500000</v>
      </c>
      <c r="R27" s="8"/>
      <c r="S27" s="7">
        <f t="shared" si="0"/>
        <v>58903.058000000005</v>
      </c>
    </row>
    <row r="28" spans="1:48">
      <c r="A28" s="5"/>
      <c r="C28">
        <v>2033</v>
      </c>
      <c r="D28" s="16">
        <v>315933</v>
      </c>
      <c r="E28" s="5">
        <v>91966.97</v>
      </c>
      <c r="F28" s="3">
        <v>223966</v>
      </c>
      <c r="H28" s="3">
        <v>500000</v>
      </c>
      <c r="I28" s="3">
        <v>500000</v>
      </c>
      <c r="J28" s="14">
        <v>300000</v>
      </c>
      <c r="K28" s="14">
        <v>200000</v>
      </c>
      <c r="L28" s="3">
        <v>500000</v>
      </c>
      <c r="M28" s="3">
        <v>1000000</v>
      </c>
      <c r="N28" s="3">
        <v>1000000</v>
      </c>
      <c r="O28" s="3">
        <v>500000</v>
      </c>
      <c r="P28" s="3">
        <v>500000</v>
      </c>
      <c r="Q28" s="7"/>
      <c r="R28" s="8"/>
      <c r="S28" s="7">
        <f t="shared" si="0"/>
        <v>58903.058000000005</v>
      </c>
    </row>
    <row r="29" spans="1:48">
      <c r="A29" s="5"/>
      <c r="C29">
        <v>2034</v>
      </c>
      <c r="D29" s="16">
        <v>315933</v>
      </c>
      <c r="E29" s="5">
        <v>91966.97</v>
      </c>
      <c r="F29" s="3">
        <v>223966</v>
      </c>
      <c r="H29" s="3">
        <v>500000</v>
      </c>
      <c r="I29" s="3">
        <v>500000</v>
      </c>
      <c r="J29" s="14">
        <v>300000</v>
      </c>
      <c r="K29" s="14">
        <v>200000</v>
      </c>
      <c r="L29" s="3">
        <v>500000</v>
      </c>
      <c r="M29" s="3">
        <v>1000000</v>
      </c>
      <c r="N29" s="3">
        <v>1000000</v>
      </c>
      <c r="O29" s="3">
        <v>500000</v>
      </c>
      <c r="P29" s="3">
        <v>500000</v>
      </c>
      <c r="Q29" s="7"/>
      <c r="R29" s="8"/>
      <c r="S29" s="7">
        <f t="shared" si="0"/>
        <v>58903.058000000005</v>
      </c>
    </row>
    <row r="30" spans="1:48">
      <c r="A30" s="5"/>
      <c r="C30">
        <v>2035</v>
      </c>
      <c r="D30" s="16">
        <v>315933</v>
      </c>
      <c r="E30" s="5">
        <v>91966.97</v>
      </c>
      <c r="F30" s="3">
        <v>223966</v>
      </c>
      <c r="H30" s="3">
        <v>500000</v>
      </c>
      <c r="I30" s="3">
        <v>500000</v>
      </c>
      <c r="J30" s="14">
        <v>300000</v>
      </c>
      <c r="K30" s="14">
        <v>200000</v>
      </c>
      <c r="L30" s="3">
        <v>500000</v>
      </c>
      <c r="M30" s="3">
        <v>1000000</v>
      </c>
      <c r="N30" s="3">
        <v>1000000</v>
      </c>
      <c r="O30" s="3">
        <v>500000</v>
      </c>
      <c r="P30" s="3">
        <v>500000</v>
      </c>
      <c r="Q30" s="7"/>
      <c r="R30" s="8"/>
      <c r="S30" s="7">
        <f t="shared" si="0"/>
        <v>58903.058000000005</v>
      </c>
    </row>
    <row r="31" spans="1:48">
      <c r="A31" s="5"/>
      <c r="C31">
        <v>2036</v>
      </c>
      <c r="D31" s="16">
        <v>315933</v>
      </c>
      <c r="E31" s="5">
        <v>91966.97</v>
      </c>
      <c r="F31" s="3">
        <v>223966</v>
      </c>
      <c r="H31" s="3">
        <v>500000</v>
      </c>
      <c r="I31" s="3">
        <v>500000</v>
      </c>
      <c r="J31" s="14">
        <v>300000</v>
      </c>
      <c r="K31" s="14">
        <v>200000</v>
      </c>
      <c r="L31" s="3">
        <v>500000</v>
      </c>
      <c r="M31" s="3">
        <v>1000000</v>
      </c>
      <c r="N31" s="3">
        <v>1000000</v>
      </c>
      <c r="O31" s="3">
        <v>500000</v>
      </c>
      <c r="P31" s="3">
        <v>500000</v>
      </c>
      <c r="Q31" s="7"/>
      <c r="R31" s="8"/>
      <c r="S31" s="7">
        <f t="shared" si="0"/>
        <v>58903.058000000005</v>
      </c>
    </row>
    <row r="32" spans="1:48">
      <c r="C32">
        <v>2037</v>
      </c>
      <c r="D32" s="16">
        <v>315933</v>
      </c>
      <c r="E32" s="5">
        <v>91966.97</v>
      </c>
      <c r="F32" s="3">
        <v>223966</v>
      </c>
      <c r="H32" s="3">
        <v>500000</v>
      </c>
      <c r="I32" s="3">
        <v>500000</v>
      </c>
      <c r="J32" s="14">
        <v>300000</v>
      </c>
      <c r="K32" s="14">
        <v>200000</v>
      </c>
      <c r="L32" s="3">
        <v>500000</v>
      </c>
      <c r="M32" s="3">
        <v>1000000</v>
      </c>
      <c r="N32" s="3">
        <v>1000000</v>
      </c>
      <c r="O32" s="3">
        <v>500000</v>
      </c>
      <c r="P32" s="3">
        <v>500000</v>
      </c>
      <c r="Q32" s="7"/>
      <c r="R32" s="8"/>
      <c r="S32" s="7">
        <f t="shared" si="0"/>
        <v>58903.058000000005</v>
      </c>
    </row>
    <row r="33" spans="3:22">
      <c r="C33">
        <v>2038</v>
      </c>
      <c r="D33" s="16">
        <v>315933</v>
      </c>
      <c r="E33" s="5">
        <v>91966.97</v>
      </c>
      <c r="F33" s="3">
        <v>223966</v>
      </c>
      <c r="H33" s="3">
        <v>500000</v>
      </c>
      <c r="I33" s="3">
        <v>500000</v>
      </c>
      <c r="J33" s="14">
        <v>300000</v>
      </c>
      <c r="K33" s="14">
        <v>200000</v>
      </c>
      <c r="L33" s="3">
        <v>500000</v>
      </c>
      <c r="M33" s="3">
        <v>1000000</v>
      </c>
      <c r="N33" s="3">
        <v>1000000</v>
      </c>
      <c r="O33" s="3">
        <v>500000</v>
      </c>
      <c r="P33" s="3">
        <v>500000</v>
      </c>
      <c r="Q33" s="7"/>
      <c r="R33" s="8"/>
      <c r="S33" s="7">
        <f t="shared" si="0"/>
        <v>58903.058000000005</v>
      </c>
    </row>
    <row r="34" spans="3:22">
      <c r="C34">
        <v>2039</v>
      </c>
      <c r="D34" s="16">
        <v>315933</v>
      </c>
      <c r="E34" s="5">
        <v>91966.97</v>
      </c>
      <c r="F34" s="3">
        <v>223966</v>
      </c>
      <c r="H34" s="3">
        <v>500000</v>
      </c>
      <c r="I34" s="3">
        <v>500000</v>
      </c>
      <c r="J34" s="14">
        <v>300000</v>
      </c>
      <c r="K34" s="14">
        <v>200000</v>
      </c>
      <c r="L34" s="3">
        <v>500000</v>
      </c>
      <c r="M34" s="3">
        <v>1000000</v>
      </c>
      <c r="N34" s="3">
        <v>1000000</v>
      </c>
      <c r="O34" s="3">
        <v>500000</v>
      </c>
      <c r="P34" s="3">
        <v>500000</v>
      </c>
      <c r="R34" s="8"/>
      <c r="S34" s="7">
        <f t="shared" si="0"/>
        <v>58903.058000000005</v>
      </c>
    </row>
    <row r="35" spans="3:22">
      <c r="C35">
        <v>2040</v>
      </c>
      <c r="D35" s="16">
        <v>315933</v>
      </c>
      <c r="E35" s="5">
        <v>91966.97</v>
      </c>
      <c r="F35" s="3">
        <v>223966</v>
      </c>
      <c r="H35" s="3">
        <v>500000</v>
      </c>
      <c r="I35" s="3">
        <v>500000</v>
      </c>
      <c r="J35" s="14">
        <v>300000</v>
      </c>
      <c r="K35" s="14">
        <v>200000</v>
      </c>
      <c r="L35" s="3">
        <v>500000</v>
      </c>
      <c r="M35" s="3">
        <v>1000000</v>
      </c>
      <c r="N35" s="3">
        <v>1000000</v>
      </c>
      <c r="O35" s="3">
        <v>500000</v>
      </c>
      <c r="P35" s="3">
        <v>500000</v>
      </c>
      <c r="R35" s="8"/>
      <c r="S35" s="7">
        <f t="shared" si="0"/>
        <v>58903.058000000005</v>
      </c>
    </row>
    <row r="36" spans="3:22">
      <c r="C36">
        <v>2041</v>
      </c>
      <c r="D36" s="16">
        <v>315933</v>
      </c>
      <c r="E36" s="5">
        <v>91966.97</v>
      </c>
      <c r="F36" s="3">
        <v>223966</v>
      </c>
      <c r="H36" s="3">
        <v>500000</v>
      </c>
      <c r="I36" s="3">
        <v>500000</v>
      </c>
      <c r="J36" s="14">
        <v>300000</v>
      </c>
      <c r="K36" s="14">
        <v>200000</v>
      </c>
      <c r="L36" s="3">
        <v>500000</v>
      </c>
      <c r="M36" s="3">
        <v>1000000</v>
      </c>
      <c r="N36" s="3">
        <v>1000000</v>
      </c>
      <c r="O36" s="3">
        <v>500000</v>
      </c>
      <c r="P36" s="3">
        <v>500000</v>
      </c>
      <c r="R36" s="8"/>
      <c r="S36" s="7">
        <f t="shared" si="0"/>
        <v>58903.058000000005</v>
      </c>
    </row>
    <row r="37" spans="3:22">
      <c r="C37">
        <v>2042</v>
      </c>
      <c r="D37" s="16">
        <v>315933</v>
      </c>
      <c r="E37" s="5">
        <v>91966.97</v>
      </c>
      <c r="F37" s="3">
        <v>223966</v>
      </c>
      <c r="H37" s="3">
        <v>500000</v>
      </c>
      <c r="I37" s="3">
        <v>500000</v>
      </c>
      <c r="J37" s="14">
        <v>300000</v>
      </c>
      <c r="K37" s="14">
        <v>200000</v>
      </c>
      <c r="L37" s="3">
        <v>500000</v>
      </c>
      <c r="M37" s="3">
        <v>1000000</v>
      </c>
      <c r="N37" s="3">
        <v>1000000</v>
      </c>
      <c r="O37" s="3">
        <v>500000</v>
      </c>
      <c r="P37" s="3">
        <v>500000</v>
      </c>
      <c r="R37" s="8"/>
      <c r="S37" s="7">
        <f t="shared" si="0"/>
        <v>58903.058000000005</v>
      </c>
    </row>
    <row r="38" spans="3:22">
      <c r="C38">
        <v>2043</v>
      </c>
      <c r="D38" s="16">
        <v>315933</v>
      </c>
      <c r="E38" s="5">
        <v>91966.97</v>
      </c>
      <c r="F38" s="3">
        <v>223966</v>
      </c>
      <c r="H38" s="3">
        <v>500000</v>
      </c>
      <c r="I38" s="3">
        <v>500000</v>
      </c>
      <c r="J38" s="14">
        <v>300000</v>
      </c>
      <c r="K38" s="14">
        <v>200000</v>
      </c>
      <c r="L38" s="3">
        <v>500000</v>
      </c>
      <c r="M38" s="3">
        <v>1000000</v>
      </c>
      <c r="N38" s="3">
        <v>1000000</v>
      </c>
      <c r="O38" s="3">
        <v>500000</v>
      </c>
      <c r="P38" s="3">
        <v>500000</v>
      </c>
      <c r="R38" s="8"/>
      <c r="S38" s="7">
        <f t="shared" si="0"/>
        <v>58903.058000000005</v>
      </c>
    </row>
    <row r="39" spans="3:22">
      <c r="C39">
        <v>2044</v>
      </c>
      <c r="D39" s="16">
        <v>315933</v>
      </c>
      <c r="E39" s="5">
        <v>91966.97</v>
      </c>
      <c r="F39" s="3">
        <v>223966</v>
      </c>
      <c r="H39" s="3">
        <v>500000</v>
      </c>
      <c r="I39" s="3">
        <v>500000</v>
      </c>
      <c r="J39" s="14">
        <v>300000</v>
      </c>
      <c r="K39" s="14">
        <v>200000</v>
      </c>
      <c r="L39" s="3">
        <v>500000</v>
      </c>
      <c r="M39" s="3">
        <v>1000000</v>
      </c>
      <c r="N39" s="3">
        <v>1000000</v>
      </c>
      <c r="O39" s="3">
        <v>500000</v>
      </c>
      <c r="P39" s="3">
        <v>500000</v>
      </c>
      <c r="R39" s="8"/>
      <c r="S39" s="7">
        <f t="shared" si="0"/>
        <v>58903.058000000005</v>
      </c>
    </row>
    <row r="40" spans="3:22">
      <c r="C40">
        <v>2045</v>
      </c>
      <c r="D40" s="16">
        <v>315933</v>
      </c>
      <c r="E40" s="5">
        <v>91966.97</v>
      </c>
      <c r="F40" s="3">
        <v>223966</v>
      </c>
      <c r="G40" s="5"/>
      <c r="H40" s="3">
        <v>500000</v>
      </c>
      <c r="I40" s="3">
        <v>500000</v>
      </c>
      <c r="J40" s="13">
        <v>300000</v>
      </c>
      <c r="K40" s="13">
        <v>200000</v>
      </c>
      <c r="L40" s="3">
        <v>500000</v>
      </c>
      <c r="M40" s="3">
        <v>1000000</v>
      </c>
      <c r="N40" s="3">
        <v>1000000</v>
      </c>
      <c r="O40" s="3">
        <v>500000</v>
      </c>
      <c r="P40" s="3">
        <v>500000</v>
      </c>
      <c r="S40" s="7">
        <f t="shared" si="0"/>
        <v>58903.058000000005</v>
      </c>
      <c r="T40" s="8"/>
      <c r="V40" s="8"/>
    </row>
    <row r="41" spans="3:22">
      <c r="C41">
        <v>2046</v>
      </c>
      <c r="D41" s="16">
        <v>315933</v>
      </c>
      <c r="E41" s="5">
        <v>91966.97</v>
      </c>
      <c r="F41" s="3">
        <v>223966</v>
      </c>
      <c r="G41" s="5"/>
      <c r="H41" s="3">
        <v>500000</v>
      </c>
      <c r="I41" s="3">
        <v>500000</v>
      </c>
      <c r="J41" s="13">
        <v>300000</v>
      </c>
      <c r="K41" s="13">
        <v>200000</v>
      </c>
      <c r="L41" s="3">
        <v>500000</v>
      </c>
      <c r="M41" s="3">
        <v>1000000</v>
      </c>
      <c r="N41" s="3">
        <v>1000000</v>
      </c>
      <c r="O41" s="3">
        <v>500000</v>
      </c>
      <c r="P41" s="3">
        <v>500000</v>
      </c>
      <c r="S41" s="7">
        <f t="shared" si="0"/>
        <v>58903.058000000005</v>
      </c>
      <c r="T41" s="8"/>
      <c r="V41" s="8"/>
    </row>
    <row r="42" spans="3:22">
      <c r="C42">
        <v>2047</v>
      </c>
      <c r="D42" s="16">
        <v>315933</v>
      </c>
      <c r="E42" s="5">
        <v>91966.97</v>
      </c>
      <c r="F42" s="3">
        <v>223966</v>
      </c>
      <c r="G42" s="5"/>
      <c r="H42" s="3">
        <v>500000</v>
      </c>
      <c r="I42" s="3">
        <v>500000</v>
      </c>
      <c r="J42" s="13">
        <v>300000</v>
      </c>
      <c r="K42" s="13">
        <v>200000</v>
      </c>
      <c r="L42" s="3">
        <v>500000</v>
      </c>
      <c r="M42" s="3">
        <v>1000000</v>
      </c>
      <c r="N42" s="3">
        <v>1000000</v>
      </c>
      <c r="O42" s="3">
        <v>500000</v>
      </c>
      <c r="P42" s="3">
        <v>500000</v>
      </c>
      <c r="S42" s="7">
        <f t="shared" si="0"/>
        <v>58903.058000000005</v>
      </c>
      <c r="T42" s="8"/>
      <c r="V42" s="8"/>
    </row>
    <row r="43" spans="3:22">
      <c r="C43">
        <v>2048</v>
      </c>
      <c r="D43" s="16">
        <v>315933</v>
      </c>
      <c r="E43" s="5">
        <v>91966.97</v>
      </c>
      <c r="F43" s="3">
        <v>223966</v>
      </c>
      <c r="G43" s="5"/>
      <c r="H43" s="3">
        <v>500000</v>
      </c>
      <c r="I43" s="3">
        <v>500000</v>
      </c>
      <c r="J43" s="13">
        <v>300000</v>
      </c>
      <c r="K43" s="13">
        <v>200000</v>
      </c>
      <c r="L43" s="3">
        <v>500000</v>
      </c>
      <c r="M43" s="3">
        <v>1000000</v>
      </c>
      <c r="N43" s="3">
        <v>1000000</v>
      </c>
      <c r="O43" s="3">
        <v>500000</v>
      </c>
      <c r="P43" s="3">
        <v>500000</v>
      </c>
      <c r="S43" s="7">
        <f t="shared" si="0"/>
        <v>58903.058000000005</v>
      </c>
      <c r="T43" s="8"/>
      <c r="V43" s="8"/>
    </row>
    <row r="44" spans="3:22">
      <c r="C44">
        <v>2049</v>
      </c>
      <c r="D44" s="16">
        <v>315933</v>
      </c>
      <c r="E44" s="5">
        <v>91966.97</v>
      </c>
      <c r="F44" s="3">
        <v>223966</v>
      </c>
      <c r="G44" s="5"/>
      <c r="H44" s="3">
        <v>500000</v>
      </c>
      <c r="I44" s="3">
        <v>500000</v>
      </c>
      <c r="J44" s="13">
        <v>300000</v>
      </c>
      <c r="K44" s="13">
        <v>200000</v>
      </c>
      <c r="L44" s="3">
        <v>500000</v>
      </c>
      <c r="M44" s="3">
        <v>1000000</v>
      </c>
      <c r="N44" s="3">
        <v>1000000</v>
      </c>
      <c r="O44" s="3">
        <v>500000</v>
      </c>
      <c r="P44" s="3">
        <v>500000</v>
      </c>
      <c r="S44" s="7">
        <f t="shared" si="0"/>
        <v>58903.058000000005</v>
      </c>
      <c r="T44" s="8"/>
      <c r="V44" s="8"/>
    </row>
    <row r="45" spans="3:22">
      <c r="C45">
        <v>2050</v>
      </c>
      <c r="D45" s="16">
        <v>315933</v>
      </c>
      <c r="E45" s="5">
        <v>91966.97</v>
      </c>
      <c r="F45" s="3">
        <v>223966</v>
      </c>
      <c r="G45" s="5"/>
      <c r="H45" s="3">
        <v>500000</v>
      </c>
      <c r="I45" s="3">
        <v>500000</v>
      </c>
      <c r="J45" s="13">
        <v>300000</v>
      </c>
      <c r="K45" s="13">
        <v>200000</v>
      </c>
      <c r="L45" s="3">
        <v>500000</v>
      </c>
      <c r="M45" s="3">
        <v>1000000</v>
      </c>
      <c r="N45" s="3">
        <v>1000000</v>
      </c>
      <c r="O45" s="3">
        <v>500000</v>
      </c>
      <c r="P45" s="3">
        <v>500000</v>
      </c>
      <c r="S45" s="7">
        <f t="shared" si="0"/>
        <v>58903.058000000005</v>
      </c>
      <c r="T45" s="8"/>
      <c r="V45" s="8"/>
    </row>
    <row r="47" spans="3:22">
      <c r="S47" s="13">
        <f>SUM(S20:S45)</f>
        <v>1419560.9099999997</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1A7A6-CBF2-4589-86EE-1EB8D49BC8D8}">
  <sheetPr>
    <tabColor theme="7" tint="0.79998168889431442"/>
  </sheetPr>
  <dimension ref="A1:V48"/>
  <sheetViews>
    <sheetView topLeftCell="A9" workbookViewId="0">
      <selection activeCell="B17" sqref="B17"/>
    </sheetView>
  </sheetViews>
  <sheetFormatPr defaultColWidth="9.28515625" defaultRowHeight="14.45"/>
  <cols>
    <col min="1" max="1" width="23.42578125" style="21" customWidth="1"/>
    <col min="2" max="2" width="52" style="21" customWidth="1"/>
    <col min="3" max="3" width="10.5703125" style="21" bestFit="1" customWidth="1"/>
    <col min="4" max="4" width="12.28515625" style="22" customWidth="1"/>
    <col min="5" max="5" width="13.28515625" style="21" bestFit="1" customWidth="1"/>
    <col min="6" max="6" width="12.85546875" style="22" customWidth="1"/>
    <col min="7" max="7" width="11.28515625" style="21" customWidth="1"/>
    <col min="8" max="8" width="11.28515625" style="24" customWidth="1"/>
    <col min="9" max="9" width="11.28515625" style="23" customWidth="1"/>
    <col min="10" max="11" width="11.28515625" style="21" customWidth="1"/>
    <col min="12" max="12" width="11.28515625" style="24" customWidth="1"/>
    <col min="13" max="14" width="13.28515625" style="24" bestFit="1" customWidth="1"/>
    <col min="15" max="15" width="15.7109375" style="24" customWidth="1"/>
    <col min="16" max="16" width="11.5703125" style="24" bestFit="1" customWidth="1"/>
    <col min="17" max="16384" width="9.28515625" style="21"/>
  </cols>
  <sheetData>
    <row r="1" spans="1:22">
      <c r="A1" s="20" t="s">
        <v>540</v>
      </c>
      <c r="U1" s="25"/>
      <c r="V1" s="26"/>
    </row>
    <row r="2" spans="1:22" ht="87">
      <c r="A2" s="27" t="s">
        <v>439</v>
      </c>
      <c r="B2" s="27" t="s">
        <v>541</v>
      </c>
    </row>
    <row r="3" spans="1:22" ht="29.1">
      <c r="A3" s="27" t="s">
        <v>441</v>
      </c>
      <c r="B3" s="27" t="s">
        <v>542</v>
      </c>
    </row>
    <row r="4" spans="1:22" ht="57.95">
      <c r="A4" s="27" t="s">
        <v>443</v>
      </c>
      <c r="B4" s="27" t="s">
        <v>543</v>
      </c>
    </row>
    <row r="5" spans="1:22" ht="116.1">
      <c r="A5" s="27" t="s">
        <v>446</v>
      </c>
      <c r="B5" s="27" t="s">
        <v>544</v>
      </c>
      <c r="U5" s="25"/>
      <c r="V5" s="26"/>
    </row>
    <row r="6" spans="1:22" ht="87">
      <c r="A6" s="27" t="s">
        <v>448</v>
      </c>
      <c r="B6" s="27" t="s">
        <v>545</v>
      </c>
      <c r="U6" s="25"/>
      <c r="V6" s="26"/>
    </row>
    <row r="7" spans="1:22">
      <c r="A7" s="27" t="s">
        <v>450</v>
      </c>
      <c r="B7" s="27" t="s">
        <v>546</v>
      </c>
      <c r="U7" s="25"/>
      <c r="V7" s="26"/>
    </row>
    <row r="8" spans="1:22" ht="57.95">
      <c r="A8" s="27" t="s">
        <v>452</v>
      </c>
      <c r="B8" s="27" t="s">
        <v>547</v>
      </c>
      <c r="U8" s="25"/>
      <c r="V8" s="26"/>
    </row>
    <row r="9" spans="1:22" ht="29.1">
      <c r="A9" s="27" t="s">
        <v>454</v>
      </c>
      <c r="B9" s="32">
        <f>SUM($F20:$F25)</f>
        <v>275222.24729999999</v>
      </c>
      <c r="C9" s="32"/>
      <c r="U9" s="25"/>
      <c r="V9" s="26"/>
    </row>
    <row r="10" spans="1:22" ht="29.1">
      <c r="A10" s="27" t="s">
        <v>455</v>
      </c>
      <c r="B10" s="32">
        <f>SUM($F20:$F45)</f>
        <v>1100692.5149999999</v>
      </c>
      <c r="C10" s="32"/>
      <c r="U10" s="25"/>
      <c r="V10" s="26"/>
    </row>
    <row r="11" spans="1:22">
      <c r="A11" s="27" t="s">
        <v>456</v>
      </c>
      <c r="B11" s="27" t="s">
        <v>548</v>
      </c>
      <c r="U11" s="25"/>
      <c r="V11" s="26"/>
    </row>
    <row r="12" spans="1:22" ht="15" thickBot="1">
      <c r="A12" s="27" t="s">
        <v>427</v>
      </c>
      <c r="B12" s="28" t="s">
        <v>548</v>
      </c>
      <c r="U12" s="25"/>
      <c r="V12" s="26"/>
    </row>
    <row r="13" spans="1:22" ht="30.75">
      <c r="A13" s="27" t="s">
        <v>457</v>
      </c>
      <c r="B13" s="41">
        <v>6611235</v>
      </c>
      <c r="U13" s="25"/>
      <c r="V13" s="26"/>
    </row>
    <row r="14" spans="1:22">
      <c r="A14" s="27" t="s">
        <v>458</v>
      </c>
      <c r="B14" s="29" t="s">
        <v>548</v>
      </c>
      <c r="U14" s="25"/>
      <c r="V14" s="26"/>
    </row>
    <row r="15" spans="1:22">
      <c r="A15" s="27"/>
      <c r="B15" s="27"/>
      <c r="S15" s="25"/>
      <c r="T15" s="26"/>
      <c r="V15" s="26"/>
    </row>
    <row r="16" spans="1:22">
      <c r="A16" s="27" t="s">
        <v>459</v>
      </c>
      <c r="B16" s="29">
        <f>B13/B9</f>
        <v>24.021441089366473</v>
      </c>
      <c r="S16" s="25"/>
      <c r="T16" s="26"/>
      <c r="V16" s="26"/>
    </row>
    <row r="17" spans="1:22">
      <c r="A17" s="27" t="s">
        <v>462</v>
      </c>
      <c r="B17" s="29">
        <f>B13/B10</f>
        <v>6.0064322323478327</v>
      </c>
      <c r="S17" s="25"/>
      <c r="T17" s="26"/>
      <c r="V17" s="26"/>
    </row>
    <row r="18" spans="1:22">
      <c r="S18" s="25"/>
      <c r="T18" s="26"/>
      <c r="V18" s="26"/>
    </row>
    <row r="19" spans="1:22" ht="72.599999999999994">
      <c r="A19" s="21" t="s">
        <v>464</v>
      </c>
      <c r="C19" s="21" t="s">
        <v>465</v>
      </c>
      <c r="D19" s="30" t="s">
        <v>466</v>
      </c>
      <c r="E19" s="27" t="s">
        <v>467</v>
      </c>
      <c r="F19" s="30" t="s">
        <v>549</v>
      </c>
      <c r="G19" s="27" t="s">
        <v>550</v>
      </c>
      <c r="H19" s="28"/>
      <c r="I19" s="30"/>
      <c r="J19" s="27"/>
      <c r="K19" s="27"/>
      <c r="L19" s="28"/>
      <c r="P19" s="24" t="s">
        <v>532</v>
      </c>
      <c r="S19" s="25"/>
      <c r="T19" s="26"/>
      <c r="V19" s="26"/>
    </row>
    <row r="20" spans="1:22">
      <c r="A20" s="22"/>
      <c r="C20" s="21">
        <v>2025</v>
      </c>
      <c r="D20" s="31">
        <v>2108513.5174052655</v>
      </c>
      <c r="E20" s="32">
        <f t="shared" ref="E20:E45" si="0">D20-F20+G20</f>
        <v>2108513.5174052655</v>
      </c>
      <c r="F20" s="40">
        <v>0</v>
      </c>
      <c r="G20" s="40"/>
      <c r="I20" s="24"/>
      <c r="J20" s="32"/>
      <c r="K20" s="32"/>
      <c r="P20" s="24">
        <v>0</v>
      </c>
      <c r="S20" s="25"/>
      <c r="T20" s="26"/>
      <c r="V20" s="26"/>
    </row>
    <row r="21" spans="1:22">
      <c r="A21" s="22"/>
      <c r="C21" s="21">
        <v>2026</v>
      </c>
      <c r="D21" s="31">
        <v>2161648.0580438781</v>
      </c>
      <c r="E21" s="32">
        <f t="shared" si="0"/>
        <v>2154129.1753838779</v>
      </c>
      <c r="F21" s="40">
        <v>7840.8826600000002</v>
      </c>
      <c r="G21" s="40">
        <v>322</v>
      </c>
      <c r="I21" s="24"/>
      <c r="J21" s="32"/>
      <c r="K21" s="32"/>
      <c r="P21" s="24">
        <v>0</v>
      </c>
      <c r="S21" s="25"/>
      <c r="T21" s="26"/>
      <c r="V21" s="26"/>
    </row>
    <row r="22" spans="1:22">
      <c r="A22" s="22"/>
      <c r="C22" s="21">
        <v>2027</v>
      </c>
      <c r="D22" s="31">
        <v>2216121.5891065835</v>
      </c>
      <c r="E22" s="32">
        <f t="shared" si="0"/>
        <v>2160537.1132965833</v>
      </c>
      <c r="F22" s="40">
        <v>55958.475810000004</v>
      </c>
      <c r="G22" s="40">
        <v>374</v>
      </c>
      <c r="I22" s="24"/>
      <c r="J22" s="32"/>
      <c r="K22" s="32"/>
      <c r="P22" s="24">
        <v>0</v>
      </c>
      <c r="S22" s="25"/>
      <c r="T22" s="26"/>
      <c r="V22" s="26"/>
    </row>
    <row r="23" spans="1:22">
      <c r="A23" s="22"/>
      <c r="C23" s="21">
        <v>2028</v>
      </c>
      <c r="D23" s="31">
        <v>2271967.8531520693</v>
      </c>
      <c r="E23" s="32">
        <f t="shared" si="0"/>
        <v>2214080.8341720691</v>
      </c>
      <c r="F23" s="40">
        <v>58309.018980000001</v>
      </c>
      <c r="G23" s="40">
        <v>422</v>
      </c>
      <c r="I23" s="24"/>
      <c r="J23" s="32"/>
      <c r="K23" s="32"/>
      <c r="P23" s="24">
        <v>0</v>
      </c>
      <c r="S23" s="25"/>
      <c r="T23" s="26"/>
      <c r="V23" s="26"/>
    </row>
    <row r="24" spans="1:22">
      <c r="A24" s="22"/>
      <c r="C24" s="21">
        <v>2029</v>
      </c>
      <c r="D24" s="31">
        <v>2329221.4430515007</v>
      </c>
      <c r="E24" s="32">
        <f t="shared" si="0"/>
        <v>2269051.5128315007</v>
      </c>
      <c r="F24" s="40">
        <v>60637.930220000002</v>
      </c>
      <c r="G24" s="40">
        <v>468</v>
      </c>
      <c r="I24" s="24"/>
      <c r="J24" s="32"/>
      <c r="K24" s="32"/>
      <c r="P24" s="24">
        <v>0</v>
      </c>
      <c r="S24" s="25"/>
      <c r="T24" s="26"/>
      <c r="V24" s="26"/>
    </row>
    <row r="25" spans="1:22">
      <c r="A25" s="22"/>
      <c r="C25" s="21">
        <v>2030</v>
      </c>
      <c r="D25" s="31">
        <v>2387917.8234163988</v>
      </c>
      <c r="E25" s="32">
        <f t="shared" si="0"/>
        <v>2295921.8837863989</v>
      </c>
      <c r="F25" s="40">
        <v>92475.939629999993</v>
      </c>
      <c r="G25" s="40">
        <v>480</v>
      </c>
      <c r="I25" s="24"/>
      <c r="J25" s="32"/>
      <c r="K25" s="32"/>
      <c r="P25" s="24">
        <v>0</v>
      </c>
      <c r="S25" s="25"/>
      <c r="T25" s="26"/>
      <c r="V25" s="26"/>
    </row>
    <row r="26" spans="1:22">
      <c r="C26" s="21">
        <v>2031</v>
      </c>
      <c r="D26" s="31">
        <v>2448093.3525664918</v>
      </c>
      <c r="E26" s="32">
        <f t="shared" si="0"/>
        <v>2363064.2133964919</v>
      </c>
      <c r="F26" s="40">
        <v>85472.139169999995</v>
      </c>
      <c r="G26" s="40">
        <v>443</v>
      </c>
      <c r="I26" s="24"/>
      <c r="J26" s="32"/>
      <c r="K26" s="32"/>
      <c r="P26" s="24">
        <v>0</v>
      </c>
      <c r="S26" s="25"/>
      <c r="T26" s="26"/>
      <c r="V26" s="26"/>
    </row>
    <row r="27" spans="1:22">
      <c r="C27" s="21">
        <v>2032</v>
      </c>
      <c r="D27" s="31">
        <v>2509785.3050511666</v>
      </c>
      <c r="E27" s="32">
        <f t="shared" si="0"/>
        <v>2431254.9233611664</v>
      </c>
      <c r="F27" s="40">
        <v>78939.381689999995</v>
      </c>
      <c r="G27" s="40">
        <v>409</v>
      </c>
      <c r="I27" s="24"/>
      <c r="J27" s="32"/>
      <c r="K27" s="32"/>
      <c r="P27" s="24">
        <v>0</v>
      </c>
      <c r="R27" s="26"/>
    </row>
    <row r="28" spans="1:22">
      <c r="A28" s="33"/>
      <c r="C28" s="21">
        <v>2033</v>
      </c>
      <c r="D28" s="31">
        <v>2573031.8947384558</v>
      </c>
      <c r="E28" s="32">
        <f t="shared" si="0"/>
        <v>2500396.4862084556</v>
      </c>
      <c r="F28" s="40">
        <v>73012.408530000001</v>
      </c>
      <c r="G28" s="40">
        <v>377</v>
      </c>
      <c r="I28" s="24"/>
      <c r="J28" s="14"/>
      <c r="K28" s="14"/>
      <c r="P28" s="24">
        <v>0</v>
      </c>
      <c r="Q28" s="25"/>
      <c r="R28" s="26"/>
    </row>
    <row r="29" spans="1:22">
      <c r="A29" s="33"/>
      <c r="C29" s="21">
        <v>2034</v>
      </c>
      <c r="D29" s="31">
        <v>2637872.298485864</v>
      </c>
      <c r="E29" s="32">
        <f t="shared" si="0"/>
        <v>2570875.9862758638</v>
      </c>
      <c r="F29" s="40">
        <v>67344.312210000004</v>
      </c>
      <c r="G29" s="40">
        <v>348</v>
      </c>
      <c r="I29" s="24"/>
      <c r="J29" s="14"/>
      <c r="K29" s="14"/>
      <c r="P29" s="24">
        <v>0</v>
      </c>
      <c r="Q29" s="25"/>
      <c r="R29" s="26"/>
    </row>
    <row r="30" spans="1:22">
      <c r="A30" s="33"/>
      <c r="C30" s="21">
        <v>2035</v>
      </c>
      <c r="D30" s="31">
        <v>2704346.6804077076</v>
      </c>
      <c r="E30" s="32">
        <f t="shared" si="0"/>
        <v>2649375.2707177075</v>
      </c>
      <c r="F30" s="40">
        <v>54991.40969</v>
      </c>
      <c r="G30" s="40">
        <v>20</v>
      </c>
      <c r="I30" s="24"/>
      <c r="J30" s="14"/>
      <c r="K30" s="14"/>
      <c r="P30" s="24">
        <v>0</v>
      </c>
      <c r="Q30" s="25"/>
      <c r="R30" s="26"/>
    </row>
    <row r="31" spans="1:22">
      <c r="A31" s="33"/>
      <c r="C31" s="21">
        <v>2036</v>
      </c>
      <c r="D31" s="31">
        <v>2772496.216753982</v>
      </c>
      <c r="E31" s="32">
        <f t="shared" si="0"/>
        <v>2721758.9065239821</v>
      </c>
      <c r="F31" s="40">
        <v>50756.310230000003</v>
      </c>
      <c r="G31" s="40">
        <v>19</v>
      </c>
      <c r="I31" s="24"/>
      <c r="J31" s="14"/>
      <c r="K31" s="14"/>
      <c r="P31" s="24">
        <v>0</v>
      </c>
      <c r="Q31" s="25"/>
      <c r="R31" s="26"/>
    </row>
    <row r="32" spans="1:22">
      <c r="C32" s="21">
        <v>2037</v>
      </c>
      <c r="D32" s="31">
        <v>2842363.1214161818</v>
      </c>
      <c r="E32" s="32">
        <f t="shared" si="0"/>
        <v>2795477.8339261818</v>
      </c>
      <c r="F32" s="40">
        <v>46902.287490000002</v>
      </c>
      <c r="G32" s="40">
        <v>17</v>
      </c>
      <c r="I32" s="24"/>
      <c r="J32" s="14"/>
      <c r="K32" s="14"/>
      <c r="P32" s="24">
        <v>0</v>
      </c>
      <c r="Q32" s="25"/>
      <c r="R32" s="26"/>
    </row>
    <row r="33" spans="3:22">
      <c r="C33" s="21">
        <v>2038</v>
      </c>
      <c r="D33" s="31">
        <v>2913990.6720758695</v>
      </c>
      <c r="E33" s="32">
        <f t="shared" si="0"/>
        <v>2870576.3306058696</v>
      </c>
      <c r="F33" s="40">
        <v>43429.341469999999</v>
      </c>
      <c r="G33" s="40">
        <v>15</v>
      </c>
      <c r="I33" s="24"/>
      <c r="J33" s="14"/>
      <c r="K33" s="14"/>
      <c r="P33" s="24">
        <v>0</v>
      </c>
      <c r="Q33" s="25"/>
      <c r="R33" s="26"/>
    </row>
    <row r="34" spans="3:22">
      <c r="C34" s="21">
        <v>2039</v>
      </c>
      <c r="D34" s="31">
        <v>2987423.237012181</v>
      </c>
      <c r="E34" s="32">
        <f t="shared" si="0"/>
        <v>2947289.3032021811</v>
      </c>
      <c r="F34" s="40">
        <v>40146.933810000002</v>
      </c>
      <c r="G34" s="40">
        <v>13</v>
      </c>
      <c r="I34" s="24"/>
      <c r="J34" s="14"/>
      <c r="K34" s="14"/>
      <c r="P34" s="24">
        <v>0</v>
      </c>
      <c r="R34" s="26"/>
    </row>
    <row r="35" spans="3:22">
      <c r="C35" s="21">
        <v>2040</v>
      </c>
      <c r="D35" s="31">
        <v>3062706.302584887</v>
      </c>
      <c r="E35" s="32">
        <f t="shared" si="0"/>
        <v>3025641.6103048869</v>
      </c>
      <c r="F35" s="40">
        <v>37076.692280000003</v>
      </c>
      <c r="G35" s="40">
        <v>12</v>
      </c>
      <c r="I35" s="24"/>
      <c r="J35" s="14"/>
      <c r="K35" s="14"/>
      <c r="P35" s="24">
        <v>0</v>
      </c>
      <c r="R35" s="26"/>
    </row>
    <row r="36" spans="3:22">
      <c r="C36" s="21">
        <v>2041</v>
      </c>
      <c r="D36" s="31">
        <v>3139886.5014100261</v>
      </c>
      <c r="E36" s="32">
        <f t="shared" si="0"/>
        <v>3105510.973940026</v>
      </c>
      <c r="F36" s="40">
        <v>34387.527470000001</v>
      </c>
      <c r="G36" s="40">
        <v>12</v>
      </c>
      <c r="I36" s="24"/>
      <c r="J36" s="14"/>
      <c r="K36" s="14"/>
      <c r="P36" s="24">
        <v>0</v>
      </c>
      <c r="R36" s="26"/>
    </row>
    <row r="37" spans="3:22">
      <c r="C37" s="21">
        <v>2042</v>
      </c>
      <c r="D37" s="31">
        <v>3219011.6412455584</v>
      </c>
      <c r="E37" s="32">
        <f t="shared" si="0"/>
        <v>3187344.9063555584</v>
      </c>
      <c r="F37" s="40">
        <v>31676.73489</v>
      </c>
      <c r="G37" s="40">
        <v>10</v>
      </c>
      <c r="I37" s="24"/>
      <c r="J37" s="14"/>
      <c r="K37" s="14"/>
      <c r="P37" s="24">
        <v>0</v>
      </c>
      <c r="R37" s="26"/>
    </row>
    <row r="38" spans="3:22">
      <c r="C38" s="21">
        <v>2043</v>
      </c>
      <c r="D38" s="31">
        <v>3300130.7346049459</v>
      </c>
      <c r="E38" s="32">
        <f t="shared" si="0"/>
        <v>3270771.0878049457</v>
      </c>
      <c r="F38" s="40">
        <v>29368.646799999999</v>
      </c>
      <c r="G38" s="40">
        <v>9</v>
      </c>
      <c r="I38" s="24"/>
      <c r="J38" s="14"/>
      <c r="K38" s="14"/>
      <c r="P38" s="24">
        <v>0</v>
      </c>
      <c r="R38" s="26"/>
    </row>
    <row r="39" spans="3:22">
      <c r="C39" s="21">
        <v>2044</v>
      </c>
      <c r="D39" s="31">
        <v>3383294.02911699</v>
      </c>
      <c r="E39" s="32">
        <f t="shared" si="0"/>
        <v>3356241.47040699</v>
      </c>
      <c r="F39" s="40">
        <v>27060.558710000001</v>
      </c>
      <c r="G39" s="40">
        <v>8</v>
      </c>
      <c r="I39" s="24"/>
      <c r="J39" s="14"/>
      <c r="K39" s="14"/>
      <c r="P39" s="24">
        <v>0</v>
      </c>
      <c r="R39" s="26"/>
    </row>
    <row r="40" spans="3:22">
      <c r="C40" s="21">
        <v>2045</v>
      </c>
      <c r="D40" s="31">
        <v>3468553.0386507381</v>
      </c>
      <c r="E40" s="32">
        <f t="shared" si="0"/>
        <v>3443426.491310738</v>
      </c>
      <c r="F40" s="40">
        <v>25133.547340000001</v>
      </c>
      <c r="G40" s="40">
        <v>7</v>
      </c>
      <c r="I40" s="24"/>
      <c r="J40" s="32"/>
      <c r="K40" s="32"/>
      <c r="P40" s="24">
        <v>0</v>
      </c>
      <c r="S40" s="25"/>
      <c r="T40" s="26"/>
      <c r="V40" s="26"/>
    </row>
    <row r="41" spans="3:22">
      <c r="C41" s="21">
        <v>2046</v>
      </c>
      <c r="D41" s="31">
        <v>3555960.5752247367</v>
      </c>
      <c r="E41" s="32">
        <f t="shared" si="0"/>
        <v>3532739.4114847365</v>
      </c>
      <c r="F41" s="40">
        <v>23228.16374</v>
      </c>
      <c r="G41" s="40">
        <v>7</v>
      </c>
      <c r="I41" s="24"/>
      <c r="J41" s="32"/>
      <c r="K41" s="32"/>
      <c r="P41" s="24">
        <v>0</v>
      </c>
      <c r="S41" s="25"/>
      <c r="T41" s="26"/>
      <c r="V41" s="26"/>
    </row>
    <row r="42" spans="3:22">
      <c r="C42" s="21">
        <v>2047</v>
      </c>
      <c r="D42" s="31">
        <v>3645570.7817203999</v>
      </c>
      <c r="E42" s="32">
        <f t="shared" si="0"/>
        <v>3624085.0909903999</v>
      </c>
      <c r="F42" s="40">
        <v>21491.690729999998</v>
      </c>
      <c r="G42" s="40">
        <v>6</v>
      </c>
      <c r="I42" s="24"/>
      <c r="J42" s="32"/>
      <c r="K42" s="32"/>
      <c r="P42" s="24">
        <v>0</v>
      </c>
      <c r="S42" s="25"/>
      <c r="T42" s="26"/>
      <c r="V42" s="26"/>
    </row>
    <row r="43" spans="3:22">
      <c r="C43" s="21">
        <v>2048</v>
      </c>
      <c r="D43" s="31">
        <v>3737439.1654197536</v>
      </c>
      <c r="E43" s="32">
        <f t="shared" si="0"/>
        <v>3717688.9476997536</v>
      </c>
      <c r="F43" s="40">
        <v>19755.217720000001</v>
      </c>
      <c r="G43" s="40">
        <v>5</v>
      </c>
      <c r="I43" s="24"/>
      <c r="J43" s="32"/>
      <c r="K43" s="32"/>
      <c r="P43" s="24">
        <v>0</v>
      </c>
      <c r="S43" s="25"/>
      <c r="T43" s="26"/>
      <c r="V43" s="26"/>
    </row>
    <row r="44" spans="3:22">
      <c r="C44" s="21">
        <v>2049</v>
      </c>
      <c r="D44" s="31">
        <v>3831622.6323883301</v>
      </c>
      <c r="E44" s="32">
        <f t="shared" si="0"/>
        <v>3813206.18319833</v>
      </c>
      <c r="F44" s="40">
        <v>18421.449189999999</v>
      </c>
      <c r="G44" s="40">
        <v>5</v>
      </c>
      <c r="I44" s="24"/>
      <c r="J44" s="32"/>
      <c r="K44" s="32"/>
      <c r="P44" s="24">
        <v>0</v>
      </c>
      <c r="S44" s="25"/>
      <c r="T44" s="26"/>
      <c r="V44" s="26"/>
    </row>
    <row r="45" spans="3:22">
      <c r="C45" s="21">
        <v>2050</v>
      </c>
      <c r="D45" s="31">
        <v>3928179.5227245158</v>
      </c>
      <c r="E45" s="32">
        <f t="shared" si="0"/>
        <v>3911308.0081845159</v>
      </c>
      <c r="F45" s="40">
        <v>16875.51454</v>
      </c>
      <c r="G45" s="40">
        <v>4</v>
      </c>
      <c r="I45" s="24"/>
      <c r="J45" s="32"/>
      <c r="K45" s="32"/>
      <c r="P45" s="24">
        <v>0</v>
      </c>
      <c r="S45" s="25"/>
      <c r="T45" s="26"/>
      <c r="V45" s="26"/>
    </row>
    <row r="48" spans="3:22">
      <c r="F48" s="22">
        <f>SUM(F20:F45)</f>
        <v>1100692.5149999999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54FC6-DFF4-4E5F-9D63-196CFDB21A9A}">
  <sheetPr>
    <tabColor theme="8" tint="0.79998168889431442"/>
  </sheetPr>
  <dimension ref="A1:C9"/>
  <sheetViews>
    <sheetView workbookViewId="0">
      <selection activeCell="A14" sqref="A14"/>
    </sheetView>
  </sheetViews>
  <sheetFormatPr defaultRowHeight="14.45"/>
  <cols>
    <col min="1" max="1" width="23.7109375" customWidth="1"/>
    <col min="2" max="3" width="34.140625" customWidth="1"/>
  </cols>
  <sheetData>
    <row r="1" spans="1:3" ht="30.6" customHeight="1">
      <c r="A1" s="544" t="s">
        <v>32</v>
      </c>
    </row>
    <row r="2" spans="1:3" ht="23.25" customHeight="1">
      <c r="A2" s="546" t="s">
        <v>33</v>
      </c>
      <c r="B2" s="702" t="s">
        <v>34</v>
      </c>
      <c r="C2" s="702"/>
    </row>
    <row r="3" spans="1:3" s="38" customFormat="1" ht="21.6" customHeight="1">
      <c r="A3" s="545"/>
      <c r="B3" s="545" t="s">
        <v>35</v>
      </c>
      <c r="C3" s="545" t="s">
        <v>36</v>
      </c>
    </row>
    <row r="4" spans="1:3">
      <c r="A4" s="329" t="s">
        <v>9</v>
      </c>
      <c r="B4" s="330">
        <f>GHGCumulative_AllMeasures!B5</f>
        <v>190000</v>
      </c>
      <c r="C4" s="330">
        <f>GHGCumulative_AllMeasures!C5</f>
        <v>1030000</v>
      </c>
    </row>
    <row r="5" spans="1:3" ht="15" thickBot="1">
      <c r="A5" s="329" t="s">
        <v>10</v>
      </c>
      <c r="B5" s="330">
        <f>GHGCumulative_AllMeasures!B6</f>
        <v>36958</v>
      </c>
      <c r="C5" s="330">
        <f>GHGCumulative_AllMeasures!C6</f>
        <v>824627</v>
      </c>
    </row>
    <row r="6" spans="1:3" ht="15" thickBot="1">
      <c r="A6" s="329" t="s">
        <v>11</v>
      </c>
      <c r="B6" s="330">
        <f>GHGCumulative_AllMeasures!B7</f>
        <v>71484</v>
      </c>
      <c r="C6" s="330">
        <f>GHGCumulative_AllMeasures!C7</f>
        <v>363828</v>
      </c>
    </row>
    <row r="7" spans="1:3" ht="15" thickBot="1">
      <c r="A7" s="329" t="s">
        <v>12</v>
      </c>
      <c r="B7" s="330">
        <f>GHGCumulative_AllMeasures!B8</f>
        <v>19106</v>
      </c>
      <c r="C7" s="330">
        <f>GHGCumulative_AllMeasures!C8</f>
        <v>81092</v>
      </c>
    </row>
    <row r="8" spans="1:3" ht="15" thickBot="1">
      <c r="A8" s="329" t="s">
        <v>13</v>
      </c>
      <c r="B8" s="330">
        <f>GHGCumulative_AllMeasures!B9</f>
        <v>3813</v>
      </c>
      <c r="C8" s="330">
        <f>GHGCumulative_AllMeasures!C9</f>
        <v>113405</v>
      </c>
    </row>
    <row r="9" spans="1:3" ht="15" thickBot="1">
      <c r="A9" s="332" t="s">
        <v>14</v>
      </c>
      <c r="B9" s="333">
        <f>SUM(B4:B8)</f>
        <v>321361</v>
      </c>
      <c r="C9" s="333">
        <f>SUM(C4:C8)</f>
        <v>2412952</v>
      </c>
    </row>
  </sheetData>
  <mergeCells count="1">
    <mergeCell ref="B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671B4-78BA-4E05-95D2-3FB581C9C783}">
  <sheetPr>
    <tabColor theme="8" tint="0.79998168889431442"/>
  </sheetPr>
  <dimension ref="A1:AM36"/>
  <sheetViews>
    <sheetView zoomScale="130" zoomScaleNormal="130" workbookViewId="0">
      <pane xSplit="1" ySplit="3" topLeftCell="B4" activePane="bottomRight" state="frozen"/>
      <selection pane="bottomRight" activeCell="F1" sqref="F1"/>
      <selection pane="bottomLeft" activeCell="G9" sqref="G9"/>
      <selection pane="topRight" activeCell="G9" sqref="G9"/>
    </sheetView>
  </sheetViews>
  <sheetFormatPr defaultColWidth="9.28515625" defaultRowHeight="15" customHeight="1"/>
  <cols>
    <col min="1" max="1" width="18.7109375" style="502" bestFit="1" customWidth="1"/>
    <col min="2" max="2" width="27.28515625" style="497" customWidth="1"/>
    <col min="3" max="3" width="27.28515625" style="499" customWidth="1"/>
    <col min="4" max="4" width="27.28515625" style="501" customWidth="1"/>
    <col min="5" max="5" width="27.28515625" style="500" customWidth="1"/>
    <col min="6" max="6" width="27.28515625" style="499" customWidth="1"/>
    <col min="7" max="7" width="69.7109375" style="497" bestFit="1" customWidth="1"/>
    <col min="8" max="9" width="9.28515625" style="497"/>
    <col min="10" max="10" width="12" style="497" customWidth="1"/>
    <col min="11" max="11" width="18.28515625" style="497" customWidth="1"/>
    <col min="12" max="12" width="11.28515625" style="520" customWidth="1"/>
    <col min="13" max="18" width="14.7109375" style="497" bestFit="1" customWidth="1"/>
    <col min="19" max="32" width="13.5703125" style="497" bestFit="1" customWidth="1"/>
    <col min="33" max="33" width="13.5703125" style="497" customWidth="1"/>
    <col min="34" max="38" width="13.5703125" style="497" bestFit="1" customWidth="1"/>
    <col min="39" max="39" width="14.7109375" style="497" bestFit="1" customWidth="1"/>
    <col min="40" max="16384" width="9.28515625" style="497"/>
  </cols>
  <sheetData>
    <row r="1" spans="1:39" ht="81" customHeight="1">
      <c r="A1" s="514" t="s">
        <v>37</v>
      </c>
      <c r="B1" s="520" t="s">
        <v>38</v>
      </c>
      <c r="C1" s="518" t="s">
        <v>39</v>
      </c>
      <c r="D1" s="518" t="s">
        <v>40</v>
      </c>
      <c r="E1" s="519" t="s">
        <v>41</v>
      </c>
      <c r="F1" s="518" t="s">
        <v>42</v>
      </c>
      <c r="G1" s="517" t="s">
        <v>43</v>
      </c>
      <c r="J1" s="550"/>
      <c r="K1" s="559" t="s">
        <v>44</v>
      </c>
      <c r="L1" s="560" t="s">
        <v>45</v>
      </c>
      <c r="M1" s="561">
        <v>2025</v>
      </c>
      <c r="N1" s="561">
        <v>2026</v>
      </c>
      <c r="O1" s="561">
        <v>2027</v>
      </c>
      <c r="P1" s="561">
        <v>2028</v>
      </c>
      <c r="Q1" s="561">
        <v>2029</v>
      </c>
      <c r="R1" s="561">
        <v>2030</v>
      </c>
      <c r="S1" s="561">
        <v>2031</v>
      </c>
      <c r="T1" s="561">
        <v>2032</v>
      </c>
      <c r="U1" s="561">
        <v>2033</v>
      </c>
      <c r="V1" s="561">
        <v>2034</v>
      </c>
      <c r="W1" s="561">
        <v>2035</v>
      </c>
      <c r="X1" s="561">
        <v>2036</v>
      </c>
      <c r="Y1" s="561">
        <v>2037</v>
      </c>
      <c r="Z1" s="561">
        <v>2038</v>
      </c>
      <c r="AA1" s="561">
        <v>2039</v>
      </c>
      <c r="AB1" s="561">
        <v>2040</v>
      </c>
      <c r="AC1" s="561">
        <v>2041</v>
      </c>
      <c r="AD1" s="561">
        <v>2042</v>
      </c>
      <c r="AE1" s="561">
        <v>2043</v>
      </c>
      <c r="AF1" s="561">
        <v>2044</v>
      </c>
      <c r="AG1" s="561">
        <v>2045</v>
      </c>
      <c r="AH1" s="561">
        <v>2046</v>
      </c>
      <c r="AI1" s="561">
        <v>2047</v>
      </c>
      <c r="AJ1" s="561">
        <v>2048</v>
      </c>
      <c r="AK1" s="561">
        <v>2049</v>
      </c>
      <c r="AL1" s="562">
        <v>2050</v>
      </c>
      <c r="AM1" s="551"/>
    </row>
    <row r="2" spans="1:39" ht="33" customHeight="1">
      <c r="A2" s="514" t="s">
        <v>46</v>
      </c>
      <c r="C2" s="515" t="s">
        <v>47</v>
      </c>
      <c r="D2" s="515" t="s">
        <v>47</v>
      </c>
      <c r="E2" s="516"/>
      <c r="F2" s="515" t="s">
        <v>48</v>
      </c>
      <c r="J2" s="550"/>
      <c r="K2" s="555" t="s">
        <v>49</v>
      </c>
      <c r="L2" s="443" t="s">
        <v>50</v>
      </c>
      <c r="M2" s="563">
        <f>'M1 Baseline'!F4</f>
        <v>11.83</v>
      </c>
      <c r="N2" s="563">
        <f>'M1 Baseline'!F5</f>
        <v>11.64</v>
      </c>
      <c r="O2" s="563">
        <f>'M1 Baseline'!F6</f>
        <v>11.39</v>
      </c>
      <c r="P2" s="563">
        <f>'M1 Baseline'!F7</f>
        <v>11.05</v>
      </c>
      <c r="Q2" s="563">
        <f>'M1 Baseline'!F8</f>
        <v>10.61</v>
      </c>
      <c r="R2" s="563">
        <f>'M1 Baseline'!F9</f>
        <v>10.08</v>
      </c>
      <c r="S2" s="563">
        <f>'M1 Baseline'!F10</f>
        <v>9.4700000000000006</v>
      </c>
      <c r="T2" s="563">
        <f>'M1 Baseline'!F11</f>
        <v>8.86</v>
      </c>
      <c r="U2" s="563">
        <f>'M1 Baseline'!F12</f>
        <v>8.24</v>
      </c>
      <c r="V2" s="563">
        <f>'M1 Baseline'!F13</f>
        <v>7.64</v>
      </c>
      <c r="W2" s="563">
        <f>'M1 Baseline'!F14</f>
        <v>7.05</v>
      </c>
      <c r="X2" s="563">
        <f>'M1 Baseline'!F15</f>
        <v>6.49</v>
      </c>
      <c r="Y2" s="563">
        <f>'M1 Baseline'!F16</f>
        <v>5.95</v>
      </c>
      <c r="Z2" s="563">
        <f>'M1 Baseline'!F17</f>
        <v>5.45</v>
      </c>
      <c r="AA2" s="563">
        <f>'M1 Baseline'!F18</f>
        <v>4.97</v>
      </c>
      <c r="AB2" s="563">
        <f>'M1 Baseline'!F19</f>
        <v>4.5199999999999996</v>
      </c>
      <c r="AC2" s="563">
        <f>'M1 Baseline'!F20</f>
        <v>4.0999999999999996</v>
      </c>
      <c r="AD2" s="563">
        <f>'M1 Baseline'!F21</f>
        <v>3.72</v>
      </c>
      <c r="AE2" s="563">
        <f>'M1 Baseline'!F22</f>
        <v>3.39</v>
      </c>
      <c r="AF2" s="563">
        <f>'M1 Baseline'!F23</f>
        <v>3.08</v>
      </c>
      <c r="AG2" s="563">
        <f>'M1 Baseline'!F24</f>
        <v>2.82</v>
      </c>
      <c r="AH2" s="563">
        <f>'M1 Baseline'!F25</f>
        <v>2.58</v>
      </c>
      <c r="AI2" s="563">
        <f>'M1 Baseline'!F26</f>
        <v>2.38</v>
      </c>
      <c r="AJ2" s="563">
        <f>'M1 Baseline'!F27</f>
        <v>2.21</v>
      </c>
      <c r="AK2" s="563">
        <f>'M1 Baseline'!F28</f>
        <v>2.06</v>
      </c>
      <c r="AL2" s="564">
        <f>'M1 Baseline'!F29</f>
        <v>1.94</v>
      </c>
      <c r="AM2" s="551"/>
    </row>
    <row r="3" spans="1:39" ht="14.45">
      <c r="A3" s="514" t="s">
        <v>51</v>
      </c>
      <c r="B3" s="513" t="s">
        <v>45</v>
      </c>
      <c r="C3" s="510" t="s">
        <v>52</v>
      </c>
      <c r="D3" s="512" t="s">
        <v>53</v>
      </c>
      <c r="E3" s="511" t="s">
        <v>54</v>
      </c>
      <c r="F3" s="510" t="s">
        <v>55</v>
      </c>
      <c r="G3" s="543"/>
      <c r="J3" s="550"/>
      <c r="K3" s="60" t="s">
        <v>49</v>
      </c>
      <c r="L3" s="66" t="s">
        <v>56</v>
      </c>
      <c r="M3" s="439">
        <f>M2*1000000</f>
        <v>11830000</v>
      </c>
      <c r="N3" s="439">
        <f t="shared" ref="N3:AL3" si="0">N2*1000000</f>
        <v>11640000</v>
      </c>
      <c r="O3" s="439">
        <f t="shared" si="0"/>
        <v>11390000</v>
      </c>
      <c r="P3" s="439">
        <f t="shared" si="0"/>
        <v>11050000</v>
      </c>
      <c r="Q3" s="439">
        <f t="shared" si="0"/>
        <v>10610000</v>
      </c>
      <c r="R3" s="439">
        <f t="shared" si="0"/>
        <v>10080000</v>
      </c>
      <c r="S3" s="439">
        <f t="shared" si="0"/>
        <v>9470000</v>
      </c>
      <c r="T3" s="439">
        <f t="shared" si="0"/>
        <v>8860000</v>
      </c>
      <c r="U3" s="439">
        <f t="shared" si="0"/>
        <v>8240000</v>
      </c>
      <c r="V3" s="439">
        <f t="shared" si="0"/>
        <v>7640000</v>
      </c>
      <c r="W3" s="439">
        <f t="shared" si="0"/>
        <v>7050000</v>
      </c>
      <c r="X3" s="439">
        <f t="shared" si="0"/>
        <v>6490000</v>
      </c>
      <c r="Y3" s="439">
        <f t="shared" si="0"/>
        <v>5950000</v>
      </c>
      <c r="Z3" s="439">
        <f t="shared" si="0"/>
        <v>5450000</v>
      </c>
      <c r="AA3" s="439">
        <f t="shared" si="0"/>
        <v>4970000</v>
      </c>
      <c r="AB3" s="439">
        <f t="shared" si="0"/>
        <v>4520000</v>
      </c>
      <c r="AC3" s="439">
        <f t="shared" si="0"/>
        <v>4099999.9999999995</v>
      </c>
      <c r="AD3" s="439">
        <f t="shared" si="0"/>
        <v>3720000</v>
      </c>
      <c r="AE3" s="439">
        <f t="shared" si="0"/>
        <v>3390000</v>
      </c>
      <c r="AF3" s="439">
        <f t="shared" si="0"/>
        <v>3080000</v>
      </c>
      <c r="AG3" s="439">
        <f t="shared" si="0"/>
        <v>2820000</v>
      </c>
      <c r="AH3" s="439">
        <f t="shared" si="0"/>
        <v>2580000</v>
      </c>
      <c r="AI3" s="439">
        <f t="shared" si="0"/>
        <v>2380000</v>
      </c>
      <c r="AJ3" s="439">
        <f t="shared" si="0"/>
        <v>2210000</v>
      </c>
      <c r="AK3" s="439">
        <f t="shared" si="0"/>
        <v>2060000</v>
      </c>
      <c r="AL3" s="465">
        <f t="shared" si="0"/>
        <v>1940000</v>
      </c>
      <c r="AM3" s="551"/>
    </row>
    <row r="4" spans="1:39" ht="14.45">
      <c r="B4" s="497">
        <v>2025</v>
      </c>
      <c r="C4" s="508">
        <v>1.458</v>
      </c>
      <c r="D4" s="508">
        <v>40.526600000000002</v>
      </c>
      <c r="E4" s="507">
        <f t="shared" ref="E4:E29" si="1">F4/(C4+D4)</f>
        <v>0.28176998232685319</v>
      </c>
      <c r="F4" s="12">
        <v>11.83</v>
      </c>
      <c r="J4" s="550"/>
      <c r="K4" s="567"/>
      <c r="L4" s="568"/>
      <c r="M4" s="569"/>
      <c r="N4" s="569"/>
      <c r="O4" s="569"/>
      <c r="P4" s="569"/>
      <c r="Q4" s="569"/>
      <c r="R4" s="569"/>
      <c r="S4" s="569"/>
      <c r="T4" s="569"/>
      <c r="U4" s="569"/>
      <c r="V4" s="569"/>
      <c r="W4" s="569"/>
      <c r="X4" s="569"/>
      <c r="Y4" s="569"/>
      <c r="Z4" s="569"/>
      <c r="AA4" s="569"/>
      <c r="AB4" s="569"/>
      <c r="AC4" s="569"/>
      <c r="AD4" s="569"/>
      <c r="AE4" s="569"/>
      <c r="AF4" s="569"/>
      <c r="AG4" s="569"/>
      <c r="AH4" s="569"/>
      <c r="AI4" s="569"/>
      <c r="AJ4" s="569"/>
      <c r="AK4" s="569"/>
      <c r="AL4" s="570"/>
      <c r="AM4" s="552"/>
    </row>
    <row r="5" spans="1:39" ht="12" customHeight="1">
      <c r="B5" s="497">
        <v>2026</v>
      </c>
      <c r="C5" s="508">
        <v>1.9306000000000001</v>
      </c>
      <c r="D5" s="508">
        <v>40.389899999999997</v>
      </c>
      <c r="E5" s="507">
        <f t="shared" si="1"/>
        <v>0.27457142519582711</v>
      </c>
      <c r="F5" s="12">
        <v>11.62</v>
      </c>
      <c r="J5" s="550"/>
      <c r="K5" s="60" t="s">
        <v>57</v>
      </c>
      <c r="L5" s="66" t="s">
        <v>50</v>
      </c>
      <c r="M5" s="434">
        <f>F4</f>
        <v>11.83</v>
      </c>
      <c r="N5" s="434">
        <f>F5</f>
        <v>11.62</v>
      </c>
      <c r="O5" s="434">
        <f>F6</f>
        <v>11.36</v>
      </c>
      <c r="P5" s="434">
        <f>F7</f>
        <v>11.01</v>
      </c>
      <c r="Q5" s="434">
        <f>F8</f>
        <v>10.57</v>
      </c>
      <c r="R5" s="434">
        <f>F9</f>
        <v>10.02</v>
      </c>
      <c r="S5" s="434">
        <f>F10</f>
        <v>9.41</v>
      </c>
      <c r="T5" s="434">
        <f>F11</f>
        <v>8.8000000000000007</v>
      </c>
      <c r="U5" s="434">
        <f>F12</f>
        <v>8.18</v>
      </c>
      <c r="V5" s="434">
        <f>F13</f>
        <v>7.58</v>
      </c>
      <c r="W5" s="434">
        <f>F14</f>
        <v>6.99</v>
      </c>
      <c r="X5" s="434">
        <f>F15</f>
        <v>6.43</v>
      </c>
      <c r="Y5" s="434">
        <f>F16</f>
        <v>5.9</v>
      </c>
      <c r="Z5" s="434">
        <f>F17</f>
        <v>5.39</v>
      </c>
      <c r="AA5" s="434">
        <f>F18</f>
        <v>4.92</v>
      </c>
      <c r="AB5" s="434">
        <f>F19</f>
        <v>4.47</v>
      </c>
      <c r="AC5" s="434">
        <f>F20</f>
        <v>4.05</v>
      </c>
      <c r="AD5" s="434">
        <f>F21</f>
        <v>3.68</v>
      </c>
      <c r="AE5" s="434">
        <f>F22</f>
        <v>3.35</v>
      </c>
      <c r="AF5" s="434">
        <f>F23</f>
        <v>3.05</v>
      </c>
      <c r="AG5" s="434">
        <f>F24</f>
        <v>2.79</v>
      </c>
      <c r="AH5" s="434">
        <f>F25</f>
        <v>2.56</v>
      </c>
      <c r="AI5" s="434">
        <f>F26</f>
        <v>2.36</v>
      </c>
      <c r="AJ5" s="434">
        <f>F27</f>
        <v>2.19</v>
      </c>
      <c r="AK5" s="434">
        <f>F28</f>
        <v>2.0499999999999998</v>
      </c>
      <c r="AL5" s="435">
        <f>F29</f>
        <v>1.93</v>
      </c>
      <c r="AM5" s="551"/>
    </row>
    <row r="6" spans="1:39" ht="14.45">
      <c r="B6" s="497">
        <v>2027</v>
      </c>
      <c r="C6" s="508">
        <v>2.5855000000000001</v>
      </c>
      <c r="D6" s="508">
        <v>40.073500000000003</v>
      </c>
      <c r="E6" s="507">
        <f t="shared" si="1"/>
        <v>0.26629785039499282</v>
      </c>
      <c r="F6" s="12">
        <v>11.36</v>
      </c>
      <c r="J6" s="550"/>
      <c r="K6" s="60" t="s">
        <v>57</v>
      </c>
      <c r="L6" s="66" t="s">
        <v>56</v>
      </c>
      <c r="M6" s="434">
        <f>M5*1000000</f>
        <v>11830000</v>
      </c>
      <c r="N6" s="434">
        <f t="shared" ref="N6:AL6" si="2">N5*1000000</f>
        <v>11620000</v>
      </c>
      <c r="O6" s="434">
        <f t="shared" si="2"/>
        <v>11360000</v>
      </c>
      <c r="P6" s="434">
        <f t="shared" si="2"/>
        <v>11010000</v>
      </c>
      <c r="Q6" s="434">
        <f t="shared" si="2"/>
        <v>10570000</v>
      </c>
      <c r="R6" s="434">
        <f t="shared" si="2"/>
        <v>10020000</v>
      </c>
      <c r="S6" s="434">
        <f t="shared" si="2"/>
        <v>9410000</v>
      </c>
      <c r="T6" s="434">
        <f t="shared" si="2"/>
        <v>8800000</v>
      </c>
      <c r="U6" s="434">
        <f t="shared" si="2"/>
        <v>8180000</v>
      </c>
      <c r="V6" s="434">
        <f t="shared" si="2"/>
        <v>7580000</v>
      </c>
      <c r="W6" s="434">
        <f t="shared" si="2"/>
        <v>6990000</v>
      </c>
      <c r="X6" s="434">
        <f t="shared" si="2"/>
        <v>6430000</v>
      </c>
      <c r="Y6" s="434">
        <f t="shared" si="2"/>
        <v>5900000</v>
      </c>
      <c r="Z6" s="434">
        <f t="shared" si="2"/>
        <v>5390000</v>
      </c>
      <c r="AA6" s="434">
        <f t="shared" si="2"/>
        <v>4920000</v>
      </c>
      <c r="AB6" s="434">
        <f t="shared" si="2"/>
        <v>4470000</v>
      </c>
      <c r="AC6" s="434">
        <f t="shared" si="2"/>
        <v>4050000</v>
      </c>
      <c r="AD6" s="434">
        <f t="shared" si="2"/>
        <v>3680000</v>
      </c>
      <c r="AE6" s="434">
        <f t="shared" si="2"/>
        <v>3350000</v>
      </c>
      <c r="AF6" s="434">
        <f t="shared" si="2"/>
        <v>3050000</v>
      </c>
      <c r="AG6" s="434">
        <f t="shared" si="2"/>
        <v>2790000</v>
      </c>
      <c r="AH6" s="434">
        <f t="shared" si="2"/>
        <v>2560000</v>
      </c>
      <c r="AI6" s="434">
        <f t="shared" si="2"/>
        <v>2360000</v>
      </c>
      <c r="AJ6" s="434">
        <f t="shared" si="2"/>
        <v>2190000</v>
      </c>
      <c r="AK6" s="434">
        <f t="shared" si="2"/>
        <v>2049999.9999999998</v>
      </c>
      <c r="AL6" s="435">
        <f t="shared" si="2"/>
        <v>1930000</v>
      </c>
      <c r="AM6" s="551"/>
    </row>
    <row r="7" spans="1:39" ht="14.45">
      <c r="B7" s="497">
        <v>2028</v>
      </c>
      <c r="C7" s="508">
        <v>3.4922</v>
      </c>
      <c r="D7" s="508">
        <v>39.508000000000003</v>
      </c>
      <c r="E7" s="507">
        <f t="shared" si="1"/>
        <v>0.25604532071943853</v>
      </c>
      <c r="F7" s="12">
        <v>11.01</v>
      </c>
      <c r="J7" s="550"/>
      <c r="K7" s="567"/>
      <c r="L7" s="568"/>
      <c r="M7" s="571"/>
      <c r="N7" s="571"/>
      <c r="O7" s="571"/>
      <c r="P7" s="571"/>
      <c r="Q7" s="571"/>
      <c r="R7" s="571"/>
      <c r="S7" s="571"/>
      <c r="T7" s="571"/>
      <c r="U7" s="571"/>
      <c r="V7" s="571"/>
      <c r="W7" s="571"/>
      <c r="X7" s="571"/>
      <c r="Y7" s="571"/>
      <c r="Z7" s="571"/>
      <c r="AA7" s="571"/>
      <c r="AB7" s="571"/>
      <c r="AC7" s="571"/>
      <c r="AD7" s="571"/>
      <c r="AE7" s="571"/>
      <c r="AF7" s="571"/>
      <c r="AG7" s="571"/>
      <c r="AH7" s="571"/>
      <c r="AI7" s="571"/>
      <c r="AJ7" s="571"/>
      <c r="AK7" s="571"/>
      <c r="AL7" s="572"/>
      <c r="AM7" s="551"/>
    </row>
    <row r="8" spans="1:39" ht="16.149999999999999" customHeight="1">
      <c r="B8" s="497">
        <v>2029</v>
      </c>
      <c r="C8" s="508">
        <v>4.7152000000000003</v>
      </c>
      <c r="D8" s="508">
        <v>38.629100000000001</v>
      </c>
      <c r="E8" s="507">
        <f t="shared" si="1"/>
        <v>0.2438613612401169</v>
      </c>
      <c r="F8" s="12">
        <v>10.57</v>
      </c>
      <c r="J8" s="550"/>
      <c r="K8" s="565" t="s">
        <v>58</v>
      </c>
      <c r="L8" s="66" t="s">
        <v>50</v>
      </c>
      <c r="M8" s="450">
        <f t="shared" ref="M8:AL8" si="3">M2-M5</f>
        <v>0</v>
      </c>
      <c r="N8" s="450">
        <f t="shared" si="3"/>
        <v>2.000000000000135E-2</v>
      </c>
      <c r="O8" s="450">
        <f t="shared" si="3"/>
        <v>3.0000000000001137E-2</v>
      </c>
      <c r="P8" s="450">
        <f t="shared" si="3"/>
        <v>4.0000000000000924E-2</v>
      </c>
      <c r="Q8" s="450">
        <f t="shared" si="3"/>
        <v>3.9999999999999147E-2</v>
      </c>
      <c r="R8" s="450">
        <f t="shared" si="3"/>
        <v>6.0000000000000497E-2</v>
      </c>
      <c r="S8" s="450">
        <f t="shared" si="3"/>
        <v>6.0000000000000497E-2</v>
      </c>
      <c r="T8" s="450">
        <f t="shared" si="3"/>
        <v>5.9999999999998721E-2</v>
      </c>
      <c r="U8" s="450">
        <f t="shared" si="3"/>
        <v>6.0000000000000497E-2</v>
      </c>
      <c r="V8" s="450">
        <f t="shared" si="3"/>
        <v>5.9999999999999609E-2</v>
      </c>
      <c r="W8" s="450">
        <f t="shared" si="3"/>
        <v>5.9999999999999609E-2</v>
      </c>
      <c r="X8" s="450">
        <f t="shared" si="3"/>
        <v>6.0000000000000497E-2</v>
      </c>
      <c r="Y8" s="450">
        <f t="shared" si="3"/>
        <v>4.9999999999999822E-2</v>
      </c>
      <c r="Z8" s="450">
        <f t="shared" si="3"/>
        <v>6.0000000000000497E-2</v>
      </c>
      <c r="AA8" s="450">
        <f t="shared" si="3"/>
        <v>4.9999999999999822E-2</v>
      </c>
      <c r="AB8" s="450">
        <f t="shared" si="3"/>
        <v>4.9999999999999822E-2</v>
      </c>
      <c r="AC8" s="450">
        <f t="shared" si="3"/>
        <v>4.9999999999999822E-2</v>
      </c>
      <c r="AD8" s="450">
        <f t="shared" si="3"/>
        <v>4.0000000000000036E-2</v>
      </c>
      <c r="AE8" s="450">
        <f t="shared" si="3"/>
        <v>4.0000000000000036E-2</v>
      </c>
      <c r="AF8" s="450">
        <f t="shared" si="3"/>
        <v>3.0000000000000249E-2</v>
      </c>
      <c r="AG8" s="450">
        <f t="shared" si="3"/>
        <v>2.9999999999999805E-2</v>
      </c>
      <c r="AH8" s="450">
        <f t="shared" si="3"/>
        <v>2.0000000000000018E-2</v>
      </c>
      <c r="AI8" s="450">
        <f t="shared" si="3"/>
        <v>2.0000000000000018E-2</v>
      </c>
      <c r="AJ8" s="450">
        <f t="shared" si="3"/>
        <v>2.0000000000000018E-2</v>
      </c>
      <c r="AK8" s="450">
        <f t="shared" si="3"/>
        <v>1.0000000000000231E-2</v>
      </c>
      <c r="AL8" s="466">
        <f t="shared" si="3"/>
        <v>1.0000000000000009E-2</v>
      </c>
      <c r="AM8" s="551"/>
    </row>
    <row r="9" spans="1:39" ht="16.149999999999999" customHeight="1">
      <c r="B9" s="497">
        <v>2030</v>
      </c>
      <c r="C9" s="508">
        <v>6.2628000000000004</v>
      </c>
      <c r="D9" s="508">
        <v>37.428199999999997</v>
      </c>
      <c r="E9" s="507">
        <f t="shared" si="1"/>
        <v>0.22933784990043718</v>
      </c>
      <c r="F9" s="12">
        <v>10.02</v>
      </c>
      <c r="G9" s="503" t="s">
        <v>59</v>
      </c>
      <c r="J9" s="550"/>
      <c r="K9" s="565" t="s">
        <v>58</v>
      </c>
      <c r="L9" s="66" t="s">
        <v>56</v>
      </c>
      <c r="M9" s="439">
        <f>M3-M6</f>
        <v>0</v>
      </c>
      <c r="N9" s="439">
        <f t="shared" ref="N9:AL9" si="4">N3-N6</f>
        <v>20000</v>
      </c>
      <c r="O9" s="439">
        <f t="shared" si="4"/>
        <v>30000</v>
      </c>
      <c r="P9" s="439">
        <f t="shared" si="4"/>
        <v>40000</v>
      </c>
      <c r="Q9" s="439">
        <f t="shared" si="4"/>
        <v>40000</v>
      </c>
      <c r="R9" s="439">
        <f t="shared" si="4"/>
        <v>60000</v>
      </c>
      <c r="S9" s="439">
        <f t="shared" si="4"/>
        <v>60000</v>
      </c>
      <c r="T9" s="439">
        <f t="shared" si="4"/>
        <v>60000</v>
      </c>
      <c r="U9" s="439">
        <f t="shared" si="4"/>
        <v>60000</v>
      </c>
      <c r="V9" s="439">
        <f t="shared" si="4"/>
        <v>60000</v>
      </c>
      <c r="W9" s="439">
        <f t="shared" si="4"/>
        <v>60000</v>
      </c>
      <c r="X9" s="439">
        <f t="shared" si="4"/>
        <v>60000</v>
      </c>
      <c r="Y9" s="439">
        <f t="shared" si="4"/>
        <v>50000</v>
      </c>
      <c r="Z9" s="439">
        <f t="shared" si="4"/>
        <v>60000</v>
      </c>
      <c r="AA9" s="439">
        <f t="shared" si="4"/>
        <v>50000</v>
      </c>
      <c r="AB9" s="439">
        <f t="shared" si="4"/>
        <v>50000</v>
      </c>
      <c r="AC9" s="439">
        <f t="shared" si="4"/>
        <v>49999.999999999534</v>
      </c>
      <c r="AD9" s="439">
        <f t="shared" si="4"/>
        <v>40000</v>
      </c>
      <c r="AE9" s="439">
        <f t="shared" si="4"/>
        <v>40000</v>
      </c>
      <c r="AF9" s="439">
        <f t="shared" si="4"/>
        <v>30000</v>
      </c>
      <c r="AG9" s="439">
        <f t="shared" si="4"/>
        <v>30000</v>
      </c>
      <c r="AH9" s="439">
        <f t="shared" si="4"/>
        <v>20000</v>
      </c>
      <c r="AI9" s="439">
        <f t="shared" si="4"/>
        <v>20000</v>
      </c>
      <c r="AJ9" s="439">
        <f t="shared" si="4"/>
        <v>20000</v>
      </c>
      <c r="AK9" s="439">
        <f t="shared" si="4"/>
        <v>10000.000000000233</v>
      </c>
      <c r="AL9" s="465">
        <f t="shared" si="4"/>
        <v>10000</v>
      </c>
    </row>
    <row r="10" spans="1:39" ht="14.45">
      <c r="B10" s="497">
        <v>2031</v>
      </c>
      <c r="C10" s="508">
        <v>8.0815000000000001</v>
      </c>
      <c r="D10" s="508">
        <v>35.959000000000003</v>
      </c>
      <c r="E10" s="507">
        <f t="shared" si="1"/>
        <v>0.21366696563390516</v>
      </c>
      <c r="F10" s="12">
        <v>9.41</v>
      </c>
      <c r="J10" s="550"/>
      <c r="K10" s="553"/>
      <c r="L10" s="554"/>
      <c r="Q10" s="557" t="s">
        <v>60</v>
      </c>
      <c r="R10" s="539">
        <f>SUM(N8:R8)</f>
        <v>0.19000000000000306</v>
      </c>
      <c r="AK10" s="566" t="s">
        <v>61</v>
      </c>
      <c r="AL10" s="539">
        <f>SUM(N8:AL8)</f>
        <v>1.0300000000000027</v>
      </c>
    </row>
    <row r="11" spans="1:39" ht="14.45">
      <c r="B11" s="497">
        <v>2032</v>
      </c>
      <c r="C11" s="508">
        <v>10.068199999999999</v>
      </c>
      <c r="D11" s="508">
        <v>34.3247</v>
      </c>
      <c r="E11" s="507">
        <f t="shared" si="1"/>
        <v>0.19822989712318864</v>
      </c>
      <c r="F11" s="12">
        <v>8.8000000000000007</v>
      </c>
      <c r="J11" s="550"/>
      <c r="Q11" s="557" t="s">
        <v>60</v>
      </c>
      <c r="R11" s="558">
        <f>SUM(M9:R9)</f>
        <v>190000</v>
      </c>
      <c r="AK11" s="566" t="s">
        <v>61</v>
      </c>
      <c r="AL11" s="556">
        <f>SUM(N9:AL9)</f>
        <v>1029999.9999999998</v>
      </c>
    </row>
    <row r="12" spans="1:39" ht="14.45">
      <c r="B12" s="497">
        <v>2033</v>
      </c>
      <c r="C12" s="508">
        <v>12.1343</v>
      </c>
      <c r="D12" s="508">
        <v>32.613700000000001</v>
      </c>
      <c r="E12" s="507">
        <f t="shared" si="1"/>
        <v>0.18280146598730668</v>
      </c>
      <c r="F12" s="12">
        <v>8.18</v>
      </c>
    </row>
    <row r="13" spans="1:39" ht="14.45">
      <c r="B13" s="497">
        <v>2034</v>
      </c>
      <c r="C13" s="508">
        <v>14.226699999999999</v>
      </c>
      <c r="D13" s="508">
        <v>30.879300000000001</v>
      </c>
      <c r="E13" s="507">
        <f t="shared" si="1"/>
        <v>0.16804859663902807</v>
      </c>
      <c r="F13" s="12">
        <v>7.58</v>
      </c>
    </row>
    <row r="14" spans="1:39" ht="14.45">
      <c r="B14" s="497">
        <v>2035</v>
      </c>
      <c r="C14" s="508">
        <v>16.313700000000001</v>
      </c>
      <c r="D14" s="508">
        <v>29.153199999999998</v>
      </c>
      <c r="E14" s="507">
        <f t="shared" si="1"/>
        <v>0.15373821395344747</v>
      </c>
      <c r="F14" s="12">
        <v>6.99</v>
      </c>
    </row>
    <row r="15" spans="1:39" ht="14.45">
      <c r="B15" s="497">
        <v>2036</v>
      </c>
      <c r="C15" s="508">
        <v>18.3611</v>
      </c>
      <c r="D15" s="508">
        <v>27.4695</v>
      </c>
      <c r="E15" s="507">
        <f t="shared" si="1"/>
        <v>0.14029927602955228</v>
      </c>
      <c r="F15" s="12">
        <v>6.43</v>
      </c>
    </row>
    <row r="16" spans="1:39" ht="14.45">
      <c r="B16" s="497">
        <v>2037</v>
      </c>
      <c r="C16" s="508">
        <v>20.352900000000002</v>
      </c>
      <c r="D16" s="508">
        <v>25.8444</v>
      </c>
      <c r="E16" s="507">
        <f t="shared" si="1"/>
        <v>0.12771309145772589</v>
      </c>
      <c r="F16" s="12">
        <v>5.9</v>
      </c>
    </row>
    <row r="17" spans="2:7" ht="14.45">
      <c r="B17" s="497">
        <v>2038</v>
      </c>
      <c r="C17" s="508">
        <v>22.282699999999998</v>
      </c>
      <c r="D17" s="508">
        <v>24.284199999999998</v>
      </c>
      <c r="E17" s="507">
        <f t="shared" si="1"/>
        <v>0.11574745151599097</v>
      </c>
      <c r="F17" s="12">
        <v>5.39</v>
      </c>
    </row>
    <row r="18" spans="2:7" ht="14.45">
      <c r="B18" s="497">
        <v>2039</v>
      </c>
      <c r="C18" s="508">
        <v>24.139199999999999</v>
      </c>
      <c r="D18" s="508">
        <v>22.8002</v>
      </c>
      <c r="E18" s="507">
        <f t="shared" si="1"/>
        <v>0.10481599679586871</v>
      </c>
      <c r="F18" s="12">
        <v>4.92</v>
      </c>
    </row>
    <row r="19" spans="2:7" ht="14.45">
      <c r="B19" s="497">
        <v>2040</v>
      </c>
      <c r="C19" s="508">
        <v>25.909800000000001</v>
      </c>
      <c r="D19" s="508">
        <v>21.405100000000001</v>
      </c>
      <c r="E19" s="507">
        <f t="shared" si="1"/>
        <v>9.4473411124191317E-2</v>
      </c>
      <c r="F19" s="12">
        <v>4.47</v>
      </c>
    </row>
    <row r="20" spans="2:7" ht="14.45">
      <c r="B20" s="497">
        <v>2041</v>
      </c>
      <c r="C20" s="508">
        <v>27.590900000000001</v>
      </c>
      <c r="D20" s="508">
        <v>20.102599999999999</v>
      </c>
      <c r="E20" s="507">
        <f t="shared" si="1"/>
        <v>8.4917231907911978E-2</v>
      </c>
      <c r="F20" s="12">
        <v>4.05</v>
      </c>
    </row>
    <row r="21" spans="2:7" ht="14.45">
      <c r="B21" s="497">
        <v>2042</v>
      </c>
      <c r="C21" s="508">
        <v>29.1815</v>
      </c>
      <c r="D21" s="508">
        <v>18.8935</v>
      </c>
      <c r="E21" s="507">
        <f t="shared" si="1"/>
        <v>7.6547061882475301E-2</v>
      </c>
      <c r="F21" s="12">
        <v>3.68</v>
      </c>
    </row>
    <row r="22" spans="2:7" ht="14.45">
      <c r="B22" s="497">
        <v>2043</v>
      </c>
      <c r="C22" s="508">
        <v>30.6721</v>
      </c>
      <c r="D22" s="508">
        <v>17.787500000000001</v>
      </c>
      <c r="E22" s="507">
        <f t="shared" si="1"/>
        <v>6.9129749316956798E-2</v>
      </c>
      <c r="F22" s="12">
        <v>3.35</v>
      </c>
    </row>
    <row r="23" spans="2:7" ht="14.45">
      <c r="B23" s="497">
        <v>2044</v>
      </c>
      <c r="C23" s="508">
        <v>32.0563</v>
      </c>
      <c r="D23" s="508">
        <v>16.791</v>
      </c>
      <c r="E23" s="507">
        <f t="shared" si="1"/>
        <v>6.2439479766537756E-2</v>
      </c>
      <c r="F23" s="12">
        <v>3.05</v>
      </c>
    </row>
    <row r="24" spans="2:7" ht="14.45">
      <c r="B24" s="497">
        <v>2045</v>
      </c>
      <c r="C24" s="508">
        <v>33.339700000000001</v>
      </c>
      <c r="D24" s="508">
        <v>15.898300000000001</v>
      </c>
      <c r="E24" s="507">
        <f t="shared" si="1"/>
        <v>5.6663552540720585E-2</v>
      </c>
      <c r="F24" s="12">
        <v>2.79</v>
      </c>
    </row>
    <row r="25" spans="2:7" ht="14.45">
      <c r="B25" s="497">
        <v>2046</v>
      </c>
      <c r="C25" s="508">
        <v>34.525199999999998</v>
      </c>
      <c r="D25" s="508">
        <v>15.1068</v>
      </c>
      <c r="E25" s="507">
        <f t="shared" si="1"/>
        <v>5.1579626047711158E-2</v>
      </c>
      <c r="F25" s="12">
        <v>2.56</v>
      </c>
    </row>
    <row r="26" spans="2:7" ht="14.45">
      <c r="B26" s="497">
        <v>2047</v>
      </c>
      <c r="C26" s="508">
        <v>35.612499999999997</v>
      </c>
      <c r="D26" s="508">
        <v>14.416499999999999</v>
      </c>
      <c r="E26" s="507">
        <f t="shared" si="1"/>
        <v>4.717263986887605E-2</v>
      </c>
      <c r="F26" s="12">
        <v>2.36</v>
      </c>
    </row>
    <row r="27" spans="2:7" ht="14.45">
      <c r="B27" s="497">
        <v>2048</v>
      </c>
      <c r="C27" s="508">
        <v>36.6066</v>
      </c>
      <c r="D27" s="508">
        <v>13.8226</v>
      </c>
      <c r="E27" s="507">
        <f t="shared" si="1"/>
        <v>4.3427220737191942E-2</v>
      </c>
      <c r="F27" s="12">
        <v>2.19</v>
      </c>
    </row>
    <row r="28" spans="2:7" ht="14.45">
      <c r="B28" s="497">
        <v>2049</v>
      </c>
      <c r="C28" s="508">
        <v>37.513800000000003</v>
      </c>
      <c r="D28" s="508">
        <v>13.3188</v>
      </c>
      <c r="E28" s="507">
        <f t="shared" si="1"/>
        <v>4.0328450639943655E-2</v>
      </c>
      <c r="F28" s="12">
        <v>2.0499999999999998</v>
      </c>
    </row>
    <row r="29" spans="2:7" ht="14.45">
      <c r="B29" s="497">
        <v>2050</v>
      </c>
      <c r="C29" s="508">
        <v>38.3414</v>
      </c>
      <c r="D29" s="508">
        <v>12.8979</v>
      </c>
      <c r="E29" s="507">
        <f t="shared" si="1"/>
        <v>3.7666400594855903E-2</v>
      </c>
      <c r="F29" s="12">
        <v>1.93</v>
      </c>
      <c r="G29" s="503" t="s">
        <v>62</v>
      </c>
    </row>
    <row r="31" spans="2:7" ht="29.1">
      <c r="G31" s="506" t="s">
        <v>63</v>
      </c>
    </row>
    <row r="32" spans="2:7" ht="14.45">
      <c r="F32" s="501">
        <f>SUM('M1 Baseline'!F4:F9)-SUM('M1 Calculations'!F4:F9)</f>
        <v>0.18999999999999773</v>
      </c>
      <c r="G32" s="503" t="s">
        <v>64</v>
      </c>
    </row>
    <row r="33" spans="6:7" ht="14.45">
      <c r="F33" s="501">
        <f>SUM('M1 Baseline'!F4:F29)-SUM('M1 Calculations'!F4:F29)</f>
        <v>1.0299999999999727</v>
      </c>
      <c r="G33" s="503" t="s">
        <v>65</v>
      </c>
    </row>
    <row r="34" spans="6:7" ht="14.45">
      <c r="G34" s="497" t="s">
        <v>66</v>
      </c>
    </row>
    <row r="35" spans="6:7" ht="14.45">
      <c r="G35" s="503"/>
    </row>
    <row r="36" spans="6:7" ht="14.45">
      <c r="G36" s="50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D86B8-FEBD-4C27-A370-D2B78F0C43AE}">
  <sheetPr>
    <tabColor theme="8" tint="0.79998168889431442"/>
  </sheetPr>
  <dimension ref="A1:H34"/>
  <sheetViews>
    <sheetView workbookViewId="0">
      <pane xSplit="1" ySplit="3" topLeftCell="B19" activePane="bottomRight" state="frozen"/>
      <selection pane="bottomRight" activeCell="H24" sqref="H24"/>
      <selection pane="bottomLeft" activeCell="G9" sqref="G9"/>
      <selection pane="topRight" activeCell="G9" sqref="G9"/>
    </sheetView>
  </sheetViews>
  <sheetFormatPr defaultColWidth="9.28515625" defaultRowHeight="14.45"/>
  <cols>
    <col min="1" max="1" width="18.7109375" style="502" bestFit="1" customWidth="1"/>
    <col min="2" max="2" width="9.28515625" style="497" bestFit="1" customWidth="1"/>
    <col min="3" max="3" width="18.42578125" style="499" bestFit="1" customWidth="1"/>
    <col min="4" max="4" width="18.42578125" style="501" bestFit="1" customWidth="1"/>
    <col min="5" max="5" width="20" style="500" bestFit="1" customWidth="1"/>
    <col min="6" max="6" width="16.7109375" style="499" bestFit="1" customWidth="1"/>
    <col min="7" max="7" width="16.7109375" style="498" bestFit="1" customWidth="1"/>
    <col min="8" max="8" width="69.7109375" style="497" bestFit="1" customWidth="1"/>
    <col min="9" max="16384" width="9.28515625" style="497"/>
  </cols>
  <sheetData>
    <row r="1" spans="1:8" ht="130.5">
      <c r="A1" s="514" t="s">
        <v>37</v>
      </c>
      <c r="B1" s="520" t="s">
        <v>38</v>
      </c>
      <c r="C1" s="518" t="s">
        <v>39</v>
      </c>
      <c r="D1" s="518" t="s">
        <v>40</v>
      </c>
      <c r="E1" s="519" t="s">
        <v>41</v>
      </c>
      <c r="F1" s="518" t="s">
        <v>42</v>
      </c>
      <c r="G1" s="518" t="s">
        <v>67</v>
      </c>
      <c r="H1" s="517" t="s">
        <v>68</v>
      </c>
    </row>
    <row r="2" spans="1:8" ht="58.15" customHeight="1">
      <c r="A2" s="514" t="s">
        <v>46</v>
      </c>
      <c r="C2" s="515" t="s">
        <v>47</v>
      </c>
      <c r="D2" s="515" t="s">
        <v>47</v>
      </c>
      <c r="E2" s="516"/>
      <c r="F2" s="515" t="s">
        <v>48</v>
      </c>
      <c r="G2" s="515" t="s">
        <v>48</v>
      </c>
    </row>
    <row r="3" spans="1:8">
      <c r="A3" s="514" t="s">
        <v>51</v>
      </c>
      <c r="B3" s="513" t="s">
        <v>45</v>
      </c>
      <c r="C3" s="510" t="s">
        <v>52</v>
      </c>
      <c r="D3" s="512" t="s">
        <v>53</v>
      </c>
      <c r="E3" s="511" t="s">
        <v>54</v>
      </c>
      <c r="F3" s="510" t="s">
        <v>55</v>
      </c>
      <c r="G3" s="509" t="s">
        <v>69</v>
      </c>
    </row>
    <row r="4" spans="1:8">
      <c r="B4" s="497">
        <v>2025</v>
      </c>
      <c r="C4" s="508">
        <v>1.4399</v>
      </c>
      <c r="D4" s="508">
        <v>40.544600000000003</v>
      </c>
      <c r="E4" s="507">
        <f t="shared" ref="E4:E29" si="0">F4/(C4+D4)</f>
        <v>0.28177065345544189</v>
      </c>
      <c r="F4" s="12">
        <v>11.83</v>
      </c>
      <c r="G4" s="498">
        <v>11.83</v>
      </c>
      <c r="H4" s="529"/>
    </row>
    <row r="5" spans="1:8">
      <c r="B5" s="497">
        <v>2026</v>
      </c>
      <c r="C5" s="508">
        <v>1.8880999999999999</v>
      </c>
      <c r="D5" s="508">
        <v>40.432400000000001</v>
      </c>
      <c r="E5" s="507">
        <f t="shared" si="0"/>
        <v>0.27504400940442575</v>
      </c>
      <c r="F5" s="12">
        <v>11.64</v>
      </c>
      <c r="G5" s="498">
        <v>23.48</v>
      </c>
      <c r="H5" s="529"/>
    </row>
    <row r="6" spans="1:8">
      <c r="B6" s="497">
        <v>2027</v>
      </c>
      <c r="C6" s="508">
        <v>2.5133000000000001</v>
      </c>
      <c r="D6" s="508">
        <v>40.145699999999998</v>
      </c>
      <c r="E6" s="507">
        <f t="shared" si="0"/>
        <v>0.26700110176047259</v>
      </c>
      <c r="F6" s="12">
        <v>11.39</v>
      </c>
      <c r="G6" s="498">
        <v>34.869999999999997</v>
      </c>
      <c r="H6" s="529"/>
    </row>
    <row r="7" spans="1:8">
      <c r="B7" s="497">
        <v>2028</v>
      </c>
      <c r="C7" s="508">
        <v>3.3843999999999999</v>
      </c>
      <c r="D7" s="508">
        <v>39.615900000000003</v>
      </c>
      <c r="E7" s="507">
        <f t="shared" si="0"/>
        <v>0.25697495133754883</v>
      </c>
      <c r="F7" s="12">
        <v>11.05</v>
      </c>
      <c r="G7" s="498">
        <v>45.92</v>
      </c>
      <c r="H7" s="529"/>
    </row>
    <row r="8" spans="1:8">
      <c r="B8" s="497">
        <v>2029</v>
      </c>
      <c r="C8" s="508">
        <v>4.5705999999999998</v>
      </c>
      <c r="D8" s="508">
        <v>38.773699999999998</v>
      </c>
      <c r="E8" s="507">
        <f t="shared" si="0"/>
        <v>0.2447842046128326</v>
      </c>
      <c r="F8" s="12">
        <v>10.61</v>
      </c>
      <c r="G8" s="498">
        <v>56.53</v>
      </c>
      <c r="H8" s="529"/>
    </row>
    <row r="9" spans="1:8">
      <c r="B9" s="497">
        <v>2030</v>
      </c>
      <c r="C9" s="508">
        <v>6.09</v>
      </c>
      <c r="D9" s="508">
        <v>37.600999999999999</v>
      </c>
      <c r="E9" s="507">
        <f t="shared" si="0"/>
        <v>0.23071113043876312</v>
      </c>
      <c r="F9" s="12">
        <v>10.08</v>
      </c>
      <c r="G9" s="505">
        <v>66.62</v>
      </c>
      <c r="H9" s="503" t="s">
        <v>70</v>
      </c>
    </row>
    <row r="10" spans="1:8">
      <c r="B10" s="497">
        <v>2031</v>
      </c>
      <c r="C10" s="508">
        <v>7.8910999999999998</v>
      </c>
      <c r="D10" s="508">
        <v>36.149500000000003</v>
      </c>
      <c r="E10" s="507">
        <f t="shared" si="0"/>
        <v>0.21502885973397273</v>
      </c>
      <c r="F10" s="12">
        <v>9.4700000000000006</v>
      </c>
      <c r="G10" s="498">
        <v>76.09</v>
      </c>
    </row>
    <row r="11" spans="1:8">
      <c r="B11" s="497">
        <v>2032</v>
      </c>
      <c r="C11" s="508">
        <v>9.8699999999999992</v>
      </c>
      <c r="D11" s="508">
        <v>34.5229</v>
      </c>
      <c r="E11" s="507">
        <f t="shared" si="0"/>
        <v>0.19958146460357398</v>
      </c>
      <c r="F11" s="12">
        <v>8.86</v>
      </c>
      <c r="G11" s="498">
        <v>84.95</v>
      </c>
    </row>
    <row r="12" spans="1:8">
      <c r="B12" s="497">
        <v>2033</v>
      </c>
      <c r="C12" s="508">
        <v>11.933</v>
      </c>
      <c r="D12" s="508">
        <v>32.815100000000001</v>
      </c>
      <c r="E12" s="507">
        <f t="shared" si="0"/>
        <v>0.18414189652745033</v>
      </c>
      <c r="F12" s="12">
        <v>8.24</v>
      </c>
      <c r="G12" s="498">
        <v>93.19</v>
      </c>
    </row>
    <row r="13" spans="1:8">
      <c r="B13" s="497">
        <v>2034</v>
      </c>
      <c r="C13" s="508">
        <v>14.025</v>
      </c>
      <c r="D13" s="508">
        <v>31.081</v>
      </c>
      <c r="E13" s="507">
        <f t="shared" si="0"/>
        <v>0.16937879661242405</v>
      </c>
      <c r="F13" s="12">
        <v>7.64</v>
      </c>
      <c r="G13" s="498">
        <v>100.83</v>
      </c>
      <c r="H13" s="547"/>
    </row>
    <row r="14" spans="1:8">
      <c r="B14" s="497">
        <v>2035</v>
      </c>
      <c r="C14" s="508">
        <v>16.113600000000002</v>
      </c>
      <c r="D14" s="508">
        <v>29.353200000000001</v>
      </c>
      <c r="E14" s="507">
        <f t="shared" si="0"/>
        <v>0.15505819631027473</v>
      </c>
      <c r="F14" s="12">
        <v>7.05</v>
      </c>
      <c r="G14" s="498">
        <v>107.88</v>
      </c>
      <c r="H14" s="529"/>
    </row>
    <row r="15" spans="1:8">
      <c r="B15" s="497">
        <v>2036</v>
      </c>
      <c r="C15" s="508">
        <v>18.164300000000001</v>
      </c>
      <c r="D15" s="508">
        <v>27.6663</v>
      </c>
      <c r="E15" s="507">
        <f t="shared" si="0"/>
        <v>0.14160844501272074</v>
      </c>
      <c r="F15" s="12">
        <v>6.49</v>
      </c>
      <c r="G15" s="498">
        <v>114.36</v>
      </c>
      <c r="H15" s="529"/>
    </row>
    <row r="16" spans="1:8">
      <c r="B16" s="497">
        <v>2037</v>
      </c>
      <c r="C16" s="508">
        <v>20.160499999999999</v>
      </c>
      <c r="D16" s="508">
        <v>26.036799999999999</v>
      </c>
      <c r="E16" s="507">
        <f t="shared" si="0"/>
        <v>0.1287954057921134</v>
      </c>
      <c r="F16" s="12">
        <v>5.95</v>
      </c>
      <c r="G16" s="498">
        <v>120.32</v>
      </c>
      <c r="H16" s="529"/>
    </row>
    <row r="17" spans="2:8">
      <c r="B17" s="497">
        <v>2038</v>
      </c>
      <c r="C17" s="508">
        <v>22.0959</v>
      </c>
      <c r="D17" s="508">
        <v>24.471</v>
      </c>
      <c r="E17" s="507">
        <f t="shared" si="0"/>
        <v>0.11703592036403539</v>
      </c>
      <c r="F17" s="12">
        <v>5.45</v>
      </c>
      <c r="G17" s="498">
        <v>125.76</v>
      </c>
      <c r="H17" s="529"/>
    </row>
    <row r="18" spans="2:8">
      <c r="B18" s="497">
        <v>2039</v>
      </c>
      <c r="C18" s="508">
        <v>23.959399999999999</v>
      </c>
      <c r="D18" s="508">
        <v>22.98</v>
      </c>
      <c r="E18" s="507">
        <f t="shared" si="0"/>
        <v>0.10588120001533892</v>
      </c>
      <c r="F18" s="12">
        <v>4.97</v>
      </c>
      <c r="G18" s="498">
        <v>130.72999999999999</v>
      </c>
      <c r="H18" s="529"/>
    </row>
    <row r="19" spans="2:8">
      <c r="B19" s="497">
        <v>2040</v>
      </c>
      <c r="C19" s="508">
        <v>25.738399999999999</v>
      </c>
      <c r="D19" s="508">
        <v>21.576599999999999</v>
      </c>
      <c r="E19" s="507">
        <f t="shared" si="0"/>
        <v>9.5529958786854052E-2</v>
      </c>
      <c r="F19" s="12">
        <v>4.5199999999999996</v>
      </c>
      <c r="G19" s="498">
        <v>135.25</v>
      </c>
    </row>
    <row r="20" spans="2:8">
      <c r="B20" s="497">
        <v>2041</v>
      </c>
      <c r="C20" s="508">
        <v>27.428999999999998</v>
      </c>
      <c r="D20" s="508">
        <v>20.264500000000002</v>
      </c>
      <c r="E20" s="507">
        <f t="shared" si="0"/>
        <v>8.5965592795663973E-2</v>
      </c>
      <c r="F20" s="12">
        <v>4.0999999999999996</v>
      </c>
      <c r="G20" s="498">
        <v>139.34</v>
      </c>
    </row>
    <row r="21" spans="2:8">
      <c r="B21" s="497">
        <v>2042</v>
      </c>
      <c r="C21" s="508">
        <v>29.03</v>
      </c>
      <c r="D21" s="508">
        <v>19.045100000000001</v>
      </c>
      <c r="E21" s="507">
        <f t="shared" si="0"/>
        <v>7.7378934209185207E-2</v>
      </c>
      <c r="F21" s="12">
        <v>3.72</v>
      </c>
      <c r="G21" s="498">
        <v>143.07</v>
      </c>
    </row>
    <row r="22" spans="2:8">
      <c r="B22" s="497">
        <v>2043</v>
      </c>
      <c r="C22" s="508">
        <v>30.531700000000001</v>
      </c>
      <c r="D22" s="508">
        <v>17.928000000000001</v>
      </c>
      <c r="E22" s="507">
        <f t="shared" si="0"/>
        <v>6.995503480211393E-2</v>
      </c>
      <c r="F22" s="12">
        <v>3.39</v>
      </c>
      <c r="G22" s="498">
        <v>146.44999999999999</v>
      </c>
    </row>
    <row r="23" spans="2:8">
      <c r="B23" s="497">
        <v>2044</v>
      </c>
      <c r="C23" s="508">
        <v>31.927199999999999</v>
      </c>
      <c r="D23" s="508">
        <v>16.920100000000001</v>
      </c>
      <c r="E23" s="507">
        <f t="shared" si="0"/>
        <v>6.3053638583913538E-2</v>
      </c>
      <c r="F23" s="12">
        <v>3.08</v>
      </c>
      <c r="G23" s="498">
        <v>149.54</v>
      </c>
    </row>
    <row r="24" spans="2:8">
      <c r="B24" s="497">
        <v>2045</v>
      </c>
      <c r="C24" s="508">
        <v>33.222099999999998</v>
      </c>
      <c r="D24" s="508">
        <v>16.015999999999998</v>
      </c>
      <c r="E24" s="507">
        <f t="shared" si="0"/>
        <v>5.7272721733779335E-2</v>
      </c>
      <c r="F24" s="12">
        <v>2.82</v>
      </c>
      <c r="G24" s="498">
        <v>152.35</v>
      </c>
    </row>
    <row r="25" spans="2:8">
      <c r="B25" s="497">
        <v>2046</v>
      </c>
      <c r="C25" s="508">
        <v>34.418599999999998</v>
      </c>
      <c r="D25" s="508">
        <v>15.2133</v>
      </c>
      <c r="E25" s="507">
        <f t="shared" si="0"/>
        <v>5.1982696612460938E-2</v>
      </c>
      <c r="F25" s="12">
        <v>2.58</v>
      </c>
      <c r="G25" s="498">
        <v>154.94</v>
      </c>
    </row>
    <row r="26" spans="2:8">
      <c r="B26" s="497">
        <v>2047</v>
      </c>
      <c r="C26" s="508">
        <v>35.516500000000001</v>
      </c>
      <c r="D26" s="508">
        <v>14.512499999999999</v>
      </c>
      <c r="E26" s="507">
        <f t="shared" si="0"/>
        <v>4.7572408003358053E-2</v>
      </c>
      <c r="F26" s="12">
        <v>2.38</v>
      </c>
      <c r="G26" s="498">
        <v>157.32</v>
      </c>
    </row>
    <row r="27" spans="2:8">
      <c r="B27" s="497">
        <v>2048</v>
      </c>
      <c r="C27" s="508">
        <v>36.520600000000002</v>
      </c>
      <c r="D27" s="508">
        <v>13.9087</v>
      </c>
      <c r="E27" s="507">
        <f t="shared" si="0"/>
        <v>4.3823729458866173E-2</v>
      </c>
      <c r="F27" s="12">
        <v>2.21</v>
      </c>
      <c r="G27" s="498">
        <v>159.53</v>
      </c>
    </row>
    <row r="28" spans="2:8">
      <c r="B28" s="497">
        <v>2049</v>
      </c>
      <c r="C28" s="508">
        <v>37.436700000000002</v>
      </c>
      <c r="D28" s="508">
        <v>13.396000000000001</v>
      </c>
      <c r="E28" s="507">
        <f t="shared" si="0"/>
        <v>4.0525095066758207E-2</v>
      </c>
      <c r="F28" s="12">
        <v>2.06</v>
      </c>
      <c r="G28" s="498">
        <v>161.6</v>
      </c>
    </row>
    <row r="29" spans="2:8">
      <c r="B29" s="497">
        <v>2050</v>
      </c>
      <c r="C29" s="508">
        <v>38.272199999999998</v>
      </c>
      <c r="D29" s="508">
        <v>12.9672</v>
      </c>
      <c r="E29" s="507">
        <f t="shared" si="0"/>
        <v>3.786148940073459E-2</v>
      </c>
      <c r="F29" s="12">
        <v>1.94</v>
      </c>
      <c r="G29" s="504">
        <v>163.54</v>
      </c>
      <c r="H29" s="503" t="s">
        <v>71</v>
      </c>
    </row>
    <row r="32" spans="2:8">
      <c r="H32" s="520"/>
    </row>
    <row r="33" spans="7:7">
      <c r="G33" s="521"/>
    </row>
    <row r="34" spans="7:7">
      <c r="G34" s="52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619F-B529-4DF7-8BB8-9D58CBF92735}">
  <sheetPr>
    <tabColor theme="8" tint="0.79998168889431442"/>
  </sheetPr>
  <dimension ref="A1:C43"/>
  <sheetViews>
    <sheetView workbookViewId="0">
      <selection activeCell="C8" sqref="C8"/>
    </sheetView>
  </sheetViews>
  <sheetFormatPr defaultColWidth="9.28515625" defaultRowHeight="14.45"/>
  <cols>
    <col min="1" max="1" width="113.42578125" style="522" customWidth="1"/>
    <col min="2" max="2" width="9.28515625" style="497"/>
    <col min="3" max="3" width="31.7109375" style="497" customWidth="1"/>
    <col min="4" max="16384" width="9.28515625" style="497"/>
  </cols>
  <sheetData>
    <row r="1" spans="1:3">
      <c r="A1" s="528" t="s">
        <v>72</v>
      </c>
      <c r="C1" s="527"/>
    </row>
    <row r="2" spans="1:3" s="520" customFormat="1" ht="72.599999999999994">
      <c r="A2" s="526" t="s">
        <v>73</v>
      </c>
    </row>
    <row r="3" spans="1:3" ht="72.599999999999994">
      <c r="A3" s="525" t="s">
        <v>74</v>
      </c>
    </row>
    <row r="4" spans="1:3" ht="72.599999999999994">
      <c r="A4" s="525" t="s">
        <v>75</v>
      </c>
    </row>
    <row r="5" spans="1:3" ht="87">
      <c r="A5" s="524" t="s">
        <v>76</v>
      </c>
    </row>
    <row r="6" spans="1:3" ht="72.599999999999994">
      <c r="A6" s="524" t="s">
        <v>77</v>
      </c>
    </row>
    <row r="7" spans="1:3" ht="188.45">
      <c r="A7" s="524" t="s">
        <v>78</v>
      </c>
    </row>
    <row r="8" spans="1:3" ht="87">
      <c r="A8" s="579" t="s">
        <v>79</v>
      </c>
    </row>
    <row r="9" spans="1:3">
      <c r="A9" s="524"/>
    </row>
    <row r="10" spans="1:3">
      <c r="A10" s="524"/>
    </row>
    <row r="11" spans="1:3">
      <c r="A11" s="524"/>
    </row>
    <row r="12" spans="1:3">
      <c r="A12" s="524"/>
    </row>
    <row r="13" spans="1:3">
      <c r="A13" s="524"/>
    </row>
    <row r="14" spans="1:3">
      <c r="A14" s="524"/>
    </row>
    <row r="15" spans="1:3">
      <c r="A15" s="524"/>
    </row>
    <row r="16" spans="1:3">
      <c r="A16" s="524"/>
    </row>
    <row r="17" spans="1:1">
      <c r="A17" s="524"/>
    </row>
    <row r="18" spans="1:1">
      <c r="A18" s="524"/>
    </row>
    <row r="19" spans="1:1">
      <c r="A19" s="524"/>
    </row>
    <row r="20" spans="1:1">
      <c r="A20" s="524"/>
    </row>
    <row r="21" spans="1:1">
      <c r="A21" s="524"/>
    </row>
    <row r="22" spans="1:1">
      <c r="A22" s="524"/>
    </row>
    <row r="23" spans="1:1">
      <c r="A23" s="524"/>
    </row>
    <row r="24" spans="1:1">
      <c r="A24" s="524"/>
    </row>
    <row r="25" spans="1:1">
      <c r="A25" s="524"/>
    </row>
    <row r="26" spans="1:1">
      <c r="A26" s="524"/>
    </row>
    <row r="27" spans="1:1">
      <c r="A27" s="524"/>
    </row>
    <row r="28" spans="1:1">
      <c r="A28" s="524"/>
    </row>
    <row r="29" spans="1:1">
      <c r="A29" s="524"/>
    </row>
    <row r="30" spans="1:1">
      <c r="A30" s="524"/>
    </row>
    <row r="31" spans="1:1">
      <c r="A31" s="524"/>
    </row>
    <row r="32" spans="1:1">
      <c r="A32" s="524"/>
    </row>
    <row r="33" spans="1:1">
      <c r="A33" s="524"/>
    </row>
    <row r="34" spans="1:1">
      <c r="A34" s="524"/>
    </row>
    <row r="35" spans="1:1">
      <c r="A35" s="524"/>
    </row>
    <row r="36" spans="1:1">
      <c r="A36" s="524"/>
    </row>
    <row r="37" spans="1:1">
      <c r="A37" s="524"/>
    </row>
    <row r="38" spans="1:1">
      <c r="A38" s="524"/>
    </row>
    <row r="39" spans="1:1">
      <c r="A39" s="524"/>
    </row>
    <row r="40" spans="1:1">
      <c r="A40" s="524"/>
    </row>
    <row r="41" spans="1:1">
      <c r="A41" s="524"/>
    </row>
    <row r="42" spans="1:1">
      <c r="A42" s="524"/>
    </row>
    <row r="43" spans="1:1">
      <c r="A43" s="52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3CCBA-3176-49C9-A37C-D682A1759659}">
  <sheetPr>
    <tabColor theme="8" tint="0.79998168889431442"/>
  </sheetPr>
  <dimension ref="A1:AC71"/>
  <sheetViews>
    <sheetView topLeftCell="A47" zoomScaleNormal="100" workbookViewId="0">
      <selection activeCell="G73" sqref="G73"/>
    </sheetView>
  </sheetViews>
  <sheetFormatPr defaultRowHeight="14.45"/>
  <cols>
    <col min="1" max="1" width="38.7109375" customWidth="1"/>
    <col min="2" max="2" width="17.28515625" customWidth="1"/>
    <col min="3" max="3" width="15.5703125" customWidth="1"/>
    <col min="4" max="5" width="14.28515625" bestFit="1" customWidth="1"/>
    <col min="6" max="6" width="16.7109375" customWidth="1"/>
    <col min="7" max="7" width="14.28515625" customWidth="1"/>
    <col min="8" max="8" width="12.5703125" bestFit="1" customWidth="1"/>
    <col min="9" max="9" width="10.7109375" customWidth="1"/>
    <col min="10" max="10" width="13.7109375" customWidth="1"/>
    <col min="11" max="11" width="15.7109375" customWidth="1"/>
    <col min="12" max="12" width="14" customWidth="1"/>
    <col min="13" max="13" width="13.42578125" customWidth="1"/>
    <col min="14" max="14" width="17" customWidth="1"/>
    <col min="15" max="15" width="14.42578125" customWidth="1"/>
    <col min="28" max="28" width="12.7109375" customWidth="1"/>
    <col min="29" max="29" width="19.7109375" customWidth="1"/>
  </cols>
  <sheetData>
    <row r="1" spans="1:29" ht="15">
      <c r="A1" s="623" t="s">
        <v>80</v>
      </c>
      <c r="B1" s="624">
        <v>2025</v>
      </c>
      <c r="C1" s="624">
        <v>2026</v>
      </c>
      <c r="D1" s="624">
        <v>2027</v>
      </c>
      <c r="E1" s="624">
        <v>2028</v>
      </c>
      <c r="F1" s="625">
        <v>2029</v>
      </c>
      <c r="G1" s="626" t="s">
        <v>81</v>
      </c>
      <c r="H1" s="626"/>
      <c r="I1" s="626"/>
      <c r="J1" s="626"/>
      <c r="K1" s="626"/>
      <c r="L1" s="626"/>
      <c r="M1" s="626"/>
      <c r="N1" s="626"/>
      <c r="O1" s="626"/>
      <c r="P1" s="626"/>
      <c r="Q1" s="626"/>
      <c r="R1" s="626"/>
      <c r="S1" s="626"/>
      <c r="T1" s="626"/>
      <c r="U1" s="626"/>
      <c r="V1" s="626"/>
      <c r="W1" s="626"/>
      <c r="X1" s="626"/>
      <c r="Y1" s="626"/>
      <c r="Z1" s="626"/>
      <c r="AA1" s="626"/>
      <c r="AB1" s="626"/>
      <c r="AC1" s="626"/>
    </row>
    <row r="2" spans="1:29" ht="15">
      <c r="A2" s="627" t="s">
        <v>82</v>
      </c>
      <c r="B2" s="629">
        <v>3000000</v>
      </c>
      <c r="C2" s="629">
        <v>3000000</v>
      </c>
      <c r="D2" s="629">
        <v>4000000</v>
      </c>
      <c r="E2" s="628" t="s">
        <v>83</v>
      </c>
      <c r="F2" s="630" t="s">
        <v>84</v>
      </c>
      <c r="G2" s="631">
        <v>10000000</v>
      </c>
      <c r="H2" s="626"/>
      <c r="I2" s="626"/>
      <c r="J2" s="626"/>
      <c r="K2" s="626"/>
      <c r="L2" s="626"/>
      <c r="M2" s="626"/>
      <c r="N2" s="626"/>
      <c r="O2" s="626"/>
      <c r="P2" s="626"/>
      <c r="Q2" s="626"/>
      <c r="R2" s="626"/>
      <c r="S2" s="626"/>
      <c r="T2" s="626"/>
      <c r="U2" s="626"/>
      <c r="V2" s="626"/>
      <c r="W2" s="626"/>
      <c r="X2" s="626"/>
      <c r="Y2" s="626"/>
      <c r="Z2" s="626"/>
      <c r="AA2" s="626"/>
      <c r="AB2" s="626"/>
      <c r="AC2" s="626"/>
    </row>
    <row r="3" spans="1:29" ht="15">
      <c r="A3" s="632" t="s">
        <v>85</v>
      </c>
      <c r="B3" s="628">
        <v>188</v>
      </c>
      <c r="C3" s="628">
        <v>188</v>
      </c>
      <c r="D3" s="628">
        <v>250</v>
      </c>
      <c r="E3" s="628">
        <v>0</v>
      </c>
      <c r="F3" s="630">
        <v>0</v>
      </c>
      <c r="G3" s="626">
        <v>625</v>
      </c>
      <c r="H3" s="626"/>
      <c r="I3" s="626"/>
      <c r="J3" s="626"/>
      <c r="K3" s="626"/>
      <c r="L3" s="626"/>
      <c r="M3" s="626"/>
      <c r="N3" s="626"/>
      <c r="O3" s="626"/>
      <c r="P3" s="626"/>
      <c r="Q3" s="626"/>
      <c r="R3" s="626"/>
      <c r="S3" s="626"/>
      <c r="T3" s="626"/>
      <c r="U3" s="626"/>
      <c r="V3" s="626"/>
      <c r="W3" s="626"/>
      <c r="X3" s="626"/>
      <c r="Y3" s="626"/>
      <c r="Z3" s="626"/>
      <c r="AA3" s="626"/>
      <c r="AB3" s="626"/>
      <c r="AC3" s="626"/>
    </row>
    <row r="4" spans="1:29" ht="15">
      <c r="A4" s="632" t="s">
        <v>86</v>
      </c>
      <c r="B4" s="628">
        <v>19</v>
      </c>
      <c r="C4" s="628">
        <v>19</v>
      </c>
      <c r="D4" s="628">
        <v>25</v>
      </c>
      <c r="E4" s="628">
        <v>0</v>
      </c>
      <c r="F4" s="630">
        <v>0</v>
      </c>
      <c r="G4" s="626">
        <v>63</v>
      </c>
      <c r="H4" s="626"/>
      <c r="I4" s="626"/>
      <c r="J4" s="626"/>
      <c r="K4" s="626"/>
      <c r="L4" s="626"/>
      <c r="M4" s="626"/>
      <c r="N4" s="626"/>
      <c r="O4" s="626"/>
      <c r="P4" s="626"/>
      <c r="Q4" s="626"/>
      <c r="R4" s="626"/>
      <c r="S4" s="626"/>
      <c r="T4" s="626"/>
      <c r="U4" s="626"/>
      <c r="V4" s="626"/>
      <c r="W4" s="626"/>
      <c r="X4" s="626"/>
      <c r="Y4" s="626"/>
      <c r="Z4" s="626"/>
      <c r="AA4" s="626"/>
      <c r="AB4" s="626"/>
      <c r="AC4" s="626"/>
    </row>
    <row r="5" spans="1:29" ht="15">
      <c r="A5" s="633" t="s">
        <v>87</v>
      </c>
      <c r="B5" s="634">
        <v>2026</v>
      </c>
      <c r="C5" s="634">
        <v>2027</v>
      </c>
      <c r="D5" s="634">
        <v>2028</v>
      </c>
      <c r="E5" s="634">
        <v>2029</v>
      </c>
      <c r="F5" s="635">
        <v>2030</v>
      </c>
      <c r="G5" s="626"/>
      <c r="H5" s="626"/>
      <c r="I5" s="626"/>
      <c r="J5" s="626"/>
      <c r="K5" s="626"/>
      <c r="L5" s="626"/>
      <c r="M5" s="626"/>
      <c r="N5" s="626"/>
      <c r="O5" s="626"/>
      <c r="P5" s="626"/>
      <c r="Q5" s="626"/>
      <c r="R5" s="626"/>
      <c r="S5" s="626"/>
      <c r="T5" s="626"/>
      <c r="U5" s="626"/>
      <c r="V5" s="626"/>
      <c r="W5" s="626"/>
      <c r="X5" s="626"/>
      <c r="Y5" s="626"/>
      <c r="Z5" s="626"/>
      <c r="AA5" s="626"/>
      <c r="AB5" s="626"/>
      <c r="AC5" s="626"/>
    </row>
    <row r="6" spans="1:29" ht="15">
      <c r="A6" s="626"/>
      <c r="B6" s="626"/>
      <c r="C6" s="626"/>
      <c r="D6" s="626"/>
      <c r="E6" s="626"/>
      <c r="F6" s="626"/>
      <c r="G6" s="626"/>
      <c r="H6" s="626"/>
      <c r="I6" s="626"/>
      <c r="J6" s="626"/>
      <c r="K6" s="626"/>
      <c r="L6" s="626"/>
      <c r="M6" s="626"/>
      <c r="N6" s="626"/>
      <c r="O6" s="626"/>
      <c r="P6" s="626"/>
      <c r="Q6" s="626"/>
      <c r="R6" s="626"/>
      <c r="S6" s="626"/>
      <c r="T6" s="626"/>
      <c r="U6" s="626"/>
      <c r="V6" s="626"/>
      <c r="W6" s="626"/>
      <c r="X6" s="626"/>
      <c r="Y6" s="626"/>
      <c r="Z6" s="626"/>
      <c r="AA6" s="626"/>
      <c r="AB6" s="626"/>
      <c r="AC6" s="626"/>
    </row>
    <row r="7" spans="1:29" ht="15">
      <c r="A7" s="626"/>
      <c r="B7" s="626"/>
      <c r="C7" s="626"/>
      <c r="D7" s="626"/>
      <c r="E7" s="626"/>
      <c r="F7" s="626"/>
      <c r="G7" s="626"/>
      <c r="H7" s="626"/>
      <c r="I7" s="626"/>
      <c r="J7" s="626"/>
      <c r="K7" s="626"/>
      <c r="L7" s="626"/>
      <c r="M7" s="626"/>
      <c r="N7" s="626"/>
      <c r="O7" s="626"/>
      <c r="P7" s="626"/>
      <c r="Q7" s="626"/>
      <c r="R7" s="626"/>
      <c r="S7" s="626"/>
      <c r="T7" s="626"/>
      <c r="U7" s="626"/>
      <c r="V7" s="626"/>
      <c r="W7" s="626"/>
      <c r="X7" s="626"/>
      <c r="Y7" s="626"/>
      <c r="Z7" s="626"/>
      <c r="AA7" s="626"/>
      <c r="AB7" s="626"/>
      <c r="AC7" s="626"/>
    </row>
    <row r="8" spans="1:29" ht="15">
      <c r="A8" s="626"/>
      <c r="B8" s="626"/>
      <c r="C8" s="626"/>
      <c r="D8" s="626"/>
      <c r="E8" s="626"/>
      <c r="F8" s="626"/>
      <c r="G8" s="626"/>
      <c r="H8" s="626"/>
      <c r="I8" s="626"/>
      <c r="J8" s="626"/>
      <c r="K8" s="626"/>
      <c r="L8" s="626"/>
      <c r="M8" s="626"/>
      <c r="N8" s="626"/>
      <c r="O8" s="626"/>
      <c r="P8" s="626"/>
      <c r="Q8" s="626"/>
      <c r="R8" s="626"/>
      <c r="S8" s="626"/>
      <c r="T8" s="626"/>
      <c r="U8" s="626"/>
      <c r="V8" s="626"/>
      <c r="W8" s="626"/>
      <c r="X8" s="626"/>
      <c r="Y8" s="626"/>
      <c r="Z8" s="626"/>
      <c r="AA8" s="626"/>
      <c r="AB8" s="626"/>
      <c r="AC8" s="626"/>
    </row>
    <row r="9" spans="1:29" ht="15">
      <c r="A9" s="626" t="s">
        <v>88</v>
      </c>
      <c r="B9" s="631">
        <v>8000</v>
      </c>
      <c r="C9" s="626"/>
      <c r="D9" s="626"/>
      <c r="E9" s="626"/>
      <c r="F9" s="626"/>
      <c r="G9" s="626"/>
      <c r="H9" s="626"/>
      <c r="I9" s="626"/>
      <c r="J9" s="626"/>
      <c r="K9" s="626"/>
      <c r="L9" s="626"/>
      <c r="M9" s="626"/>
      <c r="N9" s="626"/>
      <c r="O9" s="626"/>
      <c r="P9" s="626"/>
      <c r="Q9" s="626"/>
      <c r="R9" s="626"/>
      <c r="S9" s="626"/>
      <c r="T9" s="626"/>
      <c r="U9" s="626"/>
      <c r="V9" s="626"/>
      <c r="W9" s="626"/>
      <c r="X9" s="626"/>
      <c r="Y9" s="626"/>
      <c r="Z9" s="626"/>
      <c r="AA9" s="626"/>
      <c r="AB9" s="626"/>
      <c r="AC9" s="626"/>
    </row>
    <row r="10" spans="1:29" ht="15">
      <c r="A10" s="626" t="s">
        <v>89</v>
      </c>
      <c r="B10" s="631">
        <v>80000</v>
      </c>
      <c r="C10" s="626"/>
      <c r="D10" s="626"/>
      <c r="E10" s="626"/>
      <c r="F10" s="626"/>
      <c r="G10" s="626"/>
      <c r="H10" s="626"/>
      <c r="I10" s="626"/>
      <c r="J10" s="626"/>
      <c r="K10" s="626"/>
      <c r="L10" s="626"/>
      <c r="M10" s="626"/>
      <c r="N10" s="626"/>
      <c r="O10" s="626"/>
      <c r="P10" s="626"/>
      <c r="Q10" s="626"/>
      <c r="R10" s="626"/>
      <c r="S10" s="626"/>
      <c r="T10" s="626"/>
      <c r="U10" s="626"/>
      <c r="V10" s="626"/>
      <c r="W10" s="626"/>
      <c r="X10" s="626"/>
      <c r="Y10" s="626"/>
      <c r="Z10" s="626"/>
      <c r="AA10" s="626"/>
      <c r="AB10" s="626"/>
      <c r="AC10" s="626"/>
    </row>
    <row r="11" spans="1:29" ht="15">
      <c r="A11" s="626" t="s">
        <v>90</v>
      </c>
      <c r="B11" s="626">
        <v>9.6</v>
      </c>
      <c r="C11" s="626" t="s">
        <v>91</v>
      </c>
      <c r="D11" s="626"/>
      <c r="E11" s="626"/>
      <c r="F11" s="626"/>
      <c r="G11" s="626"/>
      <c r="H11" s="626"/>
      <c r="I11" s="626"/>
      <c r="J11" s="626"/>
      <c r="K11" s="626"/>
      <c r="L11" s="626"/>
      <c r="M11" s="626"/>
      <c r="N11" s="626"/>
      <c r="O11" s="626"/>
      <c r="P11" s="626"/>
      <c r="Q11" s="626"/>
      <c r="R11" s="626"/>
      <c r="S11" s="626"/>
      <c r="T11" s="626"/>
      <c r="U11" s="626"/>
      <c r="V11" s="626"/>
      <c r="W11" s="626"/>
      <c r="X11" s="626"/>
      <c r="Y11" s="626"/>
      <c r="Z11" s="626"/>
      <c r="AA11" s="626"/>
      <c r="AB11" s="626"/>
      <c r="AC11" s="626"/>
    </row>
    <row r="12" spans="1:29" ht="15">
      <c r="A12" s="626" t="s">
        <v>92</v>
      </c>
      <c r="B12" s="626">
        <v>125</v>
      </c>
      <c r="C12" s="626" t="s">
        <v>91</v>
      </c>
      <c r="D12" s="626"/>
      <c r="E12" s="626"/>
      <c r="F12" s="626"/>
      <c r="G12" s="626"/>
      <c r="H12" s="626"/>
      <c r="I12" s="626"/>
      <c r="J12" s="626"/>
      <c r="K12" s="626"/>
      <c r="L12" s="626"/>
      <c r="M12" s="626"/>
      <c r="N12" s="626"/>
      <c r="O12" s="626"/>
      <c r="P12" s="626"/>
      <c r="Q12" s="626"/>
      <c r="R12" s="626"/>
      <c r="S12" s="626"/>
      <c r="T12" s="626"/>
      <c r="U12" s="626"/>
      <c r="V12" s="626"/>
      <c r="W12" s="626"/>
      <c r="X12" s="626"/>
      <c r="Y12" s="626"/>
      <c r="Z12" s="626"/>
      <c r="AA12" s="626"/>
      <c r="AB12" s="626"/>
      <c r="AC12" s="626"/>
    </row>
    <row r="13" spans="1:29" ht="15">
      <c r="A13" s="626"/>
      <c r="B13" s="626"/>
      <c r="C13" s="626"/>
      <c r="D13" s="626"/>
      <c r="E13" s="626"/>
      <c r="F13" s="626"/>
      <c r="G13" s="626"/>
      <c r="H13" s="626"/>
      <c r="I13" s="626"/>
      <c r="J13" s="626"/>
      <c r="K13" s="626"/>
      <c r="L13" s="626"/>
      <c r="M13" s="626"/>
      <c r="N13" s="626"/>
      <c r="O13" s="626"/>
      <c r="P13" s="626"/>
      <c r="Q13" s="626"/>
      <c r="R13" s="626"/>
      <c r="S13" s="626"/>
      <c r="T13" s="626"/>
      <c r="U13" s="626"/>
      <c r="V13" s="626"/>
      <c r="W13" s="626"/>
      <c r="X13" s="626"/>
      <c r="Y13" s="626"/>
      <c r="Z13" s="626"/>
      <c r="AA13" s="626"/>
      <c r="AB13" s="626"/>
      <c r="AC13" s="626"/>
    </row>
    <row r="14" spans="1:29" ht="18.75" customHeight="1">
      <c r="A14" s="703" t="s">
        <v>93</v>
      </c>
      <c r="B14" s="704"/>
      <c r="C14" s="704"/>
      <c r="D14" s="704"/>
      <c r="E14" s="704"/>
      <c r="F14" s="704"/>
      <c r="G14" s="705"/>
      <c r="H14" s="626"/>
      <c r="I14" s="703" t="s">
        <v>94</v>
      </c>
      <c r="J14" s="704"/>
      <c r="K14" s="704"/>
      <c r="L14" s="704"/>
      <c r="M14" s="704"/>
      <c r="N14" s="704"/>
      <c r="O14" s="705"/>
      <c r="P14" s="626"/>
      <c r="Q14" s="626"/>
      <c r="R14" s="626"/>
      <c r="S14" s="626"/>
      <c r="T14" s="626"/>
      <c r="U14" s="626"/>
      <c r="V14" s="626"/>
      <c r="W14" s="626"/>
      <c r="X14" s="626"/>
      <c r="Y14" s="626"/>
      <c r="Z14" s="626"/>
      <c r="AA14" s="626"/>
      <c r="AB14" s="626"/>
      <c r="AC14" s="626"/>
    </row>
    <row r="15" spans="1:29" ht="60" customHeight="1">
      <c r="A15" s="636" t="s">
        <v>80</v>
      </c>
      <c r="B15" s="637" t="s">
        <v>95</v>
      </c>
      <c r="C15" s="637" t="s">
        <v>96</v>
      </c>
      <c r="D15" s="637" t="s">
        <v>97</v>
      </c>
      <c r="E15" s="637" t="s">
        <v>98</v>
      </c>
      <c r="F15" s="638" t="s">
        <v>99</v>
      </c>
      <c r="G15" s="639" t="s">
        <v>100</v>
      </c>
      <c r="H15" s="626"/>
      <c r="I15" s="640" t="s">
        <v>80</v>
      </c>
      <c r="J15" s="638" t="s">
        <v>95</v>
      </c>
      <c r="K15" s="638" t="s">
        <v>101</v>
      </c>
      <c r="L15" s="638" t="s">
        <v>97</v>
      </c>
      <c r="M15" s="638" t="s">
        <v>98</v>
      </c>
      <c r="N15" s="638" t="s">
        <v>102</v>
      </c>
      <c r="O15" s="639" t="s">
        <v>103</v>
      </c>
      <c r="P15" s="626"/>
      <c r="Q15" s="626"/>
      <c r="R15" s="626"/>
      <c r="S15" s="626"/>
      <c r="T15" s="626"/>
      <c r="U15" s="626"/>
      <c r="V15" s="626"/>
      <c r="W15" s="626"/>
      <c r="X15" s="626"/>
      <c r="Y15" s="626"/>
      <c r="Z15" s="626"/>
      <c r="AA15" s="626"/>
      <c r="AB15" s="626"/>
      <c r="AC15" s="626"/>
    </row>
    <row r="16" spans="1:29" ht="15">
      <c r="A16" s="636" t="s">
        <v>104</v>
      </c>
      <c r="B16" s="641">
        <v>188</v>
      </c>
      <c r="C16" s="642">
        <v>0.12</v>
      </c>
      <c r="D16" s="643">
        <v>10092</v>
      </c>
      <c r="E16" s="643">
        <v>1892160</v>
      </c>
      <c r="F16" s="644">
        <v>2486</v>
      </c>
      <c r="G16" s="645">
        <v>2255</v>
      </c>
      <c r="H16" s="626"/>
      <c r="I16" s="640" t="s">
        <v>104</v>
      </c>
      <c r="J16" s="628">
        <v>188</v>
      </c>
      <c r="K16" s="646">
        <v>0.3</v>
      </c>
      <c r="L16" s="647">
        <v>25229</v>
      </c>
      <c r="M16" s="647">
        <v>4730400</v>
      </c>
      <c r="N16" s="644">
        <v>6215</v>
      </c>
      <c r="O16" s="645">
        <v>5638</v>
      </c>
      <c r="P16" s="626"/>
      <c r="Q16" s="626"/>
      <c r="R16" s="626"/>
      <c r="S16" s="626"/>
      <c r="T16" s="626"/>
      <c r="U16" s="626"/>
      <c r="V16" s="626"/>
      <c r="W16" s="626"/>
      <c r="X16" s="626"/>
      <c r="Y16" s="626"/>
      <c r="Z16" s="626"/>
      <c r="AA16" s="626"/>
      <c r="AB16" s="626"/>
      <c r="AC16" s="626"/>
    </row>
    <row r="17" spans="1:29" ht="15">
      <c r="A17" s="636" t="s">
        <v>105</v>
      </c>
      <c r="B17" s="641">
        <v>19</v>
      </c>
      <c r="C17" s="648">
        <v>4.7500000000000001E-2</v>
      </c>
      <c r="D17" s="643">
        <v>52013</v>
      </c>
      <c r="E17" s="643">
        <v>975234</v>
      </c>
      <c r="F17" s="644">
        <v>1295</v>
      </c>
      <c r="G17" s="645">
        <v>1175</v>
      </c>
      <c r="H17" s="626"/>
      <c r="I17" s="640" t="s">
        <v>105</v>
      </c>
      <c r="J17" s="628">
        <v>19</v>
      </c>
      <c r="K17" s="646">
        <v>0.3</v>
      </c>
      <c r="L17" s="647">
        <v>328500</v>
      </c>
      <c r="M17" s="647">
        <v>6159375</v>
      </c>
      <c r="N17" s="644">
        <v>8179</v>
      </c>
      <c r="O17" s="645">
        <v>7420</v>
      </c>
      <c r="P17" s="626"/>
      <c r="Q17" s="626"/>
      <c r="R17" s="626"/>
      <c r="S17" s="626"/>
      <c r="T17" s="626"/>
      <c r="U17" s="626"/>
      <c r="V17" s="626"/>
      <c r="W17" s="626"/>
      <c r="X17" s="626"/>
      <c r="Y17" s="626"/>
      <c r="Z17" s="626"/>
      <c r="AA17" s="626"/>
      <c r="AB17" s="626"/>
      <c r="AC17" s="626"/>
    </row>
    <row r="18" spans="1:29" ht="15">
      <c r="A18" s="706" t="s">
        <v>106</v>
      </c>
      <c r="B18" s="707"/>
      <c r="C18" s="707"/>
      <c r="D18" s="707"/>
      <c r="E18" s="708"/>
      <c r="F18" s="649">
        <v>3781</v>
      </c>
      <c r="G18" s="650">
        <v>3430</v>
      </c>
      <c r="H18" s="626"/>
      <c r="I18" s="706" t="s">
        <v>106</v>
      </c>
      <c r="J18" s="707"/>
      <c r="K18" s="707"/>
      <c r="L18" s="707"/>
      <c r="M18" s="708"/>
      <c r="N18" s="649">
        <v>14394</v>
      </c>
      <c r="O18" s="650">
        <v>13058</v>
      </c>
      <c r="P18" s="626"/>
      <c r="Q18" s="626"/>
      <c r="R18" s="626"/>
      <c r="S18" s="626"/>
      <c r="T18" s="626"/>
      <c r="U18" s="626"/>
      <c r="V18" s="626"/>
      <c r="W18" s="626"/>
      <c r="X18" s="626"/>
      <c r="Y18" s="626"/>
      <c r="Z18" s="626"/>
      <c r="AA18" s="626"/>
      <c r="AB18" s="626"/>
      <c r="AC18" s="626"/>
    </row>
    <row r="19" spans="1:29" ht="15">
      <c r="A19" s="626"/>
      <c r="B19" s="626"/>
      <c r="C19" s="626"/>
      <c r="D19" s="626"/>
      <c r="E19" s="626"/>
      <c r="F19" s="626"/>
      <c r="G19" s="626"/>
      <c r="H19" s="626"/>
      <c r="I19" s="626"/>
      <c r="J19" s="626"/>
      <c r="K19" s="626"/>
      <c r="L19" s="626"/>
      <c r="M19" s="626"/>
      <c r="N19" s="626"/>
      <c r="O19" s="626"/>
      <c r="P19" s="626"/>
      <c r="Q19" s="626"/>
      <c r="R19" s="626"/>
      <c r="S19" s="626"/>
      <c r="T19" s="626"/>
      <c r="U19" s="626"/>
      <c r="V19" s="626"/>
      <c r="W19" s="626"/>
      <c r="X19" s="626"/>
      <c r="Y19" s="626"/>
      <c r="Z19" s="626"/>
      <c r="AA19" s="626"/>
      <c r="AB19" s="626"/>
      <c r="AC19" s="626"/>
    </row>
    <row r="20" spans="1:29" ht="15">
      <c r="A20" s="626"/>
      <c r="B20" s="626"/>
      <c r="C20" s="626"/>
      <c r="D20" s="626"/>
      <c r="E20" s="626"/>
      <c r="F20" s="626"/>
      <c r="G20" s="626"/>
      <c r="H20" s="626"/>
      <c r="I20" s="626"/>
      <c r="J20" s="626"/>
      <c r="K20" s="626"/>
      <c r="L20" s="626"/>
      <c r="M20" s="626"/>
      <c r="N20" s="626"/>
      <c r="O20" s="626"/>
      <c r="P20" s="626"/>
      <c r="Q20" s="626"/>
      <c r="R20" s="626"/>
      <c r="S20" s="626"/>
      <c r="T20" s="626"/>
      <c r="U20" s="626"/>
      <c r="V20" s="626"/>
      <c r="W20" s="626"/>
      <c r="X20" s="626"/>
      <c r="Y20" s="626"/>
      <c r="Z20" s="626"/>
      <c r="AA20" s="626"/>
      <c r="AB20" s="626"/>
      <c r="AC20" s="626"/>
    </row>
    <row r="21" spans="1:29" ht="15">
      <c r="A21" s="651" t="s">
        <v>45</v>
      </c>
      <c r="B21" s="624" t="s">
        <v>107</v>
      </c>
      <c r="C21" s="624">
        <v>2026</v>
      </c>
      <c r="D21" s="624">
        <v>2027</v>
      </c>
      <c r="E21" s="624">
        <v>2028</v>
      </c>
      <c r="F21" s="624">
        <v>2029</v>
      </c>
      <c r="G21" s="624">
        <v>2030</v>
      </c>
      <c r="H21" s="624">
        <v>2031</v>
      </c>
      <c r="I21" s="624">
        <v>2032</v>
      </c>
      <c r="J21" s="624">
        <v>2033</v>
      </c>
      <c r="K21" s="624">
        <v>2034</v>
      </c>
      <c r="L21" s="624">
        <v>2035</v>
      </c>
      <c r="M21" s="624">
        <v>2036</v>
      </c>
      <c r="N21" s="624">
        <v>2037</v>
      </c>
      <c r="O21" s="624">
        <v>2038</v>
      </c>
      <c r="P21" s="624">
        <v>2039</v>
      </c>
      <c r="Q21" s="624">
        <v>2040</v>
      </c>
      <c r="R21" s="624">
        <v>2041</v>
      </c>
      <c r="S21" s="624">
        <v>2042</v>
      </c>
      <c r="T21" s="624">
        <v>2043</v>
      </c>
      <c r="U21" s="624">
        <v>2044</v>
      </c>
      <c r="V21" s="624">
        <v>2045</v>
      </c>
      <c r="W21" s="624">
        <v>2046</v>
      </c>
      <c r="X21" s="624">
        <v>2047</v>
      </c>
      <c r="Y21" s="624">
        <v>2048</v>
      </c>
      <c r="Z21" s="624">
        <v>2049</v>
      </c>
      <c r="AA21" s="624">
        <v>2050</v>
      </c>
      <c r="AB21" s="624" t="s">
        <v>80</v>
      </c>
      <c r="AC21" s="624" t="s">
        <v>106</v>
      </c>
    </row>
    <row r="22" spans="1:29" ht="15">
      <c r="A22" s="652" t="s">
        <v>108</v>
      </c>
      <c r="B22" s="628" t="s">
        <v>109</v>
      </c>
      <c r="C22" s="647">
        <v>3430</v>
      </c>
      <c r="D22" s="647">
        <v>6860</v>
      </c>
      <c r="E22" s="647">
        <v>10290</v>
      </c>
      <c r="F22" s="647">
        <v>10290</v>
      </c>
      <c r="G22" s="647">
        <v>10290</v>
      </c>
      <c r="H22" s="647">
        <v>39173</v>
      </c>
      <c r="I22" s="647">
        <v>39173</v>
      </c>
      <c r="J22" s="647">
        <v>39173</v>
      </c>
      <c r="K22" s="647">
        <v>39173</v>
      </c>
      <c r="L22" s="647">
        <v>39173</v>
      </c>
      <c r="M22" s="647">
        <v>39173</v>
      </c>
      <c r="N22" s="647">
        <v>39173</v>
      </c>
      <c r="O22" s="647">
        <v>39173</v>
      </c>
      <c r="P22" s="647">
        <v>39173</v>
      </c>
      <c r="Q22" s="647">
        <v>39173</v>
      </c>
      <c r="R22" s="647">
        <v>39173</v>
      </c>
      <c r="S22" s="647">
        <v>39173</v>
      </c>
      <c r="T22" s="647">
        <v>39173</v>
      </c>
      <c r="U22" s="647">
        <v>39173</v>
      </c>
      <c r="V22" s="647">
        <v>39173</v>
      </c>
      <c r="W22" s="647">
        <v>39173</v>
      </c>
      <c r="X22" s="647">
        <v>39173</v>
      </c>
      <c r="Y22" s="647">
        <v>39173</v>
      </c>
      <c r="Z22" s="647">
        <v>39173</v>
      </c>
      <c r="AA22" s="647">
        <v>39173</v>
      </c>
      <c r="AB22" s="628" t="s">
        <v>80</v>
      </c>
      <c r="AC22" s="647">
        <v>824627</v>
      </c>
    </row>
    <row r="23" spans="1:29" ht="15">
      <c r="A23" s="652" t="s">
        <v>110</v>
      </c>
      <c r="B23" s="628" t="s">
        <v>109</v>
      </c>
      <c r="C23" s="628">
        <v>542</v>
      </c>
      <c r="D23" s="628">
        <v>926</v>
      </c>
      <c r="E23" s="647">
        <v>1150</v>
      </c>
      <c r="F23" s="628">
        <v>912</v>
      </c>
      <c r="G23" s="628">
        <v>673</v>
      </c>
      <c r="H23" s="647">
        <v>2371</v>
      </c>
      <c r="I23" s="647">
        <v>2185</v>
      </c>
      <c r="J23" s="647">
        <v>1999</v>
      </c>
      <c r="K23" s="647">
        <v>1812</v>
      </c>
      <c r="L23" s="647">
        <v>1626</v>
      </c>
      <c r="M23" s="647">
        <v>1442</v>
      </c>
      <c r="N23" s="647">
        <v>1259</v>
      </c>
      <c r="O23" s="647">
        <v>1075</v>
      </c>
      <c r="P23" s="628">
        <v>891</v>
      </c>
      <c r="Q23" s="628">
        <v>708</v>
      </c>
      <c r="R23" s="628">
        <v>708</v>
      </c>
      <c r="S23" s="628">
        <v>708</v>
      </c>
      <c r="T23" s="628">
        <v>708</v>
      </c>
      <c r="U23" s="628">
        <v>708</v>
      </c>
      <c r="V23" s="628">
        <v>708</v>
      </c>
      <c r="W23" s="628">
        <v>708</v>
      </c>
      <c r="X23" s="628">
        <v>708</v>
      </c>
      <c r="Y23" s="628">
        <v>708</v>
      </c>
      <c r="Z23" s="628">
        <v>708</v>
      </c>
      <c r="AA23" s="628">
        <v>708</v>
      </c>
      <c r="AB23" s="628" t="s">
        <v>80</v>
      </c>
      <c r="AC23" s="647">
        <v>26649</v>
      </c>
    </row>
    <row r="24" spans="1:29" ht="15">
      <c r="A24" s="653" t="s">
        <v>111</v>
      </c>
      <c r="B24" s="654" t="s">
        <v>109</v>
      </c>
      <c r="C24" s="655">
        <v>2888</v>
      </c>
      <c r="D24" s="655">
        <v>5935</v>
      </c>
      <c r="E24" s="655">
        <v>9140</v>
      </c>
      <c r="F24" s="655">
        <v>9379</v>
      </c>
      <c r="G24" s="655">
        <v>9617</v>
      </c>
      <c r="H24" s="655">
        <v>36802</v>
      </c>
      <c r="I24" s="655">
        <v>36988</v>
      </c>
      <c r="J24" s="655">
        <v>37175</v>
      </c>
      <c r="K24" s="655">
        <v>37361</v>
      </c>
      <c r="L24" s="655">
        <v>37548</v>
      </c>
      <c r="M24" s="655">
        <v>37731</v>
      </c>
      <c r="N24" s="655">
        <v>37915</v>
      </c>
      <c r="O24" s="655">
        <v>38098</v>
      </c>
      <c r="P24" s="655">
        <v>38282</v>
      </c>
      <c r="Q24" s="655">
        <v>38465</v>
      </c>
      <c r="R24" s="655">
        <v>38465</v>
      </c>
      <c r="S24" s="655">
        <v>38465</v>
      </c>
      <c r="T24" s="655">
        <v>38465</v>
      </c>
      <c r="U24" s="655">
        <v>38465</v>
      </c>
      <c r="V24" s="655">
        <v>38465</v>
      </c>
      <c r="W24" s="655">
        <v>38465</v>
      </c>
      <c r="X24" s="655">
        <v>38465</v>
      </c>
      <c r="Y24" s="655">
        <v>38465</v>
      </c>
      <c r="Z24" s="655">
        <v>38465</v>
      </c>
      <c r="AA24" s="655">
        <v>38465</v>
      </c>
      <c r="AB24" s="654" t="s">
        <v>80</v>
      </c>
      <c r="AC24" s="647">
        <v>797977</v>
      </c>
    </row>
    <row r="25" spans="1:29" ht="15">
      <c r="A25" s="626" t="s">
        <v>112</v>
      </c>
      <c r="B25" s="626"/>
      <c r="C25" s="656">
        <v>24442</v>
      </c>
      <c r="D25" s="656">
        <v>48884</v>
      </c>
      <c r="E25" s="656">
        <v>73326</v>
      </c>
      <c r="F25" s="656">
        <v>73326</v>
      </c>
      <c r="G25" s="656">
        <v>73326</v>
      </c>
      <c r="H25" s="656">
        <v>279134</v>
      </c>
      <c r="I25" s="656">
        <v>279134</v>
      </c>
      <c r="J25" s="656">
        <v>279134</v>
      </c>
      <c r="K25" s="656">
        <v>279134</v>
      </c>
      <c r="L25" s="656">
        <v>279134</v>
      </c>
      <c r="M25" s="656">
        <v>279134</v>
      </c>
      <c r="N25" s="656">
        <v>279134</v>
      </c>
      <c r="O25" s="656">
        <v>279134</v>
      </c>
      <c r="P25" s="656">
        <v>279134</v>
      </c>
      <c r="Q25" s="656">
        <v>279134</v>
      </c>
      <c r="R25" s="656">
        <v>279134</v>
      </c>
      <c r="S25" s="656">
        <v>279134</v>
      </c>
      <c r="T25" s="656">
        <v>279134</v>
      </c>
      <c r="U25" s="656">
        <v>279134</v>
      </c>
      <c r="V25" s="656">
        <v>279134</v>
      </c>
      <c r="W25" s="656">
        <v>279134</v>
      </c>
      <c r="X25" s="656">
        <v>279134</v>
      </c>
      <c r="Y25" s="656">
        <v>279134</v>
      </c>
      <c r="Z25" s="656">
        <v>279134</v>
      </c>
      <c r="AA25" s="656">
        <v>279134</v>
      </c>
      <c r="AB25" s="626"/>
      <c r="AC25" s="626"/>
    </row>
    <row r="26" spans="1:29" ht="15">
      <c r="A26" s="626" t="s">
        <v>113</v>
      </c>
      <c r="B26" s="626"/>
      <c r="C26" s="626">
        <v>661</v>
      </c>
      <c r="D26" s="656">
        <v>1323</v>
      </c>
      <c r="E26" s="656">
        <v>1984</v>
      </c>
      <c r="F26" s="656">
        <v>1984</v>
      </c>
      <c r="G26" s="656">
        <v>1984</v>
      </c>
      <c r="H26" s="656">
        <v>7553</v>
      </c>
      <c r="I26" s="656">
        <v>7553</v>
      </c>
      <c r="J26" s="656">
        <v>7553</v>
      </c>
      <c r="K26" s="656">
        <v>7553</v>
      </c>
      <c r="L26" s="656">
        <v>7553</v>
      </c>
      <c r="M26" s="656">
        <v>7553</v>
      </c>
      <c r="N26" s="656">
        <v>7553</v>
      </c>
      <c r="O26" s="656">
        <v>7553</v>
      </c>
      <c r="P26" s="656">
        <v>7553</v>
      </c>
      <c r="Q26" s="656">
        <v>7553</v>
      </c>
      <c r="R26" s="656">
        <v>7553</v>
      </c>
      <c r="S26" s="656">
        <v>7553</v>
      </c>
      <c r="T26" s="656">
        <v>7553</v>
      </c>
      <c r="U26" s="656">
        <v>7553</v>
      </c>
      <c r="V26" s="656">
        <v>7553</v>
      </c>
      <c r="W26" s="656">
        <v>7553</v>
      </c>
      <c r="X26" s="656">
        <v>7553</v>
      </c>
      <c r="Y26" s="656">
        <v>7553</v>
      </c>
      <c r="Z26" s="656">
        <v>7553</v>
      </c>
      <c r="AA26" s="656">
        <v>7553</v>
      </c>
      <c r="AB26" s="626"/>
      <c r="AC26" s="626"/>
    </row>
    <row r="27" spans="1:29" ht="15">
      <c r="A27" s="626" t="s">
        <v>114</v>
      </c>
      <c r="B27" s="626"/>
      <c r="C27" s="626">
        <v>62</v>
      </c>
      <c r="D27" s="626">
        <v>124</v>
      </c>
      <c r="E27" s="626">
        <v>186</v>
      </c>
      <c r="F27" s="626">
        <v>186</v>
      </c>
      <c r="G27" s="626">
        <v>186</v>
      </c>
      <c r="H27" s="626">
        <v>706</v>
      </c>
      <c r="I27" s="626">
        <v>706</v>
      </c>
      <c r="J27" s="626">
        <v>706</v>
      </c>
      <c r="K27" s="626">
        <v>706</v>
      </c>
      <c r="L27" s="626">
        <v>706</v>
      </c>
      <c r="M27" s="626">
        <v>706</v>
      </c>
      <c r="N27" s="626">
        <v>706</v>
      </c>
      <c r="O27" s="626">
        <v>706</v>
      </c>
      <c r="P27" s="626">
        <v>706</v>
      </c>
      <c r="Q27" s="626">
        <v>706</v>
      </c>
      <c r="R27" s="626">
        <v>706</v>
      </c>
      <c r="S27" s="626">
        <v>706</v>
      </c>
      <c r="T27" s="626">
        <v>706</v>
      </c>
      <c r="U27" s="626">
        <v>706</v>
      </c>
      <c r="V27" s="626">
        <v>706</v>
      </c>
      <c r="W27" s="626">
        <v>706</v>
      </c>
      <c r="X27" s="626">
        <v>706</v>
      </c>
      <c r="Y27" s="626">
        <v>706</v>
      </c>
      <c r="Z27" s="626">
        <v>706</v>
      </c>
      <c r="AA27" s="626">
        <v>706</v>
      </c>
      <c r="AB27" s="626"/>
      <c r="AC27" s="626"/>
    </row>
    <row r="28" spans="1:29" ht="15">
      <c r="A28" s="626" t="s">
        <v>115</v>
      </c>
      <c r="B28" s="626"/>
      <c r="C28" s="626">
        <v>50</v>
      </c>
      <c r="D28" s="626">
        <v>99</v>
      </c>
      <c r="E28" s="626">
        <v>149</v>
      </c>
      <c r="F28" s="626">
        <v>149</v>
      </c>
      <c r="G28" s="626">
        <v>149</v>
      </c>
      <c r="H28" s="626">
        <v>568</v>
      </c>
      <c r="I28" s="626">
        <v>568</v>
      </c>
      <c r="J28" s="626">
        <v>568</v>
      </c>
      <c r="K28" s="626">
        <v>568</v>
      </c>
      <c r="L28" s="626">
        <v>568</v>
      </c>
      <c r="M28" s="626">
        <v>568</v>
      </c>
      <c r="N28" s="626">
        <v>568</v>
      </c>
      <c r="O28" s="626">
        <v>568</v>
      </c>
      <c r="P28" s="626">
        <v>568</v>
      </c>
      <c r="Q28" s="626">
        <v>568</v>
      </c>
      <c r="R28" s="626">
        <v>568</v>
      </c>
      <c r="S28" s="626">
        <v>568</v>
      </c>
      <c r="T28" s="626">
        <v>568</v>
      </c>
      <c r="U28" s="626">
        <v>568</v>
      </c>
      <c r="V28" s="626">
        <v>568</v>
      </c>
      <c r="W28" s="626">
        <v>568</v>
      </c>
      <c r="X28" s="626">
        <v>568</v>
      </c>
      <c r="Y28" s="626">
        <v>568</v>
      </c>
      <c r="Z28" s="626">
        <v>568</v>
      </c>
      <c r="AA28" s="626">
        <v>568</v>
      </c>
      <c r="AB28" s="626"/>
      <c r="AC28" s="626"/>
    </row>
    <row r="29" spans="1:29" ht="15">
      <c r="A29" s="626" t="s">
        <v>116</v>
      </c>
      <c r="B29" s="626"/>
      <c r="C29" s="656">
        <v>2244</v>
      </c>
      <c r="D29" s="656">
        <v>4487</v>
      </c>
      <c r="E29" s="656">
        <v>6731</v>
      </c>
      <c r="F29" s="656">
        <v>6731</v>
      </c>
      <c r="G29" s="656">
        <v>6731</v>
      </c>
      <c r="H29" s="656">
        <v>25624</v>
      </c>
      <c r="I29" s="656">
        <v>25624</v>
      </c>
      <c r="J29" s="656">
        <v>25624</v>
      </c>
      <c r="K29" s="656">
        <v>25624</v>
      </c>
      <c r="L29" s="656">
        <v>25624</v>
      </c>
      <c r="M29" s="656">
        <v>25624</v>
      </c>
      <c r="N29" s="656">
        <v>25624</v>
      </c>
      <c r="O29" s="656">
        <v>25624</v>
      </c>
      <c r="P29" s="656">
        <v>25624</v>
      </c>
      <c r="Q29" s="656">
        <v>25624</v>
      </c>
      <c r="R29" s="656">
        <v>25624</v>
      </c>
      <c r="S29" s="656">
        <v>25624</v>
      </c>
      <c r="T29" s="656">
        <v>25624</v>
      </c>
      <c r="U29" s="656">
        <v>25624</v>
      </c>
      <c r="V29" s="656">
        <v>25624</v>
      </c>
      <c r="W29" s="656">
        <v>25624</v>
      </c>
      <c r="X29" s="656">
        <v>25624</v>
      </c>
      <c r="Y29" s="656">
        <v>25624</v>
      </c>
      <c r="Z29" s="656">
        <v>25624</v>
      </c>
      <c r="AA29" s="656">
        <v>25624</v>
      </c>
      <c r="AB29" s="626"/>
      <c r="AC29" s="626"/>
    </row>
    <row r="30" spans="1:29" ht="15">
      <c r="A30" s="626" t="s">
        <v>117</v>
      </c>
      <c r="B30" s="626"/>
      <c r="C30" s="626">
        <v>10</v>
      </c>
      <c r="D30" s="626">
        <v>20</v>
      </c>
      <c r="E30" s="626">
        <v>30</v>
      </c>
      <c r="F30" s="626">
        <v>30</v>
      </c>
      <c r="G30" s="626">
        <v>30</v>
      </c>
      <c r="H30" s="626">
        <v>113</v>
      </c>
      <c r="I30" s="626">
        <v>113</v>
      </c>
      <c r="J30" s="626">
        <v>113</v>
      </c>
      <c r="K30" s="626">
        <v>113</v>
      </c>
      <c r="L30" s="626">
        <v>113</v>
      </c>
      <c r="M30" s="626">
        <v>113</v>
      </c>
      <c r="N30" s="626">
        <v>113</v>
      </c>
      <c r="O30" s="626">
        <v>113</v>
      </c>
      <c r="P30" s="626">
        <v>113</v>
      </c>
      <c r="Q30" s="626">
        <v>113</v>
      </c>
      <c r="R30" s="626">
        <v>113</v>
      </c>
      <c r="S30" s="626">
        <v>113</v>
      </c>
      <c r="T30" s="626">
        <v>113</v>
      </c>
      <c r="U30" s="626">
        <v>113</v>
      </c>
      <c r="V30" s="626">
        <v>113</v>
      </c>
      <c r="W30" s="626">
        <v>113</v>
      </c>
      <c r="X30" s="626">
        <v>113</v>
      </c>
      <c r="Y30" s="626">
        <v>113</v>
      </c>
      <c r="Z30" s="626">
        <v>113</v>
      </c>
      <c r="AA30" s="626">
        <v>113</v>
      </c>
      <c r="AB30" s="626"/>
      <c r="AC30" s="626"/>
    </row>
    <row r="31" spans="1:29" ht="15">
      <c r="A31" s="626"/>
      <c r="B31" s="626"/>
      <c r="C31" s="626"/>
      <c r="D31" s="626"/>
      <c r="E31" s="626"/>
      <c r="F31" s="626"/>
      <c r="G31" s="626"/>
      <c r="H31" s="626"/>
      <c r="I31" s="626"/>
      <c r="J31" s="626"/>
      <c r="K31" s="626"/>
      <c r="L31" s="626"/>
      <c r="M31" s="626"/>
      <c r="N31" s="626"/>
      <c r="O31" s="626"/>
      <c r="P31" s="626"/>
      <c r="Q31" s="626"/>
      <c r="R31" s="626"/>
      <c r="S31" s="626"/>
      <c r="T31" s="626"/>
      <c r="U31" s="626"/>
      <c r="V31" s="626"/>
      <c r="W31" s="626"/>
      <c r="X31" s="626"/>
      <c r="Y31" s="626"/>
      <c r="Z31" s="626"/>
      <c r="AA31" s="626"/>
      <c r="AB31" s="626"/>
      <c r="AC31" s="626"/>
    </row>
    <row r="32" spans="1:29" ht="15">
      <c r="A32" s="626" t="s">
        <v>118</v>
      </c>
      <c r="B32" s="657"/>
      <c r="C32" s="626"/>
      <c r="D32" s="626"/>
      <c r="E32" s="626"/>
      <c r="F32" s="626"/>
      <c r="G32" s="626"/>
      <c r="H32" s="626"/>
      <c r="I32" s="626"/>
      <c r="J32" s="626"/>
      <c r="K32" s="626"/>
      <c r="L32" s="626"/>
      <c r="M32" s="626"/>
      <c r="N32" s="626"/>
      <c r="O32" s="626"/>
      <c r="P32" s="626"/>
      <c r="Q32" s="626"/>
      <c r="R32" s="626"/>
      <c r="S32" s="626"/>
      <c r="T32" s="626"/>
      <c r="U32" s="626"/>
      <c r="V32" s="626"/>
      <c r="W32" s="626"/>
      <c r="X32" s="626"/>
      <c r="Y32" s="626"/>
      <c r="Z32" s="626"/>
      <c r="AA32" s="626"/>
      <c r="AB32" s="626"/>
      <c r="AC32" s="626"/>
    </row>
    <row r="33" spans="1:29" ht="15">
      <c r="A33" s="626" t="s">
        <v>119</v>
      </c>
      <c r="B33" s="657"/>
      <c r="C33" s="657"/>
      <c r="D33" s="626"/>
      <c r="E33" s="626"/>
      <c r="F33" s="626"/>
      <c r="G33" s="626"/>
      <c r="H33" s="626"/>
      <c r="I33" s="626"/>
      <c r="J33" s="626"/>
      <c r="K33" s="626"/>
      <c r="L33" s="626"/>
      <c r="M33" s="626"/>
      <c r="N33" s="626"/>
      <c r="O33" s="626"/>
      <c r="P33" s="626"/>
      <c r="Q33" s="626"/>
      <c r="R33" s="626"/>
      <c r="S33" s="626"/>
      <c r="T33" s="626"/>
      <c r="U33" s="626"/>
      <c r="V33" s="626"/>
      <c r="W33" s="626"/>
      <c r="X33" s="626"/>
      <c r="Y33" s="626"/>
      <c r="Z33" s="626"/>
      <c r="AA33" s="626"/>
      <c r="AB33" s="626"/>
      <c r="AC33" s="626"/>
    </row>
    <row r="34" spans="1:29" ht="15">
      <c r="A34" s="626"/>
      <c r="B34" s="626"/>
      <c r="C34" s="626"/>
      <c r="D34" s="626"/>
      <c r="E34" s="626"/>
      <c r="F34" s="626"/>
      <c r="G34" s="626"/>
      <c r="H34" s="626"/>
      <c r="I34" s="626"/>
      <c r="J34" s="626"/>
      <c r="K34" s="626"/>
      <c r="L34" s="626"/>
      <c r="M34" s="626"/>
      <c r="N34" s="626"/>
      <c r="O34" s="626"/>
      <c r="P34" s="626"/>
      <c r="Q34" s="626"/>
      <c r="R34" s="626"/>
      <c r="S34" s="626"/>
      <c r="T34" s="626"/>
      <c r="U34" s="626"/>
      <c r="V34" s="626"/>
      <c r="W34" s="626"/>
      <c r="X34" s="626"/>
      <c r="Y34" s="626"/>
      <c r="Z34" s="626"/>
      <c r="AA34" s="626"/>
      <c r="AB34" s="626"/>
      <c r="AC34" s="626"/>
    </row>
    <row r="35" spans="1:29" ht="45" customHeight="1">
      <c r="A35" s="626"/>
      <c r="B35" s="709" t="s">
        <v>120</v>
      </c>
      <c r="C35" s="710"/>
      <c r="D35" s="626"/>
      <c r="E35" s="709" t="s">
        <v>121</v>
      </c>
      <c r="F35" s="711"/>
      <c r="G35" s="712"/>
      <c r="H35" s="626"/>
      <c r="I35" s="626"/>
      <c r="J35" s="626"/>
      <c r="K35" s="626"/>
      <c r="L35" s="626"/>
      <c r="M35" s="626"/>
      <c r="N35" s="626"/>
      <c r="O35" s="626"/>
      <c r="P35" s="626"/>
      <c r="Q35" s="626"/>
      <c r="R35" s="626"/>
      <c r="S35" s="626"/>
      <c r="T35" s="626"/>
      <c r="U35" s="626"/>
      <c r="V35" s="626"/>
      <c r="W35" s="626"/>
      <c r="X35" s="626"/>
      <c r="Y35" s="626"/>
      <c r="Z35" s="626"/>
      <c r="AA35" s="626"/>
      <c r="AB35" s="626"/>
      <c r="AC35" s="626"/>
    </row>
    <row r="36" spans="1:29" ht="15">
      <c r="A36" s="626"/>
      <c r="B36" s="658" t="s">
        <v>60</v>
      </c>
      <c r="C36" s="638" t="s">
        <v>61</v>
      </c>
      <c r="D36" s="659"/>
      <c r="E36" s="652" t="s">
        <v>80</v>
      </c>
      <c r="F36" s="660" t="s">
        <v>60</v>
      </c>
      <c r="G36" s="660" t="s">
        <v>61</v>
      </c>
      <c r="H36" s="626"/>
      <c r="I36" s="626"/>
      <c r="J36" s="626"/>
      <c r="K36" s="626"/>
      <c r="L36" s="626"/>
      <c r="M36" s="626"/>
      <c r="N36" s="626"/>
      <c r="O36" s="626"/>
      <c r="P36" s="626"/>
      <c r="Q36" s="626"/>
      <c r="R36" s="626"/>
      <c r="S36" s="626"/>
      <c r="T36" s="626"/>
      <c r="U36" s="626"/>
      <c r="V36" s="626"/>
      <c r="W36" s="626"/>
      <c r="X36" s="626"/>
      <c r="Y36" s="626"/>
      <c r="Z36" s="626"/>
      <c r="AA36" s="626"/>
      <c r="AB36" s="626"/>
      <c r="AC36" s="626"/>
    </row>
    <row r="37" spans="1:29" ht="15">
      <c r="A37" s="626"/>
      <c r="B37" s="661">
        <v>36958</v>
      </c>
      <c r="C37" s="662">
        <v>824627</v>
      </c>
      <c r="D37" s="626"/>
      <c r="E37" s="663" t="s">
        <v>122</v>
      </c>
      <c r="F37" s="647">
        <v>293305</v>
      </c>
      <c r="G37" s="647">
        <v>5875993</v>
      </c>
      <c r="H37" s="626"/>
      <c r="I37" s="626"/>
      <c r="J37" s="626"/>
      <c r="K37" s="626"/>
      <c r="L37" s="626"/>
      <c r="M37" s="626"/>
      <c r="N37" s="626"/>
      <c r="O37" s="626"/>
      <c r="P37" s="626"/>
      <c r="Q37" s="626"/>
      <c r="R37" s="626"/>
      <c r="S37" s="626"/>
      <c r="T37" s="626"/>
      <c r="U37" s="626"/>
      <c r="V37" s="626"/>
      <c r="W37" s="626"/>
      <c r="X37" s="626"/>
      <c r="Y37" s="626"/>
      <c r="Z37" s="626"/>
      <c r="AA37" s="626"/>
      <c r="AB37" s="626"/>
      <c r="AC37" s="626"/>
    </row>
    <row r="38" spans="1:29" ht="15">
      <c r="A38" s="626"/>
      <c r="B38" s="626"/>
      <c r="C38" s="626"/>
      <c r="D38" s="626"/>
      <c r="E38" s="663" t="s">
        <v>123</v>
      </c>
      <c r="F38" s="647">
        <v>7936</v>
      </c>
      <c r="G38" s="647">
        <v>158986</v>
      </c>
      <c r="H38" s="626"/>
      <c r="I38" s="626"/>
      <c r="J38" s="626"/>
      <c r="K38" s="626"/>
      <c r="L38" s="626"/>
      <c r="M38" s="626"/>
      <c r="N38" s="626"/>
      <c r="O38" s="626"/>
      <c r="P38" s="626"/>
      <c r="Q38" s="626"/>
      <c r="R38" s="626"/>
      <c r="S38" s="626"/>
      <c r="T38" s="626"/>
      <c r="U38" s="626"/>
      <c r="V38" s="626"/>
      <c r="W38" s="626"/>
      <c r="X38" s="626"/>
      <c r="Y38" s="626"/>
      <c r="Z38" s="626"/>
      <c r="AA38" s="626"/>
      <c r="AB38" s="626"/>
      <c r="AC38" s="626"/>
    </row>
    <row r="39" spans="1:29" ht="15">
      <c r="A39" s="626"/>
      <c r="B39" s="626"/>
      <c r="C39" s="626"/>
      <c r="D39" s="626"/>
      <c r="E39" s="663" t="s">
        <v>124</v>
      </c>
      <c r="F39" s="628">
        <v>743</v>
      </c>
      <c r="G39" s="647">
        <v>14861</v>
      </c>
      <c r="H39" s="626"/>
      <c r="I39" s="626"/>
      <c r="J39" s="626"/>
      <c r="K39" s="626"/>
      <c r="L39" s="626"/>
      <c r="M39" s="626"/>
      <c r="N39" s="626"/>
      <c r="O39" s="626"/>
      <c r="P39" s="626"/>
      <c r="Q39" s="626"/>
      <c r="R39" s="626"/>
      <c r="S39" s="626"/>
      <c r="T39" s="626"/>
      <c r="U39" s="626"/>
      <c r="V39" s="626"/>
      <c r="W39" s="626"/>
      <c r="X39" s="626"/>
      <c r="Y39" s="626"/>
      <c r="Z39" s="626"/>
      <c r="AA39" s="626"/>
      <c r="AB39" s="626"/>
      <c r="AC39" s="626"/>
    </row>
    <row r="40" spans="1:29" ht="15">
      <c r="A40" s="626"/>
      <c r="B40" s="626"/>
      <c r="C40" s="626"/>
      <c r="D40" s="626"/>
      <c r="E40" s="663" t="s">
        <v>125</v>
      </c>
      <c r="F40" s="628">
        <v>596</v>
      </c>
      <c r="G40" s="647">
        <v>11954</v>
      </c>
      <c r="H40" s="626"/>
      <c r="I40" s="626"/>
      <c r="J40" s="626"/>
      <c r="K40" s="626"/>
      <c r="L40" s="626"/>
      <c r="M40" s="626"/>
      <c r="N40" s="626"/>
      <c r="O40" s="626"/>
      <c r="P40" s="626"/>
      <c r="Q40" s="626"/>
      <c r="R40" s="626"/>
      <c r="S40" s="626"/>
      <c r="T40" s="626"/>
      <c r="U40" s="626"/>
      <c r="V40" s="626"/>
      <c r="W40" s="626"/>
      <c r="X40" s="626"/>
      <c r="Y40" s="626"/>
      <c r="Z40" s="626"/>
      <c r="AA40" s="626"/>
      <c r="AB40" s="626"/>
      <c r="AC40" s="626"/>
    </row>
    <row r="41" spans="1:29" ht="15">
      <c r="A41" s="626"/>
      <c r="B41" s="626"/>
      <c r="C41" s="626"/>
      <c r="D41" s="626"/>
      <c r="E41" s="663" t="s">
        <v>126</v>
      </c>
      <c r="F41" s="647">
        <v>26924</v>
      </c>
      <c r="G41" s="647">
        <v>539402</v>
      </c>
      <c r="H41" s="626"/>
      <c r="I41" s="626"/>
      <c r="J41" s="626"/>
      <c r="K41" s="626"/>
      <c r="L41" s="626"/>
      <c r="M41" s="626"/>
      <c r="N41" s="626"/>
      <c r="O41" s="626"/>
      <c r="P41" s="626"/>
      <c r="Q41" s="626"/>
      <c r="R41" s="626"/>
      <c r="S41" s="626"/>
      <c r="T41" s="626"/>
      <c r="U41" s="626"/>
      <c r="V41" s="626"/>
      <c r="W41" s="626"/>
      <c r="X41" s="626"/>
      <c r="Y41" s="626"/>
      <c r="Z41" s="626"/>
      <c r="AA41" s="626"/>
      <c r="AB41" s="626"/>
      <c r="AC41" s="626"/>
    </row>
    <row r="42" spans="1:29" ht="15">
      <c r="A42" s="626"/>
      <c r="B42" s="626"/>
      <c r="C42" s="626"/>
      <c r="D42" s="626"/>
      <c r="E42" s="663" t="s">
        <v>127</v>
      </c>
      <c r="F42" s="628">
        <v>119</v>
      </c>
      <c r="G42" s="647">
        <v>2381</v>
      </c>
      <c r="H42" s="626"/>
      <c r="I42" s="626"/>
      <c r="J42" s="626"/>
      <c r="K42" s="626"/>
      <c r="L42" s="626"/>
      <c r="M42" s="626"/>
      <c r="N42" s="626"/>
      <c r="O42" s="626"/>
      <c r="P42" s="626"/>
      <c r="Q42" s="626"/>
      <c r="R42" s="626"/>
      <c r="S42" s="626"/>
      <c r="T42" s="626"/>
      <c r="U42" s="626"/>
      <c r="V42" s="626"/>
      <c r="W42" s="626"/>
      <c r="X42" s="626"/>
      <c r="Y42" s="626"/>
      <c r="Z42" s="626"/>
      <c r="AA42" s="626"/>
      <c r="AB42" s="626"/>
      <c r="AC42" s="626"/>
    </row>
    <row r="43" spans="1:29" ht="15">
      <c r="A43" s="626"/>
      <c r="B43" s="626"/>
      <c r="C43" s="626"/>
      <c r="D43" s="626"/>
      <c r="E43" s="626"/>
      <c r="F43" s="626"/>
      <c r="G43" s="626"/>
      <c r="H43" s="626"/>
      <c r="I43" s="626"/>
      <c r="J43" s="626"/>
      <c r="K43" s="626"/>
      <c r="L43" s="626"/>
      <c r="M43" s="626"/>
      <c r="N43" s="626"/>
      <c r="O43" s="626"/>
      <c r="P43" s="626"/>
      <c r="Q43" s="626"/>
      <c r="R43" s="626"/>
      <c r="S43" s="626"/>
      <c r="T43" s="626"/>
      <c r="U43" s="626"/>
      <c r="V43" s="626"/>
      <c r="W43" s="626"/>
      <c r="X43" s="626"/>
      <c r="Y43" s="626"/>
      <c r="Z43" s="626"/>
      <c r="AA43" s="626"/>
      <c r="AB43" s="626"/>
      <c r="AC43" s="626"/>
    </row>
    <row r="44" spans="1:29" ht="15">
      <c r="A44" s="626"/>
      <c r="B44" s="626"/>
      <c r="C44" s="626"/>
      <c r="D44" s="626"/>
      <c r="E44" s="626"/>
      <c r="F44" s="626"/>
      <c r="G44" s="626"/>
      <c r="H44" s="626"/>
      <c r="I44" s="626"/>
      <c r="J44" s="626"/>
      <c r="K44" s="626"/>
      <c r="L44" s="626"/>
      <c r="M44" s="626"/>
      <c r="N44" s="626"/>
      <c r="O44" s="626"/>
      <c r="P44" s="626"/>
      <c r="Q44" s="626"/>
      <c r="R44" s="626"/>
      <c r="S44" s="626"/>
      <c r="T44" s="626"/>
      <c r="U44" s="626"/>
      <c r="V44" s="626"/>
      <c r="W44" s="626"/>
      <c r="X44" s="626"/>
      <c r="Y44" s="626"/>
      <c r="Z44" s="626"/>
      <c r="AA44" s="626"/>
      <c r="AB44" s="626"/>
      <c r="AC44" s="626"/>
    </row>
    <row r="45" spans="1:29" ht="15">
      <c r="A45" s="626"/>
      <c r="B45" s="626"/>
      <c r="C45" s="626"/>
      <c r="D45" s="626"/>
      <c r="E45" s="626"/>
      <c r="F45" s="626"/>
      <c r="G45" s="626"/>
      <c r="H45" s="626"/>
      <c r="I45" s="626"/>
      <c r="J45" s="626"/>
      <c r="K45" s="626"/>
      <c r="L45" s="626"/>
      <c r="M45" s="626"/>
      <c r="N45" s="626"/>
      <c r="O45" s="626"/>
      <c r="P45" s="626"/>
      <c r="Q45" s="626"/>
      <c r="R45" s="626"/>
      <c r="S45" s="626"/>
      <c r="T45" s="626"/>
      <c r="U45" s="626"/>
      <c r="V45" s="626"/>
      <c r="W45" s="626"/>
      <c r="X45" s="626"/>
      <c r="Y45" s="626"/>
      <c r="Z45" s="626"/>
      <c r="AA45" s="626"/>
      <c r="AB45" s="626"/>
      <c r="AC45" s="626"/>
    </row>
    <row r="46" spans="1:29" ht="15">
      <c r="A46" s="664" t="s">
        <v>128</v>
      </c>
      <c r="B46" s="665" t="s">
        <v>80</v>
      </c>
      <c r="C46" s="665" t="s">
        <v>80</v>
      </c>
      <c r="D46" s="665" t="s">
        <v>80</v>
      </c>
      <c r="E46" s="665" t="s">
        <v>80</v>
      </c>
      <c r="F46" s="665" t="s">
        <v>80</v>
      </c>
      <c r="G46" s="666" t="s">
        <v>80</v>
      </c>
      <c r="H46" s="667" t="s">
        <v>80</v>
      </c>
      <c r="I46" s="626"/>
      <c r="J46" s="626"/>
      <c r="K46" s="626"/>
      <c r="L46" s="626"/>
      <c r="M46" s="626"/>
      <c r="N46" s="626"/>
      <c r="O46" s="626"/>
      <c r="P46" s="626"/>
      <c r="Q46" s="626"/>
      <c r="R46" s="626"/>
      <c r="S46" s="626"/>
      <c r="T46" s="626"/>
      <c r="U46" s="626"/>
      <c r="V46" s="626"/>
      <c r="W46" s="626"/>
      <c r="X46" s="626"/>
      <c r="Y46" s="626"/>
      <c r="Z46" s="626"/>
      <c r="AA46" s="626"/>
      <c r="AB46" s="626"/>
      <c r="AC46" s="626"/>
    </row>
    <row r="47" spans="1:29" ht="15">
      <c r="A47" s="668" t="s">
        <v>129</v>
      </c>
      <c r="B47" s="669" t="s">
        <v>130</v>
      </c>
      <c r="C47" s="669" t="s">
        <v>131</v>
      </c>
      <c r="D47" s="669" t="s">
        <v>132</v>
      </c>
      <c r="E47" s="669" t="s">
        <v>133</v>
      </c>
      <c r="F47" s="669" t="s">
        <v>134</v>
      </c>
      <c r="G47" s="669" t="s">
        <v>80</v>
      </c>
      <c r="H47" s="670" t="s">
        <v>80</v>
      </c>
      <c r="I47" s="626"/>
      <c r="J47" s="626"/>
      <c r="K47" s="626"/>
      <c r="L47" s="626"/>
      <c r="M47" s="626"/>
      <c r="N47" s="626"/>
      <c r="O47" s="626"/>
      <c r="P47" s="626"/>
      <c r="Q47" s="626"/>
      <c r="R47" s="626"/>
      <c r="S47" s="626"/>
      <c r="T47" s="626"/>
      <c r="U47" s="626"/>
      <c r="V47" s="626"/>
      <c r="W47" s="626"/>
      <c r="X47" s="626"/>
      <c r="Y47" s="626"/>
      <c r="Z47" s="626"/>
      <c r="AA47" s="626"/>
      <c r="AB47" s="626"/>
      <c r="AC47" s="626"/>
    </row>
    <row r="48" spans="1:29" ht="15">
      <c r="A48" s="671" t="s">
        <v>135</v>
      </c>
      <c r="B48" s="672">
        <v>244832</v>
      </c>
      <c r="C48" s="672">
        <v>244832</v>
      </c>
      <c r="D48" s="672">
        <v>244832</v>
      </c>
      <c r="E48" s="669" t="s">
        <v>80</v>
      </c>
      <c r="F48" s="669" t="s">
        <v>80</v>
      </c>
      <c r="G48" s="669" t="s">
        <v>80</v>
      </c>
      <c r="H48" s="670" t="s">
        <v>80</v>
      </c>
      <c r="I48" s="626"/>
      <c r="J48" s="626"/>
      <c r="K48" s="626"/>
      <c r="L48" s="626"/>
      <c r="M48" s="626"/>
      <c r="N48" s="626"/>
      <c r="O48" s="626"/>
      <c r="P48" s="626"/>
      <c r="Q48" s="626"/>
      <c r="R48" s="626"/>
      <c r="S48" s="626"/>
      <c r="T48" s="626"/>
      <c r="U48" s="626"/>
      <c r="V48" s="626"/>
      <c r="W48" s="626"/>
      <c r="X48" s="626"/>
      <c r="Y48" s="626"/>
      <c r="Z48" s="626"/>
      <c r="AA48" s="626"/>
      <c r="AB48" s="626"/>
      <c r="AC48" s="626"/>
    </row>
    <row r="49" spans="1:29" ht="15">
      <c r="A49" s="671" t="s">
        <v>136</v>
      </c>
      <c r="B49" s="672">
        <v>22035</v>
      </c>
      <c r="C49" s="672">
        <v>22035</v>
      </c>
      <c r="D49" s="672">
        <v>22035</v>
      </c>
      <c r="E49" s="669" t="s">
        <v>80</v>
      </c>
      <c r="F49" s="669" t="s">
        <v>80</v>
      </c>
      <c r="G49" s="669" t="s">
        <v>80</v>
      </c>
      <c r="H49" s="670" t="s">
        <v>80</v>
      </c>
      <c r="I49" s="626"/>
      <c r="J49" s="626"/>
      <c r="K49" s="626"/>
      <c r="L49" s="626"/>
      <c r="M49" s="626"/>
      <c r="N49" s="626"/>
      <c r="O49" s="626"/>
      <c r="P49" s="626"/>
      <c r="Q49" s="626"/>
      <c r="R49" s="626"/>
      <c r="S49" s="626"/>
      <c r="T49" s="626"/>
      <c r="U49" s="626"/>
      <c r="V49" s="626"/>
      <c r="W49" s="626"/>
      <c r="X49" s="626"/>
      <c r="Y49" s="626"/>
      <c r="Z49" s="626"/>
      <c r="AA49" s="626"/>
      <c r="AB49" s="626"/>
      <c r="AC49" s="626"/>
    </row>
    <row r="50" spans="1:29" ht="6" customHeight="1">
      <c r="A50" s="671" t="s">
        <v>80</v>
      </c>
      <c r="B50" s="669" t="s">
        <v>80</v>
      </c>
      <c r="C50" s="669" t="s">
        <v>80</v>
      </c>
      <c r="D50" s="669" t="s">
        <v>80</v>
      </c>
      <c r="E50" s="669" t="s">
        <v>80</v>
      </c>
      <c r="F50" s="669" t="s">
        <v>80</v>
      </c>
      <c r="G50" s="669" t="s">
        <v>80</v>
      </c>
      <c r="H50" s="670" t="s">
        <v>80</v>
      </c>
      <c r="I50" s="626"/>
      <c r="J50" s="626"/>
      <c r="K50" s="626"/>
      <c r="L50" s="626"/>
      <c r="M50" s="626"/>
      <c r="N50" s="626"/>
      <c r="O50" s="626"/>
      <c r="P50" s="626"/>
      <c r="Q50" s="626"/>
      <c r="R50" s="626"/>
      <c r="S50" s="626"/>
      <c r="T50" s="626"/>
      <c r="U50" s="626"/>
      <c r="V50" s="626"/>
      <c r="W50" s="626"/>
      <c r="X50" s="626"/>
      <c r="Y50" s="626"/>
      <c r="Z50" s="626"/>
      <c r="AA50" s="626"/>
      <c r="AB50" s="626"/>
      <c r="AC50" s="626"/>
    </row>
    <row r="51" spans="1:29" ht="15">
      <c r="A51" s="671" t="s">
        <v>137</v>
      </c>
      <c r="B51" s="672">
        <v>266867</v>
      </c>
      <c r="C51" s="672">
        <v>266867</v>
      </c>
      <c r="D51" s="672">
        <v>266867</v>
      </c>
      <c r="E51" s="669" t="s">
        <v>83</v>
      </c>
      <c r="F51" s="669" t="s">
        <v>84</v>
      </c>
      <c r="G51" s="669" t="s">
        <v>80</v>
      </c>
      <c r="H51" s="670" t="s">
        <v>80</v>
      </c>
      <c r="I51" s="626"/>
      <c r="J51" s="626"/>
      <c r="K51" s="626"/>
      <c r="L51" s="626"/>
      <c r="M51" s="626"/>
      <c r="N51" s="626"/>
      <c r="O51" s="626"/>
      <c r="P51" s="626"/>
      <c r="Q51" s="626"/>
      <c r="R51" s="626"/>
      <c r="S51" s="626"/>
      <c r="T51" s="626"/>
      <c r="U51" s="626"/>
      <c r="V51" s="626"/>
      <c r="W51" s="626"/>
      <c r="X51" s="626"/>
      <c r="Y51" s="626"/>
      <c r="Z51" s="626"/>
      <c r="AA51" s="626"/>
      <c r="AB51" s="626"/>
      <c r="AC51" s="626"/>
    </row>
    <row r="52" spans="1:29" ht="8.25" customHeight="1">
      <c r="A52" s="671" t="s">
        <v>80</v>
      </c>
      <c r="B52" s="669" t="s">
        <v>80</v>
      </c>
      <c r="C52" s="669" t="s">
        <v>80</v>
      </c>
      <c r="D52" s="669" t="s">
        <v>80</v>
      </c>
      <c r="E52" s="669" t="s">
        <v>80</v>
      </c>
      <c r="F52" s="669" t="s">
        <v>80</v>
      </c>
      <c r="G52" s="669" t="s">
        <v>80</v>
      </c>
      <c r="H52" s="670" t="s">
        <v>80</v>
      </c>
      <c r="I52" s="626"/>
      <c r="J52" s="626"/>
      <c r="K52" s="626"/>
      <c r="L52" s="626"/>
      <c r="M52" s="626"/>
      <c r="N52" s="626"/>
      <c r="O52" s="626"/>
      <c r="P52" s="626"/>
      <c r="Q52" s="626"/>
      <c r="R52" s="626"/>
      <c r="S52" s="626"/>
      <c r="T52" s="626"/>
      <c r="U52" s="626"/>
      <c r="V52" s="626"/>
      <c r="W52" s="626"/>
      <c r="X52" s="626"/>
      <c r="Y52" s="626"/>
      <c r="Z52" s="626"/>
      <c r="AA52" s="626"/>
      <c r="AB52" s="626"/>
      <c r="AC52" s="626"/>
    </row>
    <row r="53" spans="1:29" ht="15">
      <c r="A53" s="668" t="s">
        <v>138</v>
      </c>
      <c r="B53" s="669" t="s">
        <v>80</v>
      </c>
      <c r="C53" s="669" t="s">
        <v>80</v>
      </c>
      <c r="D53" s="669" t="s">
        <v>80</v>
      </c>
      <c r="E53" s="669" t="s">
        <v>80</v>
      </c>
      <c r="F53" s="669" t="s">
        <v>80</v>
      </c>
      <c r="G53" s="669" t="s">
        <v>80</v>
      </c>
      <c r="H53" s="670" t="s">
        <v>80</v>
      </c>
      <c r="I53" s="626"/>
      <c r="J53" s="626"/>
      <c r="K53" s="626"/>
      <c r="L53" s="626"/>
      <c r="M53" s="626"/>
      <c r="N53" s="626"/>
      <c r="O53" s="626"/>
      <c r="P53" s="626"/>
      <c r="Q53" s="626"/>
      <c r="R53" s="626"/>
      <c r="S53" s="626"/>
      <c r="T53" s="626"/>
      <c r="U53" s="626"/>
      <c r="V53" s="626"/>
      <c r="W53" s="626"/>
      <c r="X53" s="626"/>
      <c r="Y53" s="626"/>
      <c r="Z53" s="626"/>
      <c r="AA53" s="626"/>
      <c r="AB53" s="626"/>
      <c r="AC53" s="626"/>
    </row>
    <row r="54" spans="1:29" ht="15">
      <c r="A54" s="671" t="s">
        <v>139</v>
      </c>
      <c r="B54" s="672">
        <v>30000</v>
      </c>
      <c r="C54" s="672">
        <v>30000</v>
      </c>
      <c r="D54" s="672">
        <v>40000</v>
      </c>
      <c r="E54" s="669" t="s">
        <v>80</v>
      </c>
      <c r="F54" s="669" t="s">
        <v>80</v>
      </c>
      <c r="G54" s="669" t="s">
        <v>80</v>
      </c>
      <c r="H54" s="670" t="s">
        <v>80</v>
      </c>
      <c r="I54" s="626"/>
      <c r="J54" s="626"/>
      <c r="K54" s="626"/>
      <c r="L54" s="626"/>
      <c r="M54" s="626"/>
      <c r="N54" s="626"/>
      <c r="O54" s="626"/>
      <c r="P54" s="626"/>
      <c r="Q54" s="626"/>
      <c r="R54" s="626"/>
      <c r="S54" s="626"/>
      <c r="T54" s="626"/>
      <c r="U54" s="626"/>
      <c r="V54" s="626"/>
      <c r="W54" s="626"/>
      <c r="X54" s="626"/>
      <c r="Y54" s="626"/>
      <c r="Z54" s="626"/>
      <c r="AA54" s="626"/>
      <c r="AB54" s="626"/>
      <c r="AC54" s="626"/>
    </row>
    <row r="55" spans="1:29" ht="7.5" customHeight="1">
      <c r="A55" s="671" t="s">
        <v>80</v>
      </c>
      <c r="B55" s="669" t="s">
        <v>80</v>
      </c>
      <c r="C55" s="669" t="s">
        <v>80</v>
      </c>
      <c r="D55" s="669" t="s">
        <v>80</v>
      </c>
      <c r="E55" s="669" t="s">
        <v>80</v>
      </c>
      <c r="F55" s="669" t="s">
        <v>80</v>
      </c>
      <c r="G55" s="669" t="s">
        <v>80</v>
      </c>
      <c r="H55" s="670" t="s">
        <v>80</v>
      </c>
      <c r="I55" s="626"/>
      <c r="J55" s="626"/>
      <c r="K55" s="626"/>
      <c r="L55" s="626"/>
      <c r="M55" s="626"/>
      <c r="N55" s="626"/>
      <c r="O55" s="626"/>
      <c r="P55" s="626"/>
      <c r="Q55" s="626"/>
      <c r="R55" s="626"/>
      <c r="S55" s="626"/>
      <c r="T55" s="626"/>
      <c r="U55" s="626"/>
      <c r="V55" s="626"/>
      <c r="W55" s="626"/>
      <c r="X55" s="626"/>
      <c r="Y55" s="626"/>
      <c r="Z55" s="626"/>
      <c r="AA55" s="626"/>
      <c r="AB55" s="626"/>
      <c r="AC55" s="626"/>
    </row>
    <row r="56" spans="1:29" ht="15">
      <c r="A56" s="673" t="s">
        <v>137</v>
      </c>
      <c r="B56" s="675">
        <v>30000</v>
      </c>
      <c r="C56" s="675">
        <v>30000</v>
      </c>
      <c r="D56" s="675">
        <v>40000</v>
      </c>
      <c r="E56" s="674" t="s">
        <v>83</v>
      </c>
      <c r="F56" s="674" t="s">
        <v>84</v>
      </c>
      <c r="G56" s="669" t="s">
        <v>80</v>
      </c>
      <c r="H56" s="670" t="s">
        <v>80</v>
      </c>
      <c r="I56" s="626"/>
      <c r="J56" s="626"/>
      <c r="K56" s="626"/>
      <c r="L56" s="626"/>
      <c r="M56" s="626"/>
      <c r="N56" s="626"/>
      <c r="O56" s="626"/>
      <c r="P56" s="626"/>
      <c r="Q56" s="626"/>
      <c r="R56" s="626"/>
      <c r="S56" s="626"/>
      <c r="T56" s="626"/>
      <c r="U56" s="626"/>
      <c r="V56" s="626"/>
      <c r="W56" s="626"/>
      <c r="X56" s="626"/>
      <c r="Y56" s="626"/>
      <c r="Z56" s="626"/>
      <c r="AA56" s="626"/>
      <c r="AB56" s="626"/>
      <c r="AC56" s="626"/>
    </row>
    <row r="57" spans="1:29" ht="15">
      <c r="A57" s="671" t="s">
        <v>80</v>
      </c>
      <c r="B57" s="669" t="s">
        <v>80</v>
      </c>
      <c r="C57" s="669" t="s">
        <v>80</v>
      </c>
      <c r="D57" s="669" t="s">
        <v>80</v>
      </c>
      <c r="E57" s="669" t="s">
        <v>80</v>
      </c>
      <c r="F57" s="669" t="s">
        <v>80</v>
      </c>
      <c r="G57" s="669" t="s">
        <v>80</v>
      </c>
      <c r="H57" s="670" t="s">
        <v>80</v>
      </c>
      <c r="I57" s="626"/>
      <c r="J57" s="626"/>
      <c r="K57" s="626"/>
      <c r="L57" s="626"/>
      <c r="M57" s="626"/>
      <c r="N57" s="626"/>
      <c r="O57" s="626"/>
      <c r="P57" s="626"/>
      <c r="Q57" s="626"/>
      <c r="R57" s="626"/>
      <c r="S57" s="626"/>
      <c r="T57" s="626"/>
      <c r="U57" s="626"/>
      <c r="V57" s="626"/>
      <c r="W57" s="626"/>
      <c r="X57" s="626"/>
      <c r="Y57" s="626"/>
      <c r="Z57" s="626"/>
      <c r="AA57" s="626"/>
      <c r="AB57" s="626"/>
      <c r="AC57" s="626"/>
    </row>
    <row r="58" spans="1:29" ht="15">
      <c r="A58" s="676" t="s">
        <v>140</v>
      </c>
      <c r="B58" s="678">
        <v>296867</v>
      </c>
      <c r="C58" s="678">
        <v>296867</v>
      </c>
      <c r="D58" s="678">
        <v>306867</v>
      </c>
      <c r="E58" s="677" t="s">
        <v>83</v>
      </c>
      <c r="F58" s="677" t="s">
        <v>84</v>
      </c>
      <c r="G58" s="679" t="s">
        <v>80</v>
      </c>
      <c r="H58" s="680">
        <v>900601</v>
      </c>
      <c r="I58" s="626"/>
      <c r="J58" s="626"/>
      <c r="K58" s="626"/>
      <c r="L58" s="626"/>
      <c r="M58" s="626"/>
      <c r="N58" s="626"/>
      <c r="O58" s="626"/>
      <c r="P58" s="626"/>
      <c r="Q58" s="626"/>
      <c r="R58" s="626"/>
      <c r="S58" s="626"/>
      <c r="T58" s="626"/>
      <c r="U58" s="626"/>
      <c r="V58" s="626"/>
      <c r="W58" s="626"/>
      <c r="X58" s="626"/>
      <c r="Y58" s="626"/>
      <c r="Z58" s="626"/>
      <c r="AA58" s="626"/>
      <c r="AB58" s="626"/>
      <c r="AC58" s="626"/>
    </row>
    <row r="59" spans="1:29" ht="15">
      <c r="A59" s="626"/>
      <c r="B59" s="626"/>
      <c r="C59" s="626"/>
      <c r="D59" s="626"/>
      <c r="E59" s="626"/>
      <c r="F59" s="626"/>
      <c r="G59" s="626"/>
      <c r="H59" s="626"/>
      <c r="I59" s="626"/>
      <c r="J59" s="626"/>
      <c r="K59" s="626"/>
      <c r="L59" s="626"/>
      <c r="M59" s="626"/>
      <c r="N59" s="626"/>
      <c r="O59" s="626"/>
      <c r="P59" s="626"/>
      <c r="Q59" s="626"/>
      <c r="R59" s="626"/>
      <c r="S59" s="626"/>
      <c r="T59" s="626"/>
      <c r="U59" s="626"/>
      <c r="V59" s="626"/>
      <c r="W59" s="626"/>
      <c r="X59" s="626"/>
      <c r="Y59" s="626"/>
      <c r="Z59" s="626"/>
      <c r="AA59" s="626"/>
      <c r="AB59" s="626"/>
      <c r="AC59" s="626"/>
    </row>
    <row r="60" spans="1:29" ht="15">
      <c r="A60" s="626"/>
      <c r="B60" s="626"/>
      <c r="C60" s="626"/>
      <c r="D60" s="626"/>
      <c r="E60" s="626"/>
      <c r="F60" s="626"/>
      <c r="G60" s="626"/>
      <c r="H60" s="626"/>
      <c r="I60" s="626"/>
      <c r="J60" s="626"/>
      <c r="K60" s="626"/>
      <c r="L60" s="626"/>
      <c r="M60" s="626"/>
      <c r="N60" s="626"/>
      <c r="O60" s="626"/>
      <c r="P60" s="626"/>
      <c r="Q60" s="626"/>
      <c r="R60" s="626"/>
      <c r="S60" s="626"/>
      <c r="T60" s="626"/>
      <c r="U60" s="626"/>
      <c r="V60" s="626"/>
      <c r="W60" s="626"/>
      <c r="X60" s="626"/>
      <c r="Y60" s="626"/>
      <c r="Z60" s="626"/>
      <c r="AA60" s="626"/>
      <c r="AB60" s="626"/>
      <c r="AC60" s="626"/>
    </row>
    <row r="61" spans="1:29" ht="15">
      <c r="A61" s="626" t="s">
        <v>141</v>
      </c>
      <c r="B61" s="631">
        <v>10900601</v>
      </c>
      <c r="C61" s="626"/>
      <c r="D61" s="626"/>
      <c r="E61" s="626"/>
      <c r="F61" s="626"/>
      <c r="G61" s="626"/>
      <c r="H61" s="626"/>
      <c r="I61" s="626"/>
      <c r="J61" s="626"/>
      <c r="K61" s="626"/>
      <c r="L61" s="626"/>
      <c r="M61" s="626"/>
      <c r="N61" s="626"/>
      <c r="O61" s="626"/>
      <c r="P61" s="626"/>
      <c r="Q61" s="626"/>
      <c r="R61" s="626"/>
      <c r="S61" s="626"/>
      <c r="T61" s="626"/>
      <c r="U61" s="626"/>
      <c r="V61" s="626"/>
      <c r="W61" s="626"/>
      <c r="X61" s="626"/>
      <c r="Y61" s="626"/>
      <c r="Z61" s="626"/>
      <c r="AA61" s="626"/>
      <c r="AB61" s="626"/>
      <c r="AC61" s="626"/>
    </row>
    <row r="62" spans="1:29" ht="15">
      <c r="A62" s="626" t="s">
        <v>142</v>
      </c>
      <c r="B62" s="656">
        <v>36958</v>
      </c>
      <c r="C62" s="626"/>
      <c r="D62" s="626"/>
      <c r="E62" s="626"/>
      <c r="F62" s="626"/>
      <c r="G62" s="626"/>
      <c r="H62" s="626"/>
      <c r="I62" s="626"/>
      <c r="J62" s="626"/>
      <c r="K62" s="626"/>
      <c r="L62" s="626"/>
      <c r="M62" s="626"/>
      <c r="N62" s="626"/>
      <c r="O62" s="626"/>
      <c r="P62" s="626"/>
      <c r="Q62" s="626"/>
      <c r="R62" s="626"/>
      <c r="S62" s="626"/>
      <c r="T62" s="626"/>
      <c r="U62" s="626"/>
      <c r="V62" s="626"/>
      <c r="W62" s="626"/>
      <c r="X62" s="626"/>
      <c r="Y62" s="626"/>
      <c r="Z62" s="626"/>
      <c r="AA62" s="626"/>
      <c r="AB62" s="626"/>
      <c r="AC62" s="626"/>
    </row>
    <row r="63" spans="1:29" ht="15">
      <c r="A63" s="626" t="s">
        <v>143</v>
      </c>
      <c r="B63" s="656">
        <v>824627</v>
      </c>
      <c r="C63" s="626"/>
      <c r="D63" s="626"/>
      <c r="E63" s="626"/>
      <c r="F63" s="626"/>
      <c r="G63" s="626"/>
      <c r="H63" s="626"/>
      <c r="I63" s="626"/>
      <c r="J63" s="626"/>
      <c r="K63" s="626"/>
      <c r="L63" s="626"/>
      <c r="M63" s="626"/>
      <c r="N63" s="626"/>
      <c r="O63" s="626"/>
      <c r="P63" s="626"/>
      <c r="Q63" s="626"/>
      <c r="R63" s="626"/>
      <c r="S63" s="626"/>
      <c r="T63" s="626"/>
      <c r="U63" s="626"/>
      <c r="V63" s="626"/>
      <c r="W63" s="626"/>
      <c r="X63" s="626"/>
      <c r="Y63" s="626"/>
      <c r="Z63" s="626"/>
      <c r="AA63" s="626"/>
      <c r="AB63" s="626"/>
      <c r="AC63" s="626"/>
    </row>
    <row r="64" spans="1:29" ht="15">
      <c r="A64" s="626" t="s">
        <v>144</v>
      </c>
      <c r="B64" s="681">
        <v>294.94</v>
      </c>
      <c r="C64" s="626"/>
      <c r="D64" s="626"/>
      <c r="E64" s="626"/>
      <c r="F64" s="626"/>
      <c r="G64" s="626"/>
      <c r="H64" s="626"/>
      <c r="I64" s="626"/>
      <c r="J64" s="626"/>
      <c r="K64" s="626"/>
      <c r="L64" s="626"/>
      <c r="M64" s="626"/>
      <c r="N64" s="626"/>
      <c r="O64" s="626"/>
      <c r="P64" s="626"/>
      <c r="Q64" s="626"/>
      <c r="R64" s="626"/>
      <c r="S64" s="626"/>
      <c r="T64" s="626"/>
      <c r="U64" s="626"/>
      <c r="V64" s="626"/>
      <c r="W64" s="626"/>
      <c r="X64" s="626"/>
      <c r="Y64" s="626"/>
      <c r="Z64" s="626"/>
      <c r="AA64" s="626"/>
      <c r="AB64" s="626"/>
      <c r="AC64" s="626"/>
    </row>
    <row r="65" spans="1:29" ht="15">
      <c r="A65" s="626" t="s">
        <v>145</v>
      </c>
      <c r="B65" s="681">
        <v>13.22</v>
      </c>
      <c r="C65" s="626"/>
      <c r="D65" s="626"/>
      <c r="E65" s="626"/>
      <c r="F65" s="626"/>
      <c r="G65" s="626"/>
      <c r="H65" s="626"/>
      <c r="I65" s="626"/>
      <c r="J65" s="626"/>
      <c r="K65" s="626"/>
      <c r="L65" s="626"/>
      <c r="M65" s="626"/>
      <c r="N65" s="626"/>
      <c r="O65" s="626"/>
      <c r="P65" s="626"/>
      <c r="Q65" s="626"/>
      <c r="R65" s="626"/>
      <c r="S65" s="626"/>
      <c r="T65" s="626"/>
      <c r="U65" s="626"/>
      <c r="V65" s="626"/>
      <c r="W65" s="626"/>
      <c r="X65" s="626"/>
      <c r="Y65" s="626"/>
      <c r="Z65" s="626"/>
      <c r="AA65" s="626"/>
      <c r="AB65" s="626"/>
      <c r="AC65" s="626"/>
    </row>
    <row r="66" spans="1:29" ht="15">
      <c r="A66" s="626" t="s">
        <v>146</v>
      </c>
      <c r="B66" s="626">
        <v>625</v>
      </c>
      <c r="C66" s="626"/>
      <c r="D66" s="626"/>
      <c r="E66" s="626"/>
      <c r="F66" s="626"/>
      <c r="G66" s="626"/>
      <c r="H66" s="626"/>
      <c r="I66" s="626"/>
      <c r="J66" s="626"/>
      <c r="K66" s="626"/>
      <c r="L66" s="626"/>
      <c r="M66" s="626"/>
      <c r="N66" s="626"/>
      <c r="O66" s="626"/>
      <c r="P66" s="626"/>
      <c r="Q66" s="626"/>
      <c r="R66" s="626"/>
      <c r="S66" s="626"/>
      <c r="T66" s="626"/>
      <c r="U66" s="626"/>
      <c r="V66" s="626"/>
      <c r="W66" s="626"/>
      <c r="X66" s="626"/>
      <c r="Y66" s="626"/>
      <c r="Z66" s="626"/>
      <c r="AA66" s="626"/>
      <c r="AB66" s="626"/>
      <c r="AC66" s="626"/>
    </row>
    <row r="67" spans="1:29" ht="15">
      <c r="A67" s="626" t="s">
        <v>147</v>
      </c>
      <c r="B67" s="626">
        <v>63</v>
      </c>
      <c r="C67" s="626"/>
      <c r="D67" s="626"/>
      <c r="E67" s="626"/>
      <c r="F67" s="626"/>
      <c r="G67" s="626"/>
      <c r="H67" s="626"/>
      <c r="I67" s="626"/>
      <c r="J67" s="626"/>
      <c r="K67" s="626"/>
      <c r="L67" s="626"/>
      <c r="M67" s="626"/>
      <c r="N67" s="626"/>
      <c r="O67" s="626"/>
      <c r="P67" s="626"/>
      <c r="Q67" s="626"/>
      <c r="R67" s="626"/>
      <c r="S67" s="626"/>
      <c r="T67" s="626"/>
      <c r="U67" s="626"/>
      <c r="V67" s="626"/>
      <c r="W67" s="626"/>
      <c r="X67" s="626"/>
      <c r="Y67" s="626"/>
      <c r="Z67" s="626"/>
      <c r="AA67" s="626"/>
      <c r="AB67" s="626"/>
      <c r="AC67" s="626"/>
    </row>
    <row r="68" spans="1:29" ht="15">
      <c r="A68" s="626" t="s">
        <v>148</v>
      </c>
      <c r="B68" s="626">
        <v>688</v>
      </c>
      <c r="C68" s="626"/>
      <c r="D68" s="626"/>
      <c r="E68" s="626"/>
      <c r="F68" s="626"/>
      <c r="G68" s="626"/>
      <c r="H68" s="626"/>
      <c r="I68" s="626"/>
      <c r="J68" s="626"/>
      <c r="K68" s="626"/>
      <c r="L68" s="626"/>
      <c r="M68" s="626"/>
      <c r="N68" s="626"/>
      <c r="O68" s="626"/>
      <c r="P68" s="626"/>
      <c r="Q68" s="626"/>
      <c r="R68" s="626"/>
      <c r="S68" s="626"/>
      <c r="T68" s="626"/>
      <c r="U68" s="626"/>
      <c r="V68" s="626"/>
      <c r="W68" s="626"/>
      <c r="X68" s="626"/>
      <c r="Y68" s="626"/>
      <c r="Z68" s="626"/>
      <c r="AA68" s="626"/>
      <c r="AB68" s="626"/>
      <c r="AC68" s="626"/>
    </row>
    <row r="69" spans="1:29" ht="15">
      <c r="A69" s="626" t="s">
        <v>149</v>
      </c>
      <c r="B69" s="631">
        <v>15855</v>
      </c>
      <c r="C69" s="626"/>
      <c r="D69" s="626"/>
      <c r="E69" s="626"/>
      <c r="F69" s="626"/>
      <c r="G69" s="626"/>
      <c r="H69" s="626"/>
      <c r="I69" s="626"/>
      <c r="J69" s="626"/>
      <c r="K69" s="626"/>
      <c r="L69" s="626"/>
      <c r="M69" s="626"/>
      <c r="N69" s="626"/>
      <c r="O69" s="626"/>
      <c r="P69" s="626"/>
      <c r="Q69" s="626"/>
      <c r="R69" s="626"/>
      <c r="S69" s="626"/>
      <c r="T69" s="626"/>
      <c r="U69" s="626"/>
      <c r="V69" s="626"/>
      <c r="W69" s="626"/>
      <c r="X69" s="626"/>
      <c r="Y69" s="626"/>
      <c r="Z69" s="626"/>
      <c r="AA69" s="626"/>
      <c r="AB69" s="626"/>
      <c r="AC69" s="626"/>
    </row>
    <row r="70" spans="1:29" ht="15"/>
    <row r="71" spans="1:29" ht="15"/>
  </sheetData>
  <mergeCells count="6">
    <mergeCell ref="A14:G14"/>
    <mergeCell ref="I14:O14"/>
    <mergeCell ref="A18:E18"/>
    <mergeCell ref="I18:M18"/>
    <mergeCell ref="B35:C35"/>
    <mergeCell ref="E35:G35"/>
  </mergeCells>
  <pageMargins left="0.7" right="0.7" top="0.75" bottom="0.75" header="0.3" footer="0.3"/>
  <pageSetup orientation="portrait" horizontalDpi="90" verticalDpi="9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C3946-FD7D-417B-B837-DCE81759C255}">
  <sheetPr>
    <tabColor theme="8" tint="0.79998168889431442"/>
  </sheetPr>
  <dimension ref="A1:T58"/>
  <sheetViews>
    <sheetView topLeftCell="A12" zoomScaleNormal="100" workbookViewId="0">
      <selection activeCell="B13" sqref="B13"/>
    </sheetView>
  </sheetViews>
  <sheetFormatPr defaultColWidth="8.7109375" defaultRowHeight="14.45"/>
  <cols>
    <col min="1" max="1" width="0.7109375" style="44" customWidth="1"/>
    <col min="2" max="2" width="29.28515625" style="44" customWidth="1"/>
    <col min="3" max="3" width="28.42578125" style="70" bestFit="1" customWidth="1"/>
    <col min="4" max="4" width="18.5703125" style="44" customWidth="1"/>
    <col min="5" max="5" width="15.7109375" style="44" customWidth="1"/>
    <col min="6" max="6" width="15" style="44" customWidth="1"/>
    <col min="7" max="7" width="13.28515625" style="44" customWidth="1"/>
    <col min="8" max="8" width="13" style="44" customWidth="1"/>
    <col min="9" max="9" width="13.42578125" style="44" customWidth="1"/>
    <col min="10" max="10" width="15.42578125" style="44" customWidth="1"/>
    <col min="11" max="11" width="14.28515625" style="44" customWidth="1"/>
    <col min="12" max="12" width="14.7109375" style="44" customWidth="1"/>
    <col min="13" max="13" width="14.7109375" style="69" customWidth="1"/>
    <col min="14" max="14" width="13" style="69" customWidth="1"/>
    <col min="15" max="15" width="14.28515625" style="44" bestFit="1" customWidth="1"/>
    <col min="16" max="16" width="15.28515625" style="44" bestFit="1" customWidth="1"/>
    <col min="17" max="24" width="8.7109375" style="44"/>
    <col min="25" max="52" width="8.7109375" style="44" bestFit="1" customWidth="1"/>
    <col min="53" max="53" width="12.7109375" style="44" bestFit="1" customWidth="1"/>
    <col min="54" max="65" width="8.7109375" style="44" bestFit="1" customWidth="1"/>
    <col min="66" max="16384" width="8.7109375" style="44"/>
  </cols>
  <sheetData>
    <row r="1" spans="1:20" ht="21">
      <c r="A1" s="149" t="s">
        <v>150</v>
      </c>
    </row>
    <row r="2" spans="1:20">
      <c r="B2" s="148"/>
      <c r="C2" s="145"/>
    </row>
    <row r="3" spans="1:20" ht="18.95" thickBot="1">
      <c r="A3" s="84" t="s">
        <v>151</v>
      </c>
    </row>
    <row r="4" spans="1:20" ht="15" thickBot="1">
      <c r="B4" s="147" t="s">
        <v>152</v>
      </c>
      <c r="C4" s="146" t="s">
        <v>153</v>
      </c>
      <c r="H4" s="145"/>
    </row>
    <row r="5" spans="1:20" s="101" customFormat="1">
      <c r="A5" s="144"/>
      <c r="M5" s="69"/>
      <c r="N5" s="69"/>
    </row>
    <row r="6" spans="1:20" ht="18.95" thickBot="1">
      <c r="A6" s="84" t="s">
        <v>154</v>
      </c>
      <c r="O6" s="101"/>
      <c r="P6" s="101"/>
      <c r="Q6" s="101"/>
      <c r="R6" s="101"/>
      <c r="S6" s="101"/>
      <c r="T6" s="101"/>
    </row>
    <row r="7" spans="1:20" ht="59.25" customHeight="1" thickBot="1">
      <c r="A7" s="84"/>
      <c r="B7" s="143"/>
      <c r="C7" s="713" t="s">
        <v>155</v>
      </c>
      <c r="D7" s="714"/>
      <c r="E7" s="715"/>
      <c r="F7" s="713" t="s">
        <v>156</v>
      </c>
      <c r="G7" s="714"/>
      <c r="H7" s="714"/>
      <c r="I7" s="715"/>
      <c r="J7" s="713" t="s">
        <v>157</v>
      </c>
      <c r="K7" s="715"/>
      <c r="N7" s="142" t="s">
        <v>158</v>
      </c>
      <c r="O7" s="101"/>
      <c r="P7" s="141" t="s">
        <v>159</v>
      </c>
      <c r="Q7" s="101"/>
      <c r="R7" s="101"/>
      <c r="S7" s="101"/>
      <c r="T7" s="101"/>
    </row>
    <row r="8" spans="1:20" ht="29.1">
      <c r="B8" s="140" t="s">
        <v>160</v>
      </c>
      <c r="C8" s="137" t="s">
        <v>161</v>
      </c>
      <c r="D8" s="139" t="s">
        <v>162</v>
      </c>
      <c r="E8" s="136" t="s">
        <v>163</v>
      </c>
      <c r="F8" s="139" t="s">
        <v>161</v>
      </c>
      <c r="G8" s="139" t="s">
        <v>162</v>
      </c>
      <c r="H8" s="139" t="s">
        <v>163</v>
      </c>
      <c r="I8" s="138" t="s">
        <v>158</v>
      </c>
      <c r="J8" s="137" t="s">
        <v>164</v>
      </c>
      <c r="K8" s="136" t="s">
        <v>165</v>
      </c>
      <c r="O8" s="101"/>
      <c r="P8" s="135"/>
      <c r="Q8" s="101"/>
      <c r="R8" s="101"/>
      <c r="S8" s="101"/>
      <c r="T8" s="101"/>
    </row>
    <row r="9" spans="1:20">
      <c r="B9" s="134" t="s">
        <v>166</v>
      </c>
      <c r="C9" s="126">
        <v>0</v>
      </c>
      <c r="D9" s="126">
        <v>0</v>
      </c>
      <c r="E9" s="126">
        <v>188</v>
      </c>
      <c r="F9" s="132">
        <v>3000</v>
      </c>
      <c r="G9" s="131">
        <v>6000</v>
      </c>
      <c r="H9" s="131">
        <v>10092</v>
      </c>
      <c r="I9" s="130" t="s">
        <v>167</v>
      </c>
      <c r="J9" s="129">
        <v>1</v>
      </c>
      <c r="K9" s="128">
        <f t="shared" ref="K9:K14" si="0">1-J9</f>
        <v>0</v>
      </c>
      <c r="N9" s="120" t="s">
        <v>167</v>
      </c>
      <c r="O9" s="101"/>
      <c r="P9" s="119">
        <f t="shared" ref="P9:P14" si="1">SUMPRODUCT(C9:E9,F9:H9)</f>
        <v>1897296</v>
      </c>
      <c r="Q9" s="101"/>
      <c r="R9" s="101"/>
      <c r="S9" s="101"/>
      <c r="T9" s="101"/>
    </row>
    <row r="10" spans="1:20">
      <c r="B10" s="134" t="s">
        <v>168</v>
      </c>
      <c r="C10" s="126">
        <v>0</v>
      </c>
      <c r="D10" s="126">
        <v>0</v>
      </c>
      <c r="E10" s="126">
        <v>19</v>
      </c>
      <c r="F10" s="132">
        <v>13000</v>
      </c>
      <c r="G10" s="131">
        <v>28000</v>
      </c>
      <c r="H10" s="131">
        <v>52013</v>
      </c>
      <c r="I10" s="130" t="s">
        <v>167</v>
      </c>
      <c r="J10" s="129">
        <v>1</v>
      </c>
      <c r="K10" s="128">
        <f t="shared" si="0"/>
        <v>0</v>
      </c>
      <c r="N10" s="120" t="s">
        <v>167</v>
      </c>
      <c r="O10" s="101"/>
      <c r="P10" s="119">
        <f t="shared" si="1"/>
        <v>988247</v>
      </c>
      <c r="Q10" s="101"/>
      <c r="R10" s="101"/>
      <c r="S10" s="101"/>
      <c r="T10" s="101"/>
    </row>
    <row r="11" spans="1:20">
      <c r="B11" s="133" t="s">
        <v>169</v>
      </c>
      <c r="C11" s="126">
        <v>0</v>
      </c>
      <c r="D11" s="126">
        <v>0</v>
      </c>
      <c r="E11" s="126">
        <v>0</v>
      </c>
      <c r="F11" s="132">
        <v>14000</v>
      </c>
      <c r="G11" s="131">
        <v>28000</v>
      </c>
      <c r="H11" s="131">
        <v>56000</v>
      </c>
      <c r="I11" s="130" t="s">
        <v>170</v>
      </c>
      <c r="J11" s="129">
        <v>1</v>
      </c>
      <c r="K11" s="128">
        <f t="shared" si="0"/>
        <v>0</v>
      </c>
      <c r="N11" s="120" t="s">
        <v>170</v>
      </c>
      <c r="O11" s="101"/>
      <c r="P11" s="119">
        <f t="shared" si="1"/>
        <v>0</v>
      </c>
      <c r="Q11" s="101"/>
      <c r="R11" s="101"/>
      <c r="S11" s="101"/>
      <c r="T11" s="101"/>
    </row>
    <row r="12" spans="1:20">
      <c r="B12" s="133" t="s">
        <v>171</v>
      </c>
      <c r="C12" s="126">
        <v>0</v>
      </c>
      <c r="D12" s="126">
        <v>0</v>
      </c>
      <c r="E12" s="126">
        <v>0</v>
      </c>
      <c r="F12" s="132">
        <v>5500</v>
      </c>
      <c r="G12" s="131">
        <v>11000</v>
      </c>
      <c r="H12" s="131">
        <v>22000</v>
      </c>
      <c r="I12" s="130" t="s">
        <v>172</v>
      </c>
      <c r="J12" s="129">
        <v>0</v>
      </c>
      <c r="K12" s="128">
        <f t="shared" si="0"/>
        <v>1</v>
      </c>
      <c r="N12" s="120" t="s">
        <v>172</v>
      </c>
      <c r="O12" s="101"/>
      <c r="P12" s="119">
        <f t="shared" si="1"/>
        <v>0</v>
      </c>
      <c r="Q12" s="101"/>
      <c r="R12" s="101"/>
      <c r="S12" s="101"/>
      <c r="T12" s="101"/>
    </row>
    <row r="13" spans="1:20">
      <c r="B13" s="133" t="s">
        <v>173</v>
      </c>
      <c r="C13" s="126">
        <v>0</v>
      </c>
      <c r="D13" s="126">
        <v>0</v>
      </c>
      <c r="E13" s="126">
        <v>0</v>
      </c>
      <c r="F13" s="132">
        <v>122500</v>
      </c>
      <c r="G13" s="131">
        <v>245000</v>
      </c>
      <c r="H13" s="131">
        <v>490000</v>
      </c>
      <c r="I13" s="130" t="s">
        <v>174</v>
      </c>
      <c r="J13" s="129">
        <v>0</v>
      </c>
      <c r="K13" s="128">
        <f t="shared" si="0"/>
        <v>1</v>
      </c>
      <c r="N13" s="120" t="s">
        <v>174</v>
      </c>
      <c r="O13" s="101"/>
      <c r="P13" s="119">
        <f t="shared" si="1"/>
        <v>0</v>
      </c>
      <c r="Q13" s="101"/>
      <c r="R13" s="101"/>
      <c r="S13" s="101"/>
      <c r="T13" s="101"/>
    </row>
    <row r="14" spans="1:20" ht="15" thickBot="1">
      <c r="B14" s="127" t="s">
        <v>175</v>
      </c>
      <c r="C14" s="126">
        <v>0</v>
      </c>
      <c r="D14" s="126">
        <v>0</v>
      </c>
      <c r="E14" s="126">
        <v>0</v>
      </c>
      <c r="F14" s="125">
        <v>81500</v>
      </c>
      <c r="G14" s="124">
        <v>163000</v>
      </c>
      <c r="H14" s="124">
        <v>326000</v>
      </c>
      <c r="I14" s="123" t="s">
        <v>176</v>
      </c>
      <c r="J14" s="122">
        <v>0</v>
      </c>
      <c r="K14" s="121">
        <f t="shared" si="0"/>
        <v>1</v>
      </c>
      <c r="N14" s="120" t="s">
        <v>176</v>
      </c>
      <c r="O14" s="101"/>
      <c r="P14" s="119">
        <f t="shared" si="1"/>
        <v>0</v>
      </c>
      <c r="Q14" s="101"/>
      <c r="R14" s="101"/>
      <c r="S14" s="101"/>
      <c r="T14" s="101"/>
    </row>
    <row r="15" spans="1:20">
      <c r="B15" s="46"/>
      <c r="C15" s="99"/>
      <c r="D15" s="46"/>
      <c r="E15" s="46"/>
      <c r="F15" s="46"/>
      <c r="G15" s="46"/>
      <c r="H15" s="46"/>
      <c r="I15" s="46"/>
      <c r="J15" s="46"/>
      <c r="K15" s="46"/>
      <c r="O15" s="101"/>
      <c r="P15" s="101"/>
      <c r="Q15" s="101"/>
      <c r="R15" s="101"/>
      <c r="S15" s="101"/>
      <c r="T15" s="101"/>
    </row>
    <row r="16" spans="1:20" s="101" customFormat="1" ht="18.95" thickBot="1">
      <c r="A16" s="118" t="s">
        <v>177</v>
      </c>
      <c r="I16" s="117">
        <v>1</v>
      </c>
      <c r="J16" s="44" t="s">
        <v>178</v>
      </c>
    </row>
    <row r="17" spans="1:13" s="101" customFormat="1">
      <c r="A17" s="44"/>
      <c r="B17" s="100" t="s">
        <v>179</v>
      </c>
      <c r="C17" s="99" t="s">
        <v>180</v>
      </c>
      <c r="D17" s="98">
        <v>1</v>
      </c>
      <c r="E17" s="45"/>
      <c r="I17" s="93">
        <v>2</v>
      </c>
      <c r="J17" s="92" t="s">
        <v>181</v>
      </c>
    </row>
    <row r="18" spans="1:13" s="101" customFormat="1" ht="15" thickBot="1">
      <c r="A18" s="44"/>
      <c r="B18" s="116"/>
      <c r="C18" s="70" t="s">
        <v>182</v>
      </c>
      <c r="E18" s="43"/>
      <c r="I18" s="93">
        <v>3</v>
      </c>
      <c r="J18" s="92" t="s">
        <v>183</v>
      </c>
    </row>
    <row r="19" spans="1:13" s="101" customFormat="1">
      <c r="A19" s="44"/>
      <c r="B19" s="115" t="s">
        <v>184</v>
      </c>
      <c r="C19" s="109" t="s">
        <v>185</v>
      </c>
      <c r="D19" s="98">
        <v>1</v>
      </c>
      <c r="E19" s="108"/>
      <c r="I19" s="93">
        <v>4</v>
      </c>
      <c r="J19" s="92" t="s">
        <v>186</v>
      </c>
    </row>
    <row r="20" spans="1:13" s="101" customFormat="1" ht="15" thickBot="1">
      <c r="A20" s="44"/>
      <c r="B20" s="114"/>
      <c r="C20" s="113" t="s">
        <v>182</v>
      </c>
      <c r="D20" s="112"/>
      <c r="E20" s="111"/>
      <c r="I20" s="93">
        <v>5</v>
      </c>
      <c r="J20" s="92" t="s">
        <v>187</v>
      </c>
    </row>
    <row r="21" spans="1:13" s="101" customFormat="1" ht="15.75" customHeight="1">
      <c r="A21" s="44"/>
      <c r="B21" s="110" t="s">
        <v>188</v>
      </c>
      <c r="C21" s="109"/>
      <c r="D21" s="98">
        <v>12</v>
      </c>
      <c r="E21" s="108"/>
      <c r="I21" s="93">
        <v>6</v>
      </c>
      <c r="J21" s="92" t="s">
        <v>189</v>
      </c>
    </row>
    <row r="22" spans="1:13" s="101" customFormat="1">
      <c r="A22" s="44"/>
      <c r="B22" s="105"/>
      <c r="C22" s="107" t="s">
        <v>190</v>
      </c>
      <c r="E22" s="102"/>
      <c r="I22" s="93">
        <v>7</v>
      </c>
      <c r="J22" s="92" t="s">
        <v>191</v>
      </c>
    </row>
    <row r="23" spans="1:13" s="101" customFormat="1" ht="15.75" customHeight="1">
      <c r="A23" s="44"/>
      <c r="B23" s="105"/>
      <c r="C23" s="107" t="s">
        <v>192</v>
      </c>
      <c r="D23" s="106"/>
      <c r="E23" s="102"/>
      <c r="I23" s="93">
        <v>8</v>
      </c>
      <c r="J23" s="92" t="s">
        <v>193</v>
      </c>
    </row>
    <row r="24" spans="1:13" s="101" customFormat="1" ht="15" thickBot="1">
      <c r="A24" s="44"/>
      <c r="B24" s="105"/>
      <c r="C24" s="104" t="s">
        <v>194</v>
      </c>
      <c r="D24" s="103"/>
      <c r="E24" s="102"/>
      <c r="I24" s="93">
        <v>9</v>
      </c>
      <c r="J24" s="92" t="s">
        <v>195</v>
      </c>
    </row>
    <row r="25" spans="1:13">
      <c r="B25" s="100" t="s">
        <v>196</v>
      </c>
      <c r="C25" s="99" t="s">
        <v>197</v>
      </c>
      <c r="D25" s="98">
        <v>1</v>
      </c>
      <c r="E25" s="45"/>
      <c r="I25" s="93">
        <v>10</v>
      </c>
      <c r="J25" s="92" t="s">
        <v>198</v>
      </c>
    </row>
    <row r="26" spans="1:13" ht="15" thickBot="1">
      <c r="B26" s="97"/>
      <c r="C26" s="96" t="s">
        <v>199</v>
      </c>
      <c r="D26" s="95"/>
      <c r="E26" s="94"/>
      <c r="I26" s="93">
        <v>11</v>
      </c>
      <c r="J26" s="92" t="s">
        <v>200</v>
      </c>
    </row>
    <row r="27" spans="1:13">
      <c r="C27" s="44"/>
      <c r="I27" s="93">
        <v>12</v>
      </c>
      <c r="J27" s="92" t="s">
        <v>201</v>
      </c>
    </row>
    <row r="28" spans="1:13">
      <c r="C28" s="44"/>
      <c r="I28" s="91">
        <v>8</v>
      </c>
      <c r="J28" s="90" t="s">
        <v>202</v>
      </c>
      <c r="L28" s="89"/>
      <c r="M28" s="88"/>
    </row>
    <row r="29" spans="1:13" ht="18.95" thickBot="1">
      <c r="A29" s="84" t="s">
        <v>203</v>
      </c>
    </row>
    <row r="30" spans="1:13" ht="18.600000000000001">
      <c r="A30" s="84"/>
      <c r="B30" s="87"/>
      <c r="C30" s="86" t="s">
        <v>204</v>
      </c>
      <c r="D30" s="86" t="s">
        <v>205</v>
      </c>
      <c r="E30" s="86" t="s">
        <v>206</v>
      </c>
      <c r="F30" s="86" t="s">
        <v>207</v>
      </c>
      <c r="G30" s="86" t="s">
        <v>208</v>
      </c>
      <c r="H30" s="86" t="s">
        <v>209</v>
      </c>
      <c r="I30" s="86" t="s">
        <v>210</v>
      </c>
      <c r="J30" s="86" t="s">
        <v>211</v>
      </c>
      <c r="K30" s="85" t="s">
        <v>212</v>
      </c>
    </row>
    <row r="31" spans="1:13" ht="18.600000000000001">
      <c r="A31" s="84"/>
      <c r="B31" s="83" t="s">
        <v>213</v>
      </c>
      <c r="C31" s="82" t="s">
        <v>214</v>
      </c>
      <c r="D31" s="82" t="s">
        <v>215</v>
      </c>
      <c r="E31" s="82" t="s">
        <v>215</v>
      </c>
      <c r="F31" s="82" t="s">
        <v>215</v>
      </c>
      <c r="G31" s="82" t="s">
        <v>215</v>
      </c>
      <c r="H31" s="82" t="s">
        <v>215</v>
      </c>
      <c r="I31" s="82" t="s">
        <v>215</v>
      </c>
      <c r="J31" s="82" t="s">
        <v>216</v>
      </c>
      <c r="K31" s="81" t="s">
        <v>217</v>
      </c>
    </row>
    <row r="32" spans="1:13">
      <c r="B32" s="79" t="s">
        <v>166</v>
      </c>
      <c r="C32" s="78">
        <v>2486.1</v>
      </c>
      <c r="D32" s="78">
        <v>16071.1</v>
      </c>
      <c r="E32" s="78">
        <v>434.8</v>
      </c>
      <c r="F32" s="78">
        <v>40.700000000000003</v>
      </c>
      <c r="G32" s="78">
        <v>32.700000000000003</v>
      </c>
      <c r="H32" s="78">
        <v>1475.3</v>
      </c>
      <c r="I32" s="78">
        <v>6.5</v>
      </c>
      <c r="J32" s="77">
        <v>1897296</v>
      </c>
      <c r="K32" s="76" t="s">
        <v>167</v>
      </c>
    </row>
    <row r="33" spans="2:11">
      <c r="B33" s="79" t="s">
        <v>168</v>
      </c>
      <c r="C33" s="78">
        <v>1295</v>
      </c>
      <c r="D33" s="78">
        <v>8371</v>
      </c>
      <c r="E33" s="78">
        <v>226.5</v>
      </c>
      <c r="F33" s="78">
        <v>21.2</v>
      </c>
      <c r="G33" s="78">
        <v>17</v>
      </c>
      <c r="H33" s="78">
        <v>768.4</v>
      </c>
      <c r="I33" s="78">
        <v>3.4</v>
      </c>
      <c r="J33" s="77">
        <v>988247</v>
      </c>
      <c r="K33" s="76" t="s">
        <v>167</v>
      </c>
    </row>
    <row r="34" spans="2:11">
      <c r="B34" s="79" t="s">
        <v>169</v>
      </c>
      <c r="C34" s="78" t="s">
        <v>218</v>
      </c>
      <c r="D34" s="78" t="s">
        <v>218</v>
      </c>
      <c r="E34" s="78" t="s">
        <v>218</v>
      </c>
      <c r="F34" s="78" t="s">
        <v>218</v>
      </c>
      <c r="G34" s="78" t="s">
        <v>218</v>
      </c>
      <c r="H34" s="78" t="s">
        <v>218</v>
      </c>
      <c r="I34" s="78" t="s">
        <v>218</v>
      </c>
      <c r="J34" s="77" t="s">
        <v>218</v>
      </c>
      <c r="K34" s="76" t="s">
        <v>219</v>
      </c>
    </row>
    <row r="35" spans="2:11">
      <c r="B35" s="79" t="s">
        <v>171</v>
      </c>
      <c r="C35" s="78" t="s">
        <v>218</v>
      </c>
      <c r="D35" s="78" t="s">
        <v>218</v>
      </c>
      <c r="E35" s="78" t="s">
        <v>218</v>
      </c>
      <c r="F35" s="78" t="s">
        <v>218</v>
      </c>
      <c r="G35" s="78" t="s">
        <v>218</v>
      </c>
      <c r="H35" s="78" t="s">
        <v>218</v>
      </c>
      <c r="I35" s="78" t="s">
        <v>218</v>
      </c>
      <c r="J35" s="77" t="s">
        <v>218</v>
      </c>
      <c r="K35" s="76" t="s">
        <v>220</v>
      </c>
    </row>
    <row r="36" spans="2:11">
      <c r="B36" s="80" t="s">
        <v>173</v>
      </c>
      <c r="C36" s="78" t="s">
        <v>218</v>
      </c>
      <c r="D36" s="78" t="s">
        <v>218</v>
      </c>
      <c r="E36" s="78" t="s">
        <v>218</v>
      </c>
      <c r="F36" s="78" t="s">
        <v>218</v>
      </c>
      <c r="G36" s="78" t="s">
        <v>218</v>
      </c>
      <c r="H36" s="78" t="s">
        <v>218</v>
      </c>
      <c r="I36" s="78" t="s">
        <v>218</v>
      </c>
      <c r="J36" s="77" t="s">
        <v>218</v>
      </c>
      <c r="K36" s="76" t="s">
        <v>221</v>
      </c>
    </row>
    <row r="37" spans="2:11">
      <c r="B37" s="79" t="s">
        <v>175</v>
      </c>
      <c r="C37" s="78" t="s">
        <v>218</v>
      </c>
      <c r="D37" s="78" t="s">
        <v>218</v>
      </c>
      <c r="E37" s="78" t="s">
        <v>218</v>
      </c>
      <c r="F37" s="78" t="s">
        <v>218</v>
      </c>
      <c r="G37" s="78" t="s">
        <v>218</v>
      </c>
      <c r="H37" s="78" t="s">
        <v>218</v>
      </c>
      <c r="I37" s="78" t="s">
        <v>218</v>
      </c>
      <c r="J37" s="77" t="s">
        <v>218</v>
      </c>
      <c r="K37" s="76" t="s">
        <v>220</v>
      </c>
    </row>
    <row r="38" spans="2:11" ht="15" thickBot="1">
      <c r="B38" s="75" t="s">
        <v>222</v>
      </c>
      <c r="C38" s="74">
        <f t="shared" ref="C38:I38" si="2">SUM(C32:C37)</f>
        <v>3781.1</v>
      </c>
      <c r="D38" s="74">
        <f t="shared" si="2"/>
        <v>24442.1</v>
      </c>
      <c r="E38" s="74">
        <f t="shared" si="2"/>
        <v>661.3</v>
      </c>
      <c r="F38" s="74">
        <f t="shared" si="2"/>
        <v>61.900000000000006</v>
      </c>
      <c r="G38" s="74">
        <f t="shared" si="2"/>
        <v>49.7</v>
      </c>
      <c r="H38" s="74">
        <f t="shared" si="2"/>
        <v>2243.6999999999998</v>
      </c>
      <c r="I38" s="74">
        <f t="shared" si="2"/>
        <v>9.9</v>
      </c>
      <c r="J38" s="73"/>
      <c r="K38" s="72"/>
    </row>
    <row r="51" spans="3:10">
      <c r="C51" s="71"/>
      <c r="D51" s="71"/>
      <c r="E51" s="71"/>
      <c r="F51" s="71"/>
      <c r="G51" s="71"/>
      <c r="H51" s="71"/>
      <c r="I51" s="71"/>
      <c r="J51" s="71"/>
    </row>
    <row r="52" spans="3:10">
      <c r="C52" s="71"/>
      <c r="D52" s="71"/>
      <c r="E52" s="71"/>
      <c r="F52" s="71"/>
      <c r="G52" s="71"/>
      <c r="H52" s="71"/>
      <c r="I52" s="71"/>
      <c r="J52" s="71"/>
    </row>
    <row r="53" spans="3:10">
      <c r="C53" s="71"/>
      <c r="D53" s="71"/>
      <c r="E53" s="71"/>
      <c r="F53" s="71"/>
      <c r="G53" s="71"/>
      <c r="H53" s="71"/>
      <c r="I53" s="71"/>
      <c r="J53" s="71"/>
    </row>
    <row r="54" spans="3:10">
      <c r="C54" s="71"/>
      <c r="D54" s="71"/>
      <c r="E54" s="71"/>
      <c r="F54" s="71"/>
      <c r="G54" s="71"/>
      <c r="H54" s="71"/>
      <c r="I54" s="71"/>
      <c r="J54" s="71"/>
    </row>
    <row r="55" spans="3:10">
      <c r="C55" s="71"/>
      <c r="D55" s="71"/>
      <c r="E55" s="71"/>
      <c r="F55" s="71"/>
      <c r="G55" s="71"/>
      <c r="H55" s="71"/>
      <c r="I55" s="71"/>
      <c r="J55" s="71"/>
    </row>
    <row r="56" spans="3:10">
      <c r="C56" s="71"/>
      <c r="D56" s="71"/>
      <c r="E56" s="71"/>
      <c r="F56" s="71"/>
      <c r="G56" s="71"/>
      <c r="H56" s="71"/>
      <c r="I56" s="71"/>
      <c r="J56" s="71"/>
    </row>
    <row r="57" spans="3:10">
      <c r="C57" s="71"/>
      <c r="D57" s="71"/>
      <c r="E57" s="71"/>
      <c r="F57" s="71"/>
      <c r="G57" s="71"/>
      <c r="H57" s="71"/>
      <c r="I57" s="71"/>
      <c r="J57" s="71"/>
    </row>
    <row r="58" spans="3:10">
      <c r="C58" s="71"/>
      <c r="D58" s="71"/>
      <c r="E58" s="71"/>
      <c r="F58" s="71"/>
      <c r="G58" s="71"/>
      <c r="H58" s="71"/>
      <c r="I58" s="71"/>
      <c r="J58" s="71"/>
    </row>
  </sheetData>
  <dataConsolidate/>
  <mergeCells count="3">
    <mergeCell ref="C7:E7"/>
    <mergeCell ref="F7:I7"/>
    <mergeCell ref="J7:K7"/>
  </mergeCells>
  <dataValidations count="4">
    <dataValidation type="list" allowBlank="1" showInputMessage="1" showErrorMessage="1" error="Must choose a number between 1 and 12" sqref="D21" xr:uid="{2CA76791-D7C9-4D79-9A42-3E1C7ACF72E0}">
      <formula1>"1,2,3,4,5,6,7,8,9,10,11,12"</formula1>
    </dataValidation>
    <dataValidation type="list" allowBlank="1" showInputMessage="1" showErrorMessage="1" error="Must choose a number between 1 and 15" prompt="If you select User Defined, enter values in 'Specs' sheet cells Q99:104" sqref="IM22 SI22 ACE22 AMA22 AVW22 BFS22 BPO22 BZK22 CJG22 CTC22 DCY22 DMU22 DWQ22 EGM22 EQI22 FAE22 FKA22 FTW22 GDS22 GNO22 GXK22 HHG22 HRC22 IAY22 IKU22 IUQ22 JEM22 JOI22 JYE22 KIA22 KRW22 LBS22 LLO22 LVK22 MFG22 MPC22 MYY22 NIU22 NSQ22 OCM22 OMI22 OWE22 PGA22 PPW22 PZS22 QJO22 QTK22 RDG22 RNC22 RWY22 SGU22 SQQ22 TAM22 TKI22 TUE22 UEA22 UNW22 UXS22 VHO22 VRK22 WBG22 WLC22 WUY22" xr:uid="{0E2DA58B-196A-4489-8B91-355FF1F47837}">
      <formula1>"1,2,3,4,5,6,7,8,9,10,11,12,13,14,15"</formula1>
    </dataValidation>
    <dataValidation type="list" allowBlank="1" showInputMessage="1" showErrorMessage="1" sqref="C4" xr:uid="{D357B589-6482-4E17-9AE3-B9904762D529}">
      <formula1>state_list</formula1>
    </dataValidation>
    <dataValidation type="list" allowBlank="1" showInputMessage="1" showErrorMessage="1" sqref="D17 D19 D25" xr:uid="{4A5DBE48-675B-48BD-A04C-B8EF31ED6EB1}">
      <formula1>"1,2"</formula1>
    </dataValidation>
  </dataValidations>
  <hyperlinks>
    <hyperlink ref="C24" location="user_defined_mix" display="12 - User Defined (go to 'Intro' sheet)" xr:uid="{B098299C-40E2-4964-B0EC-B4BCEB5BEC41}"/>
  </hyperlinks>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FA3FF-3A66-4CF5-A7FB-D93D531C8AF2}">
  <sheetPr>
    <tabColor theme="8" tint="0.79998168889431442"/>
  </sheetPr>
  <dimension ref="A1:T58"/>
  <sheetViews>
    <sheetView topLeftCell="A5" zoomScaleNormal="100" workbookViewId="0">
      <selection activeCell="S21" sqref="S21"/>
    </sheetView>
  </sheetViews>
  <sheetFormatPr defaultColWidth="8.7109375" defaultRowHeight="14.45"/>
  <cols>
    <col min="1" max="1" width="0.7109375" style="44" customWidth="1"/>
    <col min="2" max="2" width="29.28515625" style="44" customWidth="1"/>
    <col min="3" max="3" width="28.42578125" style="70" bestFit="1" customWidth="1"/>
    <col min="4" max="4" width="18.5703125" style="44" customWidth="1"/>
    <col min="5" max="5" width="15.7109375" style="44" customWidth="1"/>
    <col min="6" max="6" width="15" style="44" customWidth="1"/>
    <col min="7" max="7" width="13.28515625" style="44" customWidth="1"/>
    <col min="8" max="8" width="13" style="44" customWidth="1"/>
    <col min="9" max="9" width="13.42578125" style="44" customWidth="1"/>
    <col min="10" max="10" width="15.42578125" style="44" customWidth="1"/>
    <col min="11" max="11" width="14.28515625" style="44" customWidth="1"/>
    <col min="12" max="12" width="14.7109375" style="44" customWidth="1"/>
    <col min="13" max="13" width="14.7109375" style="69" customWidth="1"/>
    <col min="14" max="14" width="13" style="69" customWidth="1"/>
    <col min="15" max="15" width="14.28515625" style="44" bestFit="1" customWidth="1"/>
    <col min="16" max="16" width="15.28515625" style="44" bestFit="1" customWidth="1"/>
    <col min="17" max="24" width="8.7109375" style="44"/>
    <col min="25" max="52" width="8.7109375" style="44" bestFit="1" customWidth="1"/>
    <col min="53" max="53" width="12.7109375" style="44" bestFit="1" customWidth="1"/>
    <col min="54" max="65" width="8.7109375" style="44" bestFit="1" customWidth="1"/>
    <col min="66" max="16384" width="8.7109375" style="44"/>
  </cols>
  <sheetData>
    <row r="1" spans="1:20" ht="21">
      <c r="A1" s="149" t="s">
        <v>150</v>
      </c>
    </row>
    <row r="2" spans="1:20">
      <c r="B2" s="148"/>
      <c r="C2" s="145"/>
    </row>
    <row r="3" spans="1:20" ht="18.95" thickBot="1">
      <c r="A3" s="84" t="s">
        <v>151</v>
      </c>
    </row>
    <row r="4" spans="1:20" ht="15" thickBot="1">
      <c r="B4" s="147" t="s">
        <v>152</v>
      </c>
      <c r="C4" s="146" t="s">
        <v>153</v>
      </c>
      <c r="H4" s="145"/>
    </row>
    <row r="5" spans="1:20" s="101" customFormat="1">
      <c r="A5" s="144"/>
      <c r="M5" s="69"/>
      <c r="N5" s="69"/>
    </row>
    <row r="6" spans="1:20" ht="18.95" thickBot="1">
      <c r="A6" s="84" t="s">
        <v>154</v>
      </c>
      <c r="O6" s="101"/>
      <c r="P6" s="101"/>
      <c r="Q6" s="101"/>
      <c r="R6" s="101"/>
      <c r="S6" s="101"/>
      <c r="T6" s="101"/>
    </row>
    <row r="7" spans="1:20" ht="59.25" customHeight="1" thickBot="1">
      <c r="A7" s="84"/>
      <c r="B7" s="143"/>
      <c r="C7" s="713" t="s">
        <v>155</v>
      </c>
      <c r="D7" s="714"/>
      <c r="E7" s="715"/>
      <c r="F7" s="713" t="s">
        <v>156</v>
      </c>
      <c r="G7" s="714"/>
      <c r="H7" s="714"/>
      <c r="I7" s="715"/>
      <c r="J7" s="713" t="s">
        <v>157</v>
      </c>
      <c r="K7" s="715"/>
      <c r="N7" s="142" t="s">
        <v>158</v>
      </c>
      <c r="O7" s="101"/>
      <c r="P7" s="141" t="s">
        <v>159</v>
      </c>
      <c r="Q7" s="101"/>
      <c r="R7" s="101"/>
      <c r="S7" s="101"/>
      <c r="T7" s="101"/>
    </row>
    <row r="8" spans="1:20" ht="29.1">
      <c r="B8" s="140" t="s">
        <v>160</v>
      </c>
      <c r="C8" s="137" t="s">
        <v>161</v>
      </c>
      <c r="D8" s="139" t="s">
        <v>162</v>
      </c>
      <c r="E8" s="136" t="s">
        <v>163</v>
      </c>
      <c r="F8" s="139" t="s">
        <v>161</v>
      </c>
      <c r="G8" s="139" t="s">
        <v>162</v>
      </c>
      <c r="H8" s="139" t="s">
        <v>163</v>
      </c>
      <c r="I8" s="138" t="s">
        <v>158</v>
      </c>
      <c r="J8" s="137" t="s">
        <v>164</v>
      </c>
      <c r="K8" s="136" t="s">
        <v>165</v>
      </c>
      <c r="O8" s="101"/>
      <c r="P8" s="135"/>
      <c r="Q8" s="101"/>
      <c r="R8" s="101"/>
      <c r="S8" s="101"/>
      <c r="T8" s="101"/>
    </row>
    <row r="9" spans="1:20">
      <c r="B9" s="134" t="s">
        <v>166</v>
      </c>
      <c r="C9" s="126">
        <v>0</v>
      </c>
      <c r="D9" s="126">
        <v>0</v>
      </c>
      <c r="E9" s="126">
        <v>188</v>
      </c>
      <c r="F9" s="132">
        <v>3000</v>
      </c>
      <c r="G9" s="131">
        <v>6000</v>
      </c>
      <c r="H9" s="131">
        <v>25229</v>
      </c>
      <c r="I9" s="130" t="s">
        <v>167</v>
      </c>
      <c r="J9" s="154">
        <v>1</v>
      </c>
      <c r="K9" s="153">
        <f t="shared" ref="K9:K14" si="0">1-J9</f>
        <v>0</v>
      </c>
      <c r="N9" s="120" t="s">
        <v>167</v>
      </c>
      <c r="O9" s="101"/>
      <c r="P9" s="119">
        <f t="shared" ref="P9:P14" si="1">SUMPRODUCT(C9:E9,F9:H9)</f>
        <v>4743052</v>
      </c>
      <c r="Q9" s="101"/>
      <c r="R9" s="101"/>
      <c r="S9" s="101"/>
      <c r="T9" s="101"/>
    </row>
    <row r="10" spans="1:20">
      <c r="B10" s="134" t="s">
        <v>168</v>
      </c>
      <c r="C10" s="126">
        <v>0</v>
      </c>
      <c r="D10" s="126">
        <v>0</v>
      </c>
      <c r="E10" s="126">
        <v>19</v>
      </c>
      <c r="F10" s="132">
        <v>13000</v>
      </c>
      <c r="G10" s="131">
        <v>28000</v>
      </c>
      <c r="H10" s="131">
        <v>328500</v>
      </c>
      <c r="I10" s="130" t="s">
        <v>167</v>
      </c>
      <c r="J10" s="154">
        <v>1</v>
      </c>
      <c r="K10" s="153">
        <f t="shared" si="0"/>
        <v>0</v>
      </c>
      <c r="N10" s="120" t="s">
        <v>167</v>
      </c>
      <c r="O10" s="101"/>
      <c r="P10" s="119">
        <f t="shared" si="1"/>
        <v>6241500</v>
      </c>
      <c r="Q10" s="101"/>
      <c r="R10" s="101"/>
      <c r="S10" s="101"/>
      <c r="T10" s="101"/>
    </row>
    <row r="11" spans="1:20">
      <c r="B11" s="133" t="s">
        <v>169</v>
      </c>
      <c r="C11" s="126">
        <v>0</v>
      </c>
      <c r="D11" s="126">
        <v>0</v>
      </c>
      <c r="E11" s="126">
        <v>0</v>
      </c>
      <c r="F11" s="132">
        <v>14000</v>
      </c>
      <c r="G11" s="131">
        <v>28000</v>
      </c>
      <c r="H11" s="131">
        <v>56000</v>
      </c>
      <c r="I11" s="130" t="s">
        <v>170</v>
      </c>
      <c r="J11" s="154">
        <v>1</v>
      </c>
      <c r="K11" s="153">
        <f t="shared" si="0"/>
        <v>0</v>
      </c>
      <c r="N11" s="120" t="s">
        <v>170</v>
      </c>
      <c r="O11" s="101"/>
      <c r="P11" s="119">
        <f t="shared" si="1"/>
        <v>0</v>
      </c>
      <c r="Q11" s="101"/>
      <c r="R11" s="101"/>
      <c r="S11" s="101"/>
      <c r="T11" s="101"/>
    </row>
    <row r="12" spans="1:20">
      <c r="B12" s="133" t="s">
        <v>171</v>
      </c>
      <c r="C12" s="126">
        <v>0</v>
      </c>
      <c r="D12" s="126">
        <v>0</v>
      </c>
      <c r="E12" s="126">
        <v>0</v>
      </c>
      <c r="F12" s="132">
        <v>5500</v>
      </c>
      <c r="G12" s="131">
        <v>11000</v>
      </c>
      <c r="H12" s="131">
        <v>22000</v>
      </c>
      <c r="I12" s="130" t="s">
        <v>172</v>
      </c>
      <c r="J12" s="154">
        <v>0</v>
      </c>
      <c r="K12" s="153">
        <f t="shared" si="0"/>
        <v>1</v>
      </c>
      <c r="N12" s="120" t="s">
        <v>172</v>
      </c>
      <c r="O12" s="101"/>
      <c r="P12" s="119">
        <f t="shared" si="1"/>
        <v>0</v>
      </c>
      <c r="Q12" s="101"/>
      <c r="R12" s="101"/>
      <c r="S12" s="101"/>
      <c r="T12" s="101"/>
    </row>
    <row r="13" spans="1:20">
      <c r="B13" s="133" t="s">
        <v>173</v>
      </c>
      <c r="C13" s="126">
        <v>0</v>
      </c>
      <c r="D13" s="126">
        <v>0</v>
      </c>
      <c r="E13" s="126">
        <v>0</v>
      </c>
      <c r="F13" s="132">
        <v>122500</v>
      </c>
      <c r="G13" s="131">
        <v>245000</v>
      </c>
      <c r="H13" s="131">
        <v>490000</v>
      </c>
      <c r="I13" s="130" t="s">
        <v>174</v>
      </c>
      <c r="J13" s="154">
        <v>0</v>
      </c>
      <c r="K13" s="153">
        <f t="shared" si="0"/>
        <v>1</v>
      </c>
      <c r="N13" s="120" t="s">
        <v>174</v>
      </c>
      <c r="O13" s="101"/>
      <c r="P13" s="119">
        <f t="shared" si="1"/>
        <v>0</v>
      </c>
      <c r="Q13" s="101"/>
      <c r="R13" s="101"/>
      <c r="S13" s="101"/>
      <c r="T13" s="101"/>
    </row>
    <row r="14" spans="1:20" ht="15" thickBot="1">
      <c r="B14" s="127" t="s">
        <v>175</v>
      </c>
      <c r="C14" s="126">
        <v>0</v>
      </c>
      <c r="D14" s="126">
        <v>0</v>
      </c>
      <c r="E14" s="126">
        <v>0</v>
      </c>
      <c r="F14" s="125">
        <v>81500</v>
      </c>
      <c r="G14" s="124">
        <v>163000</v>
      </c>
      <c r="H14" s="124">
        <v>326000</v>
      </c>
      <c r="I14" s="123" t="s">
        <v>176</v>
      </c>
      <c r="J14" s="152">
        <v>0</v>
      </c>
      <c r="K14" s="151">
        <f t="shared" si="0"/>
        <v>1</v>
      </c>
      <c r="N14" s="120" t="s">
        <v>176</v>
      </c>
      <c r="O14" s="101"/>
      <c r="P14" s="119">
        <f t="shared" si="1"/>
        <v>0</v>
      </c>
      <c r="Q14" s="101"/>
      <c r="R14" s="101"/>
      <c r="S14" s="101"/>
      <c r="T14" s="101"/>
    </row>
    <row r="15" spans="1:20">
      <c r="B15" s="46"/>
      <c r="C15" s="99"/>
      <c r="D15" s="46"/>
      <c r="E15" s="46"/>
      <c r="F15" s="46"/>
      <c r="G15" s="46"/>
      <c r="H15" s="46"/>
      <c r="I15" s="46"/>
      <c r="J15" s="46"/>
      <c r="K15" s="46"/>
      <c r="O15" s="101"/>
      <c r="P15" s="101"/>
      <c r="Q15" s="101"/>
      <c r="R15" s="101"/>
      <c r="S15" s="101"/>
      <c r="T15" s="101"/>
    </row>
    <row r="16" spans="1:20" s="101" customFormat="1" ht="18.95" thickBot="1">
      <c r="A16" s="118" t="s">
        <v>177</v>
      </c>
      <c r="I16" s="117">
        <v>1</v>
      </c>
      <c r="J16" s="44" t="s">
        <v>178</v>
      </c>
    </row>
    <row r="17" spans="1:13" s="101" customFormat="1">
      <c r="A17" s="44"/>
      <c r="B17" s="100" t="s">
        <v>179</v>
      </c>
      <c r="C17" s="99" t="s">
        <v>180</v>
      </c>
      <c r="D17" s="98">
        <v>1</v>
      </c>
      <c r="E17" s="45"/>
      <c r="I17" s="93">
        <v>2</v>
      </c>
      <c r="J17" s="92" t="s">
        <v>181</v>
      </c>
    </row>
    <row r="18" spans="1:13" s="101" customFormat="1" ht="15" thickBot="1">
      <c r="A18" s="44"/>
      <c r="B18" s="116"/>
      <c r="C18" s="70" t="s">
        <v>182</v>
      </c>
      <c r="E18" s="43"/>
      <c r="I18" s="93">
        <v>3</v>
      </c>
      <c r="J18" s="92" t="s">
        <v>183</v>
      </c>
    </row>
    <row r="19" spans="1:13" s="101" customFormat="1">
      <c r="A19" s="44"/>
      <c r="B19" s="115" t="s">
        <v>184</v>
      </c>
      <c r="C19" s="109" t="s">
        <v>185</v>
      </c>
      <c r="D19" s="98">
        <v>1</v>
      </c>
      <c r="E19" s="108"/>
      <c r="I19" s="93">
        <v>4</v>
      </c>
      <c r="J19" s="92" t="s">
        <v>186</v>
      </c>
    </row>
    <row r="20" spans="1:13" s="101" customFormat="1" ht="15" thickBot="1">
      <c r="A20" s="44"/>
      <c r="B20" s="114"/>
      <c r="C20" s="113" t="s">
        <v>182</v>
      </c>
      <c r="D20" s="112"/>
      <c r="E20" s="111"/>
      <c r="I20" s="93">
        <v>5</v>
      </c>
      <c r="J20" s="92" t="s">
        <v>187</v>
      </c>
    </row>
    <row r="21" spans="1:13" s="101" customFormat="1" ht="15.75" customHeight="1">
      <c r="A21" s="44"/>
      <c r="B21" s="110" t="s">
        <v>188</v>
      </c>
      <c r="C21" s="109"/>
      <c r="D21" s="98">
        <v>12</v>
      </c>
      <c r="E21" s="108"/>
      <c r="I21" s="93">
        <v>6</v>
      </c>
      <c r="J21" s="92" t="s">
        <v>189</v>
      </c>
    </row>
    <row r="22" spans="1:13" s="101" customFormat="1">
      <c r="A22" s="44"/>
      <c r="B22" s="105"/>
      <c r="C22" s="150" t="s">
        <v>190</v>
      </c>
      <c r="E22" s="102"/>
      <c r="I22" s="93">
        <v>7</v>
      </c>
      <c r="J22" s="92" t="s">
        <v>191</v>
      </c>
    </row>
    <row r="23" spans="1:13" s="101" customFormat="1" ht="15.75" customHeight="1">
      <c r="A23" s="44"/>
      <c r="B23" s="105"/>
      <c r="C23" s="150" t="s">
        <v>192</v>
      </c>
      <c r="D23" s="106"/>
      <c r="E23" s="102"/>
      <c r="I23" s="93">
        <v>8</v>
      </c>
      <c r="J23" s="92" t="s">
        <v>193</v>
      </c>
    </row>
    <row r="24" spans="1:13" s="101" customFormat="1" ht="15" thickBot="1">
      <c r="A24" s="44"/>
      <c r="B24" s="105"/>
      <c r="C24" s="104" t="s">
        <v>194</v>
      </c>
      <c r="D24" s="103"/>
      <c r="E24" s="102"/>
      <c r="I24" s="93">
        <v>9</v>
      </c>
      <c r="J24" s="92" t="s">
        <v>195</v>
      </c>
    </row>
    <row r="25" spans="1:13">
      <c r="B25" s="100" t="s">
        <v>196</v>
      </c>
      <c r="C25" s="99" t="s">
        <v>197</v>
      </c>
      <c r="D25" s="98">
        <v>1</v>
      </c>
      <c r="E25" s="45"/>
      <c r="I25" s="93">
        <v>10</v>
      </c>
      <c r="J25" s="92" t="s">
        <v>198</v>
      </c>
    </row>
    <row r="26" spans="1:13" ht="15" thickBot="1">
      <c r="B26" s="97"/>
      <c r="C26" s="96" t="s">
        <v>199</v>
      </c>
      <c r="D26" s="95"/>
      <c r="E26" s="94"/>
      <c r="I26" s="93">
        <v>11</v>
      </c>
      <c r="J26" s="92" t="s">
        <v>200</v>
      </c>
    </row>
    <row r="27" spans="1:13">
      <c r="C27" s="44"/>
      <c r="I27" s="93">
        <v>12</v>
      </c>
      <c r="J27" s="92" t="s">
        <v>201</v>
      </c>
    </row>
    <row r="28" spans="1:13">
      <c r="C28" s="44"/>
      <c r="I28" s="91">
        <v>8</v>
      </c>
      <c r="J28" s="90" t="s">
        <v>202</v>
      </c>
      <c r="L28" s="89"/>
      <c r="M28" s="88"/>
    </row>
    <row r="29" spans="1:13" ht="18.95" thickBot="1">
      <c r="A29" s="84" t="s">
        <v>203</v>
      </c>
    </row>
    <row r="30" spans="1:13" ht="18.600000000000001">
      <c r="A30" s="84"/>
      <c r="B30" s="87"/>
      <c r="C30" s="86" t="s">
        <v>204</v>
      </c>
      <c r="D30" s="86" t="s">
        <v>205</v>
      </c>
      <c r="E30" s="86" t="s">
        <v>206</v>
      </c>
      <c r="F30" s="86" t="s">
        <v>207</v>
      </c>
      <c r="G30" s="86" t="s">
        <v>208</v>
      </c>
      <c r="H30" s="86" t="s">
        <v>209</v>
      </c>
      <c r="I30" s="86" t="s">
        <v>210</v>
      </c>
      <c r="J30" s="86" t="s">
        <v>211</v>
      </c>
      <c r="K30" s="85" t="s">
        <v>212</v>
      </c>
    </row>
    <row r="31" spans="1:13" ht="18.600000000000001">
      <c r="A31" s="84"/>
      <c r="B31" s="83" t="s">
        <v>213</v>
      </c>
      <c r="C31" s="82" t="s">
        <v>214</v>
      </c>
      <c r="D31" s="82" t="s">
        <v>215</v>
      </c>
      <c r="E31" s="82" t="s">
        <v>215</v>
      </c>
      <c r="F31" s="82" t="s">
        <v>215</v>
      </c>
      <c r="G31" s="82" t="s">
        <v>215</v>
      </c>
      <c r="H31" s="82" t="s">
        <v>215</v>
      </c>
      <c r="I31" s="82" t="s">
        <v>215</v>
      </c>
      <c r="J31" s="82" t="s">
        <v>216</v>
      </c>
      <c r="K31" s="81" t="s">
        <v>217</v>
      </c>
    </row>
    <row r="32" spans="1:13">
      <c r="B32" s="79" t="s">
        <v>166</v>
      </c>
      <c r="C32" s="78">
        <v>6215.1</v>
      </c>
      <c r="D32" s="78">
        <v>40176.1</v>
      </c>
      <c r="E32" s="78">
        <v>1087</v>
      </c>
      <c r="F32" s="78">
        <v>101.6</v>
      </c>
      <c r="G32" s="78">
        <v>81.7</v>
      </c>
      <c r="H32" s="78">
        <v>3688.1</v>
      </c>
      <c r="I32" s="78">
        <v>16.3</v>
      </c>
      <c r="J32" s="77">
        <v>4743052</v>
      </c>
      <c r="K32" s="76" t="s">
        <v>167</v>
      </c>
    </row>
    <row r="33" spans="2:11">
      <c r="B33" s="79" t="s">
        <v>168</v>
      </c>
      <c r="C33" s="78">
        <v>8178.6</v>
      </c>
      <c r="D33" s="78">
        <v>52868.7</v>
      </c>
      <c r="E33" s="78">
        <v>1430.5</v>
      </c>
      <c r="F33" s="78">
        <v>133.69999999999999</v>
      </c>
      <c r="G33" s="78">
        <v>107.6</v>
      </c>
      <c r="H33" s="78">
        <v>4853.2</v>
      </c>
      <c r="I33" s="78">
        <v>21.4</v>
      </c>
      <c r="J33" s="77">
        <v>6241500</v>
      </c>
      <c r="K33" s="76" t="s">
        <v>167</v>
      </c>
    </row>
    <row r="34" spans="2:11">
      <c r="B34" s="79" t="s">
        <v>169</v>
      </c>
      <c r="C34" s="78" t="s">
        <v>218</v>
      </c>
      <c r="D34" s="78" t="s">
        <v>218</v>
      </c>
      <c r="E34" s="78" t="s">
        <v>218</v>
      </c>
      <c r="F34" s="78" t="s">
        <v>218</v>
      </c>
      <c r="G34" s="78" t="s">
        <v>218</v>
      </c>
      <c r="H34" s="78" t="s">
        <v>218</v>
      </c>
      <c r="I34" s="78" t="s">
        <v>218</v>
      </c>
      <c r="J34" s="77" t="s">
        <v>218</v>
      </c>
      <c r="K34" s="76" t="s">
        <v>219</v>
      </c>
    </row>
    <row r="35" spans="2:11">
      <c r="B35" s="79" t="s">
        <v>171</v>
      </c>
      <c r="C35" s="78" t="s">
        <v>218</v>
      </c>
      <c r="D35" s="78" t="s">
        <v>218</v>
      </c>
      <c r="E35" s="78" t="s">
        <v>218</v>
      </c>
      <c r="F35" s="78" t="s">
        <v>218</v>
      </c>
      <c r="G35" s="78" t="s">
        <v>218</v>
      </c>
      <c r="H35" s="78" t="s">
        <v>218</v>
      </c>
      <c r="I35" s="78" t="s">
        <v>218</v>
      </c>
      <c r="J35" s="77" t="s">
        <v>218</v>
      </c>
      <c r="K35" s="76" t="s">
        <v>220</v>
      </c>
    </row>
    <row r="36" spans="2:11">
      <c r="B36" s="80" t="s">
        <v>173</v>
      </c>
      <c r="C36" s="78" t="s">
        <v>218</v>
      </c>
      <c r="D36" s="78" t="s">
        <v>218</v>
      </c>
      <c r="E36" s="78" t="s">
        <v>218</v>
      </c>
      <c r="F36" s="78" t="s">
        <v>218</v>
      </c>
      <c r="G36" s="78" t="s">
        <v>218</v>
      </c>
      <c r="H36" s="78" t="s">
        <v>218</v>
      </c>
      <c r="I36" s="78" t="s">
        <v>218</v>
      </c>
      <c r="J36" s="77" t="s">
        <v>218</v>
      </c>
      <c r="K36" s="76" t="s">
        <v>221</v>
      </c>
    </row>
    <row r="37" spans="2:11">
      <c r="B37" s="79" t="s">
        <v>175</v>
      </c>
      <c r="C37" s="78" t="s">
        <v>218</v>
      </c>
      <c r="D37" s="78" t="s">
        <v>218</v>
      </c>
      <c r="E37" s="78" t="s">
        <v>218</v>
      </c>
      <c r="F37" s="78" t="s">
        <v>218</v>
      </c>
      <c r="G37" s="78" t="s">
        <v>218</v>
      </c>
      <c r="H37" s="78" t="s">
        <v>218</v>
      </c>
      <c r="I37" s="78" t="s">
        <v>218</v>
      </c>
      <c r="J37" s="77" t="s">
        <v>218</v>
      </c>
      <c r="K37" s="76" t="s">
        <v>220</v>
      </c>
    </row>
    <row r="38" spans="2:11" ht="15" thickBot="1">
      <c r="B38" s="75" t="s">
        <v>222</v>
      </c>
      <c r="C38" s="74">
        <f t="shared" ref="C38:I38" si="2">SUM(C32:C37)</f>
        <v>14393.7</v>
      </c>
      <c r="D38" s="74">
        <f t="shared" si="2"/>
        <v>93044.799999999988</v>
      </c>
      <c r="E38" s="74">
        <f t="shared" si="2"/>
        <v>2517.5</v>
      </c>
      <c r="F38" s="74">
        <f t="shared" si="2"/>
        <v>235.29999999999998</v>
      </c>
      <c r="G38" s="74">
        <f t="shared" si="2"/>
        <v>189.3</v>
      </c>
      <c r="H38" s="74">
        <f t="shared" si="2"/>
        <v>8541.2999999999993</v>
      </c>
      <c r="I38" s="74">
        <f t="shared" si="2"/>
        <v>37.700000000000003</v>
      </c>
      <c r="J38" s="73"/>
      <c r="K38" s="72"/>
    </row>
    <row r="51" spans="3:10">
      <c r="C51" s="71"/>
      <c r="D51" s="71"/>
      <c r="E51" s="71"/>
      <c r="F51" s="71"/>
      <c r="G51" s="71"/>
      <c r="H51" s="71"/>
      <c r="I51" s="71"/>
      <c r="J51" s="71"/>
    </row>
    <row r="52" spans="3:10">
      <c r="C52" s="71"/>
      <c r="D52" s="71"/>
      <c r="E52" s="71"/>
      <c r="F52" s="71"/>
      <c r="G52" s="71"/>
      <c r="H52" s="71"/>
      <c r="I52" s="71"/>
      <c r="J52" s="71"/>
    </row>
    <row r="53" spans="3:10">
      <c r="C53" s="71"/>
      <c r="D53" s="71"/>
      <c r="E53" s="71"/>
      <c r="F53" s="71"/>
      <c r="G53" s="71"/>
      <c r="H53" s="71"/>
      <c r="I53" s="71"/>
      <c r="J53" s="71"/>
    </row>
    <row r="54" spans="3:10">
      <c r="C54" s="71"/>
      <c r="D54" s="71"/>
      <c r="E54" s="71"/>
      <c r="F54" s="71"/>
      <c r="G54" s="71"/>
      <c r="H54" s="71"/>
      <c r="I54" s="71"/>
      <c r="J54" s="71"/>
    </row>
    <row r="55" spans="3:10">
      <c r="C55" s="71"/>
      <c r="D55" s="71"/>
      <c r="E55" s="71"/>
      <c r="F55" s="71"/>
      <c r="G55" s="71"/>
      <c r="H55" s="71"/>
      <c r="I55" s="71"/>
      <c r="J55" s="71"/>
    </row>
    <row r="56" spans="3:10">
      <c r="C56" s="71"/>
      <c r="D56" s="71"/>
      <c r="E56" s="71"/>
      <c r="F56" s="71"/>
      <c r="G56" s="71"/>
      <c r="H56" s="71"/>
      <c r="I56" s="71"/>
      <c r="J56" s="71"/>
    </row>
    <row r="57" spans="3:10">
      <c r="C57" s="71"/>
      <c r="D57" s="71"/>
      <c r="E57" s="71"/>
      <c r="F57" s="71"/>
      <c r="G57" s="71"/>
      <c r="H57" s="71"/>
      <c r="I57" s="71"/>
      <c r="J57" s="71"/>
    </row>
    <row r="58" spans="3:10">
      <c r="C58" s="71"/>
      <c r="D58" s="71"/>
      <c r="E58" s="71"/>
      <c r="F58" s="71"/>
      <c r="G58" s="71"/>
      <c r="H58" s="71"/>
      <c r="I58" s="71"/>
      <c r="J58" s="71"/>
    </row>
  </sheetData>
  <dataConsolidate/>
  <mergeCells count="3">
    <mergeCell ref="C7:E7"/>
    <mergeCell ref="F7:I7"/>
    <mergeCell ref="J7:K7"/>
  </mergeCells>
  <dataValidations count="4">
    <dataValidation type="list" allowBlank="1" showInputMessage="1" showErrorMessage="1" error="Must choose a number between 1 and 12" sqref="D21" xr:uid="{77EB5308-9585-41AB-B748-2163303DBD2F}">
      <formula1>"1,2,3,4,5,6,7,8,9,10,11,12"</formula1>
    </dataValidation>
    <dataValidation type="list" allowBlank="1" showInputMessage="1" showErrorMessage="1" error="Must choose a number between 1 and 15" prompt="If you select User Defined, enter values in 'Specs' sheet cells Q99:104" sqref="IM22 SI22 ACE22 AMA22 AVW22 BFS22 BPO22 BZK22 CJG22 CTC22 DCY22 DMU22 DWQ22 EGM22 EQI22 FAE22 FKA22 FTW22 GDS22 GNO22 GXK22 HHG22 HRC22 IAY22 IKU22 IUQ22 JEM22 JOI22 JYE22 KIA22 KRW22 LBS22 LLO22 LVK22 MFG22 MPC22 MYY22 NIU22 NSQ22 OCM22 OMI22 OWE22 PGA22 PPW22 PZS22 QJO22 QTK22 RDG22 RNC22 RWY22 SGU22 SQQ22 TAM22 TKI22 TUE22 UEA22 UNW22 UXS22 VHO22 VRK22 WBG22 WLC22 WUY22" xr:uid="{F2940047-59EE-4E88-87C1-D300F8765CF0}">
      <formula1>"1,2,3,4,5,6,7,8,9,10,11,12,13,14,15"</formula1>
    </dataValidation>
    <dataValidation type="list" allowBlank="1" showInputMessage="1" showErrorMessage="1" sqref="C4" xr:uid="{98C3DF1A-871B-492A-B71C-9C86C71ECADF}">
      <formula1>state_list</formula1>
    </dataValidation>
    <dataValidation type="list" allowBlank="1" showInputMessage="1" showErrorMessage="1" sqref="D17 D19 D25" xr:uid="{2DB0BB3A-40FE-44E6-99D2-3BBF2B2DF4BA}">
      <formula1>"1,2"</formula1>
    </dataValidation>
  </dataValidations>
  <hyperlinks>
    <hyperlink ref="C24" location="user_defined_mix" display="12 - User Defined (go to 'Intro' sheet)" xr:uid="{D72CF451-4921-4C8A-B97A-54F93A567B03}"/>
  </hyperlinks>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BROWN Martin * DEQ</dc:creator>
  <cp:keywords/>
  <dc:description/>
  <cp:lastModifiedBy>SCHAFER Morgan * DEQ</cp:lastModifiedBy>
  <cp:revision/>
  <dcterms:created xsi:type="dcterms:W3CDTF">2024-01-24T01:03:21Z</dcterms:created>
  <dcterms:modified xsi:type="dcterms:W3CDTF">2024-03-29T16:49:41Z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b79d039-fcd0-4045-9c78-4cfb2eba0904_Enabled">
    <vt:lpwstr>true</vt:lpwstr>
  </property>
  <property fmtid="{D5CDD505-2E9C-101B-9397-08002B2CF9AE}" pid="3" name="MSIP_Label_db79d039-fcd0-4045-9c78-4cfb2eba0904_SetDate">
    <vt:lpwstr>2024-01-24T01:31:18Z</vt:lpwstr>
  </property>
  <property fmtid="{D5CDD505-2E9C-101B-9397-08002B2CF9AE}" pid="4" name="MSIP_Label_db79d039-fcd0-4045-9c78-4cfb2eba0904_Method">
    <vt:lpwstr>Privileged</vt:lpwstr>
  </property>
  <property fmtid="{D5CDD505-2E9C-101B-9397-08002B2CF9AE}" pid="5" name="MSIP_Label_db79d039-fcd0-4045-9c78-4cfb2eba0904_Name">
    <vt:lpwstr>Level 2 - Limited (Items)</vt:lpwstr>
  </property>
  <property fmtid="{D5CDD505-2E9C-101B-9397-08002B2CF9AE}" pid="6" name="MSIP_Label_db79d039-fcd0-4045-9c78-4cfb2eba0904_SiteId">
    <vt:lpwstr>aa3f6932-fa7c-47b4-a0ce-a598cad161cf</vt:lpwstr>
  </property>
  <property fmtid="{D5CDD505-2E9C-101B-9397-08002B2CF9AE}" pid="7" name="MSIP_Label_db79d039-fcd0-4045-9c78-4cfb2eba0904_ActionId">
    <vt:lpwstr>9563393d-8e0b-408e-b1d6-094d39979960</vt:lpwstr>
  </property>
  <property fmtid="{D5CDD505-2E9C-101B-9397-08002B2CF9AE}" pid="8" name="MSIP_Label_db79d039-fcd0-4045-9c78-4cfb2eba0904_ContentBits">
    <vt:lpwstr>0</vt:lpwstr>
  </property>
</Properties>
</file>